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8. TRANSITO Y MOVILIDAD\"/>
    </mc:Choice>
  </mc:AlternateContent>
  <xr:revisionPtr revIDLastSave="0" documentId="13_ncr:1_{92AC4775-0DC6-460B-B0AB-E508E56EB713}"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2" r:id="rId2"/>
    <sheet name="Priorizaciòn de Causas" sheetId="23" r:id="rId3"/>
    <sheet name="DOFA" sheetId="24"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11"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4" l="1"/>
  <c r="C1" i="23"/>
  <c r="F11" i="24"/>
  <c r="F12" i="24"/>
  <c r="F13" i="24"/>
  <c r="F14" i="24"/>
  <c r="F15" i="24"/>
  <c r="F16" i="24"/>
  <c r="F17" i="24"/>
  <c r="F18" i="24"/>
  <c r="F19" i="24"/>
  <c r="F20" i="24"/>
  <c r="F21" i="24"/>
  <c r="F22" i="24"/>
  <c r="R11" i="23" l="1"/>
  <c r="S11" i="23"/>
  <c r="R12" i="23"/>
  <c r="S12" i="23"/>
  <c r="R13" i="23"/>
  <c r="S13" i="23"/>
  <c r="R14" i="23"/>
  <c r="S14" i="23"/>
  <c r="R15" i="23"/>
  <c r="S15" i="23"/>
  <c r="R16" i="23"/>
  <c r="S16" i="23"/>
  <c r="R17" i="23"/>
  <c r="S17" i="23"/>
  <c r="R18" i="23"/>
  <c r="S18" i="23"/>
  <c r="R19" i="23"/>
  <c r="S19" i="23"/>
  <c r="R20" i="23"/>
  <c r="S20" i="23"/>
  <c r="R21" i="23"/>
  <c r="S21" i="23"/>
  <c r="R22" i="23"/>
  <c r="S22" i="23"/>
  <c r="R23" i="23"/>
  <c r="S23" i="23"/>
  <c r="R24" i="23"/>
  <c r="S24" i="23"/>
  <c r="R25" i="23"/>
  <c r="S25" i="23"/>
  <c r="R26" i="23"/>
  <c r="S26" i="23"/>
  <c r="R27" i="23"/>
  <c r="S27" i="23"/>
  <c r="R28" i="23"/>
  <c r="S28" i="23"/>
  <c r="R29" i="23"/>
  <c r="S29" i="23"/>
  <c r="R30" i="23"/>
  <c r="S30" i="23"/>
  <c r="R31" i="23"/>
  <c r="S31" i="23"/>
  <c r="R32" i="23"/>
  <c r="S32" i="23"/>
  <c r="R33" i="23"/>
  <c r="S33" i="23"/>
  <c r="R34" i="23"/>
  <c r="S34" i="23"/>
  <c r="R35" i="23"/>
  <c r="S35" i="23"/>
  <c r="R36" i="23"/>
  <c r="S36" i="23"/>
  <c r="R37" i="23"/>
  <c r="S37" i="23"/>
  <c r="R38" i="23"/>
  <c r="S38" i="23"/>
  <c r="R39" i="23"/>
  <c r="S39" i="23"/>
  <c r="S40" i="23"/>
  <c r="S41" i="23"/>
  <c r="W11" i="1" l="1"/>
  <c r="T11" i="1"/>
  <c r="J10" i="1"/>
  <c r="W69" i="1"/>
  <c r="T69" i="1"/>
  <c r="W68" i="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AE31" i="1" l="1"/>
  <c r="AD31" i="1" s="1"/>
  <c r="AE35" i="1"/>
  <c r="AD35" i="1" s="1"/>
  <c r="AE39" i="1"/>
  <c r="AD39" i="1" s="1"/>
  <c r="AE43" i="1"/>
  <c r="AD43" i="1" s="1"/>
  <c r="AE47" i="1"/>
  <c r="AD47" i="1" s="1"/>
  <c r="AE51" i="1"/>
  <c r="AD51" i="1" s="1"/>
  <c r="AE55" i="1"/>
  <c r="AD55" i="1" s="1"/>
  <c r="AE59" i="1"/>
  <c r="AD59" i="1" s="1"/>
  <c r="AE63" i="1"/>
  <c r="AD63"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E67" i="1"/>
  <c r="AD67" i="1" s="1"/>
  <c r="AE18" i="1"/>
  <c r="AD18" i="1" s="1"/>
  <c r="AE20" i="1"/>
  <c r="AD20" i="1" s="1"/>
  <c r="AE24" i="1"/>
  <c r="AD24" i="1" s="1"/>
  <c r="AE26" i="1"/>
  <c r="AD26" i="1" s="1"/>
  <c r="AE30" i="1"/>
  <c r="AD30" i="1" s="1"/>
  <c r="AE32" i="1"/>
  <c r="AD32" i="1" s="1"/>
  <c r="AE36" i="1"/>
  <c r="AD36" i="1" s="1"/>
  <c r="AE38" i="1"/>
  <c r="AD38" i="1" s="1"/>
  <c r="AE42" i="1"/>
  <c r="AD42" i="1" s="1"/>
  <c r="AE44" i="1"/>
  <c r="AD44" i="1" s="1"/>
  <c r="AE48" i="1"/>
  <c r="AD48" i="1" s="1"/>
  <c r="AE50" i="1"/>
  <c r="AD50" i="1" s="1"/>
  <c r="AE54" i="1"/>
  <c r="AD54" i="1" s="1"/>
  <c r="AE56" i="1"/>
  <c r="AD56" i="1" s="1"/>
  <c r="AE60" i="1"/>
  <c r="AD60" i="1" s="1"/>
  <c r="AE62" i="1"/>
  <c r="AD62" i="1" s="1"/>
  <c r="AE66" i="1"/>
  <c r="AD66" i="1" s="1"/>
  <c r="AE68" i="1"/>
  <c r="AD68"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8" i="1"/>
  <c r="AA20"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K10" i="1" l="1"/>
  <c r="K22" i="1"/>
  <c r="L22" i="1" s="1"/>
  <c r="K28" i="1"/>
  <c r="K34" i="1"/>
  <c r="L34" i="1" s="1"/>
  <c r="K40" i="1"/>
  <c r="L40" i="1" s="1"/>
  <c r="K46" i="1"/>
  <c r="L46" i="1" s="1"/>
  <c r="K52" i="1"/>
  <c r="L52" i="1" s="1"/>
  <c r="K58" i="1"/>
  <c r="L58" i="1" s="1"/>
  <c r="K64" i="1"/>
  <c r="L64" i="1" s="1"/>
  <c r="W13" i="1"/>
  <c r="W14" i="1"/>
  <c r="W15" i="1"/>
  <c r="N48" i="1"/>
  <c r="N42" i="1"/>
  <c r="N24" i="1"/>
  <c r="N62" i="1"/>
  <c r="N50" i="1"/>
  <c r="N30" i="1"/>
  <c r="N23" i="1"/>
  <c r="N32" i="1"/>
  <c r="N49" i="1"/>
  <c r="N36" i="1"/>
  <c r="N67" i="1"/>
  <c r="N38" i="1"/>
  <c r="N60" i="1"/>
  <c r="N61" i="1"/>
  <c r="N56" i="1"/>
  <c r="N43" i="1"/>
  <c r="N27" i="1"/>
  <c r="N51" i="1"/>
  <c r="N65" i="1"/>
  <c r="N37" i="1"/>
  <c r="N31" i="1"/>
  <c r="N29" i="1"/>
  <c r="N69" i="1"/>
  <c r="N25" i="1"/>
  <c r="N55" i="1"/>
  <c r="N66" i="1"/>
  <c r="N68" i="1"/>
  <c r="N41" i="1"/>
  <c r="N33" i="1"/>
  <c r="N26" i="1"/>
  <c r="N45" i="1"/>
  <c r="N54" i="1"/>
  <c r="N39" i="1"/>
  <c r="N57" i="1"/>
  <c r="N63" i="1"/>
  <c r="N35" i="1"/>
  <c r="N59" i="1"/>
  <c r="N53" i="1"/>
  <c r="N47" i="1"/>
  <c r="N44" i="1"/>
  <c r="L28" i="1" l="1"/>
  <c r="F217" i="13" l="1"/>
  <c r="T13" i="1"/>
  <c r="T14" i="1"/>
  <c r="T15" i="1"/>
  <c r="W10" i="1" l="1"/>
  <c r="T10" i="1"/>
  <c r="L10" i="1" l="1"/>
  <c r="N18" i="1"/>
  <c r="N19" i="1"/>
  <c r="N21" i="1"/>
  <c r="N20" i="1"/>
  <c r="N17" i="1"/>
  <c r="F221" i="13" l="1"/>
  <c r="F211" i="13"/>
  <c r="F212" i="13"/>
  <c r="F213" i="13"/>
  <c r="F214" i="13"/>
  <c r="F215" i="13"/>
  <c r="F216" i="13"/>
  <c r="F218" i="13"/>
  <c r="F219" i="13"/>
  <c r="F220" i="13"/>
  <c r="F210" i="13"/>
  <c r="N12" i="1"/>
  <c r="N15" i="1"/>
  <c r="N11" i="1"/>
  <c r="N13" i="1"/>
  <c r="N14"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7" i="1" l="1"/>
  <c r="AB17" i="1"/>
  <c r="AA10" i="1"/>
  <c r="AB10" i="1" s="1"/>
  <c r="AC10" i="1" l="1"/>
  <c r="AA11"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11" i="1" l="1"/>
  <c r="AA12" i="1" s="1"/>
  <c r="AB12" i="1" s="1"/>
  <c r="AB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2" i="1" l="1"/>
  <c r="AA13" i="1" s="1"/>
  <c r="AB13"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3" i="1" l="1"/>
  <c r="AA14" i="1" s="1"/>
  <c r="AB14"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C14" i="1" l="1"/>
  <c r="AA15" i="1" s="1"/>
  <c r="AB15" i="1" s="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C15" i="1" l="1"/>
  <c r="N22" i="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6" i="1" l="1"/>
  <c r="AF16" i="1" s="1"/>
  <c r="AE17" i="1"/>
  <c r="AD17" i="1" s="1"/>
  <c r="AF17" i="1" s="1"/>
  <c r="AD10" i="1"/>
  <c r="P36" i="19" s="1"/>
  <c r="J37" i="19" l="1"/>
  <c r="AB27" i="19"/>
  <c r="J7" i="19"/>
  <c r="J27" i="19"/>
  <c r="P37" i="19"/>
  <c r="P7" i="19"/>
  <c r="V47" i="19"/>
  <c r="AH17" i="19"/>
  <c r="AB17" i="19"/>
  <c r="AH47" i="19"/>
  <c r="AB37" i="19"/>
  <c r="V37" i="19"/>
  <c r="AH7" i="19"/>
  <c r="P17" i="19"/>
  <c r="AB47" i="19"/>
  <c r="J47" i="19"/>
  <c r="AB7" i="19"/>
  <c r="AH27" i="19"/>
  <c r="J17" i="19"/>
  <c r="P47" i="19"/>
  <c r="V27" i="19"/>
  <c r="V17" i="19"/>
  <c r="P27" i="19"/>
  <c r="AH37" i="19"/>
  <c r="V7" i="19"/>
  <c r="J46" i="19"/>
  <c r="P26" i="19"/>
  <c r="AB46" i="19"/>
  <c r="J36" i="19"/>
  <c r="V26" i="19"/>
  <c r="V46" i="19"/>
  <c r="AH46" i="19"/>
  <c r="AB6" i="19"/>
  <c r="J16" i="19"/>
  <c r="P6" i="19"/>
  <c r="P46" i="19"/>
  <c r="AF10" i="1"/>
  <c r="AB26" i="19"/>
  <c r="AH26" i="19"/>
  <c r="J26" i="19"/>
  <c r="V16" i="19"/>
  <c r="AB16" i="19"/>
  <c r="AH6" i="19"/>
  <c r="J6" i="19"/>
  <c r="P16" i="19"/>
  <c r="V36" i="19"/>
  <c r="AH16" i="19"/>
  <c r="AH3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<sst xmlns="http://schemas.openxmlformats.org/spreadsheetml/2006/main" count="585" uniqueCount="399">
  <si>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</si>
  <si>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</si>
  <si>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</si>
  <si>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</si>
  <si>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</si>
  <si>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</si>
  <si>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</si>
  <si>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</si>
  <si>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</si>
  <si>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</si>
  <si>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</si>
  <si>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</si>
  <si>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</si>
  <si>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</si>
  <si>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</si>
  <si>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</si>
  <si>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</si>
  <si>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</si>
  <si>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</si>
  <si>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</si>
  <si>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</si>
  <si>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</si>
  <si>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</si>
  <si>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</si>
  <si>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</si>
  <si>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</si>
  <si>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</si>
  <si>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</si>
  <si>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</si>
  <si>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</si>
  <si>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</si>
  <si>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</si>
  <si>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</si>
  <si>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</si>
  <si>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</si>
  <si>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</si>
  <si>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</si>
  <si>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</si>
  <si>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</si>
  <si>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</si>
  <si>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</si>
  <si>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</si>
  <si>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</si>
  <si>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</si>
  <si>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</si>
  <si>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</si>
  <si>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</si>
  <si>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</si>
  <si>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</si>
  <si>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</si>
  <si>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</si>
  <si>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</si>
  <si>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</si>
  <si>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</si>
  <si>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</si>
  <si>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</si>
  <si>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</si>
  <si>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</si>
  <si>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</si>
  <si>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</si>
  <si>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</si>
  <si>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</si>
  <si>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</si>
  <si>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</si>
  <si>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</si>
  <si>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</si>
  <si>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</si>
  <si>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</si>
  <si>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</si>
  <si>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</si>
  <si>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</si>
  <si>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</si>
  <si>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</si>
  <si>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</si>
  <si>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</si>
  <si>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</si>
  <si>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</si>
  <si>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</si>
  <si>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</si>
  <si>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</si>
  <si>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</si>
  <si>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</si>
  <si>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</si>
  <si>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</si>
  <si>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</si>
  <si>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</si>
  <si>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</si>
  <si>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</si>
  <si>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</si>
  <si>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</si>
  <si>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</si>
  <si>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</si>
  <si>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</si>
  <si>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</si>
  <si>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</si>
  <si>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</si>
  <si>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</si>
  <si>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</si>
  <si>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</si>
  <si>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</si>
  <si>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</si>
  <si>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</si>
  <si>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</si>
  <si>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</si>
  <si>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</si>
  <si>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</si>
  <si>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</si>
  <si>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</si>
  <si>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</si>
  <si>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</si>
  <si>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</si>
  <si>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</si>
  <si>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</si>
  <si>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</si>
  <si>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</si>
  <si>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</si>
  <si>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</si>
  <si>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</si>
  <si>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</si>
  <si>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</si>
  <si>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</si>
  <si>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</si>
  <si>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</si>
  <si>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</si>
  <si>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</si>
  <si>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</si>
  <si>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</si>
  <si>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</si>
  <si>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</si>
  <si>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</si>
  <si>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</si>
  <si>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</si>
  <si>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</si>
  <si>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</si>
  <si>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</si>
  <si>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</si>
  <si>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</si>
  <si>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</si>
  <si>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</si>
  <si>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</si>
  <si>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</si>
  <si>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</si>
  <si>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</si>
  <si>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</si>
  <si>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</si>
  <si>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</si>
  <si>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</si>
  <si>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</si>
  <si>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</si>
  <si>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</si>
  <si>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</si>
  <si>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</si>
  <si>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</si>
  <si>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</si>
  <si>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</si>
  <si>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</si>
  <si>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</si>
  <si>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</si>
  <si>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</si>
  <si>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</si>
  <si>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</si>
  <si>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</si>
  <si>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</si>
  <si>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</si>
  <si>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</si>
  <si>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</si>
  <si>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</si>
  <si>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</si>
  <si>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</si>
  <si>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</si>
  <si>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</si>
  <si>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</si>
  <si>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</si>
  <si>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</si>
  <si>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</si>
  <si>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</si>
  <si>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</si>
  <si>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</si>
  <si>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</si>
  <si>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</si>
  <si>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</si>
  <si>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</si>
  <si>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</si>
  <si>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</si>
  <si>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</si>
  <si>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</si>
  <si>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</si>
  <si>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</si>
  <si>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</si>
  <si>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</si>
  <si>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</si>
  <si>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</si>
  <si>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</si>
  <si>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</si>
  <si>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</si>
  <si>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</si>
  <si>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</si>
  <si>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</si>
  <si>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</si>
  <si>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</si>
  <si>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</si>
  <si>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</si>
  <si>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</si>
  <si>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</si>
  <si>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</si>
  <si>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</si>
  <si>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</si>
  <si>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</si>
  <si>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</si>
  <si>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</si>
  <si>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</si>
  <si>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</si>
  <si>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</si>
  <si>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</si>
  <si>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REGULAR, ORGANIZAR Y CONTROLAR EL EJERCICIO DEL TRÁNSITO Y EL TRANSPORTE MEJORANDO LAS CONDICIONES DE LA MOVILIDAD, APLICANDO EL CÓDIGO NACIONAL DE TRANSITO Y ADMINISTRANDO EL REGISTRO AUTOMOTOR Y DEL CONDUCTOR, PRESTANDO UN SERVICIO EFICIENTE, OPORTUNO Y DE CALIDAD A LA CIUDADANÍA TANTO EN LA GESTIÓN DE LOS TRÁMITES COMO A LOS USUARIOS DE LAS VÍAS EN EL MUNICIPIO DE IBAGUÉ.</t>
  </si>
  <si>
    <t>INICIA CON LA PLANEACIÓN DEL PROCESO, CONTINUA CON EL SEGUIMIENTO A LA EJECUCIÓN DEL PLAN MAESTRO DE  MOVILIDAD Y ESPACIO PÚBLICO Y PLAN LOCAL DE SEGURIDAD VIAL, LA GESTIÓN DE LA IMPLEMENTACIÓN DEL SISTEMAINTEGRADO DE TRANSPORTE PÚBLICO, LAS ACTIVIDADES DE LIQUIDACIÓN, RADICACIÓN, APROBACIÓN Y EXPEDICIÓN DE LOS DOCUMENTOS RELACIONADOS CON LOS TRÁMITES PREVISTOS EN MATERIA DE TRÁNSITO Y TRANSPORTE Y FINALIZA CON EL SEGUIMIENTO Y EVALUACIÓN DEL PROCESO.</t>
  </si>
  <si>
    <t>GESTIÓN DEL TRANSITO Y LA MOVILIDAD</t>
  </si>
  <si>
    <t>Falta de seguimiento a la información que se proporciona en la plataforma web PISAMI</t>
  </si>
  <si>
    <t xml:space="preserve">Respuesta  fuera  de los términos de tiempo   establecidos por la ley </t>
  </si>
  <si>
    <t>La entrega no oportuna y reparto a las respectivas áreas de las solicitudes radicadas</t>
  </si>
  <si>
    <t>Insuficiencia presupuestal para dar cumplimiento a los planes, programas y proyectos establecidos</t>
  </si>
  <si>
    <t xml:space="preserve">Falta de viabilización y actualización de los proyectos ante la Secretaria de Planeación </t>
  </si>
  <si>
    <t xml:space="preserve">Sanciones e investigaciones de los entes de control </t>
  </si>
  <si>
    <t>Secretario y Directores</t>
  </si>
  <si>
    <t>Falta de planeación,   seguimiento y control a la ejecución de los planes, programas y proyectos</t>
  </si>
  <si>
    <t>Reduccción de presupuesto y deterioro de la imagen hacía la ciudadanía</t>
  </si>
  <si>
    <t>Elaboración y seguimiento del plan de desarrollo y los instrumentos de seguimiento</t>
  </si>
  <si>
    <t>Recepción de solicitudes, trámites y PQRS</t>
  </si>
  <si>
    <t>Posibilidad de perdida económica y reputacional debido a sanciones e investigaciones de los entes de control por respuesta fuera de los términos de tiempo establecidos por la Ley</t>
  </si>
  <si>
    <t>Los directores realizan reunión bimestral con los responsables de cada proceso o encargados de área , para la verificación de solicitudes pendientes, dejando como evidencia el acta y la asistencia</t>
  </si>
  <si>
    <t>Posibilidad de perdida económica y reputacional, debido a la reducción del presupuesto y deterioro de la imagen hacía a la ciudadanía por falta de planeación, seguimiento y control de los planes, programas y proyectos</t>
  </si>
  <si>
    <t>Los directores validan el reporte remitido por la Dirección, atención al ciudadano y los PQRS que están fuera de término, los cuales son remitidos via memorando a los responsables para su revisión y finalización, dejando como evidencia el memorando y la terminación del PQRS</t>
  </si>
  <si>
    <t xml:space="preserve">Secretario y Directores </t>
  </si>
  <si>
    <t>Los directores realizan monitoreo, seguimiento y control  trimestral en la ejecución de los planes, programas y proyectos, dejando como evidencias informes de ejecución</t>
  </si>
  <si>
    <t xml:space="preserve">El responsable delegado por la dirección , realiza anualmente  la verificación ante Planeación Municipal  de la viabilidad y actualización del proyecto , dejando como evidencia el certificado de viabilidad del proyecto </t>
  </si>
  <si>
    <t xml:space="preserve">Generar una matriz de PQRS  y direccionar por cada direcciòn a los contratistas encargados. Realizar controles por medio de comitès periodicos </t>
  </si>
  <si>
    <t>COMUNICACIÓN ENTRE LOS PROCESOS</t>
  </si>
  <si>
    <t>COMMUNICACIÓN INTERNA</t>
  </si>
  <si>
    <t>FACTORES GEOGRÁFICOS (ubicación, espacio,topografía, clima, recursos naturales, etc.)</t>
  </si>
  <si>
    <t>Sobrecostos en los contratos de bienes o servicios independiente de posibles distorsiones del mercado</t>
  </si>
  <si>
    <t>INTERACCIÓN CON LOS PROCESOS</t>
  </si>
  <si>
    <t>ESTRATÉGICOS</t>
  </si>
  <si>
    <t>TECNOLOGÍA (integridad de datos, disponibilidad de datos y sistemas, desarrollo, producción, mantenimiento de sistemas de información)</t>
  </si>
  <si>
    <t>Falta de claridad en la justificación previa de la necesidad para adquisición del bien o servicio contratado.</t>
  </si>
  <si>
    <t>PROCESOS OPERATIVOS</t>
  </si>
  <si>
    <t>Contratar bienes y servicios no relacionados con la emergencia y justificándose en ella.</t>
  </si>
  <si>
    <t>PERSONAL DE LA ENTIDAD (Capacidad del personal, políticas de manejo del talento humano, idoneidad)</t>
  </si>
  <si>
    <t>AMBIENTALES</t>
  </si>
  <si>
    <t>TECNOLÓGICOS</t>
  </si>
  <si>
    <t>Constante innovación tecnológica.</t>
  </si>
  <si>
    <t>SOCIALES Y CULTURALES</t>
  </si>
  <si>
    <t xml:space="preserve">Constantes cambios normativos </t>
  </si>
  <si>
    <t>LEGALES Y REGLAMENTARIOS</t>
  </si>
  <si>
    <t>FINANCIEROS</t>
  </si>
  <si>
    <t xml:space="preserve">Cambios de Gobierno </t>
  </si>
  <si>
    <t>POLÍTICOS</t>
  </si>
  <si>
    <t>CAUSAS</t>
  </si>
  <si>
    <t>FACTORES DEL PROCESO</t>
  </si>
  <si>
    <t>FACTORES INTERNOS</t>
  </si>
  <si>
    <t>FACTORES EXTERNOS</t>
  </si>
  <si>
    <t xml:space="preserve">CONTEXTO ESTRATEGICO </t>
  </si>
  <si>
    <t>Fecha: 21/02/2024</t>
  </si>
  <si>
    <t>FORMATO: CONTEXTO ESTRATEGICO</t>
  </si>
  <si>
    <t>Versión: 01</t>
  </si>
  <si>
    <t xml:space="preserve">Falta de  canales y/o medios de Comunicación para una efectiva trazabilidad del tramite.  </t>
  </si>
  <si>
    <t>deficiencia en la planeación de compra de insumos (sustratos, cintas de impresión, cintas de laminación, cinta holografica Ministerio), herramientas tecnologicas (llaves digitales, lector biometrico, scaner y otros),  rezago en equipos de computo, falta de impresoras y demás elementos.</t>
  </si>
  <si>
    <t>Debilidades en los procesos de inducción y reinducción de los servidores públicos en cuanto a los trámites y procedimientos contenidos en los manuales.</t>
  </si>
  <si>
    <t>No existe modulo de información que oriente al cliente en los tramites</t>
  </si>
  <si>
    <t>Los estudios en el tema de movilidad son insuficientes para dar solución a la falta de vías que permitan el desplazamiento de vehículos en la ciudad.</t>
  </si>
  <si>
    <t>Ausencia de controles en el inventario de carpetas donde resposan los historiales vehículares.</t>
  </si>
  <si>
    <t>Inoportunidad en la respuesta a los derechos de petición.</t>
  </si>
  <si>
    <t>No existen incentivos para matricula de vehículos nuevos o trasladados</t>
  </si>
  <si>
    <t>Ausencia de liderazgo y trabajo en equipo.</t>
  </si>
  <si>
    <t>Afectaciòn del orden pùblico en las instalaciones de la Secretarìa</t>
  </si>
  <si>
    <t>Inestabilidad de la plataforma PISAMI.</t>
  </si>
  <si>
    <t>Declaratoria de emergencia por pandemias o desastres naturales</t>
  </si>
  <si>
    <t>Insuficiencia de equipos para atención a clientes y tecnología atrasada</t>
  </si>
  <si>
    <t xml:space="preserve">Dificultad en la comunicaciòn con los usuarios externos. </t>
  </si>
  <si>
    <t>OTROS</t>
  </si>
  <si>
    <t>Desarticulación en la atención al cliente debido a que cada funcionario solo conoce el funcionamiento del módulo de la plataforma que maneja</t>
  </si>
  <si>
    <t>Fallas en la plataforma (PISAMI) o en los prestadores de servicios tecnologicos (Moviliza, Internet, SIMIT, Runt).</t>
  </si>
  <si>
    <t>El personal competente para el desarrollo de las actividades es insuficiente.</t>
  </si>
  <si>
    <t>Cambio de políticas en torno a los avances obtenidos en la implementación del SETP (Sistema Estrategico de Transporte Público).</t>
  </si>
  <si>
    <t>Dificultad de acceso a las instalaciones por la ubicaciòn geografica de la Secretarìa</t>
  </si>
  <si>
    <t>Anarquía y falta de civismo y sentido de pertenencia de los habitantes para respetar las señales y disposiciones de transito</t>
  </si>
  <si>
    <t>Ausencia de aplicaciòn de politícas de seguridad informática.</t>
  </si>
  <si>
    <t>ACTIVOS DE SEGURIDAD DIGITAL DEL PROCESO</t>
  </si>
  <si>
    <t>Las instalaciones no son adecuadas para el área de archivo (custodia de carpetas historiales vehículares) y en algunos lugares de atención al público (asinamiento).</t>
  </si>
  <si>
    <t>Acciones populares con relación a la señalización vial y semaforización</t>
  </si>
  <si>
    <t>Inportuna comunicaciòn entre los diferentes procesos de la entidad</t>
  </si>
  <si>
    <t>Presupuesto insuficiente para dar cumplimiento al plan de acción institucional.</t>
  </si>
  <si>
    <t>Fuga de clientes hacia otras secretarias de transito donde no se aplica el SIMIT</t>
  </si>
  <si>
    <t>ECONÓMICOS Y FINANCIEROS</t>
  </si>
  <si>
    <t>Dificultad en la  articulación en cuanto a decisiones que involucran más de un proceso.</t>
  </si>
  <si>
    <t>Falta de mecanismos de control sobre los tramitadores que orientan al cliente y saturan las oficinas</t>
  </si>
  <si>
    <t>Cambios permanentes en la normatividad (Ministerio de Transporte - RUNT Registro Único Nacional de Tránsito), modificaciones Código Generral del Proceso.</t>
  </si>
  <si>
    <t xml:space="preserve">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</si>
  <si>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PROCESO: GESTIÓN DEL TRÁNSITO Y LA MOVILIDAD</t>
  </si>
  <si>
    <t xml:space="preserve">PROCESO: </t>
  </si>
  <si>
    <t>PROMEDIO</t>
  </si>
  <si>
    <t>SUMA TOTAL</t>
  </si>
  <si>
    <t>¿SE PRIORIZA LA CAUSA PARA EL ANÁLISIS DOFA?</t>
  </si>
  <si>
    <t>TOTAL</t>
  </si>
  <si>
    <t>P15</t>
  </si>
  <si>
    <t>P14</t>
  </si>
  <si>
    <t>P13</t>
  </si>
  <si>
    <t>P12</t>
  </si>
  <si>
    <t>P11</t>
  </si>
  <si>
    <t>P10</t>
  </si>
  <si>
    <t>P9</t>
  </si>
  <si>
    <t>P8</t>
  </si>
  <si>
    <t>P7</t>
  </si>
  <si>
    <t>P6</t>
  </si>
  <si>
    <t>P5</t>
  </si>
  <si>
    <t>P4</t>
  </si>
  <si>
    <t>P3</t>
  </si>
  <si>
    <t>P2</t>
  </si>
  <si>
    <t>P1</t>
  </si>
  <si>
    <t xml:space="preserve">CAUSAS </t>
  </si>
  <si>
    <t>No.</t>
  </si>
  <si>
    <t>FORMATO: PRIORIZACION DE CAUSAS (Amenazas y Debilidades)</t>
  </si>
  <si>
    <t>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</si>
  <si>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A1 D2 Reporte para Inicio de procesos Disciplinarios, penales, Fiscales, administrativo según corresponda</t>
  </si>
  <si>
    <t>Pandemias: Falta de preparación y experiencia en la forma de afrontar las pandemias.</t>
  </si>
  <si>
    <t>A3 D11Envío de comunicación a los ordenadores del gasto que hayan tenido dificultad en el desarrollo del proceso para que elaboren y radiquen el acto administrativo por el cual se da de baja el proceso en la plataforma SECOP</t>
  </si>
  <si>
    <t xml:space="preserve">Fallas en aplicativos para cargue o reporte de información a plataformas (SECOP) y/o entes de control.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</si>
  <si>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</si>
  <si>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A3D7D11 citar a reuniones extraordinaria con los lideres de los procesos y sus equipos de trabajo, para verificar las dificultades en el manejo del secop y demás actividades relacionadas con el proceso .</t>
  </si>
  <si>
    <t>A2F3 Institucionalizar los comités jurídicos y fomentar la participación en este proceso por parte de todas las secretarias ejecutoras.</t>
  </si>
  <si>
    <t>A2D10D11, Realizar reuniones de comité jurídico de manera periódica, para realizar las vigencias de las normas y analizar los cambios que se van presentando en esta materia. posteriormente fortalecer y actualizar todo el cambio normativo socializando con las secretarias de la administración.</t>
  </si>
  <si>
    <t>A1F1 Realizar seguimientos periódicos para mantener los estándares de calidad certificados en los diferentes procesos que adelanta la administración Municipal.</t>
  </si>
  <si>
    <t>A1D2D4, Evaluar la continuidad del personal de contrato, para garantizar la no interrupción en los procesos en que ha avanzado la oficina.</t>
  </si>
  <si>
    <r>
      <t xml:space="preserve">ESTRATEGIA FA (SUPERVIVENCIA)
</t>
    </r>
    <r>
      <rPr>
        <b/>
        <sz val="11"/>
        <color theme="1"/>
        <rFont val="Arial"/>
        <family val="2"/>
      </rPr>
      <t>Utilizar fortalezas para contrarrestar amenazas</t>
    </r>
    <r>
      <rPr>
        <b/>
        <sz val="14"/>
        <color theme="1"/>
        <rFont val="Arial"/>
        <family val="2"/>
      </rPr>
      <t xml:space="preserve">
</t>
    </r>
  </si>
  <si>
    <r>
      <t xml:space="preserve">ESTRATEGIA DA (CONTINGENCIA)
</t>
    </r>
    <r>
      <rPr>
        <b/>
        <sz val="11"/>
        <color theme="1"/>
        <rFont val="Arial"/>
        <family val="2"/>
      </rPr>
      <t>Cuando el riesgo se materialice a partir de la combinación de debilidades
con amenazas, para formular acciones de contingencia.</t>
    </r>
  </si>
  <si>
    <t>AMENAZAS (A)</t>
  </si>
  <si>
    <t>NEGATIVOS</t>
  </si>
  <si>
    <t>010 D 02 Denunciar actos de corrupción frente a la instancia que corresponda</t>
  </si>
  <si>
    <t xml:space="preserve">D11 O11 Desconocimiento de las obligaciones contractuales del supervisor </t>
  </si>
  <si>
    <t>011 D03 Estudios previos de procesos de selección aprobados y firmados por el ordenador del gasto y supervisor,  con  el visto bueno del equipo estructurador de la secretaria ejecutora (informe cuatrimestral)</t>
  </si>
  <si>
    <t>O9 D17 Remitir por correo electrónico a los Entes de Control los documentos requeridos para facilitar el control fiscal</t>
  </si>
  <si>
    <t>07 O1 D16 Uso de las plataformas, herramientas y demás instrumentos de la Agencia Nacional de Contratación por parte de las Secretarias Ejecutoras, de tal manera que se garanticen precios del mercado justos y razonables</t>
  </si>
  <si>
    <t>12) Cumplimiento de circular No. 00035 del 14/09/2021. Directriz de seguimiento a riesgos contractuales en la etapa de ejecución por parte de los ordenadores del gasto y supervisores de contratos Y/O convenios</t>
  </si>
  <si>
    <t xml:space="preserve">O1 D15 Verificar que los proponentes sean empresas formalmente constituidas, y que estén registrados en la Cámara de Comercio </t>
  </si>
  <si>
    <t>11) Cumplimiento de la normatividade vigente y las direrectrices establecidas en el manual de contratación</t>
  </si>
  <si>
    <t>O7 D13 Verificar el objeto contractual tenga estrecha relacion entre  la urgencia manifiesta , con lo proferido en la resolución de declaración de la misma</t>
  </si>
  <si>
    <t>10)Capacitación para fortalecer el trabajo en equipo y los valores institucionales</t>
  </si>
  <si>
    <t>08 D3 Socialización del código  de Integridad y Buen Gobierno</t>
  </si>
  <si>
    <t>9) Recurso tecnológico necesario para remitir información en línea. (Internet, Correo Electrónico Institucional, Scanner, Computadores)</t>
  </si>
  <si>
    <t xml:space="preserve">O7D14 Convocar a mesa de trabajo por medios virtuales a las secretarías ejecutoras, a la oficina de jurídica y  oficina de contratación, para  hacer enfasis que en los procesos debe haber claridad de la necesidad y en la identificación del beneficiario. </t>
  </si>
  <si>
    <t>8) Normatividad y Directrices para la implementación  de MIPG</t>
  </si>
  <si>
    <t>O3D12 Realizar capacitaciones de los temas contractuales en los términos de emergencia y socializar con comunicaciones internas las actualizaciones normativas</t>
  </si>
  <si>
    <t>7) compromiso de las secretarias ejecutoras al momento de adquirir lo necesario para la emergencia.</t>
  </si>
  <si>
    <t xml:space="preserve">O3D12 Realizar capacitaciones para la unificación de criterios en los procesos contractuales, con el personal adscrito a la oficina de contratación. </t>
  </si>
  <si>
    <t xml:space="preserve">6) Que todos los lideres del proceso se comprometan en un 100%, para que continúe y se cumpla el proceso de certificación </t>
  </si>
  <si>
    <t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t>
  </si>
  <si>
    <t>5) Contar con recursos propios de la oficina de contratación.</t>
  </si>
  <si>
    <t xml:space="preserve">D2O10 Realizar una capacitación semestral con el equipo de trabajo de la oficina de contratación con el fin de  fortalecer el trabajo en equipo, y los valores institucionales </t>
  </si>
  <si>
    <t>4) Adquisición de un sistema de información, donde permita trabajar en conjunto y tiempo real los procesos a sacar.</t>
  </si>
  <si>
    <t>F6O2 Trabajar conjuntamente con Colombia Compra y  la secretaria de las TICS, para el manejo adecuado de las plataformas.</t>
  </si>
  <si>
    <t>O6D11D7 Fortalecer las actividades relacionadas con el SIGAMI en el proceso gestión contractual mediante reuniones periódicas para evaluar el la implementación de los sistemas en el proceso y así aportar a la mejora continua de la administración.</t>
  </si>
  <si>
    <t>3) Capacitaciones con entidades publicas expertas en el área de contratación</t>
  </si>
  <si>
    <t>F3O3 Capacitar al talento humano adscrito a la oficina de contratación, con el fin de conocer la documentación propia del proceso  para fortalecimiento del mismo.</t>
  </si>
  <si>
    <t>O5D1 Poder realizar una contratación acorde a la  necesidad de la oficina, según la planeación realizada para fortalecer la parte administrativa.</t>
  </si>
  <si>
    <r>
      <rPr>
        <b/>
        <sz val="11"/>
        <rFont val="Arial"/>
        <family val="2"/>
      </rPr>
      <t xml:space="preserve">2) </t>
    </r>
    <r>
      <rPr>
        <sz val="11"/>
        <rFont val="Arial"/>
        <family val="2"/>
      </rPr>
      <t>Acceso a la herramienta tecnológica SECOP (Colombia compra eficiente) que facilita los procesos de contratación estatal.</t>
    </r>
  </si>
  <si>
    <t>F1O6   Fortalecer todo lo referente al SIGAMI, con el fin de tener continuidad en el proceso.</t>
  </si>
  <si>
    <t xml:space="preserve">O3D3 Realizar una capacitación semestral  para la unificación de criterios en los procesos contractuales, con el personal adscrito a la oficina de contratación. </t>
  </si>
  <si>
    <r>
      <rPr>
        <b/>
        <sz val="11"/>
        <rFont val="Arial"/>
        <family val="2"/>
      </rPr>
      <t>1)</t>
    </r>
    <r>
      <rPr>
        <sz val="11"/>
        <rFont val="Arial"/>
        <family val="2"/>
      </rPr>
      <t xml:space="preserve"> Acceso a la información publicada en paginas web de entidades del orden nacional </t>
    </r>
  </si>
  <si>
    <r>
      <t xml:space="preserve">ESTRATEGIA FO (CRECIMIENTO)
</t>
    </r>
    <r>
      <rPr>
        <b/>
        <sz val="11"/>
        <color theme="1"/>
        <rFont val="Arial"/>
        <family val="2"/>
      </rPr>
      <t>Utilizar fortalezas para optimizar oportunidades.</t>
    </r>
  </si>
  <si>
    <r>
      <t xml:space="preserve">ESTRATEGIA DO (SUPERVIVENCIA)
</t>
    </r>
    <r>
      <rPr>
        <b/>
        <sz val="11"/>
        <color theme="1"/>
        <rFont val="Arial"/>
        <family val="2"/>
      </rPr>
      <t>consiste en contrarrestar Debilidades por medio de Oportunidades.</t>
    </r>
  </si>
  <si>
    <t>OPORTUNIDADES (O)</t>
  </si>
  <si>
    <t>POSITIVOS</t>
  </si>
  <si>
    <t>Incumplimiento de las obligaciones por parte del contratista</t>
  </si>
  <si>
    <t xml:space="preserve">Omisión en el envío de actos administrativos de declaratoria de urgencia manifiesta y reporte de los contratos celebrados, para el control jurisdiccional y  la contraloría municipal </t>
  </si>
  <si>
    <t xml:space="preserve">Adjudicación de contratos a proveedores que presentan falta de idoneidad, por ausencia de la capacidad financiera, o la experiencia necesaria; para la ejecución del objeto contractual de forma eficiente y adecuada
</t>
  </si>
  <si>
    <t/>
  </si>
  <si>
    <t>9) Utilización de las guías e instructivos establecidos por Colombia Compra Eficiente.</t>
  </si>
  <si>
    <t xml:space="preserve">8) La política de administración del riesgo esta alineada con el manual para la identificación y cobertura del riesgo en los procesos de contratación. </t>
  </si>
  <si>
    <r>
      <rPr>
        <b/>
        <sz val="11"/>
        <rFont val="Arial"/>
        <family val="2"/>
      </rPr>
      <t xml:space="preserve">7) </t>
    </r>
    <r>
      <rPr>
        <sz val="11"/>
        <rFont val="Arial"/>
        <family val="2"/>
      </rPr>
      <t>Reorganización administrativa de la Alcaldía, que brindo talento humano de planta para el apoyo de las actividades del proceso.</t>
    </r>
  </si>
  <si>
    <r>
      <rPr>
        <b/>
        <sz val="11"/>
        <rFont val="Arial"/>
        <family val="2"/>
      </rPr>
      <t>6)</t>
    </r>
    <r>
      <rPr>
        <sz val="11"/>
        <rFont val="Arial"/>
        <family val="2"/>
      </rPr>
      <t xml:space="preserve"> Apoyo técnico por parte de la secretaría de las TICS para garantizar la cobertura de internet y el buen funcionamiento tecnológico de la oficina (Publicaciones de procesos contractuales en diferentes plataformas).</t>
    </r>
  </si>
  <si>
    <r>
      <rPr>
        <b/>
        <sz val="11"/>
        <rFont val="Arial"/>
        <family val="2"/>
      </rPr>
      <t>5)</t>
    </r>
    <r>
      <rPr>
        <sz val="11"/>
        <rFont val="Arial"/>
        <family val="2"/>
      </rPr>
      <t xml:space="preserve"> El proceso  tiene su manual, caracterización, instructivos, procedimientos y formatos documentados.</t>
    </r>
  </si>
  <si>
    <r>
      <rPr>
        <b/>
        <sz val="11"/>
        <rFont val="Arial"/>
        <family val="2"/>
      </rPr>
      <t xml:space="preserve">4) </t>
    </r>
    <r>
      <rPr>
        <sz val="11"/>
        <rFont val="Arial"/>
        <family val="2"/>
      </rPr>
      <t>Empoderamiento por parte del líder del proceso.</t>
    </r>
  </si>
  <si>
    <r>
      <rPr>
        <b/>
        <sz val="11"/>
        <rFont val="Arial"/>
        <family val="2"/>
      </rPr>
      <t xml:space="preserve">3) </t>
    </r>
    <r>
      <rPr>
        <sz val="11"/>
        <rFont val="Arial"/>
        <family val="2"/>
      </rPr>
      <t xml:space="preserve">Capacitación permanente en temas atinentes al proceso. </t>
    </r>
  </si>
  <si>
    <r>
      <rPr>
        <b/>
        <sz val="11"/>
        <rFont val="Arial"/>
        <family val="2"/>
      </rPr>
      <t>2) S</t>
    </r>
    <r>
      <rPr>
        <sz val="11"/>
        <rFont val="Arial"/>
        <family val="2"/>
      </rPr>
      <t xml:space="preserve">istemas de información desarrollados e implementados en la entidad que facilitan la unificación de la información (SOFTCON-PISAMI). </t>
    </r>
  </si>
  <si>
    <t>1) El otorgamiento de certificaciones a la alcaldía de Ibagué bajo las normas ISO 9001, OHSAS 18000, ISO 14001.</t>
  </si>
  <si>
    <t>FORTALEZAS (F)</t>
  </si>
  <si>
    <t>DEBILIDADES (D)</t>
  </si>
  <si>
    <t xml:space="preserve">
MATRIZ DOFA
IDENTIFICACION DE FACTORES 
Y
DEFINICION DE ESTRATEGIAS
</t>
  </si>
  <si>
    <t>FORMATO: MATRIZ DOFA</t>
  </si>
  <si>
    <t>Codigo: FOR-029-PRO-SIG-01</t>
  </si>
  <si>
    <t>Codigo:  FOR-029-PRO-SIG-01</t>
  </si>
  <si>
    <t>Pagina: 1 DE 1</t>
  </si>
  <si>
    <t>Pagina: 1 DE 2</t>
  </si>
  <si>
    <t>Fecha:  21/02/2024</t>
  </si>
  <si>
    <t>Pagina:  1 DE 3</t>
  </si>
  <si>
    <t>Enero de 2025</t>
  </si>
  <si>
    <t>Actualización de proyectos. Durante este año se estàn ejecutando 6 proyectos, 4 de la direcciòn operativa y 2 de la direcciòn de tramites. Mensualmente se reporta el avance en la plataforma PIIP.</t>
  </si>
  <si>
    <t>Realizar comités técnicos periodicos, donde se evalua el cumplimiento de las metas que tiene la dependencia con sus respectivos compromisos de cumplimiento</t>
  </si>
  <si>
    <t>Tipo de Riesgo</t>
  </si>
  <si>
    <t>Gestiòn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</si>
</sst>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sz val="11"/>
      <color theme="1"/>
      <name val="Arial"/>
      <family val="2"/>
    </font>
    <font>
      <sz val="10"/>
      <color theme="1"/>
      <name val="Arial"/>
      <family val="2"/>
    </font>
    <font>
      <sz val="11"/>
      <name val="Arial"/>
      <family val="2"/>
    </font>
    <font>
      <b/>
      <sz val="12"/>
      <color theme="1"/>
      <name val="Arial"/>
      <family val="2"/>
    </font>
    <font>
      <sz val="11"/>
      <color indexed="8"/>
      <name val="Arial"/>
      <family val="2"/>
    </font>
    <font>
      <b/>
      <sz val="12"/>
      <color indexed="8"/>
      <name val="Arial"/>
      <family val="2"/>
    </font>
    <font>
      <b/>
      <sz val="11"/>
      <color indexed="17"/>
      <name val="Arial"/>
      <family val="2"/>
    </font>
    <font>
      <b/>
      <sz val="11"/>
      <color indexed="8"/>
      <name val="Arial"/>
      <family val="2"/>
    </font>
    <font>
      <b/>
      <sz val="11"/>
      <color theme="1"/>
      <name val="Arial"/>
      <family val="2"/>
    </font>
    <font>
      <b/>
      <sz val="9"/>
      <color theme="1"/>
      <name val="Calibri"/>
      <family val="2"/>
      <scheme val="minor"/>
    </font>
    <font>
      <b/>
      <sz val="9"/>
      <color theme="1"/>
      <name val="Arial"/>
      <family val="2"/>
    </font>
    <font>
      <b/>
      <sz val="10"/>
      <color theme="1"/>
      <name val="Arial"/>
      <family val="2"/>
    </font>
    <font>
      <b/>
      <sz val="14"/>
      <color theme="1"/>
      <name val="Arial"/>
      <family val="2"/>
    </font>
    <font>
      <b/>
      <sz val="11"/>
      <name val="Arial"/>
      <family val="2"/>
    </font>
    <font>
      <sz val="11"/>
      <name val="Calibri"/>
      <family val="2"/>
    </font>
    <font>
      <b/>
      <sz val="20"/>
      <color theme="1"/>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A365"/>
        <bgColor indexed="64"/>
      </patternFill>
    </fill>
    <fill>
      <patternFill patternType="solid">
        <fgColor theme="0"/>
        <bgColor theme="0"/>
      </patternFill>
    </fill>
    <fill>
      <patternFill patternType="solid">
        <fgColor rgb="FF00B0F0"/>
        <bgColor indexed="64"/>
      </patternFill>
    </fill>
    <fill>
      <patternFill patternType="solid">
        <fgColor theme="6" tint="0.59999389629810485"/>
        <bgColor indexed="64"/>
      </patternFill>
    </fill>
  </fills>
  <borders count="12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thin">
        <color theme="9" tint="-0.249977111117893"/>
      </right>
      <top style="dashed">
        <color theme="9" tint="-0.24994659260841701"/>
      </top>
      <bottom/>
      <diagonal/>
    </border>
    <border>
      <left style="dashed">
        <color theme="9" tint="-0.24994659260841701"/>
      </left>
      <right style="thin">
        <color theme="9" tint="-0.249977111117893"/>
      </right>
      <top/>
      <bottom style="dashed">
        <color theme="9" tint="-0.24994659260841701"/>
      </bottom>
      <diagonal/>
    </border>
    <border>
      <left style="thin">
        <color theme="9" tint="-0.249977111117893"/>
      </left>
      <right style="dashed">
        <color theme="9" tint="-0.24994659260841701"/>
      </right>
      <top style="dashed">
        <color theme="9" tint="-0.24994659260841701"/>
      </top>
      <bottom style="dashed">
        <color theme="9" tint="-0.2499465926084170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theme="0"/>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style="thin">
        <color rgb="FF000000"/>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3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horizontal="center" vertical="center" wrapText="1"/>
    </xf>
    <xf numFmtId="0" fontId="40" fillId="0" borderId="2" xfId="0" applyFont="1" applyBorder="1" applyAlignment="1" applyProtection="1">
      <alignment horizontal="justify" vertical="top" wrapText="1"/>
      <protection locked="0"/>
    </xf>
    <xf numFmtId="14" fontId="1" fillId="0" borderId="6" xfId="0" applyNumberFormat="1" applyFont="1" applyBorder="1" applyAlignment="1" applyProtection="1">
      <alignment horizontal="center" vertical="top"/>
      <protection locked="0"/>
    </xf>
    <xf numFmtId="0" fontId="1" fillId="0" borderId="82" xfId="0" applyFont="1" applyBorder="1" applyAlignment="1" applyProtection="1">
      <alignment horizontal="center" vertical="top"/>
      <protection locked="0"/>
    </xf>
    <xf numFmtId="0" fontId="27" fillId="0" borderId="82" xfId="0" applyFont="1" applyBorder="1" applyAlignment="1" applyProtection="1">
      <alignment horizontal="center" vertical="top"/>
      <protection locked="0"/>
    </xf>
    <xf numFmtId="0" fontId="59" fillId="0" borderId="0" xfId="0" applyFont="1"/>
    <xf numFmtId="0" fontId="60" fillId="0" borderId="0" xfId="0" applyFont="1" applyAlignment="1">
      <alignment horizontal="left" vertical="center"/>
    </xf>
    <xf numFmtId="0" fontId="59"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horizontal="left" vertical="center" wrapText="1"/>
    </xf>
    <xf numFmtId="0" fontId="60" fillId="0" borderId="0" xfId="0" applyFont="1" applyAlignment="1">
      <alignment horizontal="left" vertical="center" wrapText="1"/>
    </xf>
    <xf numFmtId="0" fontId="59" fillId="0" borderId="0" xfId="0" applyFont="1" applyAlignment="1">
      <alignment horizontal="left" vertical="center"/>
    </xf>
    <xf numFmtId="0" fontId="59" fillId="0" borderId="0" xfId="0" applyFont="1" applyAlignment="1">
      <alignment horizontal="left" vertical="center" wrapText="1"/>
    </xf>
    <xf numFmtId="0" fontId="59" fillId="0" borderId="41" xfId="0" applyFont="1" applyBorder="1" applyAlignment="1">
      <alignment horizontal="left" vertical="center" wrapText="1"/>
    </xf>
    <xf numFmtId="0" fontId="59" fillId="16" borderId="40" xfId="0" applyFont="1" applyFill="1" applyBorder="1" applyAlignment="1">
      <alignment vertical="center" wrapText="1"/>
    </xf>
    <xf numFmtId="0" fontId="59" fillId="0" borderId="40" xfId="0" applyFont="1" applyBorder="1" applyAlignment="1">
      <alignment horizontal="left" vertical="center" wrapText="1"/>
    </xf>
    <xf numFmtId="0" fontId="59" fillId="16" borderId="39" xfId="0" applyFont="1" applyFill="1" applyBorder="1" applyAlignment="1">
      <alignment vertical="center" wrapText="1"/>
    </xf>
    <xf numFmtId="0" fontId="59" fillId="0" borderId="38" xfId="0" applyFont="1" applyBorder="1" applyAlignment="1">
      <alignment horizontal="left" vertical="center" wrapText="1"/>
    </xf>
    <xf numFmtId="0" fontId="59" fillId="16" borderId="33" xfId="0" applyFont="1" applyFill="1" applyBorder="1" applyAlignment="1">
      <alignment vertical="center" wrapText="1"/>
    </xf>
    <xf numFmtId="0" fontId="61" fillId="0" borderId="33" xfId="0" applyFont="1" applyBorder="1" applyAlignment="1">
      <alignment horizontal="left" vertical="center" wrapText="1"/>
    </xf>
    <xf numFmtId="0" fontId="59" fillId="0" borderId="33" xfId="0" applyFont="1" applyBorder="1" applyAlignment="1">
      <alignment horizontal="left" vertical="center" wrapText="1"/>
    </xf>
    <xf numFmtId="0" fontId="59" fillId="16" borderId="37" xfId="0" applyFont="1" applyFill="1" applyBorder="1" applyAlignment="1">
      <alignment vertical="center" wrapText="1"/>
    </xf>
    <xf numFmtId="0" fontId="59" fillId="16" borderId="83" xfId="0" applyFont="1" applyFill="1" applyBorder="1" applyAlignment="1">
      <alignment vertical="center" wrapText="1"/>
    </xf>
    <xf numFmtId="0" fontId="59" fillId="16" borderId="84" xfId="0" applyFont="1" applyFill="1" applyBorder="1" applyAlignment="1">
      <alignment vertical="center" wrapText="1"/>
    </xf>
    <xf numFmtId="0" fontId="62" fillId="17" borderId="86" xfId="0" applyFont="1" applyFill="1" applyBorder="1" applyAlignment="1">
      <alignment horizontal="center" vertical="center"/>
    </xf>
    <xf numFmtId="0" fontId="62" fillId="17" borderId="87" xfId="0" applyFont="1" applyFill="1" applyBorder="1" applyAlignment="1">
      <alignment vertical="center"/>
    </xf>
    <xf numFmtId="0" fontId="64" fillId="0" borderId="0" xfId="0" applyFont="1" applyAlignment="1">
      <alignment horizontal="center" vertical="center" wrapText="1"/>
    </xf>
    <xf numFmtId="0" fontId="64" fillId="0" borderId="0" xfId="0" applyFont="1" applyAlignment="1">
      <alignment vertical="center" wrapText="1"/>
    </xf>
    <xf numFmtId="0" fontId="59" fillId="0" borderId="33" xfId="0" applyFont="1" applyBorder="1" applyAlignment="1">
      <alignment vertical="center" wrapText="1"/>
    </xf>
    <xf numFmtId="0" fontId="59" fillId="0" borderId="83" xfId="0" applyFont="1" applyBorder="1" applyAlignment="1">
      <alignment vertical="center" wrapText="1"/>
    </xf>
    <xf numFmtId="0" fontId="59" fillId="0" borderId="92" xfId="0" applyFont="1" applyBorder="1" applyAlignment="1">
      <alignment horizontal="left" vertical="center" wrapText="1"/>
    </xf>
    <xf numFmtId="0" fontId="59" fillId="16" borderId="93" xfId="0" applyFont="1" applyFill="1" applyBorder="1" applyAlignment="1">
      <alignment vertical="center" wrapText="1"/>
    </xf>
    <xf numFmtId="0" fontId="61" fillId="0" borderId="93" xfId="0" applyFont="1" applyBorder="1" applyAlignment="1">
      <alignment horizontal="left" vertical="center" wrapText="1"/>
    </xf>
    <xf numFmtId="0" fontId="59" fillId="0" borderId="93" xfId="0" applyFont="1" applyBorder="1" applyAlignment="1">
      <alignment horizontal="left" vertical="center" wrapText="1"/>
    </xf>
    <xf numFmtId="0" fontId="59" fillId="16" borderId="94" xfId="0" applyFont="1" applyFill="1" applyBorder="1" applyAlignment="1">
      <alignment vertical="center" wrapText="1"/>
    </xf>
    <xf numFmtId="0" fontId="59" fillId="3" borderId="33" xfId="0" applyFont="1" applyFill="1" applyBorder="1" applyAlignment="1">
      <alignment horizontal="left" vertical="center" wrapText="1"/>
    </xf>
    <xf numFmtId="0" fontId="59" fillId="0" borderId="83" xfId="0" applyFont="1" applyBorder="1" applyAlignment="1">
      <alignment horizontal="left" vertical="center" wrapText="1"/>
    </xf>
    <xf numFmtId="0" fontId="62" fillId="17" borderId="85" xfId="0" applyFont="1" applyFill="1" applyBorder="1" applyAlignment="1">
      <alignment horizontal="center" vertical="center"/>
    </xf>
    <xf numFmtId="165" fontId="0" fillId="0" borderId="0" xfId="0" applyNumberFormat="1" applyProtection="1">
      <protection locked="0"/>
    </xf>
    <xf numFmtId="0" fontId="0" fillId="0" borderId="0" xfId="0" applyProtection="1">
      <protection locked="0"/>
    </xf>
    <xf numFmtId="0" fontId="0" fillId="0" borderId="0" xfId="0" applyAlignment="1" applyProtection="1">
      <alignment horizontal="center"/>
      <protection locked="0"/>
    </xf>
    <xf numFmtId="165" fontId="59" fillId="8" borderId="41" xfId="0" applyNumberFormat="1" applyFont="1" applyFill="1" applyBorder="1" applyAlignment="1">
      <alignment vertical="center"/>
    </xf>
    <xf numFmtId="165" fontId="59" fillId="19" borderId="91" xfId="0" applyNumberFormat="1" applyFont="1" applyFill="1" applyBorder="1" applyAlignment="1">
      <alignment vertical="center"/>
    </xf>
    <xf numFmtId="0" fontId="0" fillId="0" borderId="96" xfId="0" applyBorder="1"/>
    <xf numFmtId="165" fontId="59" fillId="0" borderId="97" xfId="0" applyNumberFormat="1" applyFont="1" applyBorder="1" applyAlignment="1">
      <alignment horizontal="center" vertical="center"/>
    </xf>
    <xf numFmtId="0" fontId="59" fillId="0" borderId="93" xfId="0" applyFont="1" applyBorder="1" applyAlignment="1">
      <alignment horizontal="center" vertical="center"/>
    </xf>
    <xf numFmtId="0" fontId="59" fillId="0" borderId="93" xfId="0" applyFont="1" applyBorder="1" applyAlignment="1" applyProtection="1">
      <alignment horizontal="center" vertical="center"/>
      <protection locked="0"/>
    </xf>
    <xf numFmtId="0" fontId="0" fillId="0" borderId="98" xfId="0" applyBorder="1"/>
    <xf numFmtId="165" fontId="59" fillId="0" borderId="99" xfId="0" applyNumberFormat="1" applyFont="1" applyBorder="1" applyAlignment="1">
      <alignment horizontal="center" vertical="center"/>
    </xf>
    <xf numFmtId="0" fontId="59" fillId="0" borderId="33" xfId="0" applyFont="1" applyBorder="1" applyAlignment="1">
      <alignment horizontal="center" vertical="center"/>
    </xf>
    <xf numFmtId="0" fontId="59" fillId="0" borderId="33" xfId="0" applyFont="1" applyBorder="1" applyAlignment="1" applyProtection="1">
      <alignment horizontal="center" vertical="center"/>
      <protection locked="0"/>
    </xf>
    <xf numFmtId="0" fontId="0" fillId="0" borderId="98" xfId="0" applyBorder="1" applyAlignment="1" applyProtection="1">
      <alignment vertical="top"/>
      <protection locked="0"/>
    </xf>
    <xf numFmtId="0" fontId="0" fillId="0" borderId="100" xfId="0" applyBorder="1" applyAlignment="1" applyProtection="1">
      <alignment horizontal="center" vertical="top"/>
      <protection locked="0"/>
    </xf>
    <xf numFmtId="0" fontId="58" fillId="0" borderId="0" xfId="0" applyFont="1" applyAlignment="1">
      <alignment horizontal="center" vertical="center" wrapText="1"/>
    </xf>
    <xf numFmtId="0" fontId="68" fillId="20" borderId="101" xfId="0" applyFont="1" applyFill="1" applyBorder="1" applyAlignment="1">
      <alignment horizontal="center" vertical="center" wrapText="1"/>
    </xf>
    <xf numFmtId="165" fontId="69" fillId="20" borderId="102" xfId="0" applyNumberFormat="1" applyFont="1" applyFill="1" applyBorder="1" applyAlignment="1">
      <alignment horizontal="center" vertical="center" wrapText="1"/>
    </xf>
    <xf numFmtId="0" fontId="69" fillId="20" borderId="34" xfId="0" applyFont="1" applyFill="1" applyBorder="1" applyAlignment="1">
      <alignment horizontal="center" vertical="center" wrapText="1"/>
    </xf>
    <xf numFmtId="0" fontId="67" fillId="20" borderId="34" xfId="0" applyFont="1" applyFill="1" applyBorder="1" applyAlignment="1">
      <alignment horizontal="center" vertical="center" wrapText="1"/>
    </xf>
    <xf numFmtId="0" fontId="70" fillId="20" borderId="34" xfId="0" applyFont="1" applyFill="1" applyBorder="1" applyAlignment="1">
      <alignment horizontal="center" vertical="center" wrapText="1"/>
    </xf>
    <xf numFmtId="0" fontId="59" fillId="0" borderId="103" xfId="0" applyFont="1" applyBorder="1"/>
    <xf numFmtId="0" fontId="59" fillId="3" borderId="104" xfId="0" applyFont="1" applyFill="1" applyBorder="1" applyAlignment="1">
      <alignment horizontal="left" vertical="center" wrapText="1"/>
    </xf>
    <xf numFmtId="0" fontId="59" fillId="3" borderId="0" xfId="0" applyFont="1" applyFill="1" applyAlignment="1">
      <alignment horizontal="left" vertical="center" wrapText="1"/>
    </xf>
    <xf numFmtId="0" fontId="59" fillId="0" borderId="17" xfId="0" applyFont="1" applyBorder="1"/>
    <xf numFmtId="0" fontId="59" fillId="0" borderId="18" xfId="0" applyFont="1" applyBorder="1"/>
    <xf numFmtId="0" fontId="59" fillId="0" borderId="15" xfId="0" applyFont="1" applyBorder="1"/>
    <xf numFmtId="0" fontId="59" fillId="0" borderId="15" xfId="0" applyFont="1" applyBorder="1" applyAlignment="1">
      <alignment horizontal="left" vertical="center" wrapText="1"/>
    </xf>
    <xf numFmtId="0" fontId="38" fillId="3" borderId="106" xfId="0" applyFont="1" applyFill="1" applyBorder="1" applyAlignment="1" applyProtection="1">
      <alignment horizontal="left" vertical="center"/>
      <protection locked="0"/>
    </xf>
    <xf numFmtId="0" fontId="38" fillId="3" borderId="89"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106"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67" fillId="3" borderId="33" xfId="0" applyFont="1" applyFill="1" applyBorder="1" applyAlignment="1">
      <alignment horizontal="center" vertical="center" wrapText="1"/>
    </xf>
    <xf numFmtId="0" fontId="59" fillId="13" borderId="83" xfId="0" applyFont="1" applyFill="1" applyBorder="1" applyAlignment="1">
      <alignment horizontal="left" vertical="center" wrapText="1"/>
    </xf>
    <xf numFmtId="0" fontId="59" fillId="13" borderId="33" xfId="0" applyFont="1" applyFill="1" applyBorder="1" applyAlignment="1">
      <alignment horizontal="center" vertical="center"/>
    </xf>
    <xf numFmtId="0" fontId="59" fillId="13" borderId="33" xfId="0" applyFont="1" applyFill="1" applyBorder="1" applyAlignment="1">
      <alignment horizontal="left" vertical="center" wrapText="1"/>
    </xf>
    <xf numFmtId="0" fontId="59" fillId="22" borderId="83" xfId="0" applyFont="1" applyFill="1" applyBorder="1" applyAlignment="1">
      <alignment horizontal="left" vertical="center" wrapText="1"/>
    </xf>
    <xf numFmtId="0" fontId="59" fillId="22" borderId="33" xfId="0" applyFont="1" applyFill="1" applyBorder="1" applyAlignment="1">
      <alignment horizontal="left" vertical="center" wrapText="1"/>
    </xf>
    <xf numFmtId="0" fontId="59" fillId="22" borderId="33" xfId="0" applyFont="1" applyFill="1" applyBorder="1" applyAlignment="1">
      <alignment horizontal="center" vertical="center"/>
    </xf>
    <xf numFmtId="0" fontId="61" fillId="22" borderId="33" xfId="0" applyFont="1" applyFill="1" applyBorder="1" applyAlignment="1">
      <alignment horizontal="left" vertical="center" wrapText="1"/>
    </xf>
    <xf numFmtId="0" fontId="61" fillId="22" borderId="93" xfId="0" applyFont="1" applyFill="1" applyBorder="1" applyAlignment="1">
      <alignment horizontal="left" vertical="center" wrapText="1"/>
    </xf>
    <xf numFmtId="0" fontId="61" fillId="22" borderId="40" xfId="0" applyFont="1" applyFill="1" applyBorder="1" applyAlignment="1">
      <alignment horizontal="left" vertical="center" wrapText="1"/>
    </xf>
    <xf numFmtId="0" fontId="59" fillId="23" borderId="91" xfId="0" applyFont="1" applyFill="1" applyBorder="1" applyAlignment="1">
      <alignment horizontal="left" vertical="center" wrapText="1"/>
    </xf>
    <xf numFmtId="0" fontId="59" fillId="23" borderId="33" xfId="0" applyFont="1" applyFill="1" applyBorder="1" applyAlignment="1">
      <alignment horizontal="center" vertical="center"/>
    </xf>
    <xf numFmtId="0" fontId="59" fillId="23" borderId="93" xfId="0" applyFont="1" applyFill="1" applyBorder="1" applyAlignment="1">
      <alignment horizontal="center" vertical="center"/>
    </xf>
    <xf numFmtId="0" fontId="59" fillId="23" borderId="38" xfId="0" applyFont="1" applyFill="1" applyBorder="1" applyAlignment="1">
      <alignment horizontal="left" vertical="center" wrapText="1"/>
    </xf>
    <xf numFmtId="0" fontId="50" fillId="0" borderId="75"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64" fillId="0" borderId="0" xfId="0" applyFont="1" applyAlignment="1">
      <alignment horizontal="center" vertical="center" wrapText="1"/>
    </xf>
    <xf numFmtId="0" fontId="65" fillId="0" borderId="91" xfId="0" applyFont="1" applyBorder="1" applyAlignment="1">
      <alignment horizontal="center" vertical="center" wrapText="1"/>
    </xf>
    <xf numFmtId="0" fontId="65" fillId="0" borderId="38" xfId="0" applyFont="1" applyBorder="1" applyAlignment="1">
      <alignment horizontal="center" vertical="center" wrapText="1"/>
    </xf>
    <xf numFmtId="0" fontId="64" fillId="0" borderId="84" xfId="0" applyFont="1" applyBorder="1" applyAlignment="1">
      <alignment vertical="center" wrapText="1"/>
    </xf>
    <xf numFmtId="0" fontId="64" fillId="0" borderId="37" xfId="0" applyFont="1" applyBorder="1" applyAlignment="1">
      <alignment vertical="center" wrapText="1"/>
    </xf>
    <xf numFmtId="0" fontId="66" fillId="0" borderId="83" xfId="0" applyFont="1" applyBorder="1" applyAlignment="1">
      <alignment horizontal="center" vertical="center" wrapText="1"/>
    </xf>
    <xf numFmtId="0" fontId="66" fillId="0" borderId="33" xfId="0" applyFont="1" applyBorder="1" applyAlignment="1">
      <alignment horizontal="center" vertical="center" wrapText="1"/>
    </xf>
    <xf numFmtId="0" fontId="63" fillId="3" borderId="0" xfId="0" applyFont="1" applyFill="1" applyAlignment="1">
      <alignment horizontal="center" vertical="center" wrapText="1"/>
    </xf>
    <xf numFmtId="0" fontId="64" fillId="0" borderId="90" xfId="0" applyFont="1" applyBorder="1" applyAlignment="1">
      <alignment horizontal="center" vertical="center" wrapText="1"/>
    </xf>
    <xf numFmtId="0" fontId="64" fillId="0" borderId="89" xfId="0" applyFont="1" applyBorder="1" applyAlignment="1">
      <alignment horizontal="center" vertical="center" wrapText="1"/>
    </xf>
    <xf numFmtId="0" fontId="64" fillId="0" borderId="88" xfId="0" applyFont="1" applyBorder="1" applyAlignment="1">
      <alignment horizontal="center" vertical="center" wrapText="1"/>
    </xf>
    <xf numFmtId="0" fontId="59" fillId="18" borderId="37" xfId="0" applyFont="1" applyFill="1" applyBorder="1" applyAlignment="1">
      <alignment horizontal="left" vertical="center"/>
    </xf>
    <xf numFmtId="0" fontId="59" fillId="18" borderId="33" xfId="0" applyFont="1" applyFill="1" applyBorder="1" applyAlignment="1">
      <alignment horizontal="left" vertical="center"/>
    </xf>
    <xf numFmtId="0" fontId="59" fillId="18" borderId="38" xfId="0" applyFont="1" applyFill="1" applyBorder="1" applyAlignment="1">
      <alignment horizontal="left" vertical="center"/>
    </xf>
    <xf numFmtId="0" fontId="63" fillId="18" borderId="39" xfId="0" applyFont="1" applyFill="1" applyBorder="1" applyAlignment="1">
      <alignment horizontal="left" vertical="top" wrapText="1"/>
    </xf>
    <xf numFmtId="0" fontId="63" fillId="18" borderId="40" xfId="0" applyFont="1" applyFill="1" applyBorder="1" applyAlignment="1">
      <alignment horizontal="left" vertical="top"/>
    </xf>
    <xf numFmtId="0" fontId="63" fillId="18" borderId="41" xfId="0" applyFont="1" applyFill="1" applyBorder="1" applyAlignment="1">
      <alignment horizontal="left" vertical="top"/>
    </xf>
    <xf numFmtId="0" fontId="62" fillId="18" borderId="37" xfId="0" applyFont="1" applyFill="1" applyBorder="1" applyAlignment="1">
      <alignment horizontal="center" vertical="center" wrapText="1"/>
    </xf>
    <xf numFmtId="0" fontId="62" fillId="18" borderId="33" xfId="0" applyFont="1" applyFill="1" applyBorder="1" applyAlignment="1">
      <alignment horizontal="center" vertical="center" wrapText="1"/>
    </xf>
    <xf numFmtId="0" fontId="62" fillId="18" borderId="38" xfId="0" applyFont="1" applyFill="1" applyBorder="1" applyAlignment="1">
      <alignment horizontal="center" vertical="center" wrapText="1"/>
    </xf>
    <xf numFmtId="0" fontId="0" fillId="0" borderId="19" xfId="0" applyBorder="1" applyAlignment="1">
      <alignment horizontal="center"/>
    </xf>
    <xf numFmtId="0" fontId="0" fillId="0" borderId="95" xfId="0" applyBorder="1" applyAlignment="1">
      <alignment horizontal="center"/>
    </xf>
    <xf numFmtId="0" fontId="0" fillId="0" borderId="0" xfId="0" applyAlignment="1">
      <alignment horizontal="center"/>
    </xf>
    <xf numFmtId="0" fontId="0" fillId="0" borderId="104" xfId="0" applyBorder="1" applyAlignment="1">
      <alignment horizontal="center"/>
    </xf>
    <xf numFmtId="0" fontId="0" fillId="0" borderId="69" xfId="0" applyBorder="1" applyAlignment="1">
      <alignment horizontal="center"/>
    </xf>
    <xf numFmtId="0" fontId="0" fillId="0" borderId="105" xfId="0" applyBorder="1" applyAlignment="1">
      <alignment horizontal="center"/>
    </xf>
    <xf numFmtId="0" fontId="67" fillId="19" borderId="39" xfId="0" applyFont="1" applyFill="1" applyBorder="1" applyAlignment="1">
      <alignment horizontal="right" vertical="center"/>
    </xf>
    <xf numFmtId="0" fontId="67" fillId="19" borderId="40" xfId="0" applyFont="1" applyFill="1" applyBorder="1" applyAlignment="1">
      <alignment horizontal="right" vertical="center"/>
    </xf>
    <xf numFmtId="0" fontId="67" fillId="20" borderId="36" xfId="0" applyFont="1" applyFill="1" applyBorder="1" applyAlignment="1">
      <alignment horizontal="center" vertical="center" wrapText="1"/>
    </xf>
    <xf numFmtId="0" fontId="67" fillId="20" borderId="47" xfId="0" applyFont="1" applyFill="1" applyBorder="1" applyAlignment="1">
      <alignment horizontal="center" vertical="center" wrapText="1"/>
    </xf>
    <xf numFmtId="0" fontId="59" fillId="0" borderId="83" xfId="0" applyFont="1" applyBorder="1" applyAlignment="1">
      <alignment horizontal="left" vertical="center" wrapText="1"/>
    </xf>
    <xf numFmtId="0" fontId="59" fillId="0" borderId="91" xfId="0" applyFont="1" applyBorder="1" applyAlignment="1">
      <alignment horizontal="left" vertical="center" wrapText="1"/>
    </xf>
    <xf numFmtId="0" fontId="59" fillId="0" borderId="33" xfId="0" applyFont="1" applyBorder="1" applyAlignment="1">
      <alignment horizontal="left" vertical="center" wrapText="1"/>
    </xf>
    <xf numFmtId="0" fontId="59" fillId="0" borderId="38" xfId="0" applyFont="1" applyBorder="1" applyAlignment="1">
      <alignment horizontal="left" vertical="center" wrapText="1"/>
    </xf>
    <xf numFmtId="0" fontId="67" fillId="19" borderId="12" xfId="0" applyFont="1" applyFill="1" applyBorder="1" applyAlignment="1">
      <alignment horizontal="right" vertical="center"/>
    </xf>
    <xf numFmtId="0" fontId="67" fillId="19" borderId="0" xfId="0" applyFont="1" applyFill="1" applyAlignment="1">
      <alignment horizontal="right" vertical="center"/>
    </xf>
    <xf numFmtId="0" fontId="67" fillId="19" borderId="19" xfId="0" applyFont="1" applyFill="1" applyBorder="1" applyAlignment="1">
      <alignment horizontal="right" vertical="center"/>
    </xf>
    <xf numFmtId="0" fontId="67" fillId="19" borderId="95" xfId="0" applyFont="1" applyFill="1" applyBorder="1" applyAlignment="1">
      <alignment horizontal="right" vertical="center"/>
    </xf>
    <xf numFmtId="0" fontId="59" fillId="18" borderId="40" xfId="0" applyFont="1" applyFill="1" applyBorder="1" applyAlignment="1">
      <alignment horizontal="left" vertical="center" wrapText="1"/>
    </xf>
    <xf numFmtId="0" fontId="59" fillId="18" borderId="33" xfId="0" applyFont="1" applyFill="1" applyBorder="1" applyAlignment="1">
      <alignment vertical="center"/>
    </xf>
    <xf numFmtId="0" fontId="66" fillId="0" borderId="86" xfId="0" applyFont="1" applyBorder="1" applyAlignment="1">
      <alignment horizontal="center" vertical="center" wrapText="1"/>
    </xf>
    <xf numFmtId="0" fontId="66" fillId="0" borderId="112" xfId="0" applyFont="1" applyBorder="1" applyAlignment="1">
      <alignment horizontal="center" vertical="center" wrapText="1"/>
    </xf>
    <xf numFmtId="0" fontId="66" fillId="0" borderId="34" xfId="0" applyFont="1" applyBorder="1" applyAlignment="1">
      <alignment horizontal="center" vertical="center" wrapText="1"/>
    </xf>
    <xf numFmtId="0" fontId="59" fillId="0" borderId="0" xfId="0" applyFont="1" applyAlignment="1">
      <alignment horizontal="center"/>
    </xf>
    <xf numFmtId="0" fontId="38" fillId="3" borderId="99" xfId="0" applyFont="1" applyFill="1" applyBorder="1" applyAlignment="1" applyProtection="1">
      <alignment horizontal="left" vertical="center"/>
      <protection locked="0"/>
    </xf>
    <xf numFmtId="0" fontId="38" fillId="3" borderId="89" xfId="0" applyFont="1" applyFill="1" applyBorder="1" applyAlignment="1" applyProtection="1">
      <alignment horizontal="left" vertical="center"/>
      <protection locked="0"/>
    </xf>
    <xf numFmtId="0" fontId="38" fillId="3" borderId="106" xfId="0" applyFont="1" applyFill="1" applyBorder="1" applyAlignment="1" applyProtection="1">
      <alignment horizontal="left" vertical="center"/>
      <protection locked="0"/>
    </xf>
    <xf numFmtId="0" fontId="0" fillId="0" borderId="108" xfId="0" applyBorder="1" applyAlignment="1">
      <alignment horizontal="center" vertical="top" wrapText="1"/>
    </xf>
    <xf numFmtId="0" fontId="0" fillId="0" borderId="107" xfId="0" applyBorder="1" applyAlignment="1">
      <alignment horizontal="center" vertical="top" wrapText="1"/>
    </xf>
    <xf numFmtId="0" fontId="61" fillId="0" borderId="110" xfId="0" applyFont="1" applyBorder="1" applyAlignment="1">
      <alignment horizontal="center" vertical="center" wrapText="1"/>
    </xf>
    <xf numFmtId="0" fontId="61" fillId="0" borderId="109" xfId="0" applyFont="1" applyBorder="1" applyAlignment="1">
      <alignment wrapText="1"/>
    </xf>
    <xf numFmtId="0" fontId="61" fillId="0" borderId="109" xfId="0" applyFont="1" applyBorder="1"/>
    <xf numFmtId="0" fontId="61" fillId="0" borderId="111" xfId="0" applyFont="1" applyBorder="1"/>
    <xf numFmtId="0" fontId="71" fillId="20" borderId="99" xfId="0" applyFont="1" applyFill="1" applyBorder="1" applyAlignment="1">
      <alignment horizontal="center" vertical="center" wrapText="1"/>
    </xf>
    <xf numFmtId="0" fontId="71" fillId="20" borderId="106" xfId="0" applyFont="1" applyFill="1" applyBorder="1" applyAlignment="1">
      <alignment horizontal="center" vertical="center" wrapText="1"/>
    </xf>
    <xf numFmtId="0" fontId="71" fillId="20" borderId="89" xfId="0" applyFont="1" applyFill="1" applyBorder="1" applyAlignment="1">
      <alignment horizontal="center" vertical="center" wrapText="1"/>
    </xf>
    <xf numFmtId="0" fontId="71" fillId="20" borderId="33" xfId="0" applyFont="1" applyFill="1" applyBorder="1" applyAlignment="1">
      <alignment horizontal="center" vertical="center" textRotation="255"/>
    </xf>
    <xf numFmtId="0" fontId="71" fillId="20" borderId="93" xfId="0" applyFont="1" applyFill="1" applyBorder="1" applyAlignment="1">
      <alignment horizontal="center" vertical="center" textRotation="255"/>
    </xf>
    <xf numFmtId="0" fontId="71" fillId="20" borderId="112" xfId="0" applyFont="1" applyFill="1" applyBorder="1" applyAlignment="1">
      <alignment horizontal="center" vertical="center" textRotation="255"/>
    </xf>
    <xf numFmtId="0" fontId="71" fillId="20" borderId="34" xfId="0" applyFont="1" applyFill="1" applyBorder="1" applyAlignment="1">
      <alignment horizontal="center" vertical="center" textRotation="255"/>
    </xf>
    <xf numFmtId="0" fontId="71" fillId="20" borderId="99" xfId="0" applyFont="1" applyFill="1" applyBorder="1" applyAlignment="1">
      <alignment horizontal="center" vertical="center"/>
    </xf>
    <xf numFmtId="0" fontId="71" fillId="20" borderId="106" xfId="0" applyFont="1" applyFill="1" applyBorder="1" applyAlignment="1">
      <alignment horizontal="center" vertical="center"/>
    </xf>
    <xf numFmtId="0" fontId="61" fillId="21" borderId="110" xfId="0" applyFont="1" applyFill="1" applyBorder="1" applyAlignment="1">
      <alignment horizontal="center" vertical="center" wrapText="1"/>
    </xf>
    <xf numFmtId="0" fontId="61" fillId="21" borderId="110" xfId="0" applyFont="1" applyFill="1" applyBorder="1" applyAlignment="1">
      <alignment horizontal="center" vertical="center"/>
    </xf>
    <xf numFmtId="0" fontId="38" fillId="0" borderId="99" xfId="0" applyFont="1" applyBorder="1" applyAlignment="1" applyProtection="1">
      <alignment horizontal="left" vertical="center" wrapText="1"/>
      <protection locked="0"/>
    </xf>
    <xf numFmtId="0" fontId="38" fillId="0" borderId="106" xfId="0" applyFont="1" applyBorder="1" applyAlignment="1" applyProtection="1">
      <alignment horizontal="left" vertical="center" wrapText="1"/>
      <protection locked="0"/>
    </xf>
    <xf numFmtId="0" fontId="59" fillId="0" borderId="99" xfId="0" applyFont="1" applyBorder="1" applyAlignment="1">
      <alignment horizontal="left" vertical="center" wrapText="1"/>
    </xf>
    <xf numFmtId="0" fontId="59" fillId="0" borderId="106" xfId="0" applyFont="1" applyBorder="1" applyAlignment="1">
      <alignment horizontal="left" vertical="center" wrapText="1"/>
    </xf>
    <xf numFmtId="0" fontId="66" fillId="0" borderId="90" xfId="0" applyFont="1" applyBorder="1" applyAlignment="1">
      <alignment horizontal="center" vertical="center" wrapText="1"/>
    </xf>
    <xf numFmtId="0" fontId="66" fillId="0" borderId="89" xfId="0" applyFont="1" applyBorder="1" applyAlignment="1">
      <alignment horizontal="center" vertical="center" wrapText="1"/>
    </xf>
    <xf numFmtId="0" fontId="66" fillId="0" borderId="88" xfId="0" applyFont="1" applyBorder="1" applyAlignment="1">
      <alignment horizontal="center" vertical="center" wrapText="1"/>
    </xf>
    <xf numFmtId="0" fontId="61" fillId="21" borderId="33" xfId="0" applyFont="1" applyFill="1" applyBorder="1" applyAlignment="1">
      <alignment horizontal="center" vertical="center" wrapText="1"/>
    </xf>
    <xf numFmtId="0" fontId="61" fillId="0" borderId="33" xfId="0" applyFont="1" applyBorder="1"/>
    <xf numFmtId="0" fontId="59" fillId="0" borderId="118" xfId="0" applyFont="1" applyBorder="1" applyAlignment="1">
      <alignment horizontal="left" vertical="center" wrapText="1"/>
    </xf>
    <xf numFmtId="0" fontId="59" fillId="0" borderId="117" xfId="0" applyFont="1" applyBorder="1" applyAlignment="1">
      <alignment horizontal="left" vertical="center" wrapText="1"/>
    </xf>
    <xf numFmtId="0" fontId="59" fillId="0" borderId="85" xfId="0" applyFont="1" applyBorder="1" applyAlignment="1">
      <alignment horizontal="center" vertical="center" wrapText="1"/>
    </xf>
    <xf numFmtId="0" fontId="59" fillId="0" borderId="120" xfId="0" applyFont="1" applyBorder="1" applyAlignment="1">
      <alignment horizontal="center" vertical="center" wrapText="1"/>
    </xf>
    <xf numFmtId="0" fontId="59" fillId="0" borderId="43" xfId="0" applyFont="1" applyBorder="1" applyAlignment="1">
      <alignment horizontal="center" vertical="center" wrapText="1"/>
    </xf>
    <xf numFmtId="0" fontId="59" fillId="19" borderId="51" xfId="0" applyFont="1" applyFill="1" applyBorder="1" applyAlignment="1">
      <alignment horizontal="left" vertical="center"/>
    </xf>
    <xf numFmtId="0" fontId="67" fillId="19" borderId="52" xfId="0" applyFont="1" applyFill="1" applyBorder="1" applyAlignment="1">
      <alignment horizontal="left" vertical="center"/>
    </xf>
    <xf numFmtId="0" fontId="67" fillId="19" borderId="53" xfId="0" applyFont="1" applyFill="1" applyBorder="1" applyAlignment="1">
      <alignment horizontal="left" vertical="center"/>
    </xf>
    <xf numFmtId="0" fontId="67" fillId="19" borderId="16" xfId="0" applyFont="1" applyFill="1" applyBorder="1" applyAlignment="1">
      <alignment horizontal="left" vertical="center"/>
    </xf>
    <xf numFmtId="0" fontId="67" fillId="19" borderId="18" xfId="0" applyFont="1" applyFill="1" applyBorder="1" applyAlignment="1">
      <alignment horizontal="left" vertical="center"/>
    </xf>
    <xf numFmtId="0" fontId="67" fillId="19" borderId="17" xfId="0" applyFont="1" applyFill="1" applyBorder="1" applyAlignment="1">
      <alignment horizontal="left" vertical="center"/>
    </xf>
    <xf numFmtId="0" fontId="74" fillId="20" borderId="119" xfId="0" applyFont="1" applyFill="1" applyBorder="1" applyAlignment="1">
      <alignment horizontal="center" vertical="center" wrapText="1"/>
    </xf>
    <xf numFmtId="0" fontId="74" fillId="20" borderId="19" xfId="0" applyFont="1" applyFill="1" applyBorder="1" applyAlignment="1">
      <alignment horizontal="center" vertical="center" wrapText="1"/>
    </xf>
    <xf numFmtId="0" fontId="74" fillId="20" borderId="95" xfId="0" applyFont="1" applyFill="1" applyBorder="1" applyAlignment="1">
      <alignment horizontal="center" vertical="center" wrapText="1"/>
    </xf>
    <xf numFmtId="0" fontId="74" fillId="20" borderId="116" xfId="0" applyFont="1" applyFill="1" applyBorder="1" applyAlignment="1">
      <alignment horizontal="center" vertical="center" wrapText="1"/>
    </xf>
    <xf numFmtId="0" fontId="74" fillId="20" borderId="0" xfId="0" applyFont="1" applyFill="1" applyAlignment="1">
      <alignment horizontal="center" vertical="center" wrapText="1"/>
    </xf>
    <xf numFmtId="0" fontId="74" fillId="20" borderId="104" xfId="0" applyFont="1" applyFill="1" applyBorder="1" applyAlignment="1">
      <alignment horizontal="center" vertical="center" wrapText="1"/>
    </xf>
    <xf numFmtId="0" fontId="74" fillId="20" borderId="102" xfId="0" applyFont="1" applyFill="1" applyBorder="1" applyAlignment="1">
      <alignment horizontal="center" vertical="center" wrapText="1"/>
    </xf>
    <xf numFmtId="0" fontId="74" fillId="20" borderId="69" xfId="0" applyFont="1" applyFill="1" applyBorder="1" applyAlignment="1">
      <alignment horizontal="center" vertical="center" wrapText="1"/>
    </xf>
    <xf numFmtId="0" fontId="74" fillId="20" borderId="105" xfId="0" applyFont="1" applyFill="1" applyBorder="1" applyAlignment="1">
      <alignment horizontal="center" vertical="center" wrapText="1"/>
    </xf>
    <xf numFmtId="0" fontId="71" fillId="20" borderId="118" xfId="0" applyFont="1" applyFill="1" applyBorder="1" applyAlignment="1">
      <alignment horizontal="center" vertical="center" wrapText="1"/>
    </xf>
    <xf numFmtId="0" fontId="71" fillId="20" borderId="49" xfId="0" applyFont="1" applyFill="1" applyBorder="1" applyAlignment="1">
      <alignment horizontal="center" vertical="center" wrapText="1"/>
    </xf>
    <xf numFmtId="0" fontId="71" fillId="20" borderId="117" xfId="0" applyFont="1" applyFill="1" applyBorder="1" applyAlignment="1">
      <alignment horizontal="center" vertical="center" wrapText="1"/>
    </xf>
    <xf numFmtId="0" fontId="71" fillId="20" borderId="99" xfId="0" applyFont="1" applyFill="1" applyBorder="1" applyAlignment="1">
      <alignment horizontal="center"/>
    </xf>
    <xf numFmtId="0" fontId="71" fillId="20" borderId="89" xfId="0" applyFont="1" applyFill="1" applyBorder="1" applyAlignment="1">
      <alignment horizontal="center"/>
    </xf>
    <xf numFmtId="0" fontId="71" fillId="20" borderId="106" xfId="0" applyFont="1" applyFill="1" applyBorder="1" applyAlignment="1">
      <alignment horizontal="center"/>
    </xf>
    <xf numFmtId="0" fontId="61" fillId="0" borderId="33" xfId="0" applyFont="1" applyBorder="1" applyAlignment="1">
      <alignment horizontal="center" vertical="top" wrapText="1"/>
    </xf>
    <xf numFmtId="0" fontId="61" fillId="21" borderId="115" xfId="0" applyFont="1" applyFill="1" applyBorder="1" applyAlignment="1">
      <alignment horizontal="center" vertical="center" wrapText="1"/>
    </xf>
    <xf numFmtId="0" fontId="61" fillId="21" borderId="109" xfId="0" applyFont="1" applyFill="1" applyBorder="1" applyAlignment="1">
      <alignment horizontal="center" vertical="center" wrapText="1"/>
    </xf>
    <xf numFmtId="0" fontId="72" fillId="21" borderId="110" xfId="0" applyFont="1" applyFill="1" applyBorder="1" applyAlignment="1">
      <alignment horizontal="center" vertical="center" wrapText="1"/>
    </xf>
    <xf numFmtId="0" fontId="73" fillId="21" borderId="110" xfId="0" applyFont="1" applyFill="1" applyBorder="1" applyAlignment="1">
      <alignment horizontal="center" wrapText="1"/>
    </xf>
    <xf numFmtId="0" fontId="61" fillId="0" borderId="109" xfId="0" applyFont="1" applyBorder="1" applyAlignment="1">
      <alignment horizontal="center" vertical="center" wrapText="1"/>
    </xf>
    <xf numFmtId="0" fontId="61" fillId="0" borderId="114" xfId="0" applyFont="1" applyBorder="1" applyAlignment="1">
      <alignment horizontal="center" vertical="center" wrapText="1"/>
    </xf>
    <xf numFmtId="0" fontId="61" fillId="0" borderId="113" xfId="0" applyFont="1" applyBorder="1" applyAlignment="1">
      <alignment horizontal="center" vertical="center" wrapText="1"/>
    </xf>
    <xf numFmtId="0" fontId="61" fillId="0" borderId="33" xfId="0" applyFont="1" applyBorder="1" applyAlignment="1">
      <alignment horizontal="center" vertical="center" wrapText="1"/>
    </xf>
    <xf numFmtId="0" fontId="38" fillId="3" borderId="99" xfId="0" applyFont="1" applyFill="1" applyBorder="1" applyAlignment="1" applyProtection="1">
      <alignment horizontal="left" vertical="center" wrapText="1"/>
      <protection locked="0"/>
    </xf>
    <xf numFmtId="0" fontId="38" fillId="3" borderId="89" xfId="0" applyFont="1" applyFill="1" applyBorder="1" applyAlignment="1" applyProtection="1">
      <alignment horizontal="left" vertical="center" wrapText="1"/>
      <protection locked="0"/>
    </xf>
    <xf numFmtId="0" fontId="38" fillId="3" borderId="106" xfId="0" applyFont="1" applyFill="1" applyBorder="1" applyAlignment="1" applyProtection="1">
      <alignment horizontal="left" vertical="center" wrapText="1"/>
      <protection locked="0"/>
    </xf>
    <xf numFmtId="0" fontId="72" fillId="0" borderId="110" xfId="0" applyFont="1" applyBorder="1" applyAlignment="1">
      <alignment horizontal="left" vertical="center" wrapText="1"/>
    </xf>
    <xf numFmtId="0" fontId="61" fillId="21" borderId="99" xfId="0" applyFont="1" applyFill="1" applyBorder="1" applyAlignment="1">
      <alignment horizontal="center" vertical="center" wrapText="1"/>
    </xf>
    <xf numFmtId="0" fontId="61" fillId="21" borderId="106"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2" borderId="2"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textRotation="90"/>
      <protection locked="0"/>
    </xf>
    <xf numFmtId="0" fontId="27" fillId="0" borderId="8"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14" fontId="27" fillId="0" borderId="80" xfId="0" applyNumberFormat="1" applyFont="1" applyBorder="1" applyAlignment="1" applyProtection="1">
      <alignment vertical="top"/>
      <protection locked="0"/>
    </xf>
    <xf numFmtId="14" fontId="27" fillId="0" borderId="81" xfId="0" applyNumberFormat="1" applyFont="1" applyBorder="1" applyAlignment="1" applyProtection="1">
      <alignment vertical="top"/>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733425</xdr:colOff>
      <xdr:row>0</xdr:row>
      <xdr:rowOff>38100</xdr:rowOff>
    </xdr:from>
    <xdr:ext cx="523875" cy="657225"/>
    <xdr:pic>
      <xdr:nvPicPr>
        <xdr:cNvPr id="2" name="1 Imagen" descr="logocapitalmusical">
          <a:extLst>
            <a:ext uri="{FF2B5EF4-FFF2-40B4-BE49-F238E27FC236}">
              <a16:creationId xmlns:a16="http://schemas.microsoft.com/office/drawing/2014/main" id="{0B1C0D1A-72FE-4CDD-A440-E97B2C8B28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250372</xdr:colOff>
      <xdr:row>0</xdr:row>
      <xdr:rowOff>76200</xdr:rowOff>
    </xdr:from>
    <xdr:ext cx="1441669" cy="602120"/>
    <xdr:pic>
      <xdr:nvPicPr>
        <xdr:cNvPr id="4" name="Imagen 3">
          <a:extLst>
            <a:ext uri="{FF2B5EF4-FFF2-40B4-BE49-F238E27FC236}">
              <a16:creationId xmlns:a16="http://schemas.microsoft.com/office/drawing/2014/main" id="{BA4FEFA5-4D10-4A91-B819-BE2E6CE87B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72" y="76200"/>
          <a:ext cx="1441669" cy="6021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3" name="CuadroTexto 2">
          <a:extLst>
            <a:ext uri="{FF2B5EF4-FFF2-40B4-BE49-F238E27FC236}">
              <a16:creationId xmlns:a16="http://schemas.microsoft.com/office/drawing/2014/main" id="{87470BE0-B5B0-48DF-A5AE-E4889B00E740}"/>
            </a:ext>
          </a:extLst>
        </xdr:cNvPr>
        <xdr:cNvSpPr txBox="1"/>
      </xdr:nvSpPr>
      <xdr:spPr>
        <a:xfrm rot="16200000">
          <a:off x="-1118466" y="3141519"/>
          <a:ext cx="226550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38</xdr:row>
      <xdr:rowOff>288634</xdr:rowOff>
    </xdr:to>
    <xdr:sp macro="" textlink="">
      <xdr:nvSpPr>
        <xdr:cNvPr id="4" name="CuadroTexto 3">
          <a:extLst>
            <a:ext uri="{FF2B5EF4-FFF2-40B4-BE49-F238E27FC236}">
              <a16:creationId xmlns:a16="http://schemas.microsoft.com/office/drawing/2014/main" id="{E1E545B8-1AED-43C0-8BD2-D690411296A3}"/>
            </a:ext>
          </a:extLst>
        </xdr:cNvPr>
        <xdr:cNvSpPr txBox="1"/>
      </xdr:nvSpPr>
      <xdr:spPr>
        <a:xfrm rot="16200000">
          <a:off x="-1289050" y="6079833"/>
          <a:ext cx="25781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5" name="CuadroTexto 4">
          <a:extLst>
            <a:ext uri="{FF2B5EF4-FFF2-40B4-BE49-F238E27FC236}">
              <a16:creationId xmlns:a16="http://schemas.microsoft.com/office/drawing/2014/main" id="{FDBE3EDC-2F3F-428B-942E-1DAF3B05F669}"/>
            </a:ext>
          </a:extLst>
        </xdr:cNvPr>
        <xdr:cNvSpPr txBox="1"/>
      </xdr:nvSpPr>
      <xdr:spPr>
        <a:xfrm>
          <a:off x="16001999" y="0"/>
          <a:ext cx="1731" cy="7337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oneCellAnchor>
    <xdr:from>
      <xdr:col>18</xdr:col>
      <xdr:colOff>149340</xdr:colOff>
      <xdr:row>0</xdr:row>
      <xdr:rowOff>65356</xdr:rowOff>
    </xdr:from>
    <xdr:ext cx="610754" cy="662394"/>
    <xdr:pic>
      <xdr:nvPicPr>
        <xdr:cNvPr id="6" name="Imagen 5">
          <a:extLst>
            <a:ext uri="{FF2B5EF4-FFF2-40B4-BE49-F238E27FC236}">
              <a16:creationId xmlns:a16="http://schemas.microsoft.com/office/drawing/2014/main" id="{6DB1576A-1E06-4706-A491-71DA4B42102C}"/>
            </a:ext>
          </a:extLst>
        </xdr:cNvPr>
        <xdr:cNvPicPr>
          <a:picLocks noChangeAspect="1"/>
        </xdr:cNvPicPr>
      </xdr:nvPicPr>
      <xdr:blipFill>
        <a:blip xmlns:r="http://schemas.openxmlformats.org/officeDocument/2006/relationships" r:embed="rId1"/>
        <a:stretch>
          <a:fillRect/>
        </a:stretch>
      </xdr:blipFill>
      <xdr:spPr>
        <a:xfrm>
          <a:off x="10545197" y="65356"/>
          <a:ext cx="610754" cy="662394"/>
        </a:xfrm>
        <a:prstGeom prst="rect">
          <a:avLst/>
        </a:prstGeom>
      </xdr:spPr>
    </xdr:pic>
    <xdr:clientData/>
  </xdr:oneCellAnchor>
  <xdr:twoCellAnchor>
    <xdr:from>
      <xdr:col>0</xdr:col>
      <xdr:colOff>0</xdr:colOff>
      <xdr:row>39</xdr:row>
      <xdr:rowOff>0</xdr:rowOff>
    </xdr:from>
    <xdr:to>
      <xdr:col>0</xdr:col>
      <xdr:colOff>2</xdr:colOff>
      <xdr:row>39</xdr:row>
      <xdr:rowOff>0</xdr:rowOff>
    </xdr:to>
    <xdr:sp macro="" textlink="">
      <xdr:nvSpPr>
        <xdr:cNvPr id="7" name="CuadroTexto 6">
          <a:extLst>
            <a:ext uri="{FF2B5EF4-FFF2-40B4-BE49-F238E27FC236}">
              <a16:creationId xmlns:a16="http://schemas.microsoft.com/office/drawing/2014/main" id="{D26E3799-0723-43F9-B139-8FD9D4A738E9}"/>
            </a:ext>
          </a:extLst>
        </xdr:cNvPr>
        <xdr:cNvSpPr txBox="1"/>
      </xdr:nvSpPr>
      <xdr:spPr>
        <a:xfrm rot="16200000">
          <a:off x="1" y="73659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464820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11</xdr:row>
          <xdr:rowOff>167640</xdr:rowOff>
        </xdr:from>
        <xdr:to>
          <xdr:col>19</xdr:col>
          <xdr:colOff>906780</xdr:colOff>
          <xdr:row>11</xdr:row>
          <xdr:rowOff>419100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12</xdr:row>
          <xdr:rowOff>167640</xdr:rowOff>
        </xdr:from>
        <xdr:to>
          <xdr:col>19</xdr:col>
          <xdr:colOff>906780</xdr:colOff>
          <xdr:row>12</xdr:row>
          <xdr:rowOff>419100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13</xdr:row>
          <xdr:rowOff>167640</xdr:rowOff>
        </xdr:from>
        <xdr:to>
          <xdr:col>19</xdr:col>
          <xdr:colOff>906780</xdr:colOff>
          <xdr:row>13</xdr:row>
          <xdr:rowOff>419100</xdr:rowOff>
        </xdr:to>
        <xdr:sp macro="" textlink="">
          <xdr:nvSpPr>
            <xdr:cNvPr id="12292" name="CheckBox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14</xdr:row>
          <xdr:rowOff>175260</xdr:rowOff>
        </xdr:from>
        <xdr:to>
          <xdr:col>19</xdr:col>
          <xdr:colOff>906780</xdr:colOff>
          <xdr:row>14</xdr:row>
          <xdr:rowOff>441960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15</xdr:row>
          <xdr:rowOff>167640</xdr:rowOff>
        </xdr:from>
        <xdr:to>
          <xdr:col>19</xdr:col>
          <xdr:colOff>906780</xdr:colOff>
          <xdr:row>15</xdr:row>
          <xdr:rowOff>419100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16</xdr:row>
          <xdr:rowOff>167640</xdr:rowOff>
        </xdr:from>
        <xdr:to>
          <xdr:col>19</xdr:col>
          <xdr:colOff>906780</xdr:colOff>
          <xdr:row>16</xdr:row>
          <xdr:rowOff>419100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17</xdr:row>
          <xdr:rowOff>167640</xdr:rowOff>
        </xdr:from>
        <xdr:to>
          <xdr:col>19</xdr:col>
          <xdr:colOff>906780</xdr:colOff>
          <xdr:row>17</xdr:row>
          <xdr:rowOff>419100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18</xdr:row>
          <xdr:rowOff>167640</xdr:rowOff>
        </xdr:from>
        <xdr:to>
          <xdr:col>19</xdr:col>
          <xdr:colOff>906780</xdr:colOff>
          <xdr:row>18</xdr:row>
          <xdr:rowOff>419100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19</xdr:row>
          <xdr:rowOff>167640</xdr:rowOff>
        </xdr:from>
        <xdr:to>
          <xdr:col>19</xdr:col>
          <xdr:colOff>906780</xdr:colOff>
          <xdr:row>19</xdr:row>
          <xdr:rowOff>419100</xdr:rowOff>
        </xdr:to>
        <xdr:sp macro="" textlink="">
          <xdr:nvSpPr>
            <xdr:cNvPr id="12298" name="CheckBox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20</xdr:row>
          <xdr:rowOff>167640</xdr:rowOff>
        </xdr:from>
        <xdr:to>
          <xdr:col>19</xdr:col>
          <xdr:colOff>906780</xdr:colOff>
          <xdr:row>20</xdr:row>
          <xdr:rowOff>419100</xdr:rowOff>
        </xdr:to>
        <xdr:sp macro="" textlink="">
          <xdr:nvSpPr>
            <xdr:cNvPr id="12299" name="CheckBox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21</xdr:row>
          <xdr:rowOff>167640</xdr:rowOff>
        </xdr:from>
        <xdr:to>
          <xdr:col>19</xdr:col>
          <xdr:colOff>906780</xdr:colOff>
          <xdr:row>21</xdr:row>
          <xdr:rowOff>419100</xdr:rowOff>
        </xdr:to>
        <xdr:sp macro="" textlink="">
          <xdr:nvSpPr>
            <xdr:cNvPr id="12300" name="CheckBox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22</xdr:row>
          <xdr:rowOff>167640</xdr:rowOff>
        </xdr:from>
        <xdr:to>
          <xdr:col>19</xdr:col>
          <xdr:colOff>906780</xdr:colOff>
          <xdr:row>22</xdr:row>
          <xdr:rowOff>419100</xdr:rowOff>
        </xdr:to>
        <xdr:sp macro="" textlink="">
          <xdr:nvSpPr>
            <xdr:cNvPr id="12301" name="CheckBox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23</xdr:row>
          <xdr:rowOff>167640</xdr:rowOff>
        </xdr:from>
        <xdr:to>
          <xdr:col>19</xdr:col>
          <xdr:colOff>906780</xdr:colOff>
          <xdr:row>23</xdr:row>
          <xdr:rowOff>419100</xdr:rowOff>
        </xdr:to>
        <xdr:sp macro="" textlink="">
          <xdr:nvSpPr>
            <xdr:cNvPr id="12302" name="CheckBox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24</xdr:row>
          <xdr:rowOff>167640</xdr:rowOff>
        </xdr:from>
        <xdr:to>
          <xdr:col>19</xdr:col>
          <xdr:colOff>906780</xdr:colOff>
          <xdr:row>24</xdr:row>
          <xdr:rowOff>419100</xdr:rowOff>
        </xdr:to>
        <xdr:sp macro="" textlink="">
          <xdr:nvSpPr>
            <xdr:cNvPr id="12303" name="CheckBox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25</xdr:row>
          <xdr:rowOff>167640</xdr:rowOff>
        </xdr:from>
        <xdr:to>
          <xdr:col>19</xdr:col>
          <xdr:colOff>906780</xdr:colOff>
          <xdr:row>25</xdr:row>
          <xdr:rowOff>419100</xdr:rowOff>
        </xdr:to>
        <xdr:sp macro="" textlink="">
          <xdr:nvSpPr>
            <xdr:cNvPr id="12304" name="CheckBox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26</xdr:row>
          <xdr:rowOff>167640</xdr:rowOff>
        </xdr:from>
        <xdr:to>
          <xdr:col>19</xdr:col>
          <xdr:colOff>906780</xdr:colOff>
          <xdr:row>26</xdr:row>
          <xdr:rowOff>419100</xdr:rowOff>
        </xdr:to>
        <xdr:sp macro="" textlink="">
          <xdr:nvSpPr>
            <xdr:cNvPr id="12305" name="CheckBox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27</xdr:row>
          <xdr:rowOff>167640</xdr:rowOff>
        </xdr:from>
        <xdr:to>
          <xdr:col>19</xdr:col>
          <xdr:colOff>906780</xdr:colOff>
          <xdr:row>27</xdr:row>
          <xdr:rowOff>419100</xdr:rowOff>
        </xdr:to>
        <xdr:sp macro="" textlink="">
          <xdr:nvSpPr>
            <xdr:cNvPr id="12306" name="CheckBox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28</xdr:row>
          <xdr:rowOff>167640</xdr:rowOff>
        </xdr:from>
        <xdr:to>
          <xdr:col>19</xdr:col>
          <xdr:colOff>906780</xdr:colOff>
          <xdr:row>28</xdr:row>
          <xdr:rowOff>419100</xdr:rowOff>
        </xdr:to>
        <xdr:sp macro="" textlink="">
          <xdr:nvSpPr>
            <xdr:cNvPr id="12307" name="CheckBox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29</xdr:row>
          <xdr:rowOff>167640</xdr:rowOff>
        </xdr:from>
        <xdr:to>
          <xdr:col>19</xdr:col>
          <xdr:colOff>906780</xdr:colOff>
          <xdr:row>29</xdr:row>
          <xdr:rowOff>419100</xdr:rowOff>
        </xdr:to>
        <xdr:sp macro="" textlink="">
          <xdr:nvSpPr>
            <xdr:cNvPr id="12308" name="CheckBox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30</xdr:row>
          <xdr:rowOff>167640</xdr:rowOff>
        </xdr:from>
        <xdr:to>
          <xdr:col>19</xdr:col>
          <xdr:colOff>906780</xdr:colOff>
          <xdr:row>30</xdr:row>
          <xdr:rowOff>419100</xdr:rowOff>
        </xdr:to>
        <xdr:sp macro="" textlink="">
          <xdr:nvSpPr>
            <xdr:cNvPr id="12309" name="CheckBox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31</xdr:row>
          <xdr:rowOff>0</xdr:rowOff>
        </xdr:from>
        <xdr:to>
          <xdr:col>19</xdr:col>
          <xdr:colOff>906780</xdr:colOff>
          <xdr:row>31</xdr:row>
          <xdr:rowOff>251460</xdr:rowOff>
        </xdr:to>
        <xdr:sp macro="" textlink="">
          <xdr:nvSpPr>
            <xdr:cNvPr id="12310" name="CheckBox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31</xdr:row>
          <xdr:rowOff>167640</xdr:rowOff>
        </xdr:from>
        <xdr:to>
          <xdr:col>19</xdr:col>
          <xdr:colOff>906780</xdr:colOff>
          <xdr:row>31</xdr:row>
          <xdr:rowOff>419100</xdr:rowOff>
        </xdr:to>
        <xdr:sp macro="" textlink="">
          <xdr:nvSpPr>
            <xdr:cNvPr id="12311" name="CheckBox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32</xdr:row>
          <xdr:rowOff>167640</xdr:rowOff>
        </xdr:from>
        <xdr:to>
          <xdr:col>19</xdr:col>
          <xdr:colOff>906780</xdr:colOff>
          <xdr:row>32</xdr:row>
          <xdr:rowOff>419100</xdr:rowOff>
        </xdr:to>
        <xdr:sp macro="" textlink="">
          <xdr:nvSpPr>
            <xdr:cNvPr id="12312" name="CheckBox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33</xdr:row>
          <xdr:rowOff>167640</xdr:rowOff>
        </xdr:from>
        <xdr:to>
          <xdr:col>19</xdr:col>
          <xdr:colOff>906780</xdr:colOff>
          <xdr:row>33</xdr:row>
          <xdr:rowOff>419100</xdr:rowOff>
        </xdr:to>
        <xdr:sp macro="" textlink="">
          <xdr:nvSpPr>
            <xdr:cNvPr id="12313" name="CheckBox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34</xdr:row>
          <xdr:rowOff>167640</xdr:rowOff>
        </xdr:from>
        <xdr:to>
          <xdr:col>19</xdr:col>
          <xdr:colOff>906780</xdr:colOff>
          <xdr:row>34</xdr:row>
          <xdr:rowOff>419100</xdr:rowOff>
        </xdr:to>
        <xdr:sp macro="" textlink="">
          <xdr:nvSpPr>
            <xdr:cNvPr id="12314" name="CheckBox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35</xdr:row>
          <xdr:rowOff>167640</xdr:rowOff>
        </xdr:from>
        <xdr:to>
          <xdr:col>19</xdr:col>
          <xdr:colOff>906780</xdr:colOff>
          <xdr:row>35</xdr:row>
          <xdr:rowOff>419100</xdr:rowOff>
        </xdr:to>
        <xdr:sp macro="" textlink="">
          <xdr:nvSpPr>
            <xdr:cNvPr id="12315" name="CheckBox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36</xdr:row>
          <xdr:rowOff>167640</xdr:rowOff>
        </xdr:from>
        <xdr:to>
          <xdr:col>19</xdr:col>
          <xdr:colOff>906780</xdr:colOff>
          <xdr:row>36</xdr:row>
          <xdr:rowOff>419100</xdr:rowOff>
        </xdr:to>
        <xdr:sp macro="" textlink="">
          <xdr:nvSpPr>
            <xdr:cNvPr id="12316" name="CheckBox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37</xdr:row>
          <xdr:rowOff>167640</xdr:rowOff>
        </xdr:from>
        <xdr:to>
          <xdr:col>19</xdr:col>
          <xdr:colOff>906780</xdr:colOff>
          <xdr:row>37</xdr:row>
          <xdr:rowOff>419100</xdr:rowOff>
        </xdr:to>
        <xdr:sp macro="" textlink="">
          <xdr:nvSpPr>
            <xdr:cNvPr id="12317" name="CheckBox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38</xdr:row>
          <xdr:rowOff>167640</xdr:rowOff>
        </xdr:from>
        <xdr:to>
          <xdr:col>19</xdr:col>
          <xdr:colOff>906780</xdr:colOff>
          <xdr:row>38</xdr:row>
          <xdr:rowOff>419100</xdr:rowOff>
        </xdr:to>
        <xdr:sp macro="" textlink="">
          <xdr:nvSpPr>
            <xdr:cNvPr id="12318" name="CheckBox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19" name="CheckBox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0" name="CheckBox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1" name="CheckBox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2" name="CheckBox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3" name="CheckBox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4" name="CheckBox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5" name="CheckBox38"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6" name="CheckBox39"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7" name="CheckBox40"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8" name="CheckBox41"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9" name="CheckBox42"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0" name="CheckBox43"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1" name="CheckBox44"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2" name="CheckBox45"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3" name="CheckBox46"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80956</xdr:colOff>
      <xdr:row>0</xdr:row>
      <xdr:rowOff>52573</xdr:rowOff>
    </xdr:from>
    <xdr:ext cx="1867588" cy="780006"/>
    <xdr:pic>
      <xdr:nvPicPr>
        <xdr:cNvPr id="8" name="Imagen 7">
          <a:extLst>
            <a:ext uri="{FF2B5EF4-FFF2-40B4-BE49-F238E27FC236}">
              <a16:creationId xmlns:a16="http://schemas.microsoft.com/office/drawing/2014/main" id="{0A1A3185-39D4-4758-A916-F24D54A651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642" y="52573"/>
          <a:ext cx="1867588" cy="78000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502546</xdr:colOff>
      <xdr:row>0</xdr:row>
      <xdr:rowOff>0</xdr:rowOff>
    </xdr:from>
    <xdr:ext cx="623960" cy="767240"/>
    <xdr:pic>
      <xdr:nvPicPr>
        <xdr:cNvPr id="2" name="Imagen 1">
          <a:extLst>
            <a:ext uri="{FF2B5EF4-FFF2-40B4-BE49-F238E27FC236}">
              <a16:creationId xmlns:a16="http://schemas.microsoft.com/office/drawing/2014/main" id="{3A02FFA7-6031-479C-A04B-521BB0AFBA2B}"/>
            </a:ext>
          </a:extLst>
        </xdr:cNvPr>
        <xdr:cNvPicPr>
          <a:picLocks noChangeAspect="1"/>
        </xdr:cNvPicPr>
      </xdr:nvPicPr>
      <xdr:blipFill>
        <a:blip xmlns:r="http://schemas.openxmlformats.org/officeDocument/2006/relationships" r:embed="rId1"/>
        <a:stretch>
          <a:fillRect/>
        </a:stretch>
      </xdr:blipFill>
      <xdr:spPr>
        <a:xfrm>
          <a:off x="13206175" y="0"/>
          <a:ext cx="623960" cy="767240"/>
        </a:xfrm>
        <a:prstGeom prst="rect">
          <a:avLst/>
        </a:prstGeom>
      </xdr:spPr>
    </xdr:pic>
    <xdr:clientData/>
  </xdr:oneCellAnchor>
  <xdr:oneCellAnchor>
    <xdr:from>
      <xdr:col>0</xdr:col>
      <xdr:colOff>87086</xdr:colOff>
      <xdr:row>0</xdr:row>
      <xdr:rowOff>0</xdr:rowOff>
    </xdr:from>
    <xdr:ext cx="1867588" cy="780006"/>
    <xdr:pic>
      <xdr:nvPicPr>
        <xdr:cNvPr id="4" name="Imagen 3">
          <a:extLst>
            <a:ext uri="{FF2B5EF4-FFF2-40B4-BE49-F238E27FC236}">
              <a16:creationId xmlns:a16="http://schemas.microsoft.com/office/drawing/2014/main" id="{C16C5681-B5B6-40F6-95A5-4C73AF0EC8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086" y="0"/>
          <a:ext cx="1867588" cy="78000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IORGIO2020/Downloads/30554-MR-20200507175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IDENTIFICACION(GyC)"/>
      <sheetName val="DOFA"/>
      <sheetName val="DESCRIPCION"/>
      <sheetName val="PROBABILIDAD"/>
      <sheetName val=" IMPACTO RIESGOS GESTION"/>
      <sheetName val=" Impacto riesgo de corrupción "/>
      <sheetName val="VALORACION RIESGO (1)"/>
      <sheetName val="VALORACION RIESGO (2)"/>
      <sheetName val="VALORACION RIESGO (3)"/>
      <sheetName val="Hoja3"/>
      <sheetName val="VALORACION RIESGO (4)"/>
      <sheetName val="VALORACION RIESGO (5)"/>
      <sheetName val="CONTROLES Y EVALUACION"/>
      <sheetName val="SOLIDEZ DE LOS CONTROLES"/>
      <sheetName val="MAPA DE RIESGO ADMON"/>
    </sheetNames>
    <sheetDataSet>
      <sheetData sheetId="0" refreshError="1">
        <row r="11">
          <cell r="B11" t="str">
            <v xml:space="preserve">Constantes cambios normativos </v>
          </cell>
        </row>
        <row r="14">
          <cell r="D14" t="str">
            <v xml:space="preserve">Dificultad en la unificación de criterios para la realización de los procesos contractuales </v>
          </cell>
        </row>
      </sheetData>
      <sheetData sheetId="1" refreshError="1"/>
      <sheetData sheetId="2" refreshError="1"/>
      <sheetData sheetId="3" refreshError="1">
        <row r="15">
          <cell r="B15" t="str">
            <v xml:space="preserve">Personal insuficiente para adelantar las labores de proceso administrativo y contractual. </v>
          </cell>
        </row>
        <row r="16">
          <cell r="B16" t="str">
            <v xml:space="preserve">Falta de Etica y valores  y de aplicación del código de integridad y buen gobierno. </v>
          </cell>
        </row>
        <row r="17">
          <cell r="B17" t="str">
            <v xml:space="preserve">Dificultad en la unificación de criterios para la realización de los procesos contractuales </v>
          </cell>
        </row>
        <row r="18">
          <cell r="B18" t="str">
            <v>Falta de articulación entre las Secretarías ejecutoras, Secretaría de Planeación  y oficina de Contratación</v>
          </cell>
        </row>
        <row r="19">
          <cell r="B19" t="str">
            <v xml:space="preserve">Equipos tecnológicos obsoletos, Sistemas de Información no integrados. </v>
          </cell>
        </row>
        <row r="21">
          <cell r="B21" t="str">
            <v>Unidades administrativas ubicadas en diferentes sitios de la ciudad (Ibagué).</v>
          </cell>
        </row>
        <row r="23">
          <cell r="B23" t="str">
            <v xml:space="preserve">Desactualización de la caracterización del proceso. </v>
          </cell>
        </row>
        <row r="24">
          <cell r="B24" t="str">
            <v>Demoras en la recepción de la información contractual por parte de las secretarias ejecutoras.</v>
          </cell>
        </row>
        <row r="25">
          <cell r="B25" t="str">
            <v xml:space="preserve">Desconocimiento de la caracterización, manuales, procedimientos, instructivos, guías, formatos y demas documentos propios del proceso por parte del personal nuevo. </v>
          </cell>
        </row>
        <row r="26">
          <cell r="B26" t="str">
            <v>Falta de compromiso de los líderes de los procesos en la implementación de mejora, asociadas a los planes de mejoramiento</v>
          </cell>
        </row>
        <row r="27">
          <cell r="B27" t="str">
            <v xml:space="preserve">Desconocimiento del estatuto contractual y sus decretos reglamentarios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19.xml"/><Relationship Id="rId39" Type="http://schemas.openxmlformats.org/officeDocument/2006/relationships/control" Target="../activeX/activeX32.xml"/><Relationship Id="rId21" Type="http://schemas.openxmlformats.org/officeDocument/2006/relationships/control" Target="../activeX/activeX16.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2.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image" Target="../media/image7.emf"/><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4.xml"/><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image" Target="../media/image5.emf"/><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image" Target="../media/image6.emf"/><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20" Type="http://schemas.openxmlformats.org/officeDocument/2006/relationships/control" Target="../activeX/activeX15.xml"/><Relationship Id="rId41" Type="http://schemas.openxmlformats.org/officeDocument/2006/relationships/control" Target="../activeX/activeX34.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control" Target="../activeX/activeX17.xml"/><Relationship Id="rId28" Type="http://schemas.openxmlformats.org/officeDocument/2006/relationships/control" Target="../activeX/activeX21.xml"/><Relationship Id="rId36" Type="http://schemas.openxmlformats.org/officeDocument/2006/relationships/control" Target="../activeX/activeX29.xml"/><Relationship Id="rId49" Type="http://schemas.openxmlformats.org/officeDocument/2006/relationships/control" Target="../activeX/activeX4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election activeCell="B4" sqref="B4:H5"/>
    </sheetView>
  </sheetViews>
  <sheetFormatPr baseColWidth="10" defaultColWidth="11.44140625" defaultRowHeight="14.4" x14ac:dyDescent="0.3"/>
  <cols>
    <col min="1" max="1" width="2.77734375" style="67" customWidth="1"/>
    <col min="2" max="3" width="24.5546875" style="67" customWidth="1"/>
    <col min="4" max="4" width="16" style="67" customWidth="1"/>
    <col min="5" max="5" width="24.5546875" style="67" customWidth="1"/>
    <col min="6" max="6" width="27.5546875" style="67" customWidth="1"/>
    <col min="7" max="8" width="24.5546875" style="67" customWidth="1"/>
    <col min="9" max="16384" width="11.44140625" style="67"/>
  </cols>
  <sheetData>
    <row r="1" spans="2:8" ht="15" thickBot="1" x14ac:dyDescent="0.35"/>
    <row r="2" spans="2:8" ht="18" x14ac:dyDescent="0.3">
      <c r="B2" s="236" t="s">
        <v>154</v>
      </c>
      <c r="C2" s="237"/>
      <c r="D2" s="237"/>
      <c r="E2" s="237"/>
      <c r="F2" s="237"/>
      <c r="G2" s="237"/>
      <c r="H2" s="238"/>
    </row>
    <row r="3" spans="2:8" x14ac:dyDescent="0.3">
      <c r="B3" s="68"/>
      <c r="C3" s="69"/>
      <c r="D3" s="69"/>
      <c r="E3" s="69"/>
      <c r="F3" s="69"/>
      <c r="G3" s="69"/>
      <c r="H3" s="70"/>
    </row>
    <row r="4" spans="2:8" ht="63" customHeight="1" x14ac:dyDescent="0.3">
      <c r="B4" s="239" t="s">
        <v>197</v>
      </c>
      <c r="C4" s="240"/>
      <c r="D4" s="240"/>
      <c r="E4" s="240"/>
      <c r="F4" s="240"/>
      <c r="G4" s="240"/>
      <c r="H4" s="241"/>
    </row>
    <row r="5" spans="2:8" ht="63" customHeight="1" x14ac:dyDescent="0.3">
      <c r="B5" s="242"/>
      <c r="C5" s="243"/>
      <c r="D5" s="243"/>
      <c r="E5" s="243"/>
      <c r="F5" s="243"/>
      <c r="G5" s="243"/>
      <c r="H5" s="244"/>
    </row>
    <row r="6" spans="2:8" x14ac:dyDescent="0.3">
      <c r="B6" s="245" t="s">
        <v>152</v>
      </c>
      <c r="C6" s="246"/>
      <c r="D6" s="246"/>
      <c r="E6" s="246"/>
      <c r="F6" s="246"/>
      <c r="G6" s="246"/>
      <c r="H6" s="247"/>
    </row>
    <row r="7" spans="2:8" ht="95.25" customHeight="1" x14ac:dyDescent="0.3">
      <c r="B7" s="255" t="s">
        <v>157</v>
      </c>
      <c r="C7" s="256"/>
      <c r="D7" s="256"/>
      <c r="E7" s="256"/>
      <c r="F7" s="256"/>
      <c r="G7" s="256"/>
      <c r="H7" s="257"/>
    </row>
    <row r="8" spans="2:8" x14ac:dyDescent="0.3">
      <c r="B8" s="102"/>
      <c r="C8" s="103"/>
      <c r="D8" s="103"/>
      <c r="E8" s="103"/>
      <c r="F8" s="103"/>
      <c r="G8" s="103"/>
      <c r="H8" s="104"/>
    </row>
    <row r="9" spans="2:8" ht="16.5" customHeight="1" x14ac:dyDescent="0.3">
      <c r="B9" s="248" t="s">
        <v>190</v>
      </c>
      <c r="C9" s="249"/>
      <c r="D9" s="249"/>
      <c r="E9" s="249"/>
      <c r="F9" s="249"/>
      <c r="G9" s="249"/>
      <c r="H9" s="250"/>
    </row>
    <row r="10" spans="2:8" ht="44.25" customHeight="1" x14ac:dyDescent="0.3">
      <c r="B10" s="248"/>
      <c r="C10" s="249"/>
      <c r="D10" s="249"/>
      <c r="E10" s="249"/>
      <c r="F10" s="249"/>
      <c r="G10" s="249"/>
      <c r="H10" s="250"/>
    </row>
    <row r="11" spans="2:8" ht="15" thickBot="1" x14ac:dyDescent="0.35">
      <c r="B11" s="91"/>
      <c r="C11" s="94"/>
      <c r="D11" s="99"/>
      <c r="E11" s="100"/>
      <c r="F11" s="100"/>
      <c r="G11" s="101"/>
      <c r="H11" s="95"/>
    </row>
    <row r="12" spans="2:8" ht="15" thickTop="1" x14ac:dyDescent="0.3">
      <c r="B12" s="91"/>
      <c r="C12" s="251" t="s">
        <v>153</v>
      </c>
      <c r="D12" s="252"/>
      <c r="E12" s="253" t="s">
        <v>191</v>
      </c>
      <c r="F12" s="254"/>
      <c r="G12" s="94"/>
      <c r="H12" s="95"/>
    </row>
    <row r="13" spans="2:8" ht="35.25" customHeight="1" x14ac:dyDescent="0.3">
      <c r="B13" s="91"/>
      <c r="C13" s="258" t="s">
        <v>184</v>
      </c>
      <c r="D13" s="259"/>
      <c r="E13" s="260" t="s">
        <v>189</v>
      </c>
      <c r="F13" s="261"/>
      <c r="G13" s="94"/>
      <c r="H13" s="95"/>
    </row>
    <row r="14" spans="2:8" ht="17.25" customHeight="1" x14ac:dyDescent="0.3">
      <c r="B14" s="91"/>
      <c r="C14" s="258" t="s">
        <v>185</v>
      </c>
      <c r="D14" s="259"/>
      <c r="E14" s="260" t="s">
        <v>187</v>
      </c>
      <c r="F14" s="261"/>
      <c r="G14" s="94"/>
      <c r="H14" s="95"/>
    </row>
    <row r="15" spans="2:8" ht="19.5" customHeight="1" x14ac:dyDescent="0.3">
      <c r="B15" s="91"/>
      <c r="C15" s="258" t="s">
        <v>186</v>
      </c>
      <c r="D15" s="259"/>
      <c r="E15" s="260" t="s">
        <v>188</v>
      </c>
      <c r="F15" s="261"/>
      <c r="G15" s="94"/>
      <c r="H15" s="95"/>
    </row>
    <row r="16" spans="2:8" ht="69.75" customHeight="1" x14ac:dyDescent="0.3">
      <c r="B16" s="91"/>
      <c r="C16" s="258" t="s">
        <v>155</v>
      </c>
      <c r="D16" s="259"/>
      <c r="E16" s="260" t="s">
        <v>156</v>
      </c>
      <c r="F16" s="261"/>
      <c r="G16" s="94"/>
      <c r="H16" s="95"/>
    </row>
    <row r="17" spans="2:8" ht="34.5" customHeight="1" x14ac:dyDescent="0.3">
      <c r="B17" s="91"/>
      <c r="C17" s="262" t="s">
        <v>2</v>
      </c>
      <c r="D17" s="263"/>
      <c r="E17" s="264" t="s">
        <v>198</v>
      </c>
      <c r="F17" s="265"/>
      <c r="G17" s="94"/>
      <c r="H17" s="95"/>
    </row>
    <row r="18" spans="2:8" ht="27.75" customHeight="1" x14ac:dyDescent="0.3">
      <c r="B18" s="91"/>
      <c r="C18" s="262" t="s">
        <v>3</v>
      </c>
      <c r="D18" s="263"/>
      <c r="E18" s="264" t="s">
        <v>199</v>
      </c>
      <c r="F18" s="265"/>
      <c r="G18" s="94"/>
      <c r="H18" s="95"/>
    </row>
    <row r="19" spans="2:8" ht="28.5" customHeight="1" x14ac:dyDescent="0.3">
      <c r="B19" s="91"/>
      <c r="C19" s="262" t="s">
        <v>41</v>
      </c>
      <c r="D19" s="263"/>
      <c r="E19" s="264" t="s">
        <v>200</v>
      </c>
      <c r="F19" s="265"/>
      <c r="G19" s="94"/>
      <c r="H19" s="95"/>
    </row>
    <row r="20" spans="2:8" ht="72.75" customHeight="1" x14ac:dyDescent="0.3">
      <c r="B20" s="91"/>
      <c r="C20" s="262" t="s">
        <v>1</v>
      </c>
      <c r="D20" s="263"/>
      <c r="E20" s="264" t="s">
        <v>201</v>
      </c>
      <c r="F20" s="265"/>
      <c r="G20" s="94"/>
      <c r="H20" s="95"/>
    </row>
    <row r="21" spans="2:8" ht="64.5" customHeight="1" x14ac:dyDescent="0.3">
      <c r="B21" s="91"/>
      <c r="C21" s="262" t="s">
        <v>49</v>
      </c>
      <c r="D21" s="263"/>
      <c r="E21" s="264" t="s">
        <v>159</v>
      </c>
      <c r="F21" s="265"/>
      <c r="G21" s="94"/>
      <c r="H21" s="95"/>
    </row>
    <row r="22" spans="2:8" ht="71.25" customHeight="1" x14ac:dyDescent="0.3">
      <c r="B22" s="91"/>
      <c r="C22" s="262" t="s">
        <v>158</v>
      </c>
      <c r="D22" s="263"/>
      <c r="E22" s="264" t="s">
        <v>160</v>
      </c>
      <c r="F22" s="265"/>
      <c r="G22" s="94"/>
      <c r="H22" s="95"/>
    </row>
    <row r="23" spans="2:8" ht="55.5" customHeight="1" x14ac:dyDescent="0.3">
      <c r="B23" s="91"/>
      <c r="C23" s="269" t="s">
        <v>161</v>
      </c>
      <c r="D23" s="270"/>
      <c r="E23" s="264" t="s">
        <v>162</v>
      </c>
      <c r="F23" s="265"/>
      <c r="G23" s="94"/>
      <c r="H23" s="95"/>
    </row>
    <row r="24" spans="2:8" ht="42" customHeight="1" x14ac:dyDescent="0.3">
      <c r="B24" s="91"/>
      <c r="C24" s="269" t="s">
        <v>47</v>
      </c>
      <c r="D24" s="270"/>
      <c r="E24" s="264" t="s">
        <v>163</v>
      </c>
      <c r="F24" s="265"/>
      <c r="G24" s="94"/>
      <c r="H24" s="95"/>
    </row>
    <row r="25" spans="2:8" ht="59.25" customHeight="1" x14ac:dyDescent="0.3">
      <c r="B25" s="91"/>
      <c r="C25" s="269" t="s">
        <v>151</v>
      </c>
      <c r="D25" s="270"/>
      <c r="E25" s="264" t="s">
        <v>164</v>
      </c>
      <c r="F25" s="265"/>
      <c r="G25" s="94"/>
      <c r="H25" s="95"/>
    </row>
    <row r="26" spans="2:8" ht="23.25" customHeight="1" x14ac:dyDescent="0.3">
      <c r="B26" s="91"/>
      <c r="C26" s="269" t="s">
        <v>12</v>
      </c>
      <c r="D26" s="270"/>
      <c r="E26" s="264" t="s">
        <v>165</v>
      </c>
      <c r="F26" s="265"/>
      <c r="G26" s="94"/>
      <c r="H26" s="95"/>
    </row>
    <row r="27" spans="2:8" ht="30.75" customHeight="1" x14ac:dyDescent="0.3">
      <c r="B27" s="91"/>
      <c r="C27" s="269" t="s">
        <v>169</v>
      </c>
      <c r="D27" s="270"/>
      <c r="E27" s="264" t="s">
        <v>166</v>
      </c>
      <c r="F27" s="265"/>
      <c r="G27" s="94"/>
      <c r="H27" s="95"/>
    </row>
    <row r="28" spans="2:8" ht="35.25" customHeight="1" x14ac:dyDescent="0.3">
      <c r="B28" s="91"/>
      <c r="C28" s="269" t="s">
        <v>170</v>
      </c>
      <c r="D28" s="270"/>
      <c r="E28" s="264" t="s">
        <v>167</v>
      </c>
      <c r="F28" s="265"/>
      <c r="G28" s="94"/>
      <c r="H28" s="95"/>
    </row>
    <row r="29" spans="2:8" ht="33" customHeight="1" x14ac:dyDescent="0.3">
      <c r="B29" s="91"/>
      <c r="C29" s="269" t="s">
        <v>170</v>
      </c>
      <c r="D29" s="270"/>
      <c r="E29" s="264" t="s">
        <v>167</v>
      </c>
      <c r="F29" s="265"/>
      <c r="G29" s="94"/>
      <c r="H29" s="95"/>
    </row>
    <row r="30" spans="2:8" ht="30" customHeight="1" x14ac:dyDescent="0.3">
      <c r="B30" s="91"/>
      <c r="C30" s="269" t="s">
        <v>171</v>
      </c>
      <c r="D30" s="270"/>
      <c r="E30" s="264" t="s">
        <v>168</v>
      </c>
      <c r="F30" s="265"/>
      <c r="G30" s="94"/>
      <c r="H30" s="95"/>
    </row>
    <row r="31" spans="2:8" ht="35.25" customHeight="1" x14ac:dyDescent="0.3">
      <c r="B31" s="91"/>
      <c r="C31" s="269" t="s">
        <v>172</v>
      </c>
      <c r="D31" s="270"/>
      <c r="E31" s="264" t="s">
        <v>173</v>
      </c>
      <c r="F31" s="265"/>
      <c r="G31" s="94"/>
      <c r="H31" s="95"/>
    </row>
    <row r="32" spans="2:8" ht="31.5" customHeight="1" x14ac:dyDescent="0.3">
      <c r="B32" s="91"/>
      <c r="C32" s="269" t="s">
        <v>174</v>
      </c>
      <c r="D32" s="270"/>
      <c r="E32" s="264" t="s">
        <v>175</v>
      </c>
      <c r="F32" s="265"/>
      <c r="G32" s="94"/>
      <c r="H32" s="95"/>
    </row>
    <row r="33" spans="2:8" ht="35.25" customHeight="1" x14ac:dyDescent="0.3">
      <c r="B33" s="91"/>
      <c r="C33" s="269" t="s">
        <v>176</v>
      </c>
      <c r="D33" s="270"/>
      <c r="E33" s="264" t="s">
        <v>177</v>
      </c>
      <c r="F33" s="265"/>
      <c r="G33" s="94"/>
      <c r="H33" s="95"/>
    </row>
    <row r="34" spans="2:8" ht="59.25" customHeight="1" x14ac:dyDescent="0.3">
      <c r="B34" s="91"/>
      <c r="C34" s="269" t="s">
        <v>178</v>
      </c>
      <c r="D34" s="270"/>
      <c r="E34" s="264" t="s">
        <v>179</v>
      </c>
      <c r="F34" s="265"/>
      <c r="G34" s="94"/>
      <c r="H34" s="95"/>
    </row>
    <row r="35" spans="2:8" ht="29.25" customHeight="1" x14ac:dyDescent="0.3">
      <c r="B35" s="91"/>
      <c r="C35" s="269" t="s">
        <v>29</v>
      </c>
      <c r="D35" s="270"/>
      <c r="E35" s="264" t="s">
        <v>180</v>
      </c>
      <c r="F35" s="265"/>
      <c r="G35" s="94"/>
      <c r="H35" s="95"/>
    </row>
    <row r="36" spans="2:8" ht="82.5" customHeight="1" x14ac:dyDescent="0.3">
      <c r="B36" s="91"/>
      <c r="C36" s="269" t="s">
        <v>182</v>
      </c>
      <c r="D36" s="270"/>
      <c r="E36" s="264" t="s">
        <v>181</v>
      </c>
      <c r="F36" s="265"/>
      <c r="G36" s="94"/>
      <c r="H36" s="95"/>
    </row>
    <row r="37" spans="2:8" ht="46.5" customHeight="1" x14ac:dyDescent="0.3">
      <c r="B37" s="91"/>
      <c r="C37" s="269" t="s">
        <v>38</v>
      </c>
      <c r="D37" s="270"/>
      <c r="E37" s="264" t="s">
        <v>183</v>
      </c>
      <c r="F37" s="265"/>
      <c r="G37" s="94"/>
      <c r="H37" s="95"/>
    </row>
    <row r="38" spans="2:8" ht="6.75" customHeight="1" thickBot="1" x14ac:dyDescent="0.35">
      <c r="B38" s="91"/>
      <c r="C38" s="271"/>
      <c r="D38" s="272"/>
      <c r="E38" s="273"/>
      <c r="F38" s="274"/>
      <c r="G38" s="94"/>
      <c r="H38" s="95"/>
    </row>
    <row r="39" spans="2:8" ht="15" thickTop="1" x14ac:dyDescent="0.3">
      <c r="B39" s="91"/>
      <c r="C39" s="92"/>
      <c r="D39" s="92"/>
      <c r="E39" s="93"/>
      <c r="F39" s="93"/>
      <c r="G39" s="94"/>
      <c r="H39" s="95"/>
    </row>
    <row r="40" spans="2:8" ht="21" customHeight="1" x14ac:dyDescent="0.3">
      <c r="B40" s="266" t="s">
        <v>192</v>
      </c>
      <c r="C40" s="267"/>
      <c r="D40" s="267"/>
      <c r="E40" s="267"/>
      <c r="F40" s="267"/>
      <c r="G40" s="267"/>
      <c r="H40" s="268"/>
    </row>
    <row r="41" spans="2:8" ht="20.25" customHeight="1" x14ac:dyDescent="0.3">
      <c r="B41" s="266" t="s">
        <v>193</v>
      </c>
      <c r="C41" s="267"/>
      <c r="D41" s="267"/>
      <c r="E41" s="267"/>
      <c r="F41" s="267"/>
      <c r="G41" s="267"/>
      <c r="H41" s="268"/>
    </row>
    <row r="42" spans="2:8" ht="20.25" customHeight="1" x14ac:dyDescent="0.3">
      <c r="B42" s="266" t="s">
        <v>194</v>
      </c>
      <c r="C42" s="267"/>
      <c r="D42" s="267"/>
      <c r="E42" s="267"/>
      <c r="F42" s="267"/>
      <c r="G42" s="267"/>
      <c r="H42" s="268"/>
    </row>
    <row r="43" spans="2:8" ht="20.25" customHeight="1" x14ac:dyDescent="0.3">
      <c r="B43" s="266" t="s">
        <v>195</v>
      </c>
      <c r="C43" s="267"/>
      <c r="D43" s="267"/>
      <c r="E43" s="267"/>
      <c r="F43" s="267"/>
      <c r="G43" s="267"/>
      <c r="H43" s="268"/>
    </row>
    <row r="44" spans="2:8" x14ac:dyDescent="0.3">
      <c r="B44" s="266" t="s">
        <v>196</v>
      </c>
      <c r="C44" s="267"/>
      <c r="D44" s="267"/>
      <c r="E44" s="267"/>
      <c r="F44" s="267"/>
      <c r="G44" s="267"/>
      <c r="H44" s="268"/>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9" workbookViewId="0"/>
  </sheetViews>
  <sheetFormatPr baseColWidth="10" defaultColWidth="14.44140625" defaultRowHeight="13.8" x14ac:dyDescent="0.3"/>
  <cols>
    <col min="1" max="2" width="14.44140625" style="72"/>
    <col min="3" max="3" width="17" style="72" customWidth="1"/>
    <col min="4" max="4" width="14.44140625" style="72"/>
    <col min="5" max="5" width="46" style="72" customWidth="1"/>
    <col min="6" max="16384" width="14.44140625" style="72"/>
  </cols>
  <sheetData>
    <row r="1" spans="2:6" ht="24" customHeight="1" thickBot="1" x14ac:dyDescent="0.35">
      <c r="B1" s="624" t="s">
        <v>76</v>
      </c>
      <c r="C1" s="625"/>
      <c r="D1" s="625"/>
      <c r="E1" s="625"/>
      <c r="F1" s="626"/>
    </row>
    <row r="2" spans="2:6" ht="16.2" thickBot="1" x14ac:dyDescent="0.35">
      <c r="B2" s="73"/>
      <c r="C2" s="73"/>
      <c r="D2" s="73"/>
      <c r="E2" s="73"/>
      <c r="F2" s="73"/>
    </row>
    <row r="3" spans="2:6" ht="16.2" thickBot="1" x14ac:dyDescent="0.35">
      <c r="B3" s="628" t="s">
        <v>62</v>
      </c>
      <c r="C3" s="629"/>
      <c r="D3" s="629"/>
      <c r="E3" s="85" t="s">
        <v>63</v>
      </c>
      <c r="F3" s="86" t="s">
        <v>64</v>
      </c>
    </row>
    <row r="4" spans="2:6" ht="31.2" x14ac:dyDescent="0.3">
      <c r="B4" s="630" t="s">
        <v>65</v>
      </c>
      <c r="C4" s="632" t="s">
        <v>13</v>
      </c>
      <c r="D4" s="74" t="s">
        <v>14</v>
      </c>
      <c r="E4" s="75" t="s">
        <v>66</v>
      </c>
      <c r="F4" s="76">
        <v>0.25</v>
      </c>
    </row>
    <row r="5" spans="2:6" ht="46.8" x14ac:dyDescent="0.3">
      <c r="B5" s="631"/>
      <c r="C5" s="633"/>
      <c r="D5" s="77" t="s">
        <v>15</v>
      </c>
      <c r="E5" s="78" t="s">
        <v>67</v>
      </c>
      <c r="F5" s="79">
        <v>0.15</v>
      </c>
    </row>
    <row r="6" spans="2:6" ht="46.8" x14ac:dyDescent="0.3">
      <c r="B6" s="631"/>
      <c r="C6" s="633"/>
      <c r="D6" s="77" t="s">
        <v>16</v>
      </c>
      <c r="E6" s="78" t="s">
        <v>68</v>
      </c>
      <c r="F6" s="79">
        <v>0.1</v>
      </c>
    </row>
    <row r="7" spans="2:6" ht="62.4" x14ac:dyDescent="0.3">
      <c r="B7" s="631"/>
      <c r="C7" s="633" t="s">
        <v>17</v>
      </c>
      <c r="D7" s="77" t="s">
        <v>10</v>
      </c>
      <c r="E7" s="78" t="s">
        <v>69</v>
      </c>
      <c r="F7" s="79">
        <v>0.25</v>
      </c>
    </row>
    <row r="8" spans="2:6" ht="31.2" x14ac:dyDescent="0.3">
      <c r="B8" s="631"/>
      <c r="C8" s="633"/>
      <c r="D8" s="77" t="s">
        <v>9</v>
      </c>
      <c r="E8" s="78" t="s">
        <v>70</v>
      </c>
      <c r="F8" s="79">
        <v>0.15</v>
      </c>
    </row>
    <row r="9" spans="2:6" ht="46.8" x14ac:dyDescent="0.3">
      <c r="B9" s="631" t="s">
        <v>150</v>
      </c>
      <c r="C9" s="633" t="s">
        <v>18</v>
      </c>
      <c r="D9" s="77" t="s">
        <v>19</v>
      </c>
      <c r="E9" s="78" t="s">
        <v>71</v>
      </c>
      <c r="F9" s="80" t="s">
        <v>72</v>
      </c>
    </row>
    <row r="10" spans="2:6" ht="46.8" x14ac:dyDescent="0.3">
      <c r="B10" s="631"/>
      <c r="C10" s="633"/>
      <c r="D10" s="77" t="s">
        <v>20</v>
      </c>
      <c r="E10" s="78" t="s">
        <v>73</v>
      </c>
      <c r="F10" s="80" t="s">
        <v>72</v>
      </c>
    </row>
    <row r="11" spans="2:6" ht="46.8" x14ac:dyDescent="0.3">
      <c r="B11" s="631"/>
      <c r="C11" s="633" t="s">
        <v>21</v>
      </c>
      <c r="D11" s="77" t="s">
        <v>22</v>
      </c>
      <c r="E11" s="78" t="s">
        <v>74</v>
      </c>
      <c r="F11" s="80" t="s">
        <v>72</v>
      </c>
    </row>
    <row r="12" spans="2:6" ht="46.8" x14ac:dyDescent="0.3">
      <c r="B12" s="631"/>
      <c r="C12" s="633"/>
      <c r="D12" s="77" t="s">
        <v>23</v>
      </c>
      <c r="E12" s="78" t="s">
        <v>75</v>
      </c>
      <c r="F12" s="80" t="s">
        <v>72</v>
      </c>
    </row>
    <row r="13" spans="2:6" ht="31.2" x14ac:dyDescent="0.3">
      <c r="B13" s="631"/>
      <c r="C13" s="633" t="s">
        <v>24</v>
      </c>
      <c r="D13" s="77" t="s">
        <v>113</v>
      </c>
      <c r="E13" s="78" t="s">
        <v>116</v>
      </c>
      <c r="F13" s="80" t="s">
        <v>72</v>
      </c>
    </row>
    <row r="14" spans="2:6" ht="16.2" thickBot="1" x14ac:dyDescent="0.35">
      <c r="B14" s="634"/>
      <c r="C14" s="635"/>
      <c r="D14" s="81" t="s">
        <v>114</v>
      </c>
      <c r="E14" s="82" t="s">
        <v>115</v>
      </c>
      <c r="F14" s="83" t="s">
        <v>72</v>
      </c>
    </row>
    <row r="15" spans="2:6" ht="49.5" customHeight="1" x14ac:dyDescent="0.3">
      <c r="B15" s="627" t="s">
        <v>147</v>
      </c>
      <c r="C15" s="627"/>
      <c r="D15" s="627"/>
      <c r="E15" s="627"/>
      <c r="F15" s="627"/>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777343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617C-FACF-447D-9A58-726AD0A6C9CB}">
  <dimension ref="A1:J55"/>
  <sheetViews>
    <sheetView zoomScale="70" zoomScaleNormal="70" workbookViewId="0">
      <selection activeCell="B17" sqref="B17"/>
    </sheetView>
  </sheetViews>
  <sheetFormatPr baseColWidth="10" defaultColWidth="11.44140625" defaultRowHeight="13.8" x14ac:dyDescent="0.25"/>
  <cols>
    <col min="1" max="1" width="29.44140625" style="152" customWidth="1"/>
    <col min="2" max="2" width="29.21875" style="152" customWidth="1"/>
    <col min="3" max="3" width="30.21875" style="152" customWidth="1"/>
    <col min="4" max="4" width="31.77734375" style="152" customWidth="1"/>
    <col min="5" max="5" width="32.5546875" style="152" customWidth="1"/>
    <col min="6" max="6" width="32" style="152" customWidth="1"/>
    <col min="7" max="16384" width="11.44140625" style="152"/>
  </cols>
  <sheetData>
    <row r="1" spans="1:10" ht="15" customHeight="1" x14ac:dyDescent="0.25">
      <c r="A1" s="278"/>
      <c r="B1" s="280" t="s">
        <v>298</v>
      </c>
      <c r="C1" s="280"/>
      <c r="D1" s="280"/>
      <c r="E1" s="176" t="s">
        <v>389</v>
      </c>
      <c r="F1" s="276"/>
      <c r="G1" s="174"/>
      <c r="J1" s="275"/>
    </row>
    <row r="2" spans="1:10" ht="15" customHeight="1" x14ac:dyDescent="0.25">
      <c r="A2" s="279"/>
      <c r="B2" s="281"/>
      <c r="C2" s="281"/>
      <c r="D2" s="281"/>
      <c r="E2" s="175" t="s">
        <v>263</v>
      </c>
      <c r="F2" s="277"/>
      <c r="G2" s="174"/>
      <c r="J2" s="275"/>
    </row>
    <row r="3" spans="1:10" ht="15" customHeight="1" x14ac:dyDescent="0.25">
      <c r="A3" s="279"/>
      <c r="B3" s="281" t="s">
        <v>262</v>
      </c>
      <c r="C3" s="281"/>
      <c r="D3" s="281"/>
      <c r="E3" s="175" t="s">
        <v>261</v>
      </c>
      <c r="F3" s="277"/>
      <c r="G3" s="174"/>
      <c r="J3" s="275"/>
    </row>
    <row r="4" spans="1:10" ht="15.75" customHeight="1" x14ac:dyDescent="0.25">
      <c r="A4" s="279"/>
      <c r="B4" s="281"/>
      <c r="C4" s="281"/>
      <c r="D4" s="281"/>
      <c r="E4" s="175" t="s">
        <v>390</v>
      </c>
      <c r="F4" s="277"/>
      <c r="G4" s="174"/>
      <c r="J4" s="275"/>
    </row>
    <row r="5" spans="1:10" ht="15.75" customHeight="1" x14ac:dyDescent="0.25">
      <c r="A5" s="283"/>
      <c r="B5" s="284"/>
      <c r="C5" s="284"/>
      <c r="D5" s="284"/>
      <c r="E5" s="284"/>
      <c r="F5" s="285"/>
      <c r="G5" s="174"/>
      <c r="J5" s="173"/>
    </row>
    <row r="6" spans="1:10" ht="15" customHeight="1" x14ac:dyDescent="0.25">
      <c r="A6" s="292" t="s">
        <v>260</v>
      </c>
      <c r="B6" s="293"/>
      <c r="C6" s="293"/>
      <c r="D6" s="293"/>
      <c r="E6" s="293"/>
      <c r="F6" s="294"/>
    </row>
    <row r="7" spans="1:10" ht="15.75" customHeight="1" x14ac:dyDescent="0.25">
      <c r="A7" s="292"/>
      <c r="B7" s="293"/>
      <c r="C7" s="293"/>
      <c r="D7" s="293"/>
      <c r="E7" s="293"/>
      <c r="F7" s="294"/>
    </row>
    <row r="8" spans="1:10" ht="27" customHeight="1" x14ac:dyDescent="0.25">
      <c r="A8" s="286" t="s">
        <v>297</v>
      </c>
      <c r="B8" s="287"/>
      <c r="C8" s="287"/>
      <c r="D8" s="287"/>
      <c r="E8" s="287"/>
      <c r="F8" s="288"/>
    </row>
    <row r="9" spans="1:10" ht="77.25" customHeight="1" thickBot="1" x14ac:dyDescent="0.3">
      <c r="A9" s="289" t="s">
        <v>296</v>
      </c>
      <c r="B9" s="290"/>
      <c r="C9" s="290"/>
      <c r="D9" s="290"/>
      <c r="E9" s="290"/>
      <c r="F9" s="291"/>
    </row>
    <row r="10" spans="1:10" ht="18.75" customHeight="1" thickBot="1" x14ac:dyDescent="0.3">
      <c r="A10" s="282"/>
      <c r="B10" s="282"/>
      <c r="C10" s="282"/>
      <c r="D10" s="282"/>
      <c r="E10" s="282"/>
      <c r="F10" s="282"/>
    </row>
    <row r="11" spans="1:10" ht="22.5" customHeight="1" thickBot="1" x14ac:dyDescent="0.3">
      <c r="A11" s="172" t="s">
        <v>259</v>
      </c>
      <c r="B11" s="171" t="s">
        <v>256</v>
      </c>
      <c r="C11" s="171" t="s">
        <v>258</v>
      </c>
      <c r="D11" s="171" t="s">
        <v>256</v>
      </c>
      <c r="E11" s="171" t="s">
        <v>257</v>
      </c>
      <c r="F11" s="184" t="s">
        <v>256</v>
      </c>
    </row>
    <row r="12" spans="1:10" ht="90" customHeight="1" x14ac:dyDescent="0.25">
      <c r="A12" s="170" t="s">
        <v>252</v>
      </c>
      <c r="B12" s="219" t="s">
        <v>295</v>
      </c>
      <c r="C12" s="169" t="s">
        <v>244</v>
      </c>
      <c r="D12" s="222" t="s">
        <v>294</v>
      </c>
      <c r="E12" s="169" t="s">
        <v>240</v>
      </c>
      <c r="F12" s="228" t="s">
        <v>293</v>
      </c>
    </row>
    <row r="13" spans="1:10" ht="60" customHeight="1" x14ac:dyDescent="0.25">
      <c r="A13" s="168" t="s">
        <v>292</v>
      </c>
      <c r="B13" s="221" t="s">
        <v>291</v>
      </c>
      <c r="C13" s="165" t="s">
        <v>253</v>
      </c>
      <c r="D13" s="223" t="s">
        <v>290</v>
      </c>
      <c r="E13" s="165" t="s">
        <v>236</v>
      </c>
      <c r="F13" s="231" t="s">
        <v>289</v>
      </c>
    </row>
    <row r="14" spans="1:10" ht="96" customHeight="1" x14ac:dyDescent="0.25">
      <c r="A14" s="168" t="s">
        <v>250</v>
      </c>
      <c r="B14" s="221" t="s">
        <v>288</v>
      </c>
      <c r="C14" s="165" t="s">
        <v>253</v>
      </c>
      <c r="D14" s="223" t="s">
        <v>287</v>
      </c>
      <c r="E14" s="165" t="s">
        <v>286</v>
      </c>
      <c r="F14" s="231" t="s">
        <v>285</v>
      </c>
    </row>
    <row r="15" spans="1:10" ht="78.599999999999994" customHeight="1" x14ac:dyDescent="0.25">
      <c r="A15" s="168" t="s">
        <v>250</v>
      </c>
      <c r="B15" s="221" t="s">
        <v>284</v>
      </c>
      <c r="C15" s="165" t="s">
        <v>238</v>
      </c>
      <c r="D15" s="223" t="s">
        <v>283</v>
      </c>
      <c r="E15" s="165"/>
      <c r="F15" s="164"/>
    </row>
    <row r="16" spans="1:10" ht="80.400000000000006" customHeight="1" x14ac:dyDescent="0.25">
      <c r="A16" s="168" t="s">
        <v>255</v>
      </c>
      <c r="B16" s="221" t="s">
        <v>282</v>
      </c>
      <c r="C16" s="165" t="s">
        <v>246</v>
      </c>
      <c r="D16" s="223" t="s">
        <v>281</v>
      </c>
      <c r="E16" s="165"/>
      <c r="F16" s="164"/>
    </row>
    <row r="17" spans="1:6" ht="90" customHeight="1" x14ac:dyDescent="0.25">
      <c r="A17" s="168" t="s">
        <v>248</v>
      </c>
      <c r="B17" s="221" t="s">
        <v>280</v>
      </c>
      <c r="C17" s="165" t="s">
        <v>246</v>
      </c>
      <c r="D17" s="223" t="s">
        <v>279</v>
      </c>
      <c r="E17" s="165"/>
      <c r="F17" s="164"/>
    </row>
    <row r="18" spans="1:6" ht="84.6" customHeight="1" x14ac:dyDescent="0.25">
      <c r="A18" s="168" t="s">
        <v>278</v>
      </c>
      <c r="B18" s="221" t="s">
        <v>277</v>
      </c>
      <c r="C18" s="165" t="s">
        <v>242</v>
      </c>
      <c r="D18" s="223" t="s">
        <v>276</v>
      </c>
      <c r="E18" s="165"/>
      <c r="F18" s="164"/>
    </row>
    <row r="19" spans="1:6" ht="87" customHeight="1" x14ac:dyDescent="0.25">
      <c r="A19" s="168" t="s">
        <v>247</v>
      </c>
      <c r="B19" s="221" t="s">
        <v>275</v>
      </c>
      <c r="C19" s="165" t="s">
        <v>242</v>
      </c>
      <c r="D19" s="223" t="s">
        <v>274</v>
      </c>
      <c r="E19" s="165"/>
      <c r="F19" s="164"/>
    </row>
    <row r="20" spans="1:6" ht="65.25" customHeight="1" x14ac:dyDescent="0.25">
      <c r="A20" s="168" t="s">
        <v>250</v>
      </c>
      <c r="B20" s="221" t="s">
        <v>273</v>
      </c>
      <c r="C20" s="165" t="s">
        <v>241</v>
      </c>
      <c r="D20" s="225" t="s">
        <v>272</v>
      </c>
      <c r="E20" s="165"/>
      <c r="F20" s="164"/>
    </row>
    <row r="21" spans="1:6" ht="66.75" customHeight="1" x14ac:dyDescent="0.25">
      <c r="A21" s="168"/>
      <c r="B21" s="167"/>
      <c r="C21" s="165" t="s">
        <v>241</v>
      </c>
      <c r="D21" s="225" t="s">
        <v>271</v>
      </c>
      <c r="E21" s="165"/>
      <c r="F21" s="164"/>
    </row>
    <row r="22" spans="1:6" ht="69" customHeight="1" x14ac:dyDescent="0.25">
      <c r="A22" s="168"/>
      <c r="B22" s="167"/>
      <c r="C22" s="165" t="s">
        <v>244</v>
      </c>
      <c r="D22" s="225" t="s">
        <v>270</v>
      </c>
      <c r="E22" s="165"/>
      <c r="F22" s="164"/>
    </row>
    <row r="23" spans="1:6" ht="89.4" customHeight="1" x14ac:dyDescent="0.25">
      <c r="A23" s="168"/>
      <c r="B23" s="167"/>
      <c r="C23" s="165" t="s">
        <v>244</v>
      </c>
      <c r="D23" s="225" t="s">
        <v>269</v>
      </c>
      <c r="E23" s="165"/>
      <c r="F23" s="164"/>
    </row>
    <row r="24" spans="1:6" ht="97.8" customHeight="1" x14ac:dyDescent="0.25">
      <c r="A24" s="168"/>
      <c r="B24" s="167"/>
      <c r="C24" s="165" t="s">
        <v>244</v>
      </c>
      <c r="D24" s="225" t="s">
        <v>268</v>
      </c>
      <c r="E24" s="165"/>
      <c r="F24" s="164"/>
    </row>
    <row r="25" spans="1:6" ht="62.25" customHeight="1" x14ac:dyDescent="0.25">
      <c r="A25" s="181"/>
      <c r="B25" s="180"/>
      <c r="C25" s="178" t="s">
        <v>237</v>
      </c>
      <c r="D25" s="226" t="s">
        <v>267</v>
      </c>
      <c r="E25" s="178"/>
      <c r="F25" s="177"/>
    </row>
    <row r="26" spans="1:6" ht="96" customHeight="1" x14ac:dyDescent="0.25">
      <c r="A26" s="181"/>
      <c r="B26" s="180"/>
      <c r="C26" s="178" t="s">
        <v>246</v>
      </c>
      <c r="D26" s="226" t="s">
        <v>266</v>
      </c>
      <c r="E26" s="178"/>
      <c r="F26" s="177"/>
    </row>
    <row r="27" spans="1:6" ht="149.25" customHeight="1" x14ac:dyDescent="0.25">
      <c r="A27" s="181"/>
      <c r="B27" s="180"/>
      <c r="C27" s="178" t="s">
        <v>253</v>
      </c>
      <c r="D27" s="226" t="s">
        <v>265</v>
      </c>
      <c r="E27" s="178"/>
      <c r="F27" s="177"/>
    </row>
    <row r="28" spans="1:6" ht="56.25" customHeight="1" thickBot="1" x14ac:dyDescent="0.3">
      <c r="A28" s="163"/>
      <c r="B28" s="162"/>
      <c r="C28" s="161" t="s">
        <v>237</v>
      </c>
      <c r="D28" s="227" t="s">
        <v>264</v>
      </c>
      <c r="E28" s="161"/>
      <c r="F28" s="160"/>
    </row>
    <row r="29" spans="1:6" ht="65.25" customHeight="1" x14ac:dyDescent="0.25">
      <c r="A29" s="154"/>
      <c r="B29" s="159"/>
      <c r="C29" s="154"/>
      <c r="D29" s="158"/>
      <c r="E29" s="154"/>
      <c r="F29" s="158"/>
    </row>
    <row r="30" spans="1:6" ht="62.25" customHeight="1" x14ac:dyDescent="0.25">
      <c r="A30" s="154"/>
      <c r="B30" s="159"/>
      <c r="C30" s="154"/>
      <c r="D30" s="158"/>
      <c r="E30" s="154"/>
      <c r="F30" s="158"/>
    </row>
    <row r="31" spans="1:6" ht="63" customHeight="1" x14ac:dyDescent="0.25">
      <c r="A31" s="154"/>
      <c r="B31" s="159"/>
      <c r="C31" s="154"/>
      <c r="D31" s="158"/>
      <c r="E31" s="154"/>
      <c r="F31" s="159"/>
    </row>
    <row r="32" spans="1:6" ht="51.75" customHeight="1" x14ac:dyDescent="0.25">
      <c r="A32" s="154"/>
      <c r="B32" s="159"/>
      <c r="C32" s="154"/>
      <c r="D32" s="158"/>
      <c r="E32" s="154"/>
      <c r="F32" s="159"/>
    </row>
    <row r="33" spans="1:6" ht="52.5" customHeight="1" x14ac:dyDescent="0.25">
      <c r="A33" s="154"/>
      <c r="B33" s="158"/>
      <c r="C33" s="154"/>
      <c r="D33" s="158"/>
      <c r="E33" s="154"/>
      <c r="F33" s="158"/>
    </row>
    <row r="34" spans="1:6" ht="63.75" customHeight="1" x14ac:dyDescent="0.25">
      <c r="A34" s="154"/>
      <c r="B34" s="158"/>
      <c r="C34" s="154"/>
      <c r="D34" s="158"/>
      <c r="E34" s="154"/>
      <c r="F34" s="158"/>
    </row>
    <row r="35" spans="1:6" ht="66" customHeight="1" x14ac:dyDescent="0.25">
      <c r="A35" s="154"/>
      <c r="B35" s="157"/>
      <c r="C35" s="154"/>
      <c r="D35" s="156"/>
      <c r="E35" s="154"/>
      <c r="F35" s="157"/>
    </row>
    <row r="36" spans="1:6" ht="55.5" customHeight="1" x14ac:dyDescent="0.25">
      <c r="A36" s="154"/>
      <c r="B36" s="157"/>
      <c r="C36" s="154"/>
      <c r="D36" s="156"/>
      <c r="E36" s="154"/>
      <c r="F36" s="153"/>
    </row>
    <row r="37" spans="1:6" ht="51.75" customHeight="1" x14ac:dyDescent="0.25">
      <c r="A37" s="154"/>
      <c r="B37" s="153"/>
      <c r="C37" s="154"/>
      <c r="D37" s="155"/>
      <c r="E37" s="154"/>
      <c r="F37" s="153"/>
    </row>
    <row r="38" spans="1:6" ht="55.5" customHeight="1" x14ac:dyDescent="0.25">
      <c r="A38" s="154"/>
      <c r="B38" s="153"/>
      <c r="C38" s="154"/>
      <c r="D38" s="153"/>
      <c r="E38" s="154"/>
      <c r="F38" s="153"/>
    </row>
    <row r="39" spans="1:6" ht="55.5" customHeight="1" x14ac:dyDescent="0.25">
      <c r="A39" s="154"/>
      <c r="B39" s="153"/>
      <c r="C39" s="154"/>
      <c r="D39" s="153"/>
      <c r="E39" s="154"/>
      <c r="F39" s="153"/>
    </row>
    <row r="40" spans="1:6" ht="54.75" customHeight="1" x14ac:dyDescent="0.25">
      <c r="A40" s="154"/>
      <c r="B40" s="153"/>
      <c r="C40" s="154"/>
      <c r="D40" s="153"/>
      <c r="E40" s="154"/>
      <c r="F40" s="153"/>
    </row>
    <row r="41" spans="1:6" ht="56.25" customHeight="1" x14ac:dyDescent="0.25">
      <c r="A41" s="154"/>
      <c r="B41" s="153"/>
      <c r="C41" s="154"/>
      <c r="D41" s="153"/>
      <c r="E41" s="154"/>
      <c r="F41" s="153"/>
    </row>
    <row r="42" spans="1:6" ht="54.75" customHeight="1" x14ac:dyDescent="0.25">
      <c r="A42" s="154"/>
      <c r="B42" s="157"/>
      <c r="C42" s="154"/>
      <c r="D42" s="156"/>
      <c r="E42" s="154"/>
      <c r="F42" s="157"/>
    </row>
    <row r="43" spans="1:6" ht="55.5" customHeight="1" x14ac:dyDescent="0.25">
      <c r="A43" s="154"/>
      <c r="B43" s="157"/>
      <c r="C43" s="154"/>
      <c r="D43" s="156"/>
      <c r="E43" s="154"/>
      <c r="F43" s="153"/>
    </row>
    <row r="44" spans="1:6" ht="54.75" customHeight="1" x14ac:dyDescent="0.25">
      <c r="A44" s="154"/>
      <c r="B44" s="153"/>
      <c r="C44" s="154"/>
      <c r="D44" s="155"/>
      <c r="E44" s="154"/>
      <c r="F44" s="153"/>
    </row>
    <row r="45" spans="1:6" ht="55.5" customHeight="1" x14ac:dyDescent="0.25">
      <c r="A45" s="154"/>
      <c r="B45" s="153"/>
      <c r="C45" s="154"/>
      <c r="D45" s="153"/>
      <c r="E45" s="154"/>
      <c r="F45" s="153"/>
    </row>
    <row r="46" spans="1:6" ht="56.25" customHeight="1" x14ac:dyDescent="0.25">
      <c r="A46" s="154"/>
      <c r="B46" s="153"/>
      <c r="C46" s="154"/>
      <c r="D46" s="153"/>
      <c r="E46" s="154"/>
      <c r="F46" s="153"/>
    </row>
    <row r="47" spans="1:6" ht="59.25" customHeight="1" x14ac:dyDescent="0.25">
      <c r="A47" s="154"/>
      <c r="B47" s="153"/>
      <c r="C47" s="154"/>
      <c r="D47" s="153"/>
      <c r="E47" s="154"/>
      <c r="F47" s="153"/>
    </row>
    <row r="48" spans="1:6" ht="55.5" customHeight="1" x14ac:dyDescent="0.25">
      <c r="A48" s="154"/>
      <c r="B48" s="153"/>
      <c r="C48" s="154"/>
      <c r="D48" s="153"/>
      <c r="E48" s="154"/>
      <c r="F48" s="153"/>
    </row>
    <row r="49" spans="1:6" ht="55.5" customHeight="1" x14ac:dyDescent="0.25">
      <c r="A49" s="154"/>
      <c r="B49" s="157"/>
      <c r="C49" s="154"/>
      <c r="D49" s="156"/>
      <c r="E49" s="154"/>
      <c r="F49" s="157"/>
    </row>
    <row r="50" spans="1:6" ht="56.25" customHeight="1" x14ac:dyDescent="0.25">
      <c r="A50" s="154"/>
      <c r="B50" s="157"/>
      <c r="C50" s="154"/>
      <c r="D50" s="156"/>
      <c r="E50" s="154"/>
      <c r="F50" s="153"/>
    </row>
    <row r="51" spans="1:6" ht="54" customHeight="1" x14ac:dyDescent="0.25">
      <c r="A51" s="154"/>
      <c r="B51" s="153"/>
      <c r="C51" s="154"/>
      <c r="D51" s="155"/>
      <c r="E51" s="154"/>
      <c r="F51" s="153"/>
    </row>
    <row r="52" spans="1:6" ht="56.25" customHeight="1" x14ac:dyDescent="0.25">
      <c r="A52" s="154"/>
      <c r="B52" s="153"/>
      <c r="C52" s="154"/>
      <c r="D52" s="153"/>
      <c r="E52" s="154"/>
      <c r="F52" s="153"/>
    </row>
    <row r="53" spans="1:6" ht="59.25" customHeight="1" x14ac:dyDescent="0.25">
      <c r="A53" s="154"/>
      <c r="B53" s="153"/>
      <c r="C53" s="154"/>
      <c r="D53" s="153"/>
      <c r="E53" s="154"/>
      <c r="F53" s="153"/>
    </row>
    <row r="54" spans="1:6" ht="54.75" customHeight="1" x14ac:dyDescent="0.25">
      <c r="A54" s="154"/>
      <c r="B54" s="153"/>
      <c r="C54" s="154"/>
      <c r="D54" s="153"/>
      <c r="E54" s="154"/>
      <c r="F54" s="153"/>
    </row>
    <row r="55" spans="1:6" ht="55.5" customHeight="1" x14ac:dyDescent="0.25">
      <c r="A55" s="154"/>
      <c r="B55" s="153"/>
      <c r="C55" s="154"/>
      <c r="D55" s="153"/>
      <c r="E55" s="154"/>
      <c r="F55" s="153"/>
    </row>
  </sheetData>
  <mergeCells count="10">
    <mergeCell ref="A10:F10"/>
    <mergeCell ref="A5:F5"/>
    <mergeCell ref="A8:F8"/>
    <mergeCell ref="A9:F9"/>
    <mergeCell ref="A6:F7"/>
    <mergeCell ref="J1:J4"/>
    <mergeCell ref="F1:F4"/>
    <mergeCell ref="A1:A4"/>
    <mergeCell ref="B1:D2"/>
    <mergeCell ref="B3:D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6C95-160F-4A34-B18B-AFFF3AC3EF55}">
  <sheetPr codeName="Hoja1"/>
  <dimension ref="A1:X41"/>
  <sheetViews>
    <sheetView topLeftCell="A11" zoomScale="70" zoomScaleNormal="70" workbookViewId="0">
      <selection activeCell="A7" sqref="A7:T7"/>
    </sheetView>
  </sheetViews>
  <sheetFormatPr baseColWidth="10" defaultColWidth="11.44140625" defaultRowHeight="14.4" x14ac:dyDescent="0.3"/>
  <cols>
    <col min="1" max="1" width="4.5546875" style="187" customWidth="1"/>
    <col min="2" max="2" width="38.109375" style="186" customWidth="1"/>
    <col min="3" max="17" width="6.44140625" style="186" customWidth="1"/>
    <col min="18" max="18" width="8.21875" style="186" customWidth="1"/>
    <col min="19" max="19" width="13" style="185" customWidth="1"/>
    <col min="20" max="20" width="30.33203125" customWidth="1"/>
    <col min="21" max="23" width="11.44140625" hidden="1" customWidth="1"/>
  </cols>
  <sheetData>
    <row r="1" spans="1:24" ht="29.4" customHeight="1" x14ac:dyDescent="0.3">
      <c r="A1" s="295"/>
      <c r="B1" s="296"/>
      <c r="C1" s="281" t="str">
        <f>+Contexto!B1</f>
        <v xml:space="preserve">PROCESO: </v>
      </c>
      <c r="D1" s="281"/>
      <c r="E1" s="281"/>
      <c r="F1" s="281"/>
      <c r="G1" s="281"/>
      <c r="H1" s="281"/>
      <c r="I1" s="281"/>
      <c r="J1" s="281"/>
      <c r="K1" s="281"/>
      <c r="L1" s="281"/>
      <c r="M1" s="281"/>
      <c r="N1" s="281"/>
      <c r="O1" s="281"/>
      <c r="P1" s="281"/>
      <c r="Q1" s="281"/>
      <c r="R1" s="281"/>
      <c r="S1" s="315"/>
      <c r="T1" s="305" t="s">
        <v>388</v>
      </c>
      <c r="U1" s="305"/>
      <c r="V1" s="305"/>
      <c r="W1" s="306"/>
    </row>
    <row r="2" spans="1:24" ht="15" customHeight="1" x14ac:dyDescent="0.3">
      <c r="A2" s="297"/>
      <c r="B2" s="298"/>
      <c r="C2" s="281"/>
      <c r="D2" s="281"/>
      <c r="E2" s="281"/>
      <c r="F2" s="281"/>
      <c r="G2" s="281"/>
      <c r="H2" s="281"/>
      <c r="I2" s="281"/>
      <c r="J2" s="281"/>
      <c r="K2" s="281"/>
      <c r="L2" s="281"/>
      <c r="M2" s="281"/>
      <c r="N2" s="281"/>
      <c r="O2" s="281"/>
      <c r="P2" s="281"/>
      <c r="Q2" s="281"/>
      <c r="R2" s="281"/>
      <c r="S2" s="316"/>
      <c r="T2" s="307" t="s">
        <v>263</v>
      </c>
      <c r="U2" s="307"/>
      <c r="V2" s="307"/>
      <c r="W2" s="308"/>
    </row>
    <row r="3" spans="1:24" ht="15" customHeight="1" x14ac:dyDescent="0.3">
      <c r="A3" s="297"/>
      <c r="B3" s="298"/>
      <c r="C3" s="281" t="s">
        <v>320</v>
      </c>
      <c r="D3" s="281"/>
      <c r="E3" s="281"/>
      <c r="F3" s="281"/>
      <c r="G3" s="281"/>
      <c r="H3" s="281"/>
      <c r="I3" s="281"/>
      <c r="J3" s="281"/>
      <c r="K3" s="281"/>
      <c r="L3" s="281"/>
      <c r="M3" s="281"/>
      <c r="N3" s="281"/>
      <c r="O3" s="281"/>
      <c r="P3" s="281"/>
      <c r="Q3" s="281"/>
      <c r="R3" s="281"/>
      <c r="S3" s="316"/>
      <c r="T3" s="307" t="s">
        <v>392</v>
      </c>
      <c r="U3" s="307"/>
      <c r="V3" s="307"/>
      <c r="W3" s="308"/>
    </row>
    <row r="4" spans="1:24" ht="15.75" customHeight="1" x14ac:dyDescent="0.3">
      <c r="A4" s="299"/>
      <c r="B4" s="300"/>
      <c r="C4" s="281"/>
      <c r="D4" s="281"/>
      <c r="E4" s="281"/>
      <c r="F4" s="281"/>
      <c r="G4" s="281"/>
      <c r="H4" s="281"/>
      <c r="I4" s="281"/>
      <c r="J4" s="281"/>
      <c r="K4" s="281"/>
      <c r="L4" s="281"/>
      <c r="M4" s="281"/>
      <c r="N4" s="281"/>
      <c r="O4" s="281"/>
      <c r="P4" s="281"/>
      <c r="Q4" s="281"/>
      <c r="R4" s="281"/>
      <c r="S4" s="317"/>
      <c r="T4" s="307" t="s">
        <v>391</v>
      </c>
      <c r="U4" s="307"/>
      <c r="V4" s="307"/>
      <c r="W4" s="308"/>
    </row>
    <row r="5" spans="1:24" ht="15.75" customHeight="1" x14ac:dyDescent="0.3">
      <c r="A5" s="299"/>
      <c r="B5" s="299"/>
      <c r="C5" s="299"/>
      <c r="D5" s="299"/>
      <c r="E5" s="299"/>
      <c r="F5" s="299"/>
      <c r="G5" s="299"/>
      <c r="H5" s="299"/>
      <c r="I5" s="299"/>
      <c r="J5" s="299"/>
      <c r="K5" s="299"/>
      <c r="L5" s="299"/>
      <c r="M5" s="299"/>
      <c r="N5" s="299"/>
      <c r="O5" s="299"/>
      <c r="P5" s="299"/>
      <c r="Q5" s="299"/>
      <c r="R5" s="299"/>
      <c r="S5" s="299"/>
      <c r="T5" s="300"/>
      <c r="U5" s="159"/>
      <c r="V5" s="159"/>
      <c r="W5" s="212"/>
    </row>
    <row r="6" spans="1:24" s="152" customFormat="1" ht="27" customHeight="1" x14ac:dyDescent="0.25">
      <c r="A6" s="314" t="s">
        <v>297</v>
      </c>
      <c r="B6" s="314"/>
      <c r="C6" s="314"/>
      <c r="D6" s="314"/>
      <c r="E6" s="314"/>
      <c r="F6" s="314"/>
      <c r="G6" s="314"/>
      <c r="H6" s="314"/>
      <c r="I6" s="314"/>
      <c r="J6" s="314"/>
      <c r="K6" s="314"/>
      <c r="L6" s="314"/>
      <c r="M6" s="314"/>
      <c r="N6" s="314"/>
      <c r="O6" s="314"/>
      <c r="P6" s="314"/>
      <c r="Q6" s="314"/>
      <c r="R6" s="314"/>
      <c r="S6" s="314"/>
      <c r="T6" s="314"/>
      <c r="W6" s="211"/>
    </row>
    <row r="7" spans="1:24" s="152" customFormat="1" ht="81" customHeight="1" thickBot="1" x14ac:dyDescent="0.3">
      <c r="A7" s="313" t="s">
        <v>321</v>
      </c>
      <c r="B7" s="313"/>
      <c r="C7" s="313"/>
      <c r="D7" s="313"/>
      <c r="E7" s="313"/>
      <c r="F7" s="313"/>
      <c r="G7" s="313"/>
      <c r="H7" s="313"/>
      <c r="I7" s="313"/>
      <c r="J7" s="313"/>
      <c r="K7" s="313"/>
      <c r="L7" s="313"/>
      <c r="M7" s="313"/>
      <c r="N7" s="313"/>
      <c r="O7" s="313"/>
      <c r="P7" s="313"/>
      <c r="Q7" s="313"/>
      <c r="R7" s="313"/>
      <c r="S7" s="313"/>
      <c r="T7" s="313"/>
      <c r="U7" s="210"/>
      <c r="V7" s="210"/>
      <c r="W7" s="209"/>
    </row>
    <row r="8" spans="1:24" s="152" customFormat="1" ht="26.25" customHeight="1" thickBot="1" x14ac:dyDescent="0.3">
      <c r="A8" s="208"/>
      <c r="B8" s="208"/>
      <c r="C8" s="208"/>
      <c r="D8" s="208"/>
      <c r="E8" s="208"/>
      <c r="F8" s="208"/>
      <c r="G8" s="208"/>
      <c r="H8" s="208"/>
      <c r="I8" s="208"/>
      <c r="J8" s="208"/>
      <c r="K8" s="208"/>
      <c r="L8" s="208"/>
      <c r="M8" s="208"/>
      <c r="N8" s="208"/>
      <c r="O8" s="208"/>
      <c r="P8" s="208"/>
      <c r="Q8" s="208"/>
      <c r="R8" s="208"/>
      <c r="S8" s="208"/>
      <c r="T8" s="207"/>
      <c r="X8" s="206"/>
    </row>
    <row r="9" spans="1:24" s="152" customFormat="1" ht="39.75" customHeight="1" thickBot="1" x14ac:dyDescent="0.3">
      <c r="A9" s="303"/>
      <c r="B9" s="303"/>
      <c r="C9" s="303" t="b">
        <v>0</v>
      </c>
      <c r="D9" s="303"/>
      <c r="E9" s="303"/>
      <c r="F9" s="303"/>
      <c r="G9" s="303"/>
      <c r="H9" s="303"/>
      <c r="I9" s="303"/>
      <c r="J9" s="303"/>
      <c r="K9" s="303"/>
      <c r="L9" s="303"/>
      <c r="M9" s="303"/>
      <c r="N9" s="303"/>
      <c r="O9" s="303"/>
      <c r="P9" s="303"/>
      <c r="Q9" s="303"/>
      <c r="R9" s="303"/>
      <c r="S9" s="303"/>
      <c r="T9" s="304"/>
    </row>
    <row r="10" spans="1:24" s="200" customFormat="1" ht="32.25" customHeight="1" thickBot="1" x14ac:dyDescent="0.35">
      <c r="A10" s="205" t="s">
        <v>319</v>
      </c>
      <c r="B10" s="204" t="s">
        <v>318</v>
      </c>
      <c r="C10" s="204" t="s">
        <v>317</v>
      </c>
      <c r="D10" s="204" t="s">
        <v>316</v>
      </c>
      <c r="E10" s="204" t="s">
        <v>315</v>
      </c>
      <c r="F10" s="204" t="s">
        <v>314</v>
      </c>
      <c r="G10" s="204" t="s">
        <v>313</v>
      </c>
      <c r="H10" s="204" t="s">
        <v>312</v>
      </c>
      <c r="I10" s="204" t="s">
        <v>311</v>
      </c>
      <c r="J10" s="204" t="s">
        <v>310</v>
      </c>
      <c r="K10" s="204" t="s">
        <v>309</v>
      </c>
      <c r="L10" s="204" t="s">
        <v>308</v>
      </c>
      <c r="M10" s="204" t="s">
        <v>307</v>
      </c>
      <c r="N10" s="204" t="s">
        <v>306</v>
      </c>
      <c r="O10" s="204" t="s">
        <v>305</v>
      </c>
      <c r="P10" s="204" t="s">
        <v>304</v>
      </c>
      <c r="Q10" s="204" t="s">
        <v>303</v>
      </c>
      <c r="R10" s="203" t="s">
        <v>302</v>
      </c>
      <c r="S10" s="202" t="s">
        <v>299</v>
      </c>
      <c r="T10" s="201" t="s">
        <v>301</v>
      </c>
    </row>
    <row r="11" spans="1:24" ht="78" customHeight="1" x14ac:dyDescent="0.3">
      <c r="A11" s="220">
        <v>1</v>
      </c>
      <c r="B11" s="183" t="s">
        <v>295</v>
      </c>
      <c r="C11" s="197">
        <v>4</v>
      </c>
      <c r="D11" s="197">
        <v>3</v>
      </c>
      <c r="E11" s="197">
        <v>4</v>
      </c>
      <c r="F11" s="197">
        <v>4</v>
      </c>
      <c r="G11" s="197"/>
      <c r="H11" s="197"/>
      <c r="I11" s="197"/>
      <c r="J11" s="197"/>
      <c r="K11" s="197"/>
      <c r="L11" s="197"/>
      <c r="M11" s="197"/>
      <c r="N11" s="197"/>
      <c r="O11" s="197"/>
      <c r="P11" s="197"/>
      <c r="Q11" s="197"/>
      <c r="R11" s="196">
        <f t="shared" ref="R11:R39" si="0">SUM(C11:Q11)</f>
        <v>15</v>
      </c>
      <c r="S11" s="195">
        <f t="shared" ref="S11:S39" si="1">IF(ISERROR(AVERAGE(C11:Q11)),0,AVERAGE(C11:Q11))</f>
        <v>3.75</v>
      </c>
      <c r="T11" s="199"/>
    </row>
    <row r="12" spans="1:24" ht="52.2" customHeight="1" x14ac:dyDescent="0.3">
      <c r="A12" s="220">
        <v>2</v>
      </c>
      <c r="B12" s="182" t="s">
        <v>291</v>
      </c>
      <c r="C12" s="197">
        <v>4</v>
      </c>
      <c r="D12" s="197">
        <v>4</v>
      </c>
      <c r="E12" s="197">
        <v>4</v>
      </c>
      <c r="F12" s="197">
        <v>4</v>
      </c>
      <c r="G12" s="197"/>
      <c r="H12" s="197"/>
      <c r="I12" s="197"/>
      <c r="J12" s="197"/>
      <c r="K12" s="197"/>
      <c r="L12" s="197"/>
      <c r="M12" s="197"/>
      <c r="N12" s="197"/>
      <c r="O12" s="197"/>
      <c r="P12" s="197"/>
      <c r="Q12" s="197"/>
      <c r="R12" s="196">
        <f t="shared" si="0"/>
        <v>16</v>
      </c>
      <c r="S12" s="195">
        <f t="shared" si="1"/>
        <v>4</v>
      </c>
      <c r="T12" s="198"/>
    </row>
    <row r="13" spans="1:24" ht="65.25" customHeight="1" x14ac:dyDescent="0.3">
      <c r="A13" s="220">
        <v>3</v>
      </c>
      <c r="B13" s="182" t="s">
        <v>288</v>
      </c>
      <c r="C13" s="197">
        <v>3</v>
      </c>
      <c r="D13" s="197">
        <v>3</v>
      </c>
      <c r="E13" s="197">
        <v>3</v>
      </c>
      <c r="F13" s="197">
        <v>2</v>
      </c>
      <c r="G13" s="197"/>
      <c r="H13" s="197"/>
      <c r="I13" s="197"/>
      <c r="J13" s="197"/>
      <c r="K13" s="197"/>
      <c r="L13" s="197"/>
      <c r="M13" s="197"/>
      <c r="N13" s="197"/>
      <c r="O13" s="197"/>
      <c r="P13" s="197"/>
      <c r="Q13" s="197"/>
      <c r="R13" s="196">
        <f t="shared" si="0"/>
        <v>11</v>
      </c>
      <c r="S13" s="195">
        <f t="shared" si="1"/>
        <v>2.75</v>
      </c>
      <c r="T13" s="194"/>
    </row>
    <row r="14" spans="1:24" ht="66" customHeight="1" x14ac:dyDescent="0.3">
      <c r="A14" s="220">
        <v>4</v>
      </c>
      <c r="B14" s="167" t="s">
        <v>284</v>
      </c>
      <c r="C14" s="197">
        <v>5</v>
      </c>
      <c r="D14" s="197">
        <v>5</v>
      </c>
      <c r="E14" s="197">
        <v>4</v>
      </c>
      <c r="F14" s="197">
        <v>4</v>
      </c>
      <c r="G14" s="197"/>
      <c r="H14" s="197"/>
      <c r="I14" s="197"/>
      <c r="J14" s="197"/>
      <c r="K14" s="197"/>
      <c r="L14" s="197"/>
      <c r="M14" s="197"/>
      <c r="N14" s="197"/>
      <c r="O14" s="197"/>
      <c r="P14" s="197"/>
      <c r="Q14" s="197"/>
      <c r="R14" s="196">
        <f t="shared" si="0"/>
        <v>18</v>
      </c>
      <c r="S14" s="195">
        <f t="shared" si="1"/>
        <v>4.5</v>
      </c>
      <c r="T14" s="194"/>
    </row>
    <row r="15" spans="1:24" ht="80.400000000000006" customHeight="1" x14ac:dyDescent="0.3">
      <c r="A15" s="220">
        <v>5</v>
      </c>
      <c r="B15" s="167" t="s">
        <v>282</v>
      </c>
      <c r="C15" s="197">
        <v>3</v>
      </c>
      <c r="D15" s="197">
        <v>4</v>
      </c>
      <c r="E15" s="197">
        <v>3</v>
      </c>
      <c r="F15" s="197">
        <v>3</v>
      </c>
      <c r="G15" s="197"/>
      <c r="H15" s="197"/>
      <c r="I15" s="197"/>
      <c r="J15" s="197"/>
      <c r="K15" s="197"/>
      <c r="L15" s="197"/>
      <c r="M15" s="197"/>
      <c r="N15" s="197"/>
      <c r="O15" s="197"/>
      <c r="P15" s="197"/>
      <c r="Q15" s="197"/>
      <c r="R15" s="196">
        <f t="shared" si="0"/>
        <v>13</v>
      </c>
      <c r="S15" s="195">
        <f t="shared" si="1"/>
        <v>3.25</v>
      </c>
      <c r="T15" s="194"/>
    </row>
    <row r="16" spans="1:24" ht="75" customHeight="1" x14ac:dyDescent="0.3">
      <c r="A16" s="220">
        <v>6</v>
      </c>
      <c r="B16" s="167" t="s">
        <v>280</v>
      </c>
      <c r="C16" s="197">
        <v>5</v>
      </c>
      <c r="D16" s="197">
        <v>4</v>
      </c>
      <c r="E16" s="197">
        <v>5</v>
      </c>
      <c r="F16" s="197">
        <v>4</v>
      </c>
      <c r="G16" s="197"/>
      <c r="H16" s="197"/>
      <c r="I16" s="197"/>
      <c r="J16" s="197"/>
      <c r="K16" s="197"/>
      <c r="L16" s="197"/>
      <c r="M16" s="197"/>
      <c r="N16" s="197"/>
      <c r="O16" s="197"/>
      <c r="P16" s="197"/>
      <c r="Q16" s="197"/>
      <c r="R16" s="196">
        <f t="shared" si="0"/>
        <v>18</v>
      </c>
      <c r="S16" s="195">
        <f t="shared" si="1"/>
        <v>4.5</v>
      </c>
      <c r="T16" s="194"/>
    </row>
    <row r="17" spans="1:20" ht="45.6" customHeight="1" x14ac:dyDescent="0.3">
      <c r="A17" s="220">
        <v>7</v>
      </c>
      <c r="B17" s="167" t="s">
        <v>277</v>
      </c>
      <c r="C17" s="197">
        <v>4</v>
      </c>
      <c r="D17" s="197">
        <v>4</v>
      </c>
      <c r="E17" s="197">
        <v>3</v>
      </c>
      <c r="F17" s="197">
        <v>4</v>
      </c>
      <c r="G17" s="197"/>
      <c r="H17" s="197"/>
      <c r="I17" s="197"/>
      <c r="J17" s="197"/>
      <c r="K17" s="197"/>
      <c r="L17" s="197"/>
      <c r="M17" s="197"/>
      <c r="N17" s="197"/>
      <c r="O17" s="197"/>
      <c r="P17" s="197"/>
      <c r="Q17" s="197"/>
      <c r="R17" s="196">
        <f t="shared" si="0"/>
        <v>15</v>
      </c>
      <c r="S17" s="195">
        <f t="shared" si="1"/>
        <v>3.75</v>
      </c>
      <c r="T17" s="194"/>
    </row>
    <row r="18" spans="1:20" ht="46.5" customHeight="1" x14ac:dyDescent="0.3">
      <c r="A18" s="220">
        <v>8</v>
      </c>
      <c r="B18" s="167" t="s">
        <v>275</v>
      </c>
      <c r="C18" s="197">
        <v>5</v>
      </c>
      <c r="D18" s="197">
        <v>5</v>
      </c>
      <c r="E18" s="197">
        <v>5</v>
      </c>
      <c r="F18" s="197">
        <v>5</v>
      </c>
      <c r="G18" s="197"/>
      <c r="H18" s="197"/>
      <c r="I18" s="197"/>
      <c r="J18" s="197"/>
      <c r="K18" s="197"/>
      <c r="L18" s="197"/>
      <c r="M18" s="197"/>
      <c r="N18" s="197"/>
      <c r="O18" s="197"/>
      <c r="P18" s="197"/>
      <c r="Q18" s="197"/>
      <c r="R18" s="196">
        <f t="shared" si="0"/>
        <v>20</v>
      </c>
      <c r="S18" s="195">
        <f t="shared" si="1"/>
        <v>5</v>
      </c>
      <c r="T18" s="194"/>
    </row>
    <row r="19" spans="1:20" ht="52.2" customHeight="1" thickBot="1" x14ac:dyDescent="0.35">
      <c r="A19" s="220">
        <v>9</v>
      </c>
      <c r="B19" s="167" t="s">
        <v>273</v>
      </c>
      <c r="C19" s="197">
        <v>5</v>
      </c>
      <c r="D19" s="197">
        <v>5</v>
      </c>
      <c r="E19" s="197">
        <v>5</v>
      </c>
      <c r="F19" s="197">
        <v>5</v>
      </c>
      <c r="G19" s="197"/>
      <c r="H19" s="197"/>
      <c r="I19" s="197"/>
      <c r="J19" s="197"/>
      <c r="K19" s="197"/>
      <c r="L19" s="197"/>
      <c r="M19" s="197"/>
      <c r="N19" s="197"/>
      <c r="O19" s="197"/>
      <c r="P19" s="197"/>
      <c r="Q19" s="197"/>
      <c r="R19" s="196">
        <f t="shared" si="0"/>
        <v>20</v>
      </c>
      <c r="S19" s="195">
        <f t="shared" si="1"/>
        <v>5</v>
      </c>
      <c r="T19" s="194"/>
    </row>
    <row r="20" spans="1:20" ht="61.8" customHeight="1" x14ac:dyDescent="0.3">
      <c r="A20" s="224">
        <v>10</v>
      </c>
      <c r="B20" s="183" t="s">
        <v>294</v>
      </c>
      <c r="C20" s="197">
        <v>5</v>
      </c>
      <c r="D20" s="197">
        <v>5</v>
      </c>
      <c r="E20" s="197">
        <v>3</v>
      </c>
      <c r="F20" s="197">
        <v>4</v>
      </c>
      <c r="G20" s="197"/>
      <c r="H20" s="197"/>
      <c r="I20" s="197"/>
      <c r="J20" s="197"/>
      <c r="K20" s="197"/>
      <c r="L20" s="197"/>
      <c r="M20" s="197"/>
      <c r="N20" s="197"/>
      <c r="O20" s="197"/>
      <c r="P20" s="197"/>
      <c r="Q20" s="197"/>
      <c r="R20" s="196">
        <f t="shared" si="0"/>
        <v>17</v>
      </c>
      <c r="S20" s="195">
        <f t="shared" si="1"/>
        <v>4.25</v>
      </c>
      <c r="T20" s="194"/>
    </row>
    <row r="21" spans="1:20" ht="57" customHeight="1" x14ac:dyDescent="0.3">
      <c r="A21" s="224">
        <v>11</v>
      </c>
      <c r="B21" s="167" t="s">
        <v>290</v>
      </c>
      <c r="C21" s="197">
        <v>4</v>
      </c>
      <c r="D21" s="197">
        <v>4</v>
      </c>
      <c r="E21" s="197">
        <v>4</v>
      </c>
      <c r="F21" s="197">
        <v>5</v>
      </c>
      <c r="G21" s="197"/>
      <c r="H21" s="197"/>
      <c r="I21" s="197"/>
      <c r="J21" s="197"/>
      <c r="K21" s="197"/>
      <c r="L21" s="197"/>
      <c r="M21" s="197"/>
      <c r="N21" s="197"/>
      <c r="O21" s="197"/>
      <c r="P21" s="197"/>
      <c r="Q21" s="197"/>
      <c r="R21" s="196">
        <f t="shared" si="0"/>
        <v>17</v>
      </c>
      <c r="S21" s="195">
        <f t="shared" si="1"/>
        <v>4.25</v>
      </c>
      <c r="T21" s="194"/>
    </row>
    <row r="22" spans="1:20" ht="88.8" customHeight="1" x14ac:dyDescent="0.3">
      <c r="A22" s="224">
        <v>12</v>
      </c>
      <c r="B22" s="167" t="s">
        <v>287</v>
      </c>
      <c r="C22" s="197">
        <v>5</v>
      </c>
      <c r="D22" s="197">
        <v>5</v>
      </c>
      <c r="E22" s="197">
        <v>5</v>
      </c>
      <c r="F22" s="197">
        <v>5</v>
      </c>
      <c r="G22" s="197"/>
      <c r="H22" s="197"/>
      <c r="I22" s="197"/>
      <c r="J22" s="197"/>
      <c r="K22" s="197"/>
      <c r="L22" s="197"/>
      <c r="M22" s="197"/>
      <c r="N22" s="197"/>
      <c r="O22" s="197"/>
      <c r="P22" s="197"/>
      <c r="Q22" s="197"/>
      <c r="R22" s="196">
        <f t="shared" si="0"/>
        <v>20</v>
      </c>
      <c r="S22" s="195">
        <f t="shared" si="1"/>
        <v>5</v>
      </c>
      <c r="T22" s="194"/>
    </row>
    <row r="23" spans="1:20" ht="60.6" customHeight="1" x14ac:dyDescent="0.3">
      <c r="A23" s="224">
        <v>13</v>
      </c>
      <c r="B23" s="167" t="s">
        <v>283</v>
      </c>
      <c r="C23" s="197">
        <v>5</v>
      </c>
      <c r="D23" s="197">
        <v>5</v>
      </c>
      <c r="E23" s="197">
        <v>3</v>
      </c>
      <c r="F23" s="197">
        <v>5</v>
      </c>
      <c r="G23" s="197"/>
      <c r="H23" s="197"/>
      <c r="I23" s="197"/>
      <c r="J23" s="197"/>
      <c r="K23" s="197"/>
      <c r="L23" s="197"/>
      <c r="M23" s="197"/>
      <c r="N23" s="197"/>
      <c r="O23" s="197"/>
      <c r="P23" s="197"/>
      <c r="Q23" s="197"/>
      <c r="R23" s="196">
        <f t="shared" si="0"/>
        <v>18</v>
      </c>
      <c r="S23" s="195">
        <f t="shared" si="1"/>
        <v>4.5</v>
      </c>
      <c r="T23" s="194"/>
    </row>
    <row r="24" spans="1:20" ht="63.6" customHeight="1" x14ac:dyDescent="0.3">
      <c r="A24" s="224">
        <v>14</v>
      </c>
      <c r="B24" s="167" t="s">
        <v>281</v>
      </c>
      <c r="C24" s="197">
        <v>4</v>
      </c>
      <c r="D24" s="197">
        <v>4</v>
      </c>
      <c r="E24" s="197">
        <v>5</v>
      </c>
      <c r="F24" s="197">
        <v>4</v>
      </c>
      <c r="G24" s="197"/>
      <c r="H24" s="197"/>
      <c r="I24" s="197"/>
      <c r="J24" s="197"/>
      <c r="K24" s="197"/>
      <c r="L24" s="197"/>
      <c r="M24" s="197"/>
      <c r="N24" s="197"/>
      <c r="O24" s="197"/>
      <c r="P24" s="197"/>
      <c r="Q24" s="197"/>
      <c r="R24" s="196">
        <f t="shared" si="0"/>
        <v>17</v>
      </c>
      <c r="S24" s="195">
        <f t="shared" si="1"/>
        <v>4.25</v>
      </c>
      <c r="T24" s="194"/>
    </row>
    <row r="25" spans="1:20" ht="69.599999999999994" customHeight="1" x14ac:dyDescent="0.3">
      <c r="A25" s="224">
        <v>15</v>
      </c>
      <c r="B25" s="167" t="s">
        <v>279</v>
      </c>
      <c r="C25" s="197">
        <v>5</v>
      </c>
      <c r="D25" s="197">
        <v>5</v>
      </c>
      <c r="E25" s="197">
        <v>5</v>
      </c>
      <c r="F25" s="197">
        <v>5</v>
      </c>
      <c r="G25" s="197"/>
      <c r="H25" s="197"/>
      <c r="I25" s="197"/>
      <c r="J25" s="197"/>
      <c r="K25" s="197"/>
      <c r="L25" s="197"/>
      <c r="M25" s="197"/>
      <c r="N25" s="197"/>
      <c r="O25" s="197"/>
      <c r="P25" s="197"/>
      <c r="Q25" s="197"/>
      <c r="R25" s="196">
        <f t="shared" si="0"/>
        <v>20</v>
      </c>
      <c r="S25" s="195">
        <f t="shared" si="1"/>
        <v>5</v>
      </c>
      <c r="T25" s="194"/>
    </row>
    <row r="26" spans="1:20" ht="48.75" customHeight="1" x14ac:dyDescent="0.3">
      <c r="A26" s="224">
        <v>16</v>
      </c>
      <c r="B26" s="167" t="s">
        <v>276</v>
      </c>
      <c r="C26" s="197">
        <v>5</v>
      </c>
      <c r="D26" s="197">
        <v>5</v>
      </c>
      <c r="E26" s="197">
        <v>5</v>
      </c>
      <c r="F26" s="197">
        <v>5</v>
      </c>
      <c r="G26" s="197"/>
      <c r="H26" s="197"/>
      <c r="I26" s="197"/>
      <c r="J26" s="197"/>
      <c r="K26" s="197"/>
      <c r="L26" s="197"/>
      <c r="M26" s="197"/>
      <c r="N26" s="197"/>
      <c r="O26" s="197"/>
      <c r="P26" s="197"/>
      <c r="Q26" s="197"/>
      <c r="R26" s="196">
        <f t="shared" si="0"/>
        <v>20</v>
      </c>
      <c r="S26" s="195">
        <f t="shared" si="1"/>
        <v>5</v>
      </c>
      <c r="T26" s="194"/>
    </row>
    <row r="27" spans="1:20" ht="39.75" customHeight="1" x14ac:dyDescent="0.3">
      <c r="A27" s="224">
        <v>17</v>
      </c>
      <c r="B27" s="167" t="s">
        <v>274</v>
      </c>
      <c r="C27" s="197">
        <v>5</v>
      </c>
      <c r="D27" s="197">
        <v>4</v>
      </c>
      <c r="E27" s="197">
        <v>4</v>
      </c>
      <c r="F27" s="197">
        <v>4</v>
      </c>
      <c r="G27" s="197"/>
      <c r="H27" s="197"/>
      <c r="I27" s="197"/>
      <c r="J27" s="197"/>
      <c r="K27" s="197"/>
      <c r="L27" s="197"/>
      <c r="M27" s="197"/>
      <c r="N27" s="197"/>
      <c r="O27" s="197"/>
      <c r="P27" s="197"/>
      <c r="Q27" s="197"/>
      <c r="R27" s="196">
        <f t="shared" si="0"/>
        <v>17</v>
      </c>
      <c r="S27" s="195">
        <f t="shared" si="1"/>
        <v>4.25</v>
      </c>
      <c r="T27" s="194"/>
    </row>
    <row r="28" spans="1:20" ht="39.75" customHeight="1" x14ac:dyDescent="0.3">
      <c r="A28" s="224">
        <v>18</v>
      </c>
      <c r="B28" s="166" t="s">
        <v>272</v>
      </c>
      <c r="C28" s="197">
        <v>3</v>
      </c>
      <c r="D28" s="197">
        <v>3</v>
      </c>
      <c r="E28" s="197">
        <v>3</v>
      </c>
      <c r="F28" s="197">
        <v>3</v>
      </c>
      <c r="G28" s="197"/>
      <c r="H28" s="197"/>
      <c r="I28" s="197"/>
      <c r="J28" s="197"/>
      <c r="K28" s="197"/>
      <c r="L28" s="197"/>
      <c r="M28" s="197"/>
      <c r="N28" s="197"/>
      <c r="O28" s="197"/>
      <c r="P28" s="197"/>
      <c r="Q28" s="197"/>
      <c r="R28" s="196">
        <f t="shared" si="0"/>
        <v>12</v>
      </c>
      <c r="S28" s="195">
        <f t="shared" si="1"/>
        <v>3</v>
      </c>
      <c r="T28" s="194"/>
    </row>
    <row r="29" spans="1:20" ht="48" customHeight="1" x14ac:dyDescent="0.3">
      <c r="A29" s="224">
        <v>19</v>
      </c>
      <c r="B29" s="166" t="s">
        <v>271</v>
      </c>
      <c r="C29" s="197">
        <v>2</v>
      </c>
      <c r="D29" s="197">
        <v>3</v>
      </c>
      <c r="E29" s="197">
        <v>2</v>
      </c>
      <c r="F29" s="197">
        <v>3</v>
      </c>
      <c r="G29" s="197"/>
      <c r="H29" s="197"/>
      <c r="I29" s="197"/>
      <c r="J29" s="197"/>
      <c r="K29" s="197"/>
      <c r="L29" s="197"/>
      <c r="M29" s="197"/>
      <c r="N29" s="197"/>
      <c r="O29" s="197"/>
      <c r="P29" s="197"/>
      <c r="Q29" s="197"/>
      <c r="R29" s="196">
        <f t="shared" si="0"/>
        <v>10</v>
      </c>
      <c r="S29" s="195">
        <f t="shared" si="1"/>
        <v>2.5</v>
      </c>
      <c r="T29" s="194"/>
    </row>
    <row r="30" spans="1:20" ht="39.75" customHeight="1" x14ac:dyDescent="0.3">
      <c r="A30" s="224">
        <v>20</v>
      </c>
      <c r="B30" s="166" t="s">
        <v>270</v>
      </c>
      <c r="C30" s="197">
        <v>3</v>
      </c>
      <c r="D30" s="197">
        <v>3</v>
      </c>
      <c r="E30" s="197">
        <v>4</v>
      </c>
      <c r="F30" s="197">
        <v>4</v>
      </c>
      <c r="G30" s="197"/>
      <c r="H30" s="197"/>
      <c r="I30" s="197"/>
      <c r="J30" s="197"/>
      <c r="K30" s="197"/>
      <c r="L30" s="197"/>
      <c r="M30" s="197"/>
      <c r="N30" s="197"/>
      <c r="O30" s="197"/>
      <c r="P30" s="197"/>
      <c r="Q30" s="197"/>
      <c r="R30" s="196">
        <f t="shared" si="0"/>
        <v>14</v>
      </c>
      <c r="S30" s="195">
        <f t="shared" si="1"/>
        <v>3.5</v>
      </c>
      <c r="T30" s="194"/>
    </row>
    <row r="31" spans="1:20" ht="61.8" customHeight="1" x14ac:dyDescent="0.3">
      <c r="A31" s="224">
        <v>21</v>
      </c>
      <c r="B31" s="166" t="s">
        <v>269</v>
      </c>
      <c r="C31" s="197">
        <v>5</v>
      </c>
      <c r="D31" s="197">
        <v>5</v>
      </c>
      <c r="E31" s="197">
        <v>5</v>
      </c>
      <c r="F31" s="197">
        <v>5</v>
      </c>
      <c r="G31" s="197"/>
      <c r="H31" s="197"/>
      <c r="I31" s="197"/>
      <c r="J31" s="197"/>
      <c r="K31" s="197"/>
      <c r="L31" s="197"/>
      <c r="M31" s="197"/>
      <c r="N31" s="197"/>
      <c r="O31" s="197"/>
      <c r="P31" s="197"/>
      <c r="Q31" s="197"/>
      <c r="R31" s="196">
        <f t="shared" si="0"/>
        <v>20</v>
      </c>
      <c r="S31" s="195">
        <f t="shared" si="1"/>
        <v>5</v>
      </c>
      <c r="T31" s="194"/>
    </row>
    <row r="32" spans="1:20" ht="84" customHeight="1" x14ac:dyDescent="0.3">
      <c r="A32" s="224">
        <v>23</v>
      </c>
      <c r="B32" s="166" t="s">
        <v>268</v>
      </c>
      <c r="C32" s="197">
        <v>3</v>
      </c>
      <c r="D32" s="197">
        <v>4</v>
      </c>
      <c r="E32" s="197">
        <v>3</v>
      </c>
      <c r="F32" s="197">
        <v>3</v>
      </c>
      <c r="G32" s="197"/>
      <c r="H32" s="197"/>
      <c r="I32" s="197"/>
      <c r="J32" s="197"/>
      <c r="K32" s="197"/>
      <c r="L32" s="197"/>
      <c r="M32" s="197"/>
      <c r="N32" s="197"/>
      <c r="O32" s="197"/>
      <c r="P32" s="197"/>
      <c r="Q32" s="197"/>
      <c r="R32" s="196">
        <f t="shared" si="0"/>
        <v>13</v>
      </c>
      <c r="S32" s="195">
        <f t="shared" si="1"/>
        <v>3.25</v>
      </c>
      <c r="T32" s="194"/>
    </row>
    <row r="33" spans="1:20" ht="46.5" customHeight="1" x14ac:dyDescent="0.3">
      <c r="A33" s="224">
        <v>24</v>
      </c>
      <c r="B33" s="179" t="s">
        <v>267</v>
      </c>
      <c r="C33" s="197">
        <v>5</v>
      </c>
      <c r="D33" s="197">
        <v>5</v>
      </c>
      <c r="E33" s="197">
        <v>5</v>
      </c>
      <c r="F33" s="197">
        <v>5</v>
      </c>
      <c r="G33" s="197"/>
      <c r="H33" s="197"/>
      <c r="I33" s="197"/>
      <c r="J33" s="197"/>
      <c r="K33" s="197"/>
      <c r="L33" s="197"/>
      <c r="M33" s="197"/>
      <c r="N33" s="197"/>
      <c r="O33" s="197"/>
      <c r="P33" s="197"/>
      <c r="Q33" s="197"/>
      <c r="R33" s="196">
        <f t="shared" si="0"/>
        <v>20</v>
      </c>
      <c r="S33" s="195">
        <f t="shared" si="1"/>
        <v>5</v>
      </c>
      <c r="T33" s="194"/>
    </row>
    <row r="34" spans="1:20" ht="88.8" customHeight="1" x14ac:dyDescent="0.3">
      <c r="A34" s="224">
        <v>25</v>
      </c>
      <c r="B34" s="179" t="s">
        <v>266</v>
      </c>
      <c r="C34" s="197">
        <v>4</v>
      </c>
      <c r="D34" s="197">
        <v>4</v>
      </c>
      <c r="E34" s="197">
        <v>4</v>
      </c>
      <c r="F34" s="197">
        <v>3</v>
      </c>
      <c r="G34" s="197"/>
      <c r="H34" s="197"/>
      <c r="I34" s="197"/>
      <c r="J34" s="197"/>
      <c r="K34" s="197"/>
      <c r="L34" s="197"/>
      <c r="M34" s="197"/>
      <c r="N34" s="197"/>
      <c r="O34" s="197"/>
      <c r="P34" s="197"/>
      <c r="Q34" s="197"/>
      <c r="R34" s="196">
        <f t="shared" si="0"/>
        <v>15</v>
      </c>
      <c r="S34" s="195">
        <f t="shared" si="1"/>
        <v>3.75</v>
      </c>
      <c r="T34" s="194"/>
    </row>
    <row r="35" spans="1:20" ht="124.2" customHeight="1" x14ac:dyDescent="0.3">
      <c r="A35" s="224">
        <v>26</v>
      </c>
      <c r="B35" s="166" t="s">
        <v>265</v>
      </c>
      <c r="C35" s="197">
        <v>5</v>
      </c>
      <c r="D35" s="197">
        <v>4</v>
      </c>
      <c r="E35" s="197">
        <v>4</v>
      </c>
      <c r="F35" s="197">
        <v>3</v>
      </c>
      <c r="G35" s="197"/>
      <c r="H35" s="197"/>
      <c r="I35" s="197"/>
      <c r="J35" s="197"/>
      <c r="K35" s="197"/>
      <c r="L35" s="197"/>
      <c r="M35" s="197"/>
      <c r="N35" s="197"/>
      <c r="O35" s="197"/>
      <c r="P35" s="197"/>
      <c r="Q35" s="197"/>
      <c r="R35" s="196">
        <f t="shared" si="0"/>
        <v>16</v>
      </c>
      <c r="S35" s="195">
        <f t="shared" si="1"/>
        <v>4</v>
      </c>
      <c r="T35" s="194"/>
    </row>
    <row r="36" spans="1:20" ht="62.4" customHeight="1" x14ac:dyDescent="0.3">
      <c r="A36" s="224">
        <v>27</v>
      </c>
      <c r="B36" s="166" t="s">
        <v>264</v>
      </c>
      <c r="C36" s="197">
        <v>3</v>
      </c>
      <c r="D36" s="197">
        <v>3</v>
      </c>
      <c r="E36" s="197">
        <v>4</v>
      </c>
      <c r="F36" s="197">
        <v>4</v>
      </c>
      <c r="G36" s="197"/>
      <c r="H36" s="197"/>
      <c r="I36" s="197"/>
      <c r="J36" s="197"/>
      <c r="K36" s="197"/>
      <c r="L36" s="197"/>
      <c r="M36" s="197"/>
      <c r="N36" s="197"/>
      <c r="O36" s="197"/>
      <c r="P36" s="197"/>
      <c r="Q36" s="197"/>
      <c r="R36" s="196">
        <f t="shared" si="0"/>
        <v>14</v>
      </c>
      <c r="S36" s="195">
        <f t="shared" si="1"/>
        <v>3.5</v>
      </c>
      <c r="T36" s="194"/>
    </row>
    <row r="37" spans="1:20" ht="52.2" customHeight="1" x14ac:dyDescent="0.3">
      <c r="A37" s="229">
        <v>28</v>
      </c>
      <c r="B37" s="167" t="s">
        <v>293</v>
      </c>
      <c r="C37" s="197">
        <v>4</v>
      </c>
      <c r="D37" s="197">
        <v>3</v>
      </c>
      <c r="E37" s="197">
        <v>3</v>
      </c>
      <c r="F37" s="197">
        <v>4</v>
      </c>
      <c r="G37" s="197"/>
      <c r="H37" s="197"/>
      <c r="I37" s="197"/>
      <c r="J37" s="197"/>
      <c r="K37" s="197"/>
      <c r="L37" s="197"/>
      <c r="M37" s="197"/>
      <c r="N37" s="197"/>
      <c r="O37" s="197"/>
      <c r="P37" s="197"/>
      <c r="Q37" s="197"/>
      <c r="R37" s="196">
        <f t="shared" si="0"/>
        <v>14</v>
      </c>
      <c r="S37" s="195">
        <f t="shared" si="1"/>
        <v>3.5</v>
      </c>
      <c r="T37" s="194"/>
    </row>
    <row r="38" spans="1:20" ht="62.4" customHeight="1" x14ac:dyDescent="0.3">
      <c r="A38" s="229">
        <v>29</v>
      </c>
      <c r="B38" s="167" t="s">
        <v>289</v>
      </c>
      <c r="C38" s="197">
        <v>4</v>
      </c>
      <c r="D38" s="197">
        <v>4</v>
      </c>
      <c r="E38" s="197">
        <v>4</v>
      </c>
      <c r="F38" s="197">
        <v>5</v>
      </c>
      <c r="G38" s="197"/>
      <c r="H38" s="197"/>
      <c r="I38" s="197"/>
      <c r="J38" s="197"/>
      <c r="K38" s="197"/>
      <c r="L38" s="197"/>
      <c r="M38" s="197"/>
      <c r="N38" s="197"/>
      <c r="O38" s="197"/>
      <c r="P38" s="197"/>
      <c r="Q38" s="197"/>
      <c r="R38" s="196">
        <f t="shared" si="0"/>
        <v>17</v>
      </c>
      <c r="S38" s="195">
        <f t="shared" si="1"/>
        <v>4.25</v>
      </c>
      <c r="T38" s="194"/>
    </row>
    <row r="39" spans="1:20" ht="58.2" customHeight="1" thickBot="1" x14ac:dyDescent="0.35">
      <c r="A39" s="230">
        <v>30</v>
      </c>
      <c r="B39" s="167" t="s">
        <v>285</v>
      </c>
      <c r="C39" s="197">
        <v>5</v>
      </c>
      <c r="D39" s="197">
        <v>5</v>
      </c>
      <c r="E39" s="193">
        <v>4</v>
      </c>
      <c r="F39" s="193">
        <v>4</v>
      </c>
      <c r="G39" s="193"/>
      <c r="H39" s="193"/>
      <c r="I39" s="193"/>
      <c r="J39" s="193"/>
      <c r="K39" s="193"/>
      <c r="L39" s="193"/>
      <c r="M39" s="193"/>
      <c r="N39" s="193"/>
      <c r="O39" s="193"/>
      <c r="P39" s="193"/>
      <c r="Q39" s="193"/>
      <c r="R39" s="192">
        <f t="shared" si="0"/>
        <v>18</v>
      </c>
      <c r="S39" s="191">
        <f t="shared" si="1"/>
        <v>4.5</v>
      </c>
      <c r="T39" s="190"/>
    </row>
    <row r="40" spans="1:20" ht="24" customHeight="1" x14ac:dyDescent="0.3">
      <c r="A40" s="309" t="s">
        <v>300</v>
      </c>
      <c r="B40" s="310"/>
      <c r="C40" s="310"/>
      <c r="D40" s="310"/>
      <c r="E40" s="311"/>
      <c r="F40" s="311"/>
      <c r="G40" s="311"/>
      <c r="H40" s="311"/>
      <c r="I40" s="311"/>
      <c r="J40" s="311"/>
      <c r="K40" s="311"/>
      <c r="L40" s="311"/>
      <c r="M40" s="311"/>
      <c r="N40" s="311"/>
      <c r="O40" s="311"/>
      <c r="P40" s="311"/>
      <c r="Q40" s="311"/>
      <c r="R40" s="312"/>
      <c r="S40" s="189">
        <f>SUM(S11:S39)</f>
        <v>118.75</v>
      </c>
    </row>
    <row r="41" spans="1:20" ht="28.5" customHeight="1" thickBot="1" x14ac:dyDescent="0.35">
      <c r="A41" s="301" t="s">
        <v>299</v>
      </c>
      <c r="B41" s="302"/>
      <c r="C41" s="302"/>
      <c r="D41" s="302"/>
      <c r="E41" s="302"/>
      <c r="F41" s="302"/>
      <c r="G41" s="302"/>
      <c r="H41" s="302"/>
      <c r="I41" s="302"/>
      <c r="J41" s="302"/>
      <c r="K41" s="302"/>
      <c r="L41" s="302"/>
      <c r="M41" s="302"/>
      <c r="N41" s="302"/>
      <c r="O41" s="302"/>
      <c r="P41" s="302"/>
      <c r="Q41" s="302"/>
      <c r="R41" s="302"/>
      <c r="S41" s="188">
        <f>S40/A39</f>
        <v>3.9583333333333335</v>
      </c>
    </row>
  </sheetData>
  <sheetProtection selectLockedCells="1"/>
  <mergeCells count="14">
    <mergeCell ref="A1:B4"/>
    <mergeCell ref="A5:T5"/>
    <mergeCell ref="A41:R41"/>
    <mergeCell ref="A9:T9"/>
    <mergeCell ref="T1:W1"/>
    <mergeCell ref="T2:W2"/>
    <mergeCell ref="T3:W3"/>
    <mergeCell ref="T4:W4"/>
    <mergeCell ref="A40:R40"/>
    <mergeCell ref="A7:T7"/>
    <mergeCell ref="A6:T6"/>
    <mergeCell ref="C1:R2"/>
    <mergeCell ref="C3:R4"/>
    <mergeCell ref="S1:S4"/>
  </mergeCells>
  <conditionalFormatting sqref="Z14">
    <cfRule type="dataBar" priority="1">
      <dataBar>
        <cfvo type="min"/>
        <cfvo type="max"/>
        <color rgb="FFFFB628"/>
      </dataBar>
      <extLst>
        <ext xmlns:x14="http://schemas.microsoft.com/office/spreadsheetml/2009/9/main" uri="{B025F937-C7B1-47D3-B67F-A62EFF666E3E}">
          <x14:id>{55861C6E-E702-4716-9B7A-D4FB19EAFB2B}</x14:id>
        </ext>
      </extLst>
    </cfRule>
  </conditionalFormatting>
  <dataValidations count="1">
    <dataValidation type="whole" showErrorMessage="1" error="DATO INVÁLIDO_x000a_Tenga en cuenta que la escala de calificación va de 1 a 5" sqref="C11:Q39" xr:uid="{00000000-0002-0000-04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2333" r:id="rId4" name="CheckBox46">
          <controlPr defaultSize="0" autoLine="0" r:id="rId5">
            <anchor moveWithCells="1">
              <from>
                <xdr:col>19</xdr:col>
                <xdr:colOff>624840</xdr:colOff>
                <xdr:row>39</xdr:row>
                <xdr:rowOff>0</xdr:rowOff>
              </from>
              <to>
                <xdr:col>19</xdr:col>
                <xdr:colOff>914400</xdr:colOff>
                <xdr:row>39</xdr:row>
                <xdr:rowOff>259080</xdr:rowOff>
              </to>
            </anchor>
          </controlPr>
        </control>
      </mc:Choice>
      <mc:Fallback>
        <control shapeId="12333" r:id="rId4" name="CheckBox46"/>
      </mc:Fallback>
    </mc:AlternateContent>
    <mc:AlternateContent xmlns:mc="http://schemas.openxmlformats.org/markup-compatibility/2006">
      <mc:Choice Requires="x14">
        <control shapeId="12332" r:id="rId6" name="CheckBox45">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2" r:id="rId6" name="CheckBox45"/>
      </mc:Fallback>
    </mc:AlternateContent>
    <mc:AlternateContent xmlns:mc="http://schemas.openxmlformats.org/markup-compatibility/2006">
      <mc:Choice Requires="x14">
        <control shapeId="12331" r:id="rId8" name="CheckBox44">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1" r:id="rId8" name="CheckBox44"/>
      </mc:Fallback>
    </mc:AlternateContent>
    <mc:AlternateContent xmlns:mc="http://schemas.openxmlformats.org/markup-compatibility/2006">
      <mc:Choice Requires="x14">
        <control shapeId="12330" r:id="rId9" name="CheckBox43">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0" r:id="rId9" name="CheckBox43"/>
      </mc:Fallback>
    </mc:AlternateContent>
    <mc:AlternateContent xmlns:mc="http://schemas.openxmlformats.org/markup-compatibility/2006">
      <mc:Choice Requires="x14">
        <control shapeId="12329" r:id="rId10" name="CheckBox42">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9" r:id="rId10" name="CheckBox42"/>
      </mc:Fallback>
    </mc:AlternateContent>
    <mc:AlternateContent xmlns:mc="http://schemas.openxmlformats.org/markup-compatibility/2006">
      <mc:Choice Requires="x14">
        <control shapeId="12328" r:id="rId11" name="CheckBox41">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8" r:id="rId11" name="CheckBox41"/>
      </mc:Fallback>
    </mc:AlternateContent>
    <mc:AlternateContent xmlns:mc="http://schemas.openxmlformats.org/markup-compatibility/2006">
      <mc:Choice Requires="x14">
        <control shapeId="12327" r:id="rId12" name="CheckBox40">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7" r:id="rId12" name="CheckBox40"/>
      </mc:Fallback>
    </mc:AlternateContent>
    <mc:AlternateContent xmlns:mc="http://schemas.openxmlformats.org/markup-compatibility/2006">
      <mc:Choice Requires="x14">
        <control shapeId="12326" r:id="rId13" name="CheckBox39">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6" r:id="rId13" name="CheckBox39"/>
      </mc:Fallback>
    </mc:AlternateContent>
    <mc:AlternateContent xmlns:mc="http://schemas.openxmlformats.org/markup-compatibility/2006">
      <mc:Choice Requires="x14">
        <control shapeId="12325" r:id="rId14" name="CheckBox38">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5" r:id="rId14" name="CheckBox38"/>
      </mc:Fallback>
    </mc:AlternateContent>
    <mc:AlternateContent xmlns:mc="http://schemas.openxmlformats.org/markup-compatibility/2006">
      <mc:Choice Requires="x14">
        <control shapeId="12324" r:id="rId15" name="CheckBox36">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4" r:id="rId15" name="CheckBox36"/>
      </mc:Fallback>
    </mc:AlternateContent>
    <mc:AlternateContent xmlns:mc="http://schemas.openxmlformats.org/markup-compatibility/2006">
      <mc:Choice Requires="x14">
        <control shapeId="12323" r:id="rId16" name="CheckBox35">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3" r:id="rId16" name="CheckBox35"/>
      </mc:Fallback>
    </mc:AlternateContent>
    <mc:AlternateContent xmlns:mc="http://schemas.openxmlformats.org/markup-compatibility/2006">
      <mc:Choice Requires="x14">
        <control shapeId="12322" r:id="rId17" name="CheckBox34">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2" r:id="rId17" name="CheckBox34"/>
      </mc:Fallback>
    </mc:AlternateContent>
    <mc:AlternateContent xmlns:mc="http://schemas.openxmlformats.org/markup-compatibility/2006">
      <mc:Choice Requires="x14">
        <control shapeId="12321" r:id="rId18" name="CheckBox33">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1" r:id="rId18" name="CheckBox33"/>
      </mc:Fallback>
    </mc:AlternateContent>
    <mc:AlternateContent xmlns:mc="http://schemas.openxmlformats.org/markup-compatibility/2006">
      <mc:Choice Requires="x14">
        <control shapeId="12320" r:id="rId19" name="CheckBox32">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0" r:id="rId19" name="CheckBox32"/>
      </mc:Fallback>
    </mc:AlternateContent>
    <mc:AlternateContent xmlns:mc="http://schemas.openxmlformats.org/markup-compatibility/2006">
      <mc:Choice Requires="x14">
        <control shapeId="12319" r:id="rId20" name="CheckBox31">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19" r:id="rId20" name="CheckBox31"/>
      </mc:Fallback>
    </mc:AlternateContent>
    <mc:AlternateContent xmlns:mc="http://schemas.openxmlformats.org/markup-compatibility/2006">
      <mc:Choice Requires="x14">
        <control shapeId="12318" r:id="rId21" name="CheckBox30">
          <controlPr defaultSize="0" autoLine="0" r:id="rId22">
            <anchor moveWithCells="1">
              <from>
                <xdr:col>19</xdr:col>
                <xdr:colOff>624840</xdr:colOff>
                <xdr:row>38</xdr:row>
                <xdr:rowOff>167640</xdr:rowOff>
              </from>
              <to>
                <xdr:col>19</xdr:col>
                <xdr:colOff>914400</xdr:colOff>
                <xdr:row>38</xdr:row>
                <xdr:rowOff>419100</xdr:rowOff>
              </to>
            </anchor>
          </controlPr>
        </control>
      </mc:Choice>
      <mc:Fallback>
        <control shapeId="12318" r:id="rId21" name="CheckBox30"/>
      </mc:Fallback>
    </mc:AlternateContent>
    <mc:AlternateContent xmlns:mc="http://schemas.openxmlformats.org/markup-compatibility/2006">
      <mc:Choice Requires="x14">
        <control shapeId="12317" r:id="rId23" name="CheckBox29">
          <controlPr defaultSize="0" autoLine="0" r:id="rId22">
            <anchor moveWithCells="1">
              <from>
                <xdr:col>19</xdr:col>
                <xdr:colOff>624840</xdr:colOff>
                <xdr:row>37</xdr:row>
                <xdr:rowOff>167640</xdr:rowOff>
              </from>
              <to>
                <xdr:col>19</xdr:col>
                <xdr:colOff>914400</xdr:colOff>
                <xdr:row>37</xdr:row>
                <xdr:rowOff>419100</xdr:rowOff>
              </to>
            </anchor>
          </controlPr>
        </control>
      </mc:Choice>
      <mc:Fallback>
        <control shapeId="12317" r:id="rId23" name="CheckBox29"/>
      </mc:Fallback>
    </mc:AlternateContent>
    <mc:AlternateContent xmlns:mc="http://schemas.openxmlformats.org/markup-compatibility/2006">
      <mc:Choice Requires="x14">
        <control shapeId="12316" r:id="rId24" name="CheckBox28">
          <controlPr defaultSize="0" autoLine="0" r:id="rId25">
            <anchor moveWithCells="1">
              <from>
                <xdr:col>19</xdr:col>
                <xdr:colOff>624840</xdr:colOff>
                <xdr:row>36</xdr:row>
                <xdr:rowOff>167640</xdr:rowOff>
              </from>
              <to>
                <xdr:col>19</xdr:col>
                <xdr:colOff>914400</xdr:colOff>
                <xdr:row>36</xdr:row>
                <xdr:rowOff>419100</xdr:rowOff>
              </to>
            </anchor>
          </controlPr>
        </control>
      </mc:Choice>
      <mc:Fallback>
        <control shapeId="12316" r:id="rId24" name="CheckBox28"/>
      </mc:Fallback>
    </mc:AlternateContent>
    <mc:AlternateContent xmlns:mc="http://schemas.openxmlformats.org/markup-compatibility/2006">
      <mc:Choice Requires="x14">
        <control shapeId="12315" r:id="rId26" name="CheckBox27">
          <controlPr defaultSize="0" autoLine="0" r:id="rId25">
            <anchor moveWithCells="1">
              <from>
                <xdr:col>19</xdr:col>
                <xdr:colOff>624840</xdr:colOff>
                <xdr:row>35</xdr:row>
                <xdr:rowOff>167640</xdr:rowOff>
              </from>
              <to>
                <xdr:col>19</xdr:col>
                <xdr:colOff>914400</xdr:colOff>
                <xdr:row>35</xdr:row>
                <xdr:rowOff>419100</xdr:rowOff>
              </to>
            </anchor>
          </controlPr>
        </control>
      </mc:Choice>
      <mc:Fallback>
        <control shapeId="12315" r:id="rId26" name="CheckBox27"/>
      </mc:Fallback>
    </mc:AlternateContent>
    <mc:AlternateContent xmlns:mc="http://schemas.openxmlformats.org/markup-compatibility/2006">
      <mc:Choice Requires="x14">
        <control shapeId="12314" r:id="rId27" name="CheckBox26">
          <controlPr defaultSize="0" autoLine="0" r:id="rId25">
            <anchor moveWithCells="1">
              <from>
                <xdr:col>19</xdr:col>
                <xdr:colOff>624840</xdr:colOff>
                <xdr:row>34</xdr:row>
                <xdr:rowOff>167640</xdr:rowOff>
              </from>
              <to>
                <xdr:col>19</xdr:col>
                <xdr:colOff>914400</xdr:colOff>
                <xdr:row>34</xdr:row>
                <xdr:rowOff>419100</xdr:rowOff>
              </to>
            </anchor>
          </controlPr>
        </control>
      </mc:Choice>
      <mc:Fallback>
        <control shapeId="12314" r:id="rId27" name="CheckBox26"/>
      </mc:Fallback>
    </mc:AlternateContent>
    <mc:AlternateContent xmlns:mc="http://schemas.openxmlformats.org/markup-compatibility/2006">
      <mc:Choice Requires="x14">
        <control shapeId="12313" r:id="rId28" name="CheckBox25">
          <controlPr defaultSize="0" autoLine="0" r:id="rId25">
            <anchor moveWithCells="1">
              <from>
                <xdr:col>19</xdr:col>
                <xdr:colOff>624840</xdr:colOff>
                <xdr:row>33</xdr:row>
                <xdr:rowOff>167640</xdr:rowOff>
              </from>
              <to>
                <xdr:col>19</xdr:col>
                <xdr:colOff>914400</xdr:colOff>
                <xdr:row>33</xdr:row>
                <xdr:rowOff>419100</xdr:rowOff>
              </to>
            </anchor>
          </controlPr>
        </control>
      </mc:Choice>
      <mc:Fallback>
        <control shapeId="12313" r:id="rId28" name="CheckBox25"/>
      </mc:Fallback>
    </mc:AlternateContent>
    <mc:AlternateContent xmlns:mc="http://schemas.openxmlformats.org/markup-compatibility/2006">
      <mc:Choice Requires="x14">
        <control shapeId="12312" r:id="rId29" name="CheckBox24">
          <controlPr defaultSize="0" autoLine="0" r:id="rId22">
            <anchor moveWithCells="1">
              <from>
                <xdr:col>19</xdr:col>
                <xdr:colOff>624840</xdr:colOff>
                <xdr:row>32</xdr:row>
                <xdr:rowOff>167640</xdr:rowOff>
              </from>
              <to>
                <xdr:col>19</xdr:col>
                <xdr:colOff>914400</xdr:colOff>
                <xdr:row>32</xdr:row>
                <xdr:rowOff>419100</xdr:rowOff>
              </to>
            </anchor>
          </controlPr>
        </control>
      </mc:Choice>
      <mc:Fallback>
        <control shapeId="12312" r:id="rId29" name="CheckBox24"/>
      </mc:Fallback>
    </mc:AlternateContent>
    <mc:AlternateContent xmlns:mc="http://schemas.openxmlformats.org/markup-compatibility/2006">
      <mc:Choice Requires="x14">
        <control shapeId="12311" r:id="rId30" name="CheckBox23">
          <controlPr defaultSize="0" autoLine="0" r:id="rId25">
            <anchor moveWithCells="1">
              <from>
                <xdr:col>19</xdr:col>
                <xdr:colOff>624840</xdr:colOff>
                <xdr:row>31</xdr:row>
                <xdr:rowOff>167640</xdr:rowOff>
              </from>
              <to>
                <xdr:col>19</xdr:col>
                <xdr:colOff>914400</xdr:colOff>
                <xdr:row>31</xdr:row>
                <xdr:rowOff>419100</xdr:rowOff>
              </to>
            </anchor>
          </controlPr>
        </control>
      </mc:Choice>
      <mc:Fallback>
        <control shapeId="12311" r:id="rId30" name="CheckBox23"/>
      </mc:Fallback>
    </mc:AlternateContent>
    <mc:AlternateContent xmlns:mc="http://schemas.openxmlformats.org/markup-compatibility/2006">
      <mc:Choice Requires="x14">
        <control shapeId="12310" r:id="rId31" name="CheckBox22">
          <controlPr defaultSize="0" autoLine="0" r:id="rId22">
            <anchor moveWithCells="1">
              <from>
                <xdr:col>19</xdr:col>
                <xdr:colOff>624840</xdr:colOff>
                <xdr:row>31</xdr:row>
                <xdr:rowOff>0</xdr:rowOff>
              </from>
              <to>
                <xdr:col>19</xdr:col>
                <xdr:colOff>914400</xdr:colOff>
                <xdr:row>31</xdr:row>
                <xdr:rowOff>251460</xdr:rowOff>
              </to>
            </anchor>
          </controlPr>
        </control>
      </mc:Choice>
      <mc:Fallback>
        <control shapeId="12310" r:id="rId31" name="CheckBox22"/>
      </mc:Fallback>
    </mc:AlternateContent>
    <mc:AlternateContent xmlns:mc="http://schemas.openxmlformats.org/markup-compatibility/2006">
      <mc:Choice Requires="x14">
        <control shapeId="12309" r:id="rId32" name="CheckBox21">
          <controlPr defaultSize="0" autoLine="0" r:id="rId22">
            <anchor moveWithCells="1">
              <from>
                <xdr:col>19</xdr:col>
                <xdr:colOff>624840</xdr:colOff>
                <xdr:row>30</xdr:row>
                <xdr:rowOff>167640</xdr:rowOff>
              </from>
              <to>
                <xdr:col>19</xdr:col>
                <xdr:colOff>914400</xdr:colOff>
                <xdr:row>30</xdr:row>
                <xdr:rowOff>419100</xdr:rowOff>
              </to>
            </anchor>
          </controlPr>
        </control>
      </mc:Choice>
      <mc:Fallback>
        <control shapeId="12309" r:id="rId32" name="CheckBox21"/>
      </mc:Fallback>
    </mc:AlternateContent>
    <mc:AlternateContent xmlns:mc="http://schemas.openxmlformats.org/markup-compatibility/2006">
      <mc:Choice Requires="x14">
        <control shapeId="12308" r:id="rId33" name="CheckBox20">
          <controlPr defaultSize="0" autoLine="0" r:id="rId25">
            <anchor moveWithCells="1">
              <from>
                <xdr:col>19</xdr:col>
                <xdr:colOff>624840</xdr:colOff>
                <xdr:row>29</xdr:row>
                <xdr:rowOff>167640</xdr:rowOff>
              </from>
              <to>
                <xdr:col>19</xdr:col>
                <xdr:colOff>914400</xdr:colOff>
                <xdr:row>29</xdr:row>
                <xdr:rowOff>419100</xdr:rowOff>
              </to>
            </anchor>
          </controlPr>
        </control>
      </mc:Choice>
      <mc:Fallback>
        <control shapeId="12308" r:id="rId33" name="CheckBox20"/>
      </mc:Fallback>
    </mc:AlternateContent>
    <mc:AlternateContent xmlns:mc="http://schemas.openxmlformats.org/markup-compatibility/2006">
      <mc:Choice Requires="x14">
        <control shapeId="12307" r:id="rId34" name="CheckBox19">
          <controlPr defaultSize="0" autoLine="0" r:id="rId25">
            <anchor moveWithCells="1">
              <from>
                <xdr:col>19</xdr:col>
                <xdr:colOff>624840</xdr:colOff>
                <xdr:row>28</xdr:row>
                <xdr:rowOff>167640</xdr:rowOff>
              </from>
              <to>
                <xdr:col>19</xdr:col>
                <xdr:colOff>914400</xdr:colOff>
                <xdr:row>28</xdr:row>
                <xdr:rowOff>419100</xdr:rowOff>
              </to>
            </anchor>
          </controlPr>
        </control>
      </mc:Choice>
      <mc:Fallback>
        <control shapeId="12307" r:id="rId34" name="CheckBox19"/>
      </mc:Fallback>
    </mc:AlternateContent>
    <mc:AlternateContent xmlns:mc="http://schemas.openxmlformats.org/markup-compatibility/2006">
      <mc:Choice Requires="x14">
        <control shapeId="12306" r:id="rId35" name="CheckBox18">
          <controlPr defaultSize="0" autoLine="0" r:id="rId25">
            <anchor moveWithCells="1">
              <from>
                <xdr:col>19</xdr:col>
                <xdr:colOff>624840</xdr:colOff>
                <xdr:row>27</xdr:row>
                <xdr:rowOff>167640</xdr:rowOff>
              </from>
              <to>
                <xdr:col>19</xdr:col>
                <xdr:colOff>914400</xdr:colOff>
                <xdr:row>27</xdr:row>
                <xdr:rowOff>419100</xdr:rowOff>
              </to>
            </anchor>
          </controlPr>
        </control>
      </mc:Choice>
      <mc:Fallback>
        <control shapeId="12306" r:id="rId35" name="CheckBox18"/>
      </mc:Fallback>
    </mc:AlternateContent>
    <mc:AlternateContent xmlns:mc="http://schemas.openxmlformats.org/markup-compatibility/2006">
      <mc:Choice Requires="x14">
        <control shapeId="12305" r:id="rId36" name="CheckBox17">
          <controlPr defaultSize="0" autoLine="0" r:id="rId22">
            <anchor moveWithCells="1">
              <from>
                <xdr:col>19</xdr:col>
                <xdr:colOff>624840</xdr:colOff>
                <xdr:row>26</xdr:row>
                <xdr:rowOff>167640</xdr:rowOff>
              </from>
              <to>
                <xdr:col>19</xdr:col>
                <xdr:colOff>914400</xdr:colOff>
                <xdr:row>26</xdr:row>
                <xdr:rowOff>419100</xdr:rowOff>
              </to>
            </anchor>
          </controlPr>
        </control>
      </mc:Choice>
      <mc:Fallback>
        <control shapeId="12305" r:id="rId36" name="CheckBox17"/>
      </mc:Fallback>
    </mc:AlternateContent>
    <mc:AlternateContent xmlns:mc="http://schemas.openxmlformats.org/markup-compatibility/2006">
      <mc:Choice Requires="x14">
        <control shapeId="12304" r:id="rId37" name="CheckBox16">
          <controlPr defaultSize="0" autoLine="0" r:id="rId22">
            <anchor moveWithCells="1">
              <from>
                <xdr:col>19</xdr:col>
                <xdr:colOff>624840</xdr:colOff>
                <xdr:row>25</xdr:row>
                <xdr:rowOff>167640</xdr:rowOff>
              </from>
              <to>
                <xdr:col>19</xdr:col>
                <xdr:colOff>914400</xdr:colOff>
                <xdr:row>25</xdr:row>
                <xdr:rowOff>419100</xdr:rowOff>
              </to>
            </anchor>
          </controlPr>
        </control>
      </mc:Choice>
      <mc:Fallback>
        <control shapeId="12304" r:id="rId37" name="CheckBox16"/>
      </mc:Fallback>
    </mc:AlternateContent>
    <mc:AlternateContent xmlns:mc="http://schemas.openxmlformats.org/markup-compatibility/2006">
      <mc:Choice Requires="x14">
        <control shapeId="12303" r:id="rId38" name="CheckBox15">
          <controlPr defaultSize="0" autoLine="0" r:id="rId22">
            <anchor moveWithCells="1">
              <from>
                <xdr:col>19</xdr:col>
                <xdr:colOff>624840</xdr:colOff>
                <xdr:row>24</xdr:row>
                <xdr:rowOff>167640</xdr:rowOff>
              </from>
              <to>
                <xdr:col>19</xdr:col>
                <xdr:colOff>914400</xdr:colOff>
                <xdr:row>24</xdr:row>
                <xdr:rowOff>419100</xdr:rowOff>
              </to>
            </anchor>
          </controlPr>
        </control>
      </mc:Choice>
      <mc:Fallback>
        <control shapeId="12303" r:id="rId38" name="CheckBox15"/>
      </mc:Fallback>
    </mc:AlternateContent>
    <mc:AlternateContent xmlns:mc="http://schemas.openxmlformats.org/markup-compatibility/2006">
      <mc:Choice Requires="x14">
        <control shapeId="12302" r:id="rId39" name="CheckBox14">
          <controlPr defaultSize="0" autoLine="0" r:id="rId22">
            <anchor moveWithCells="1">
              <from>
                <xdr:col>19</xdr:col>
                <xdr:colOff>624840</xdr:colOff>
                <xdr:row>23</xdr:row>
                <xdr:rowOff>167640</xdr:rowOff>
              </from>
              <to>
                <xdr:col>19</xdr:col>
                <xdr:colOff>914400</xdr:colOff>
                <xdr:row>23</xdr:row>
                <xdr:rowOff>419100</xdr:rowOff>
              </to>
            </anchor>
          </controlPr>
        </control>
      </mc:Choice>
      <mc:Fallback>
        <control shapeId="12302" r:id="rId39" name="CheckBox14"/>
      </mc:Fallback>
    </mc:AlternateContent>
    <mc:AlternateContent xmlns:mc="http://schemas.openxmlformats.org/markup-compatibility/2006">
      <mc:Choice Requires="x14">
        <control shapeId="12301" r:id="rId40" name="CheckBox13">
          <controlPr defaultSize="0" autoLine="0" r:id="rId22">
            <anchor moveWithCells="1">
              <from>
                <xdr:col>19</xdr:col>
                <xdr:colOff>624840</xdr:colOff>
                <xdr:row>22</xdr:row>
                <xdr:rowOff>167640</xdr:rowOff>
              </from>
              <to>
                <xdr:col>19</xdr:col>
                <xdr:colOff>914400</xdr:colOff>
                <xdr:row>22</xdr:row>
                <xdr:rowOff>419100</xdr:rowOff>
              </to>
            </anchor>
          </controlPr>
        </control>
      </mc:Choice>
      <mc:Fallback>
        <control shapeId="12301" r:id="rId40" name="CheckBox13"/>
      </mc:Fallback>
    </mc:AlternateContent>
    <mc:AlternateContent xmlns:mc="http://schemas.openxmlformats.org/markup-compatibility/2006">
      <mc:Choice Requires="x14">
        <control shapeId="12300" r:id="rId41" name="CheckBox12">
          <controlPr defaultSize="0" autoLine="0" r:id="rId22">
            <anchor moveWithCells="1">
              <from>
                <xdr:col>19</xdr:col>
                <xdr:colOff>624840</xdr:colOff>
                <xdr:row>21</xdr:row>
                <xdr:rowOff>167640</xdr:rowOff>
              </from>
              <to>
                <xdr:col>19</xdr:col>
                <xdr:colOff>914400</xdr:colOff>
                <xdr:row>21</xdr:row>
                <xdr:rowOff>419100</xdr:rowOff>
              </to>
            </anchor>
          </controlPr>
        </control>
      </mc:Choice>
      <mc:Fallback>
        <control shapeId="12300" r:id="rId41" name="CheckBox12"/>
      </mc:Fallback>
    </mc:AlternateContent>
    <mc:AlternateContent xmlns:mc="http://schemas.openxmlformats.org/markup-compatibility/2006">
      <mc:Choice Requires="x14">
        <control shapeId="12299" r:id="rId42" name="CheckBox11">
          <controlPr defaultSize="0" autoLine="0" r:id="rId22">
            <anchor moveWithCells="1">
              <from>
                <xdr:col>19</xdr:col>
                <xdr:colOff>624840</xdr:colOff>
                <xdr:row>20</xdr:row>
                <xdr:rowOff>167640</xdr:rowOff>
              </from>
              <to>
                <xdr:col>19</xdr:col>
                <xdr:colOff>914400</xdr:colOff>
                <xdr:row>20</xdr:row>
                <xdr:rowOff>419100</xdr:rowOff>
              </to>
            </anchor>
          </controlPr>
        </control>
      </mc:Choice>
      <mc:Fallback>
        <control shapeId="12299" r:id="rId42" name="CheckBox11"/>
      </mc:Fallback>
    </mc:AlternateContent>
    <mc:AlternateContent xmlns:mc="http://schemas.openxmlformats.org/markup-compatibility/2006">
      <mc:Choice Requires="x14">
        <control shapeId="12298" r:id="rId43" name="CheckBox10">
          <controlPr defaultSize="0" autoLine="0" r:id="rId22">
            <anchor moveWithCells="1">
              <from>
                <xdr:col>19</xdr:col>
                <xdr:colOff>624840</xdr:colOff>
                <xdr:row>19</xdr:row>
                <xdr:rowOff>167640</xdr:rowOff>
              </from>
              <to>
                <xdr:col>19</xdr:col>
                <xdr:colOff>914400</xdr:colOff>
                <xdr:row>19</xdr:row>
                <xdr:rowOff>419100</xdr:rowOff>
              </to>
            </anchor>
          </controlPr>
        </control>
      </mc:Choice>
      <mc:Fallback>
        <control shapeId="12298" r:id="rId43" name="CheckBox10"/>
      </mc:Fallback>
    </mc:AlternateContent>
    <mc:AlternateContent xmlns:mc="http://schemas.openxmlformats.org/markup-compatibility/2006">
      <mc:Choice Requires="x14">
        <control shapeId="12297" r:id="rId44" name="CheckBox9">
          <controlPr defaultSize="0" autoLine="0" r:id="rId22">
            <anchor moveWithCells="1">
              <from>
                <xdr:col>19</xdr:col>
                <xdr:colOff>624840</xdr:colOff>
                <xdr:row>18</xdr:row>
                <xdr:rowOff>167640</xdr:rowOff>
              </from>
              <to>
                <xdr:col>19</xdr:col>
                <xdr:colOff>914400</xdr:colOff>
                <xdr:row>18</xdr:row>
                <xdr:rowOff>419100</xdr:rowOff>
              </to>
            </anchor>
          </controlPr>
        </control>
      </mc:Choice>
      <mc:Fallback>
        <control shapeId="12297" r:id="rId44" name="CheckBox9"/>
      </mc:Fallback>
    </mc:AlternateContent>
    <mc:AlternateContent xmlns:mc="http://schemas.openxmlformats.org/markup-compatibility/2006">
      <mc:Choice Requires="x14">
        <control shapeId="12296" r:id="rId45" name="CheckBox8">
          <controlPr defaultSize="0" autoLine="0" r:id="rId22">
            <anchor moveWithCells="1">
              <from>
                <xdr:col>19</xdr:col>
                <xdr:colOff>624840</xdr:colOff>
                <xdr:row>17</xdr:row>
                <xdr:rowOff>167640</xdr:rowOff>
              </from>
              <to>
                <xdr:col>19</xdr:col>
                <xdr:colOff>914400</xdr:colOff>
                <xdr:row>17</xdr:row>
                <xdr:rowOff>419100</xdr:rowOff>
              </to>
            </anchor>
          </controlPr>
        </control>
      </mc:Choice>
      <mc:Fallback>
        <control shapeId="12296" r:id="rId45" name="CheckBox8"/>
      </mc:Fallback>
    </mc:AlternateContent>
    <mc:AlternateContent xmlns:mc="http://schemas.openxmlformats.org/markup-compatibility/2006">
      <mc:Choice Requires="x14">
        <control shapeId="12295" r:id="rId46" name="CheckBox7">
          <controlPr defaultSize="0" autoLine="0" r:id="rId25">
            <anchor moveWithCells="1">
              <from>
                <xdr:col>19</xdr:col>
                <xdr:colOff>624840</xdr:colOff>
                <xdr:row>16</xdr:row>
                <xdr:rowOff>167640</xdr:rowOff>
              </from>
              <to>
                <xdr:col>19</xdr:col>
                <xdr:colOff>914400</xdr:colOff>
                <xdr:row>16</xdr:row>
                <xdr:rowOff>419100</xdr:rowOff>
              </to>
            </anchor>
          </controlPr>
        </control>
      </mc:Choice>
      <mc:Fallback>
        <control shapeId="12295" r:id="rId46" name="CheckBox7"/>
      </mc:Fallback>
    </mc:AlternateContent>
    <mc:AlternateContent xmlns:mc="http://schemas.openxmlformats.org/markup-compatibility/2006">
      <mc:Choice Requires="x14">
        <control shapeId="12294" r:id="rId47" name="CheckBox6">
          <controlPr defaultSize="0" autoLine="0" r:id="rId22">
            <anchor moveWithCells="1">
              <from>
                <xdr:col>19</xdr:col>
                <xdr:colOff>624840</xdr:colOff>
                <xdr:row>15</xdr:row>
                <xdr:rowOff>167640</xdr:rowOff>
              </from>
              <to>
                <xdr:col>19</xdr:col>
                <xdr:colOff>914400</xdr:colOff>
                <xdr:row>15</xdr:row>
                <xdr:rowOff>419100</xdr:rowOff>
              </to>
            </anchor>
          </controlPr>
        </control>
      </mc:Choice>
      <mc:Fallback>
        <control shapeId="12294" r:id="rId47" name="CheckBox6"/>
      </mc:Fallback>
    </mc:AlternateContent>
    <mc:AlternateContent xmlns:mc="http://schemas.openxmlformats.org/markup-compatibility/2006">
      <mc:Choice Requires="x14">
        <control shapeId="12293" r:id="rId48" name="CheckBox5">
          <controlPr defaultSize="0" autoLine="0" r:id="rId7">
            <anchor moveWithCells="1">
              <from>
                <xdr:col>19</xdr:col>
                <xdr:colOff>624840</xdr:colOff>
                <xdr:row>14</xdr:row>
                <xdr:rowOff>175260</xdr:rowOff>
              </from>
              <to>
                <xdr:col>19</xdr:col>
                <xdr:colOff>914400</xdr:colOff>
                <xdr:row>14</xdr:row>
                <xdr:rowOff>434340</xdr:rowOff>
              </to>
            </anchor>
          </controlPr>
        </control>
      </mc:Choice>
      <mc:Fallback>
        <control shapeId="12293" r:id="rId48" name="CheckBox5"/>
      </mc:Fallback>
    </mc:AlternateContent>
    <mc:AlternateContent xmlns:mc="http://schemas.openxmlformats.org/markup-compatibility/2006">
      <mc:Choice Requires="x14">
        <control shapeId="12292" r:id="rId49" name="CheckBox4">
          <controlPr defaultSize="0" autoLine="0" r:id="rId22">
            <anchor moveWithCells="1">
              <from>
                <xdr:col>19</xdr:col>
                <xdr:colOff>624840</xdr:colOff>
                <xdr:row>13</xdr:row>
                <xdr:rowOff>167640</xdr:rowOff>
              </from>
              <to>
                <xdr:col>19</xdr:col>
                <xdr:colOff>914400</xdr:colOff>
                <xdr:row>13</xdr:row>
                <xdr:rowOff>419100</xdr:rowOff>
              </to>
            </anchor>
          </controlPr>
        </control>
      </mc:Choice>
      <mc:Fallback>
        <control shapeId="12292" r:id="rId49" name="CheckBox4"/>
      </mc:Fallback>
    </mc:AlternateContent>
    <mc:AlternateContent xmlns:mc="http://schemas.openxmlformats.org/markup-compatibility/2006">
      <mc:Choice Requires="x14">
        <control shapeId="12291" r:id="rId50" name="CheckBox3">
          <controlPr defaultSize="0" autoLine="0" r:id="rId25">
            <anchor moveWithCells="1">
              <from>
                <xdr:col>19</xdr:col>
                <xdr:colOff>624840</xdr:colOff>
                <xdr:row>12</xdr:row>
                <xdr:rowOff>167640</xdr:rowOff>
              </from>
              <to>
                <xdr:col>19</xdr:col>
                <xdr:colOff>914400</xdr:colOff>
                <xdr:row>12</xdr:row>
                <xdr:rowOff>419100</xdr:rowOff>
              </to>
            </anchor>
          </controlPr>
        </control>
      </mc:Choice>
      <mc:Fallback>
        <control shapeId="12291" r:id="rId50" name="CheckBox3"/>
      </mc:Fallback>
    </mc:AlternateContent>
    <mc:AlternateContent xmlns:mc="http://schemas.openxmlformats.org/markup-compatibility/2006">
      <mc:Choice Requires="x14">
        <control shapeId="12290" r:id="rId51" name="CheckBox2">
          <controlPr defaultSize="0" autoLine="0" r:id="rId25">
            <anchor moveWithCells="1">
              <from>
                <xdr:col>19</xdr:col>
                <xdr:colOff>624840</xdr:colOff>
                <xdr:row>11</xdr:row>
                <xdr:rowOff>167640</xdr:rowOff>
              </from>
              <to>
                <xdr:col>19</xdr:col>
                <xdr:colOff>914400</xdr:colOff>
                <xdr:row>11</xdr:row>
                <xdr:rowOff>419100</xdr:rowOff>
              </to>
            </anchor>
          </controlPr>
        </control>
      </mc:Choice>
      <mc:Fallback>
        <control shapeId="12290" r:id="rId51" name="CheckBox2"/>
      </mc:Fallback>
    </mc:AlternateContent>
    <mc:AlternateContent xmlns:mc="http://schemas.openxmlformats.org/markup-compatibility/2006">
      <mc:Choice Requires="x14">
        <control shapeId="12289" r:id="rId52" name="CheckBox1">
          <controlPr defaultSize="0" autoLine="0" r:id="rId53">
            <anchor moveWithCells="1">
              <from>
                <xdr:col>19</xdr:col>
                <xdr:colOff>632460</xdr:colOff>
                <xdr:row>10</xdr:row>
                <xdr:rowOff>60960</xdr:rowOff>
              </from>
              <to>
                <xdr:col>19</xdr:col>
                <xdr:colOff>883920</xdr:colOff>
                <xdr:row>10</xdr:row>
                <xdr:rowOff>457200</xdr:rowOff>
              </to>
            </anchor>
          </controlPr>
        </control>
      </mc:Choice>
      <mc:Fallback>
        <control shapeId="12289" r:id="rId52" name="CheckBox1"/>
      </mc:Fallback>
    </mc:AlternateContent>
  </controls>
  <extLst>
    <ext xmlns:x14="http://schemas.microsoft.com/office/spreadsheetml/2009/9/main" uri="{78C0D931-6437-407d-A8EE-F0AAD7539E65}">
      <x14:conditionalFormattings>
        <x14:conditionalFormatting xmlns:xm="http://schemas.microsoft.com/office/excel/2006/main">
          <x14:cfRule type="dataBar" id="{55861C6E-E702-4716-9B7A-D4FB19EAFB2B}">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90B1-F3CC-495F-B2F3-E226D1F5AABF}">
  <dimension ref="A1:N131"/>
  <sheetViews>
    <sheetView topLeftCell="A45" zoomScale="70" zoomScaleNormal="70" workbookViewId="0">
      <selection activeCell="C51" sqref="C51:D51"/>
    </sheetView>
  </sheetViews>
  <sheetFormatPr baseColWidth="10" defaultColWidth="11.44140625" defaultRowHeight="13.8" x14ac:dyDescent="0.25"/>
  <cols>
    <col min="1" max="1" width="12.77734375" style="152" customWidth="1"/>
    <col min="2" max="2" width="16.5546875" style="152" customWidth="1"/>
    <col min="3" max="3" width="26.109375" style="152" customWidth="1"/>
    <col min="4" max="4" width="27.5546875" style="152" customWidth="1"/>
    <col min="5" max="5" width="4.33203125" style="152" bestFit="1" customWidth="1"/>
    <col min="6" max="6" width="51.33203125" style="152" customWidth="1"/>
    <col min="7" max="7" width="21.44140625" style="152" customWidth="1"/>
    <col min="8" max="8" width="15.5546875" style="152" customWidth="1"/>
    <col min="9" max="9" width="19.33203125" style="152" customWidth="1"/>
    <col min="10" max="10" width="24.88671875" style="152" customWidth="1"/>
    <col min="11" max="16384" width="11.44140625" style="152"/>
  </cols>
  <sheetData>
    <row r="1" spans="1:14" ht="15" customHeight="1" x14ac:dyDescent="0.25">
      <c r="A1" s="281"/>
      <c r="B1" s="281"/>
      <c r="C1" s="281" t="str">
        <f>+Contexto!$B$1</f>
        <v xml:space="preserve">PROCESO: </v>
      </c>
      <c r="D1" s="281"/>
      <c r="E1" s="281"/>
      <c r="F1" s="281"/>
      <c r="G1" s="281"/>
      <c r="H1" s="348" t="s">
        <v>388</v>
      </c>
      <c r="I1" s="349"/>
      <c r="J1" s="350"/>
      <c r="K1" s="174"/>
      <c r="N1" s="275"/>
    </row>
    <row r="2" spans="1:14" ht="15" customHeight="1" x14ac:dyDescent="0.25">
      <c r="A2" s="281"/>
      <c r="B2" s="281"/>
      <c r="C2" s="281"/>
      <c r="D2" s="281"/>
      <c r="E2" s="281"/>
      <c r="F2" s="281"/>
      <c r="G2" s="281"/>
      <c r="H2" s="341" t="s">
        <v>263</v>
      </c>
      <c r="I2" s="342"/>
      <c r="J2" s="351"/>
      <c r="K2" s="174"/>
      <c r="N2" s="275"/>
    </row>
    <row r="3" spans="1:14" ht="15" customHeight="1" x14ac:dyDescent="0.25">
      <c r="A3" s="281"/>
      <c r="B3" s="281"/>
      <c r="C3" s="281" t="s">
        <v>387</v>
      </c>
      <c r="D3" s="281"/>
      <c r="E3" s="281"/>
      <c r="F3" s="281"/>
      <c r="G3" s="281"/>
      <c r="H3" s="341" t="s">
        <v>261</v>
      </c>
      <c r="I3" s="342"/>
      <c r="J3" s="351"/>
      <c r="K3" s="174"/>
      <c r="N3" s="275"/>
    </row>
    <row r="4" spans="1:14" ht="15.75" customHeight="1" x14ac:dyDescent="0.25">
      <c r="A4" s="281"/>
      <c r="B4" s="281"/>
      <c r="C4" s="281"/>
      <c r="D4" s="281"/>
      <c r="E4" s="281"/>
      <c r="F4" s="281"/>
      <c r="G4" s="281"/>
      <c r="H4" s="341" t="s">
        <v>393</v>
      </c>
      <c r="I4" s="342"/>
      <c r="J4" s="352"/>
      <c r="K4" s="174"/>
      <c r="N4" s="275"/>
    </row>
    <row r="5" spans="1:14" ht="15.75" customHeight="1" x14ac:dyDescent="0.25">
      <c r="A5" s="343"/>
      <c r="B5" s="344"/>
      <c r="C5" s="344"/>
      <c r="D5" s="344"/>
      <c r="E5" s="344"/>
      <c r="F5" s="344"/>
      <c r="G5" s="344"/>
      <c r="H5" s="344"/>
      <c r="I5" s="344"/>
      <c r="J5" s="345"/>
      <c r="K5" s="174"/>
      <c r="N5" s="173"/>
    </row>
    <row r="6" spans="1:14" ht="15" customHeight="1" x14ac:dyDescent="0.25">
      <c r="A6" s="353" t="s">
        <v>297</v>
      </c>
      <c r="B6" s="354"/>
      <c r="C6" s="354"/>
      <c r="D6" s="354"/>
      <c r="E6" s="354"/>
      <c r="F6" s="354"/>
      <c r="G6" s="354"/>
      <c r="H6" s="354"/>
      <c r="I6" s="354"/>
      <c r="J6" s="355"/>
    </row>
    <row r="7" spans="1:14" ht="32.25" customHeight="1" thickBot="1" x14ac:dyDescent="0.3">
      <c r="A7" s="356"/>
      <c r="B7" s="357"/>
      <c r="C7" s="357"/>
      <c r="D7" s="357"/>
      <c r="E7" s="357"/>
      <c r="F7" s="357"/>
      <c r="G7" s="357"/>
      <c r="H7" s="357"/>
      <c r="I7" s="357"/>
      <c r="J7" s="358"/>
    </row>
    <row r="8" spans="1:14" ht="23.25" customHeight="1" x14ac:dyDescent="0.25">
      <c r="A8" s="359" t="s">
        <v>386</v>
      </c>
      <c r="B8" s="360"/>
      <c r="C8" s="360"/>
      <c r="D8" s="361"/>
      <c r="E8" s="368" t="s">
        <v>258</v>
      </c>
      <c r="F8" s="369"/>
      <c r="G8" s="369"/>
      <c r="H8" s="369"/>
      <c r="I8" s="369"/>
      <c r="J8" s="370"/>
    </row>
    <row r="9" spans="1:14" ht="23.25" customHeight="1" x14ac:dyDescent="0.25">
      <c r="A9" s="362"/>
      <c r="B9" s="363"/>
      <c r="C9" s="363"/>
      <c r="D9" s="364"/>
      <c r="E9" s="328" t="s">
        <v>335</v>
      </c>
      <c r="F9" s="329"/>
      <c r="G9" s="328" t="s">
        <v>370</v>
      </c>
      <c r="H9" s="330"/>
      <c r="I9" s="330"/>
      <c r="J9" s="329"/>
    </row>
    <row r="10" spans="1:14" ht="23.25" customHeight="1" x14ac:dyDescent="0.3">
      <c r="A10" s="362"/>
      <c r="B10" s="363"/>
      <c r="C10" s="363"/>
      <c r="D10" s="364"/>
      <c r="E10" s="335" t="s">
        <v>385</v>
      </c>
      <c r="F10" s="336"/>
      <c r="G10" s="371" t="s">
        <v>384</v>
      </c>
      <c r="H10" s="372"/>
      <c r="I10" s="372"/>
      <c r="J10" s="373"/>
    </row>
    <row r="11" spans="1:14" ht="43.5" customHeight="1" x14ac:dyDescent="0.25">
      <c r="A11" s="362"/>
      <c r="B11" s="363"/>
      <c r="C11" s="363"/>
      <c r="D11" s="364"/>
      <c r="E11" s="218">
        <v>1</v>
      </c>
      <c r="F11" s="346" t="str">
        <f>'[1]PRIORIZACIÓN DE CAUSA'!B15</f>
        <v xml:space="preserve">Personal insuficiente para adelantar las labores de proceso administrativo y contractual. </v>
      </c>
      <c r="G11" s="347"/>
      <c r="H11" s="346" t="s">
        <v>383</v>
      </c>
      <c r="I11" s="346"/>
      <c r="J11" s="346"/>
    </row>
    <row r="12" spans="1:14" ht="43.5" customHeight="1" x14ac:dyDescent="0.25">
      <c r="A12" s="362"/>
      <c r="B12" s="363"/>
      <c r="C12" s="363"/>
      <c r="D12" s="364"/>
      <c r="E12" s="218">
        <v>2</v>
      </c>
      <c r="F12" s="346" t="str">
        <f>'[1]PRIORIZACIÓN DE CAUSA'!B16</f>
        <v xml:space="preserve">Falta de Etica y valores  y de aplicación del código de integridad y buen gobierno. </v>
      </c>
      <c r="G12" s="347"/>
      <c r="H12" s="346" t="s">
        <v>382</v>
      </c>
      <c r="I12" s="346"/>
      <c r="J12" s="346"/>
    </row>
    <row r="13" spans="1:14" ht="43.5" customHeight="1" x14ac:dyDescent="0.25">
      <c r="A13" s="362"/>
      <c r="B13" s="363"/>
      <c r="C13" s="363"/>
      <c r="D13" s="364"/>
      <c r="E13" s="218">
        <v>3</v>
      </c>
      <c r="F13" s="346" t="str">
        <f>'[1]PRIORIZACIÓN DE CAUSA'!B17</f>
        <v xml:space="preserve">Dificultad en la unificación de criterios para la realización de los procesos contractuales </v>
      </c>
      <c r="G13" s="347"/>
      <c r="H13" s="346" t="s">
        <v>381</v>
      </c>
      <c r="I13" s="346"/>
      <c r="J13" s="346"/>
    </row>
    <row r="14" spans="1:14" ht="43.5" customHeight="1" x14ac:dyDescent="0.25">
      <c r="A14" s="362"/>
      <c r="B14" s="363"/>
      <c r="C14" s="363"/>
      <c r="D14" s="364"/>
      <c r="E14" s="218">
        <v>4</v>
      </c>
      <c r="F14" s="346" t="str">
        <f>'[1]PRIORIZACIÓN DE CAUSA'!B18</f>
        <v>Falta de articulación entre las Secretarías ejecutoras, Secretaría de Planeación  y oficina de Contratación</v>
      </c>
      <c r="G14" s="347"/>
      <c r="H14" s="346" t="s">
        <v>380</v>
      </c>
      <c r="I14" s="346"/>
      <c r="J14" s="346"/>
    </row>
    <row r="15" spans="1:14" ht="49.5" customHeight="1" x14ac:dyDescent="0.25">
      <c r="A15" s="362"/>
      <c r="B15" s="363"/>
      <c r="C15" s="363"/>
      <c r="D15" s="364"/>
      <c r="E15" s="218">
        <v>5</v>
      </c>
      <c r="F15" s="346" t="str">
        <f>'[1]PRIORIZACIÓN DE CAUSA'!B19</f>
        <v xml:space="preserve">Equipos tecnológicos obsoletos, Sistemas de Información no integrados. </v>
      </c>
      <c r="G15" s="347"/>
      <c r="H15" s="346" t="s">
        <v>379</v>
      </c>
      <c r="I15" s="346"/>
      <c r="J15" s="346"/>
    </row>
    <row r="16" spans="1:14" ht="71.25" customHeight="1" x14ac:dyDescent="0.25">
      <c r="A16" s="362"/>
      <c r="B16" s="363"/>
      <c r="C16" s="363"/>
      <c r="D16" s="364"/>
      <c r="E16" s="218">
        <v>6</v>
      </c>
      <c r="F16" s="346" t="str">
        <f>'[1]PRIORIZACIÓN DE CAUSA'!B21</f>
        <v>Unidades administrativas ubicadas en diferentes sitios de la ciudad (Ibagué).</v>
      </c>
      <c r="G16" s="347"/>
      <c r="H16" s="346" t="s">
        <v>378</v>
      </c>
      <c r="I16" s="346"/>
      <c r="J16" s="346"/>
    </row>
    <row r="17" spans="1:10" ht="54.75" customHeight="1" x14ac:dyDescent="0.25">
      <c r="A17" s="362"/>
      <c r="B17" s="363"/>
      <c r="C17" s="363"/>
      <c r="D17" s="364"/>
      <c r="E17" s="218">
        <v>7</v>
      </c>
      <c r="F17" s="346" t="str">
        <f>'[1]PRIORIZACIÓN DE CAUSA'!B23</f>
        <v xml:space="preserve">Desactualización de la caracterización del proceso. </v>
      </c>
      <c r="G17" s="347"/>
      <c r="H17" s="346" t="s">
        <v>377</v>
      </c>
      <c r="I17" s="346"/>
      <c r="J17" s="346"/>
    </row>
    <row r="18" spans="1:10" ht="48.75" customHeight="1" x14ac:dyDescent="0.25">
      <c r="A18" s="362"/>
      <c r="B18" s="363"/>
      <c r="C18" s="363"/>
      <c r="D18" s="364"/>
      <c r="E18" s="218">
        <v>8</v>
      </c>
      <c r="F18" s="346" t="str">
        <f>'[1]PRIORIZACIÓN DE CAUSA'!B24</f>
        <v>Demoras en la recepción de la información contractual por parte de las secretarias ejecutoras.</v>
      </c>
      <c r="G18" s="347"/>
      <c r="H18" s="346" t="s">
        <v>376</v>
      </c>
      <c r="I18" s="346"/>
      <c r="J18" s="346"/>
    </row>
    <row r="19" spans="1:10" ht="54.75" customHeight="1" x14ac:dyDescent="0.25">
      <c r="A19" s="362"/>
      <c r="B19" s="363"/>
      <c r="C19" s="363"/>
      <c r="D19" s="364"/>
      <c r="E19" s="218">
        <v>9</v>
      </c>
      <c r="F19" s="346" t="str">
        <f>'[1]PRIORIZACIÓN DE CAUSA'!B25</f>
        <v xml:space="preserve">Desconocimiento de la caracterización, manuales, procedimientos, instructivos, guías, formatos y demas documentos propios del proceso por parte del personal nuevo. </v>
      </c>
      <c r="G19" s="347"/>
      <c r="H19" s="346" t="s">
        <v>375</v>
      </c>
      <c r="I19" s="346"/>
      <c r="J19" s="346"/>
    </row>
    <row r="20" spans="1:10" ht="59.25" customHeight="1" x14ac:dyDescent="0.25">
      <c r="A20" s="362"/>
      <c r="B20" s="363"/>
      <c r="C20" s="363"/>
      <c r="D20" s="364"/>
      <c r="E20" s="218">
        <v>10</v>
      </c>
      <c r="F20" s="346" t="str">
        <f>'[1]PRIORIZACIÓN DE CAUSA'!B26</f>
        <v>Falta de compromiso de los líderes de los procesos en la implementación de mejora, asociadas a los planes de mejoramiento</v>
      </c>
      <c r="G20" s="347"/>
      <c r="H20" s="346"/>
      <c r="I20" s="346"/>
      <c r="J20" s="346"/>
    </row>
    <row r="21" spans="1:10" ht="49.5" customHeight="1" x14ac:dyDescent="0.25">
      <c r="A21" s="362"/>
      <c r="B21" s="363"/>
      <c r="C21" s="363"/>
      <c r="D21" s="364"/>
      <c r="E21" s="218">
        <v>11</v>
      </c>
      <c r="F21" s="346" t="str">
        <f>'[1]PRIORIZACIÓN DE CAUSA'!B27</f>
        <v xml:space="preserve">Desconocimiento del estatuto contractual y sus decretos reglamentarios </v>
      </c>
      <c r="G21" s="347"/>
      <c r="H21" s="346" t="s">
        <v>374</v>
      </c>
      <c r="I21" s="346"/>
      <c r="J21" s="346"/>
    </row>
    <row r="22" spans="1:10" ht="49.5" customHeight="1" x14ac:dyDescent="0.25">
      <c r="A22" s="362"/>
      <c r="B22" s="363"/>
      <c r="C22" s="363"/>
      <c r="D22" s="364"/>
      <c r="E22" s="218">
        <v>12</v>
      </c>
      <c r="F22" s="346" t="str">
        <f>[1]CONTEXTO!D14</f>
        <v xml:space="preserve">Dificultad en la unificación de criterios para la realización de los procesos contractuales </v>
      </c>
      <c r="G22" s="347"/>
      <c r="H22" s="346"/>
      <c r="I22" s="346"/>
      <c r="J22" s="346"/>
    </row>
    <row r="23" spans="1:10" ht="49.5" customHeight="1" x14ac:dyDescent="0.25">
      <c r="A23" s="362"/>
      <c r="B23" s="363"/>
      <c r="C23" s="363"/>
      <c r="D23" s="364"/>
      <c r="E23" s="218">
        <v>13</v>
      </c>
      <c r="F23" s="374" t="s">
        <v>245</v>
      </c>
      <c r="G23" s="347"/>
      <c r="H23" s="346"/>
      <c r="I23" s="346"/>
      <c r="J23" s="346"/>
    </row>
    <row r="24" spans="1:10" ht="49.5" customHeight="1" x14ac:dyDescent="0.25">
      <c r="A24" s="362"/>
      <c r="B24" s="363"/>
      <c r="C24" s="363"/>
      <c r="D24" s="364"/>
      <c r="E24" s="218">
        <v>14</v>
      </c>
      <c r="F24" s="374" t="s">
        <v>243</v>
      </c>
      <c r="G24" s="347"/>
      <c r="H24" s="346"/>
      <c r="I24" s="346"/>
      <c r="J24" s="346"/>
    </row>
    <row r="25" spans="1:10" ht="86.25" customHeight="1" x14ac:dyDescent="0.25">
      <c r="A25" s="362"/>
      <c r="B25" s="363"/>
      <c r="C25" s="363"/>
      <c r="D25" s="364"/>
      <c r="E25" s="218">
        <v>15</v>
      </c>
      <c r="F25" s="374" t="s">
        <v>373</v>
      </c>
      <c r="G25" s="347"/>
      <c r="H25" s="346"/>
      <c r="I25" s="346"/>
      <c r="J25" s="346"/>
    </row>
    <row r="26" spans="1:10" ht="49.5" customHeight="1" x14ac:dyDescent="0.25">
      <c r="A26" s="362"/>
      <c r="B26" s="363"/>
      <c r="C26" s="363"/>
      <c r="D26" s="364"/>
      <c r="E26" s="218">
        <v>16</v>
      </c>
      <c r="F26" s="374" t="s">
        <v>239</v>
      </c>
      <c r="G26" s="347"/>
      <c r="H26" s="346"/>
      <c r="I26" s="346"/>
      <c r="J26" s="346"/>
    </row>
    <row r="27" spans="1:10" ht="66.75" customHeight="1" x14ac:dyDescent="0.25">
      <c r="A27" s="362"/>
      <c r="B27" s="363"/>
      <c r="C27" s="363"/>
      <c r="D27" s="364"/>
      <c r="E27" s="218">
        <v>17</v>
      </c>
      <c r="F27" s="346" t="s">
        <v>372</v>
      </c>
      <c r="G27" s="347"/>
      <c r="H27" s="346"/>
      <c r="I27" s="346"/>
      <c r="J27" s="346"/>
    </row>
    <row r="28" spans="1:10" ht="72" customHeight="1" x14ac:dyDescent="0.25">
      <c r="A28" s="365"/>
      <c r="B28" s="366"/>
      <c r="C28" s="366"/>
      <c r="D28" s="367"/>
      <c r="E28" s="218">
        <v>18</v>
      </c>
      <c r="F28" s="387" t="s">
        <v>371</v>
      </c>
      <c r="G28" s="388"/>
      <c r="H28" s="346"/>
      <c r="I28" s="346"/>
      <c r="J28" s="346"/>
    </row>
    <row r="29" spans="1:10" ht="49.5" customHeight="1" x14ac:dyDescent="0.25">
      <c r="A29" s="331" t="s">
        <v>259</v>
      </c>
      <c r="B29" s="332" t="s">
        <v>370</v>
      </c>
      <c r="C29" s="335" t="s">
        <v>369</v>
      </c>
      <c r="D29" s="336"/>
      <c r="E29" s="328" t="s">
        <v>368</v>
      </c>
      <c r="F29" s="329"/>
      <c r="G29" s="328" t="s">
        <v>367</v>
      </c>
      <c r="H29" s="330"/>
      <c r="I29" s="330"/>
      <c r="J29" s="329"/>
    </row>
    <row r="30" spans="1:10" ht="81.75" customHeight="1" x14ac:dyDescent="0.25">
      <c r="A30" s="331"/>
      <c r="B30" s="333"/>
      <c r="C30" s="337" t="s">
        <v>366</v>
      </c>
      <c r="D30" s="326"/>
      <c r="E30" s="324" t="s">
        <v>365</v>
      </c>
      <c r="F30" s="326"/>
      <c r="G30" s="324" t="s">
        <v>364</v>
      </c>
      <c r="H30" s="327"/>
      <c r="I30" s="327"/>
      <c r="J30" s="326"/>
    </row>
    <row r="31" spans="1:10" ht="72.75" customHeight="1" x14ac:dyDescent="0.25">
      <c r="A31" s="331"/>
      <c r="B31" s="333"/>
      <c r="C31" s="337" t="s">
        <v>363</v>
      </c>
      <c r="D31" s="326"/>
      <c r="E31" s="324" t="s">
        <v>362</v>
      </c>
      <c r="F31" s="326"/>
      <c r="G31" s="324" t="s">
        <v>361</v>
      </c>
      <c r="H31" s="327"/>
      <c r="I31" s="327"/>
      <c r="J31" s="326"/>
    </row>
    <row r="32" spans="1:10" ht="90" customHeight="1" x14ac:dyDescent="0.25">
      <c r="A32" s="331"/>
      <c r="B32" s="333"/>
      <c r="C32" s="377" t="s">
        <v>360</v>
      </c>
      <c r="D32" s="326"/>
      <c r="E32" s="324" t="s">
        <v>359</v>
      </c>
      <c r="F32" s="326"/>
      <c r="G32" s="324" t="s">
        <v>358</v>
      </c>
      <c r="H32" s="327"/>
      <c r="I32" s="327"/>
      <c r="J32" s="326"/>
    </row>
    <row r="33" spans="1:10" ht="88.5" customHeight="1" x14ac:dyDescent="0.3">
      <c r="A33" s="331"/>
      <c r="B33" s="333"/>
      <c r="C33" s="378" t="s">
        <v>357</v>
      </c>
      <c r="D33" s="326"/>
      <c r="E33" s="324" t="s">
        <v>356</v>
      </c>
      <c r="F33" s="326"/>
      <c r="G33" s="383"/>
      <c r="H33" s="384"/>
      <c r="I33" s="384"/>
      <c r="J33" s="385"/>
    </row>
    <row r="34" spans="1:10" ht="123.75" customHeight="1" x14ac:dyDescent="0.25">
      <c r="A34" s="331"/>
      <c r="B34" s="333"/>
      <c r="C34" s="338" t="s">
        <v>355</v>
      </c>
      <c r="D34" s="326"/>
      <c r="E34" s="324" t="s">
        <v>354</v>
      </c>
      <c r="F34" s="326"/>
      <c r="G34" s="319"/>
      <c r="H34" s="320"/>
      <c r="I34" s="320"/>
      <c r="J34" s="321"/>
    </row>
    <row r="35" spans="1:10" ht="66.75" customHeight="1" x14ac:dyDescent="0.25">
      <c r="A35" s="331"/>
      <c r="B35" s="333"/>
      <c r="C35" s="337" t="s">
        <v>353</v>
      </c>
      <c r="D35" s="326"/>
      <c r="E35" s="324" t="s">
        <v>352</v>
      </c>
      <c r="F35" s="326"/>
      <c r="G35" s="319"/>
      <c r="H35" s="320"/>
      <c r="I35" s="320"/>
      <c r="J35" s="321"/>
    </row>
    <row r="36" spans="1:10" ht="89.25" customHeight="1" x14ac:dyDescent="0.25">
      <c r="A36" s="331"/>
      <c r="B36" s="333"/>
      <c r="C36" s="337" t="s">
        <v>351</v>
      </c>
      <c r="D36" s="326"/>
      <c r="E36" s="324" t="s">
        <v>350</v>
      </c>
      <c r="F36" s="326"/>
      <c r="G36" s="319"/>
      <c r="H36" s="320"/>
      <c r="I36" s="320"/>
      <c r="J36" s="321"/>
    </row>
    <row r="37" spans="1:10" ht="95.25" customHeight="1" x14ac:dyDescent="0.25">
      <c r="A37" s="331"/>
      <c r="B37" s="333"/>
      <c r="C37" s="338" t="s">
        <v>349</v>
      </c>
      <c r="D37" s="326"/>
      <c r="E37" s="324" t="s">
        <v>348</v>
      </c>
      <c r="F37" s="326"/>
      <c r="G37" s="319"/>
      <c r="H37" s="320"/>
      <c r="I37" s="320"/>
      <c r="J37" s="321"/>
    </row>
    <row r="38" spans="1:10" ht="70.5" customHeight="1" x14ac:dyDescent="0.25">
      <c r="A38" s="331"/>
      <c r="B38" s="333"/>
      <c r="C38" s="337" t="s">
        <v>347</v>
      </c>
      <c r="D38" s="326"/>
      <c r="E38" s="324" t="s">
        <v>346</v>
      </c>
      <c r="F38" s="325"/>
      <c r="G38" s="319"/>
      <c r="H38" s="320"/>
      <c r="I38" s="320"/>
      <c r="J38" s="321"/>
    </row>
    <row r="39" spans="1:10" ht="52.5" customHeight="1" x14ac:dyDescent="0.25">
      <c r="A39" s="331"/>
      <c r="B39" s="333"/>
      <c r="C39" s="375" t="s">
        <v>345</v>
      </c>
      <c r="D39" s="376"/>
      <c r="E39" s="324" t="s">
        <v>344</v>
      </c>
      <c r="F39" s="326"/>
      <c r="G39" s="215"/>
      <c r="H39" s="214"/>
      <c r="I39" s="214"/>
      <c r="J39" s="213"/>
    </row>
    <row r="40" spans="1:10" ht="52.5" customHeight="1" x14ac:dyDescent="0.25">
      <c r="A40" s="331"/>
      <c r="B40" s="333"/>
      <c r="C40" s="375" t="s">
        <v>343</v>
      </c>
      <c r="D40" s="376"/>
      <c r="E40" s="324" t="s">
        <v>342</v>
      </c>
      <c r="F40" s="326"/>
      <c r="G40" s="215"/>
      <c r="H40" s="214"/>
      <c r="I40" s="214"/>
      <c r="J40" s="213"/>
    </row>
    <row r="41" spans="1:10" ht="91.5" customHeight="1" x14ac:dyDescent="0.25">
      <c r="A41" s="331"/>
      <c r="B41" s="333"/>
      <c r="C41" s="375" t="s">
        <v>341</v>
      </c>
      <c r="D41" s="376"/>
      <c r="E41" s="324" t="s">
        <v>340</v>
      </c>
      <c r="F41" s="326"/>
      <c r="G41" s="215"/>
      <c r="H41" s="214"/>
      <c r="I41" s="214"/>
      <c r="J41" s="213"/>
    </row>
    <row r="42" spans="1:10" ht="72.75" customHeight="1" x14ac:dyDescent="0.25">
      <c r="A42" s="331"/>
      <c r="B42" s="333"/>
      <c r="C42" s="217"/>
      <c r="D42" s="216"/>
      <c r="E42" s="386" t="s">
        <v>339</v>
      </c>
      <c r="F42" s="326"/>
      <c r="G42" s="215"/>
      <c r="H42" s="214"/>
      <c r="I42" s="214"/>
      <c r="J42" s="213"/>
    </row>
    <row r="43" spans="1:10" ht="82.5" customHeight="1" x14ac:dyDescent="0.25">
      <c r="A43" s="331"/>
      <c r="B43" s="333"/>
      <c r="C43" s="217"/>
      <c r="D43" s="216"/>
      <c r="E43" s="324" t="s">
        <v>338</v>
      </c>
      <c r="F43" s="379"/>
      <c r="G43" s="215"/>
      <c r="H43" s="214"/>
      <c r="I43" s="214"/>
      <c r="J43" s="213"/>
    </row>
    <row r="44" spans="1:10" ht="64.5" customHeight="1" x14ac:dyDescent="0.25">
      <c r="A44" s="331"/>
      <c r="B44" s="333"/>
      <c r="C44" s="217"/>
      <c r="D44" s="216"/>
      <c r="E44" s="380" t="s">
        <v>337</v>
      </c>
      <c r="F44" s="381"/>
      <c r="G44" s="215"/>
      <c r="H44" s="214"/>
      <c r="I44" s="214"/>
      <c r="J44" s="213"/>
    </row>
    <row r="45" spans="1:10" ht="52.5" customHeight="1" x14ac:dyDescent="0.25">
      <c r="A45" s="331"/>
      <c r="B45" s="333"/>
      <c r="C45" s="217"/>
      <c r="D45" s="216"/>
      <c r="E45" s="382" t="s">
        <v>336</v>
      </c>
      <c r="F45" s="382"/>
      <c r="G45" s="215"/>
      <c r="H45" s="214"/>
      <c r="I45" s="214"/>
      <c r="J45" s="213"/>
    </row>
    <row r="46" spans="1:10" ht="51" customHeight="1" x14ac:dyDescent="0.25">
      <c r="A46" s="331"/>
      <c r="B46" s="334"/>
      <c r="C46" s="319"/>
      <c r="D46" s="321"/>
      <c r="E46" s="319"/>
      <c r="F46" s="321"/>
      <c r="G46" s="319"/>
      <c r="H46" s="320"/>
      <c r="I46" s="320"/>
      <c r="J46" s="321"/>
    </row>
    <row r="47" spans="1:10" ht="101.25" customHeight="1" x14ac:dyDescent="0.25">
      <c r="A47" s="331"/>
      <c r="B47" s="331" t="s">
        <v>335</v>
      </c>
      <c r="C47" s="335" t="s">
        <v>334</v>
      </c>
      <c r="D47" s="336"/>
      <c r="E47" s="328" t="s">
        <v>333</v>
      </c>
      <c r="F47" s="329"/>
      <c r="G47" s="328" t="s">
        <v>332</v>
      </c>
      <c r="H47" s="330"/>
      <c r="I47" s="330"/>
      <c r="J47" s="329"/>
    </row>
    <row r="48" spans="1:10" ht="64.5" customHeight="1" x14ac:dyDescent="0.25">
      <c r="A48" s="331"/>
      <c r="B48" s="331"/>
      <c r="C48" s="322" t="s">
        <v>254</v>
      </c>
      <c r="D48" s="323"/>
      <c r="E48" s="324" t="s">
        <v>331</v>
      </c>
      <c r="F48" s="326"/>
      <c r="G48" s="324" t="s">
        <v>330</v>
      </c>
      <c r="H48" s="327"/>
      <c r="I48" s="327"/>
      <c r="J48" s="326"/>
    </row>
    <row r="49" spans="1:10" ht="97.5" customHeight="1" x14ac:dyDescent="0.25">
      <c r="A49" s="331"/>
      <c r="B49" s="331"/>
      <c r="C49" s="322" t="s">
        <v>251</v>
      </c>
      <c r="D49" s="323" t="s">
        <v>251</v>
      </c>
      <c r="E49" s="324" t="s">
        <v>329</v>
      </c>
      <c r="F49" s="326"/>
      <c r="G49" s="324" t="s">
        <v>328</v>
      </c>
      <c r="H49" s="327"/>
      <c r="I49" s="327"/>
      <c r="J49" s="326"/>
    </row>
    <row r="50" spans="1:10" ht="94.5" customHeight="1" x14ac:dyDescent="0.25">
      <c r="A50" s="331"/>
      <c r="B50" s="331"/>
      <c r="C50" s="322" t="s">
        <v>249</v>
      </c>
      <c r="D50" s="323" t="s">
        <v>249</v>
      </c>
      <c r="E50" s="324" t="s">
        <v>327</v>
      </c>
      <c r="F50" s="326"/>
      <c r="G50" s="324" t="s">
        <v>326</v>
      </c>
      <c r="H50" s="327"/>
      <c r="I50" s="327"/>
      <c r="J50" s="326"/>
    </row>
    <row r="51" spans="1:10" ht="75" customHeight="1" x14ac:dyDescent="0.25">
      <c r="A51" s="331"/>
      <c r="B51" s="331"/>
      <c r="C51" s="322" t="s">
        <v>325</v>
      </c>
      <c r="D51" s="323" t="s">
        <v>325</v>
      </c>
      <c r="E51" s="324" t="s">
        <v>324</v>
      </c>
      <c r="F51" s="325"/>
      <c r="G51" s="319"/>
      <c r="H51" s="320"/>
      <c r="I51" s="320"/>
      <c r="J51" s="321"/>
    </row>
    <row r="52" spans="1:10" ht="67.5" customHeight="1" x14ac:dyDescent="0.25">
      <c r="A52" s="331"/>
      <c r="B52" s="331"/>
      <c r="C52" s="322" t="s">
        <v>323</v>
      </c>
      <c r="D52" s="323" t="s">
        <v>323</v>
      </c>
      <c r="E52" s="339" t="s">
        <v>322</v>
      </c>
      <c r="F52" s="340"/>
      <c r="G52" s="319"/>
      <c r="H52" s="320"/>
      <c r="I52" s="320"/>
      <c r="J52" s="321"/>
    </row>
    <row r="53" spans="1:10" ht="67.5" customHeight="1" x14ac:dyDescent="0.25">
      <c r="A53" s="331"/>
      <c r="B53" s="331"/>
      <c r="C53" s="319"/>
      <c r="D53" s="321"/>
      <c r="E53" s="319"/>
      <c r="F53" s="321"/>
      <c r="G53" s="319"/>
      <c r="H53" s="320"/>
      <c r="I53" s="320"/>
      <c r="J53" s="321"/>
    </row>
    <row r="54" spans="1:10" x14ac:dyDescent="0.25">
      <c r="E54" s="318"/>
      <c r="F54" s="318"/>
      <c r="G54" s="318"/>
      <c r="H54" s="318"/>
      <c r="I54" s="318"/>
      <c r="J54" s="318"/>
    </row>
    <row r="55" spans="1:10" x14ac:dyDescent="0.25">
      <c r="E55" s="318"/>
      <c r="F55" s="318"/>
      <c r="G55" s="318"/>
      <c r="H55" s="318"/>
      <c r="I55" s="318"/>
      <c r="J55" s="318"/>
    </row>
    <row r="56" spans="1:10" x14ac:dyDescent="0.25">
      <c r="E56" s="318"/>
      <c r="F56" s="318"/>
      <c r="G56" s="318"/>
      <c r="H56" s="318"/>
      <c r="I56" s="318"/>
      <c r="J56" s="318"/>
    </row>
    <row r="57" spans="1:10" x14ac:dyDescent="0.25">
      <c r="E57" s="318"/>
      <c r="F57" s="318"/>
      <c r="G57" s="318"/>
      <c r="H57" s="318"/>
      <c r="I57" s="318"/>
      <c r="J57" s="318"/>
    </row>
    <row r="58" spans="1:10" x14ac:dyDescent="0.25">
      <c r="E58" s="318"/>
      <c r="F58" s="318"/>
      <c r="G58" s="318"/>
      <c r="H58" s="318"/>
      <c r="I58" s="318"/>
      <c r="J58" s="318"/>
    </row>
    <row r="59" spans="1:10" x14ac:dyDescent="0.25">
      <c r="E59" s="318"/>
      <c r="F59" s="318"/>
      <c r="G59" s="318"/>
      <c r="H59" s="318"/>
      <c r="I59" s="318"/>
      <c r="J59" s="318"/>
    </row>
    <row r="60" spans="1:10" x14ac:dyDescent="0.25">
      <c r="E60" s="318"/>
      <c r="F60" s="318"/>
      <c r="G60" s="318"/>
      <c r="H60" s="318"/>
      <c r="I60" s="318"/>
      <c r="J60" s="318"/>
    </row>
    <row r="61" spans="1:10" x14ac:dyDescent="0.25">
      <c r="E61" s="318"/>
      <c r="F61" s="318"/>
      <c r="G61" s="318"/>
      <c r="H61" s="318"/>
      <c r="I61" s="318"/>
      <c r="J61" s="318"/>
    </row>
    <row r="62" spans="1:10" x14ac:dyDescent="0.25">
      <c r="E62" s="318"/>
      <c r="F62" s="318"/>
      <c r="G62" s="318"/>
      <c r="H62" s="318"/>
      <c r="I62" s="318"/>
      <c r="J62" s="318"/>
    </row>
    <row r="63" spans="1:10" x14ac:dyDescent="0.25">
      <c r="E63" s="318"/>
      <c r="F63" s="318"/>
      <c r="G63" s="318"/>
      <c r="H63" s="318"/>
      <c r="I63" s="318"/>
      <c r="J63" s="318"/>
    </row>
    <row r="64" spans="1:10" x14ac:dyDescent="0.25">
      <c r="E64" s="318"/>
      <c r="F64" s="318"/>
      <c r="G64" s="318"/>
      <c r="H64" s="318"/>
      <c r="I64" s="318"/>
      <c r="J64" s="318"/>
    </row>
    <row r="65" spans="5:10" x14ac:dyDescent="0.25">
      <c r="E65" s="318"/>
      <c r="F65" s="318"/>
      <c r="G65" s="318"/>
      <c r="H65" s="318"/>
      <c r="I65" s="318"/>
      <c r="J65" s="318"/>
    </row>
    <row r="66" spans="5:10" x14ac:dyDescent="0.25">
      <c r="E66" s="318"/>
      <c r="F66" s="318"/>
      <c r="G66" s="318"/>
      <c r="H66" s="318"/>
      <c r="I66" s="318"/>
      <c r="J66" s="318"/>
    </row>
    <row r="67" spans="5:10" x14ac:dyDescent="0.25">
      <c r="E67" s="318"/>
      <c r="F67" s="318"/>
      <c r="G67" s="318"/>
      <c r="H67" s="318"/>
      <c r="I67" s="318"/>
      <c r="J67" s="318"/>
    </row>
    <row r="68" spans="5:10" x14ac:dyDescent="0.25">
      <c r="E68" s="318"/>
      <c r="F68" s="318"/>
      <c r="G68" s="318"/>
      <c r="H68" s="318"/>
      <c r="I68" s="318"/>
      <c r="J68" s="318"/>
    </row>
    <row r="69" spans="5:10" x14ac:dyDescent="0.25">
      <c r="E69" s="318"/>
      <c r="F69" s="318"/>
      <c r="G69" s="318"/>
      <c r="H69" s="318"/>
      <c r="I69" s="318"/>
      <c r="J69" s="318"/>
    </row>
    <row r="70" spans="5:10" x14ac:dyDescent="0.25">
      <c r="E70" s="318"/>
      <c r="F70" s="318"/>
      <c r="G70" s="318"/>
      <c r="H70" s="318"/>
      <c r="I70" s="318"/>
      <c r="J70" s="318"/>
    </row>
    <row r="71" spans="5:10" x14ac:dyDescent="0.25">
      <c r="E71" s="318"/>
      <c r="F71" s="318"/>
      <c r="G71" s="318"/>
      <c r="H71" s="318"/>
      <c r="I71" s="318"/>
      <c r="J71" s="318"/>
    </row>
    <row r="72" spans="5:10" x14ac:dyDescent="0.25">
      <c r="E72" s="318"/>
      <c r="F72" s="318"/>
      <c r="G72" s="318"/>
      <c r="H72" s="318"/>
      <c r="I72" s="318"/>
      <c r="J72" s="318"/>
    </row>
    <row r="73" spans="5:10" x14ac:dyDescent="0.25">
      <c r="E73" s="318"/>
      <c r="F73" s="318"/>
      <c r="G73" s="318"/>
      <c r="H73" s="318"/>
      <c r="I73" s="318"/>
      <c r="J73" s="318"/>
    </row>
    <row r="74" spans="5:10" x14ac:dyDescent="0.25">
      <c r="E74" s="318"/>
      <c r="F74" s="318"/>
      <c r="G74" s="318"/>
      <c r="H74" s="318"/>
      <c r="I74" s="318"/>
      <c r="J74" s="318"/>
    </row>
    <row r="75" spans="5:10" x14ac:dyDescent="0.25">
      <c r="E75" s="318"/>
      <c r="F75" s="318"/>
      <c r="G75" s="318"/>
      <c r="H75" s="318"/>
      <c r="I75" s="318"/>
      <c r="J75" s="318"/>
    </row>
    <row r="76" spans="5:10" x14ac:dyDescent="0.25">
      <c r="E76" s="318"/>
      <c r="F76" s="318"/>
      <c r="G76" s="318"/>
      <c r="H76" s="318"/>
      <c r="I76" s="318"/>
      <c r="J76" s="318"/>
    </row>
    <row r="77" spans="5:10" x14ac:dyDescent="0.25">
      <c r="E77" s="318"/>
      <c r="F77" s="318"/>
      <c r="G77" s="318"/>
      <c r="H77" s="318"/>
      <c r="I77" s="318"/>
      <c r="J77" s="318"/>
    </row>
    <row r="78" spans="5:10" x14ac:dyDescent="0.25">
      <c r="E78" s="318"/>
      <c r="F78" s="318"/>
      <c r="G78" s="318"/>
      <c r="H78" s="318"/>
      <c r="I78" s="318"/>
      <c r="J78" s="318"/>
    </row>
    <row r="79" spans="5:10" x14ac:dyDescent="0.25">
      <c r="E79" s="318"/>
      <c r="F79" s="318"/>
      <c r="G79" s="318"/>
      <c r="H79" s="318"/>
      <c r="I79" s="318"/>
      <c r="J79" s="318"/>
    </row>
    <row r="80" spans="5:10" x14ac:dyDescent="0.25">
      <c r="E80" s="318"/>
      <c r="F80" s="318"/>
      <c r="G80" s="318"/>
      <c r="H80" s="318"/>
      <c r="I80" s="318"/>
      <c r="J80" s="318"/>
    </row>
    <row r="81" spans="5:10" x14ac:dyDescent="0.25">
      <c r="E81" s="318"/>
      <c r="F81" s="318"/>
      <c r="G81" s="318"/>
      <c r="H81" s="318"/>
      <c r="I81" s="318"/>
      <c r="J81" s="318"/>
    </row>
    <row r="82" spans="5:10" x14ac:dyDescent="0.25">
      <c r="E82" s="318"/>
      <c r="F82" s="318"/>
      <c r="G82" s="318"/>
      <c r="H82" s="318"/>
      <c r="I82" s="318"/>
      <c r="J82" s="318"/>
    </row>
    <row r="83" spans="5:10" x14ac:dyDescent="0.25">
      <c r="E83" s="318"/>
      <c r="F83" s="318"/>
      <c r="G83" s="318"/>
      <c r="H83" s="318"/>
      <c r="I83" s="318"/>
      <c r="J83" s="318"/>
    </row>
    <row r="84" spans="5:10" x14ac:dyDescent="0.25">
      <c r="E84" s="318"/>
      <c r="F84" s="318"/>
      <c r="G84" s="318"/>
      <c r="H84" s="318"/>
      <c r="I84" s="318"/>
      <c r="J84" s="318"/>
    </row>
    <row r="85" spans="5:10" x14ac:dyDescent="0.25">
      <c r="E85" s="318"/>
      <c r="F85" s="318"/>
      <c r="G85" s="318"/>
      <c r="H85" s="318"/>
      <c r="I85" s="318"/>
      <c r="J85" s="318"/>
    </row>
    <row r="86" spans="5:10" x14ac:dyDescent="0.25">
      <c r="E86" s="318"/>
      <c r="F86" s="318"/>
      <c r="G86" s="318"/>
      <c r="H86" s="318"/>
      <c r="I86" s="318"/>
      <c r="J86" s="318"/>
    </row>
    <row r="87" spans="5:10" x14ac:dyDescent="0.25">
      <c r="E87" s="318"/>
      <c r="F87" s="318"/>
      <c r="G87" s="318"/>
      <c r="H87" s="318"/>
      <c r="I87" s="318"/>
      <c r="J87" s="318"/>
    </row>
    <row r="88" spans="5:10" x14ac:dyDescent="0.25">
      <c r="E88" s="318"/>
      <c r="F88" s="318"/>
      <c r="G88" s="318"/>
      <c r="H88" s="318"/>
      <c r="I88" s="318"/>
      <c r="J88" s="318"/>
    </row>
    <row r="89" spans="5:10" x14ac:dyDescent="0.25">
      <c r="E89" s="318"/>
      <c r="F89" s="318"/>
      <c r="G89" s="318"/>
      <c r="H89" s="318"/>
      <c r="I89" s="318"/>
      <c r="J89" s="318"/>
    </row>
    <row r="90" spans="5:10" x14ac:dyDescent="0.25">
      <c r="E90" s="318"/>
      <c r="F90" s="318"/>
      <c r="G90" s="318"/>
      <c r="H90" s="318"/>
      <c r="I90" s="318"/>
      <c r="J90" s="318"/>
    </row>
    <row r="91" spans="5:10" x14ac:dyDescent="0.25">
      <c r="E91" s="318"/>
      <c r="F91" s="318"/>
      <c r="G91" s="318"/>
      <c r="H91" s="318"/>
      <c r="I91" s="318"/>
      <c r="J91" s="318"/>
    </row>
    <row r="92" spans="5:10" x14ac:dyDescent="0.25">
      <c r="E92" s="318"/>
      <c r="F92" s="318"/>
      <c r="G92" s="318"/>
      <c r="H92" s="318"/>
      <c r="I92" s="318"/>
      <c r="J92" s="318"/>
    </row>
    <row r="93" spans="5:10" x14ac:dyDescent="0.25">
      <c r="E93" s="318"/>
      <c r="F93" s="318"/>
      <c r="G93" s="318"/>
      <c r="H93" s="318"/>
      <c r="I93" s="318"/>
      <c r="J93" s="318"/>
    </row>
    <row r="94" spans="5:10" x14ac:dyDescent="0.25">
      <c r="E94" s="318"/>
      <c r="F94" s="318"/>
      <c r="G94" s="318"/>
      <c r="H94" s="318"/>
      <c r="I94" s="318"/>
      <c r="J94" s="318"/>
    </row>
    <row r="95" spans="5:10" x14ac:dyDescent="0.25">
      <c r="E95" s="318"/>
      <c r="F95" s="318"/>
      <c r="G95" s="318"/>
      <c r="H95" s="318"/>
      <c r="I95" s="318"/>
      <c r="J95" s="318"/>
    </row>
    <row r="96" spans="5:10" x14ac:dyDescent="0.25">
      <c r="E96" s="318"/>
      <c r="F96" s="318"/>
      <c r="G96" s="318"/>
      <c r="H96" s="318"/>
      <c r="I96" s="318"/>
      <c r="J96" s="318"/>
    </row>
    <row r="97" spans="5:10" x14ac:dyDescent="0.25">
      <c r="E97" s="318"/>
      <c r="F97" s="318"/>
      <c r="G97" s="318"/>
      <c r="H97" s="318"/>
      <c r="I97" s="318"/>
      <c r="J97" s="318"/>
    </row>
    <row r="98" spans="5:10" x14ac:dyDescent="0.25">
      <c r="E98" s="318"/>
      <c r="F98" s="318"/>
      <c r="G98" s="318"/>
      <c r="H98" s="318"/>
      <c r="I98" s="318"/>
      <c r="J98" s="318"/>
    </row>
    <row r="99" spans="5:10" x14ac:dyDescent="0.25">
      <c r="E99" s="318"/>
      <c r="F99" s="318"/>
      <c r="G99" s="318"/>
      <c r="H99" s="318"/>
      <c r="I99" s="318"/>
      <c r="J99" s="318"/>
    </row>
    <row r="100" spans="5:10" x14ac:dyDescent="0.25">
      <c r="E100" s="318"/>
      <c r="F100" s="318"/>
      <c r="G100" s="318"/>
      <c r="H100" s="318"/>
      <c r="I100" s="318"/>
      <c r="J100" s="318"/>
    </row>
    <row r="101" spans="5:10" x14ac:dyDescent="0.25">
      <c r="E101" s="318"/>
      <c r="F101" s="318"/>
      <c r="G101" s="318"/>
      <c r="H101" s="318"/>
      <c r="I101" s="318"/>
      <c r="J101" s="318"/>
    </row>
    <row r="102" spans="5:10" x14ac:dyDescent="0.25">
      <c r="E102" s="318"/>
      <c r="F102" s="318"/>
      <c r="G102" s="318"/>
      <c r="H102" s="318"/>
      <c r="I102" s="318"/>
      <c r="J102" s="318"/>
    </row>
    <row r="103" spans="5:10" x14ac:dyDescent="0.25">
      <c r="E103" s="318"/>
      <c r="F103" s="318"/>
      <c r="G103" s="318"/>
      <c r="H103" s="318"/>
      <c r="I103" s="318"/>
      <c r="J103" s="318"/>
    </row>
    <row r="104" spans="5:10" x14ac:dyDescent="0.25">
      <c r="E104" s="318"/>
      <c r="F104" s="318"/>
      <c r="G104" s="318"/>
      <c r="H104" s="318"/>
      <c r="I104" s="318"/>
      <c r="J104" s="318"/>
    </row>
    <row r="105" spans="5:10" x14ac:dyDescent="0.25">
      <c r="E105" s="318"/>
      <c r="F105" s="318"/>
      <c r="G105" s="318"/>
      <c r="H105" s="318"/>
      <c r="I105" s="318"/>
      <c r="J105" s="318"/>
    </row>
    <row r="106" spans="5:10" x14ac:dyDescent="0.25">
      <c r="E106" s="318"/>
      <c r="F106" s="318"/>
      <c r="G106" s="318"/>
      <c r="H106" s="318"/>
      <c r="I106" s="318"/>
      <c r="J106" s="318"/>
    </row>
    <row r="107" spans="5:10" x14ac:dyDescent="0.25">
      <c r="E107" s="318"/>
      <c r="F107" s="318"/>
      <c r="G107" s="318"/>
      <c r="H107" s="318"/>
      <c r="I107" s="318"/>
      <c r="J107" s="318"/>
    </row>
    <row r="108" spans="5:10" x14ac:dyDescent="0.25">
      <c r="E108" s="318"/>
      <c r="F108" s="318"/>
      <c r="G108" s="318"/>
      <c r="H108" s="318"/>
      <c r="I108" s="318"/>
      <c r="J108" s="318"/>
    </row>
    <row r="109" spans="5:10" x14ac:dyDescent="0.25">
      <c r="E109" s="318"/>
      <c r="F109" s="318"/>
      <c r="G109" s="318"/>
      <c r="H109" s="318"/>
      <c r="I109" s="318"/>
      <c r="J109" s="318"/>
    </row>
    <row r="110" spans="5:10" x14ac:dyDescent="0.25">
      <c r="E110" s="318"/>
      <c r="F110" s="318"/>
      <c r="G110" s="318"/>
      <c r="H110" s="318"/>
      <c r="I110" s="318"/>
      <c r="J110" s="318"/>
    </row>
    <row r="111" spans="5:10" x14ac:dyDescent="0.25">
      <c r="E111" s="318"/>
      <c r="F111" s="318"/>
      <c r="G111" s="318"/>
      <c r="H111" s="318"/>
      <c r="I111" s="318"/>
      <c r="J111" s="318"/>
    </row>
    <row r="112" spans="5:10" x14ac:dyDescent="0.25">
      <c r="E112" s="318"/>
      <c r="F112" s="318"/>
      <c r="G112" s="318"/>
      <c r="H112" s="318"/>
      <c r="I112" s="318"/>
      <c r="J112" s="318"/>
    </row>
    <row r="113" spans="5:10" x14ac:dyDescent="0.25">
      <c r="E113" s="318"/>
      <c r="F113" s="318"/>
      <c r="G113" s="318"/>
      <c r="H113" s="318"/>
      <c r="I113" s="318"/>
      <c r="J113" s="318"/>
    </row>
    <row r="114" spans="5:10" x14ac:dyDescent="0.25">
      <c r="E114" s="318"/>
      <c r="F114" s="318"/>
      <c r="G114" s="318"/>
      <c r="H114" s="318"/>
      <c r="I114" s="318"/>
      <c r="J114" s="318"/>
    </row>
    <row r="115" spans="5:10" x14ac:dyDescent="0.25">
      <c r="E115" s="318"/>
      <c r="F115" s="318"/>
      <c r="G115" s="318"/>
      <c r="H115" s="318"/>
      <c r="I115" s="318"/>
      <c r="J115" s="318"/>
    </row>
    <row r="116" spans="5:10" x14ac:dyDescent="0.25">
      <c r="E116" s="318"/>
      <c r="F116" s="318"/>
      <c r="G116" s="318"/>
      <c r="H116" s="318"/>
      <c r="I116" s="318"/>
      <c r="J116" s="318"/>
    </row>
    <row r="117" spans="5:10" x14ac:dyDescent="0.25">
      <c r="E117" s="318"/>
      <c r="F117" s="318"/>
      <c r="G117" s="318"/>
      <c r="H117" s="318"/>
      <c r="I117" s="318"/>
      <c r="J117" s="318"/>
    </row>
    <row r="118" spans="5:10" x14ac:dyDescent="0.25">
      <c r="E118" s="318"/>
      <c r="F118" s="318"/>
      <c r="G118" s="318"/>
      <c r="H118" s="318"/>
      <c r="I118" s="318"/>
      <c r="J118" s="318"/>
    </row>
    <row r="119" spans="5:10" x14ac:dyDescent="0.25">
      <c r="E119" s="318"/>
      <c r="F119" s="318"/>
      <c r="G119" s="318"/>
      <c r="H119" s="318"/>
      <c r="I119" s="318"/>
      <c r="J119" s="318"/>
    </row>
    <row r="120" spans="5:10" x14ac:dyDescent="0.25">
      <c r="E120" s="318"/>
      <c r="F120" s="318"/>
      <c r="G120" s="318"/>
      <c r="H120" s="318"/>
      <c r="I120" s="318"/>
      <c r="J120" s="318"/>
    </row>
    <row r="121" spans="5:10" x14ac:dyDescent="0.25">
      <c r="E121" s="318"/>
      <c r="F121" s="318"/>
      <c r="G121" s="318"/>
      <c r="H121" s="318"/>
      <c r="I121" s="318"/>
      <c r="J121" s="318"/>
    </row>
    <row r="122" spans="5:10" x14ac:dyDescent="0.25">
      <c r="E122" s="318"/>
      <c r="F122" s="318"/>
      <c r="G122" s="318"/>
      <c r="H122" s="318"/>
      <c r="I122" s="318"/>
      <c r="J122" s="318"/>
    </row>
    <row r="123" spans="5:10" x14ac:dyDescent="0.25">
      <c r="E123" s="318"/>
      <c r="F123" s="318"/>
      <c r="G123" s="318"/>
      <c r="H123" s="318"/>
      <c r="I123" s="318"/>
      <c r="J123" s="318"/>
    </row>
    <row r="124" spans="5:10" x14ac:dyDescent="0.25">
      <c r="E124" s="318"/>
      <c r="F124" s="318"/>
      <c r="G124" s="318"/>
      <c r="H124" s="318"/>
      <c r="I124" s="318"/>
      <c r="J124" s="318"/>
    </row>
    <row r="125" spans="5:10" x14ac:dyDescent="0.25">
      <c r="E125" s="318"/>
      <c r="F125" s="318"/>
      <c r="G125" s="318"/>
      <c r="H125" s="318"/>
      <c r="I125" s="318"/>
      <c r="J125" s="318"/>
    </row>
    <row r="126" spans="5:10" x14ac:dyDescent="0.25">
      <c r="E126" s="318"/>
      <c r="F126" s="318"/>
      <c r="G126" s="318"/>
      <c r="H126" s="318"/>
      <c r="I126" s="318"/>
      <c r="J126" s="318"/>
    </row>
    <row r="127" spans="5:10" x14ac:dyDescent="0.25">
      <c r="E127" s="318"/>
      <c r="F127" s="318"/>
      <c r="G127" s="318"/>
      <c r="H127" s="318"/>
      <c r="I127" s="318"/>
      <c r="J127" s="318"/>
    </row>
    <row r="128" spans="5:10" x14ac:dyDescent="0.25">
      <c r="E128" s="318"/>
      <c r="F128" s="318"/>
      <c r="G128" s="318"/>
      <c r="H128" s="318"/>
      <c r="I128" s="318"/>
      <c r="J128" s="318"/>
    </row>
    <row r="129" spans="5:10" x14ac:dyDescent="0.25">
      <c r="E129" s="318"/>
      <c r="F129" s="318"/>
      <c r="G129" s="318"/>
      <c r="H129" s="318"/>
      <c r="I129" s="318"/>
      <c r="J129" s="318"/>
    </row>
    <row r="130" spans="5:10" x14ac:dyDescent="0.25">
      <c r="E130" s="318"/>
      <c r="F130" s="318"/>
      <c r="G130" s="318"/>
      <c r="H130" s="318"/>
      <c r="I130" s="318"/>
      <c r="J130" s="318"/>
    </row>
    <row r="131" spans="5:10" x14ac:dyDescent="0.25">
      <c r="E131" s="318"/>
      <c r="F131" s="318"/>
      <c r="G131" s="318"/>
      <c r="H131" s="318"/>
      <c r="I131" s="318"/>
      <c r="J131" s="318"/>
    </row>
  </sheetData>
  <mergeCells count="276">
    <mergeCell ref="E43:F43"/>
    <mergeCell ref="E44:F44"/>
    <mergeCell ref="E45:F45"/>
    <mergeCell ref="H22:J22"/>
    <mergeCell ref="H23:J23"/>
    <mergeCell ref="H24:J24"/>
    <mergeCell ref="H25:J25"/>
    <mergeCell ref="H26:J26"/>
    <mergeCell ref="H27:J27"/>
    <mergeCell ref="H28:J28"/>
    <mergeCell ref="G33:J33"/>
    <mergeCell ref="E42:F42"/>
    <mergeCell ref="E32:F32"/>
    <mergeCell ref="G32:J32"/>
    <mergeCell ref="E33:F33"/>
    <mergeCell ref="F26:G26"/>
    <mergeCell ref="F27:G27"/>
    <mergeCell ref="F28:G28"/>
    <mergeCell ref="F22:G22"/>
    <mergeCell ref="C39:D39"/>
    <mergeCell ref="C40:D40"/>
    <mergeCell ref="F24:G24"/>
    <mergeCell ref="F25:G25"/>
    <mergeCell ref="F20:G20"/>
    <mergeCell ref="F21:G21"/>
    <mergeCell ref="F18:G18"/>
    <mergeCell ref="F19:G19"/>
    <mergeCell ref="E30:F30"/>
    <mergeCell ref="G30:J30"/>
    <mergeCell ref="C31:D31"/>
    <mergeCell ref="E31:F31"/>
    <mergeCell ref="C32:D32"/>
    <mergeCell ref="C33:D33"/>
    <mergeCell ref="B47:B53"/>
    <mergeCell ref="C47:D47"/>
    <mergeCell ref="G31:J31"/>
    <mergeCell ref="F15:G15"/>
    <mergeCell ref="F16:G16"/>
    <mergeCell ref="F17:G17"/>
    <mergeCell ref="E9:F9"/>
    <mergeCell ref="G9:J9"/>
    <mergeCell ref="E10:F10"/>
    <mergeCell ref="G10:J10"/>
    <mergeCell ref="H13:J13"/>
    <mergeCell ref="H14:J14"/>
    <mergeCell ref="H15:J15"/>
    <mergeCell ref="H16:J16"/>
    <mergeCell ref="H17:J17"/>
    <mergeCell ref="F23:G23"/>
    <mergeCell ref="C41:D41"/>
    <mergeCell ref="E39:F39"/>
    <mergeCell ref="E40:F40"/>
    <mergeCell ref="E41:F41"/>
    <mergeCell ref="C34:D34"/>
    <mergeCell ref="E34:F34"/>
    <mergeCell ref="G34:J34"/>
    <mergeCell ref="H18:J18"/>
    <mergeCell ref="N1:N4"/>
    <mergeCell ref="H2:I2"/>
    <mergeCell ref="H3:I3"/>
    <mergeCell ref="H4:I4"/>
    <mergeCell ref="A5:J5"/>
    <mergeCell ref="F11:G11"/>
    <mergeCell ref="F12:G12"/>
    <mergeCell ref="H11:J11"/>
    <mergeCell ref="H12:J12"/>
    <mergeCell ref="H1:I1"/>
    <mergeCell ref="J1:J4"/>
    <mergeCell ref="A6:J7"/>
    <mergeCell ref="A8:D28"/>
    <mergeCell ref="E8:J8"/>
    <mergeCell ref="F13:G13"/>
    <mergeCell ref="F14:G14"/>
    <mergeCell ref="H19:J19"/>
    <mergeCell ref="H20:J20"/>
    <mergeCell ref="H21:J21"/>
    <mergeCell ref="C3:G4"/>
    <mergeCell ref="C1:G2"/>
    <mergeCell ref="A1:B4"/>
    <mergeCell ref="A29:A53"/>
    <mergeCell ref="B29:B46"/>
    <mergeCell ref="C29:D29"/>
    <mergeCell ref="E29:F29"/>
    <mergeCell ref="G29:J29"/>
    <mergeCell ref="C30:D30"/>
    <mergeCell ref="G38:J38"/>
    <mergeCell ref="C35:D35"/>
    <mergeCell ref="E35:F35"/>
    <mergeCell ref="G35:J35"/>
    <mergeCell ref="C36:D36"/>
    <mergeCell ref="E36:F36"/>
    <mergeCell ref="G36:J36"/>
    <mergeCell ref="E49:F49"/>
    <mergeCell ref="G49:J49"/>
    <mergeCell ref="C50:D50"/>
    <mergeCell ref="C46:D46"/>
    <mergeCell ref="E46:F46"/>
    <mergeCell ref="C37:D37"/>
    <mergeCell ref="E37:F37"/>
    <mergeCell ref="G37:J37"/>
    <mergeCell ref="C38:D38"/>
    <mergeCell ref="E38:F38"/>
    <mergeCell ref="E52:F52"/>
    <mergeCell ref="G46:J46"/>
    <mergeCell ref="C53:D53"/>
    <mergeCell ref="E53:F53"/>
    <mergeCell ref="G53:J53"/>
    <mergeCell ref="C51:D51"/>
    <mergeCell ref="E51:F51"/>
    <mergeCell ref="G51:J51"/>
    <mergeCell ref="C52:D52"/>
    <mergeCell ref="G52:J52"/>
    <mergeCell ref="E50:F50"/>
    <mergeCell ref="G50:J50"/>
    <mergeCell ref="E47:F47"/>
    <mergeCell ref="G47:J47"/>
    <mergeCell ref="C48:D48"/>
    <mergeCell ref="E48:F48"/>
    <mergeCell ref="G48:J48"/>
    <mergeCell ref="C49:D49"/>
    <mergeCell ref="E59:F59"/>
    <mergeCell ref="G59:J59"/>
    <mergeCell ref="E55:F55"/>
    <mergeCell ref="G55:J55"/>
    <mergeCell ref="E56:F56"/>
    <mergeCell ref="G56:J56"/>
    <mergeCell ref="E54:F54"/>
    <mergeCell ref="G54:J54"/>
    <mergeCell ref="E57:F57"/>
    <mergeCell ref="G57:J57"/>
    <mergeCell ref="E58:F58"/>
    <mergeCell ref="G58:J58"/>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E73:F73"/>
    <mergeCell ref="G73:J73"/>
    <mergeCell ref="E74:F74"/>
    <mergeCell ref="G74:J74"/>
    <mergeCell ref="E75:F75"/>
    <mergeCell ref="G75:J75"/>
    <mergeCell ref="E76:F76"/>
    <mergeCell ref="G76:J76"/>
    <mergeCell ref="E77:F77"/>
    <mergeCell ref="G77:J77"/>
    <mergeCell ref="E78:F78"/>
    <mergeCell ref="G78:J78"/>
    <mergeCell ref="E79:F79"/>
    <mergeCell ref="G79:J79"/>
    <mergeCell ref="E80:F80"/>
    <mergeCell ref="G80:J80"/>
    <mergeCell ref="E81:F81"/>
    <mergeCell ref="G81:J81"/>
    <mergeCell ref="E82:F82"/>
    <mergeCell ref="G82:J82"/>
    <mergeCell ref="E83:F83"/>
    <mergeCell ref="G83:J83"/>
    <mergeCell ref="E84:F84"/>
    <mergeCell ref="G84:J84"/>
    <mergeCell ref="E85:F85"/>
    <mergeCell ref="G85:J85"/>
    <mergeCell ref="E86:F86"/>
    <mergeCell ref="G86:J86"/>
    <mergeCell ref="E87:F87"/>
    <mergeCell ref="G87:J87"/>
    <mergeCell ref="E88:F88"/>
    <mergeCell ref="G88:J88"/>
    <mergeCell ref="E89:F89"/>
    <mergeCell ref="G89:J89"/>
    <mergeCell ref="E90:F90"/>
    <mergeCell ref="G90:J90"/>
    <mergeCell ref="E91:F91"/>
    <mergeCell ref="G91:J91"/>
    <mergeCell ref="E92:F92"/>
    <mergeCell ref="G92:J92"/>
    <mergeCell ref="E93:F93"/>
    <mergeCell ref="G93:J93"/>
    <mergeCell ref="E94:F94"/>
    <mergeCell ref="G94:J94"/>
    <mergeCell ref="E95:F95"/>
    <mergeCell ref="G95:J95"/>
    <mergeCell ref="E96:F96"/>
    <mergeCell ref="G96:J96"/>
    <mergeCell ref="E97:F97"/>
    <mergeCell ref="G97:J97"/>
    <mergeCell ref="E98:F98"/>
    <mergeCell ref="G98:J98"/>
    <mergeCell ref="E99:F99"/>
    <mergeCell ref="G99:J99"/>
    <mergeCell ref="E100:F100"/>
    <mergeCell ref="G100:J100"/>
    <mergeCell ref="E101:F101"/>
    <mergeCell ref="G101:J101"/>
    <mergeCell ref="E102:F102"/>
    <mergeCell ref="G102:J102"/>
    <mergeCell ref="E103:F103"/>
    <mergeCell ref="G103:J103"/>
    <mergeCell ref="E104:F104"/>
    <mergeCell ref="G104:J104"/>
    <mergeCell ref="E105:F105"/>
    <mergeCell ref="G105:J105"/>
    <mergeCell ref="E106:F106"/>
    <mergeCell ref="G106:J106"/>
    <mergeCell ref="E107:F107"/>
    <mergeCell ref="G107:J107"/>
    <mergeCell ref="E108:F108"/>
    <mergeCell ref="G108:J108"/>
    <mergeCell ref="E109:F109"/>
    <mergeCell ref="G109:J109"/>
    <mergeCell ref="E110:F110"/>
    <mergeCell ref="G110:J110"/>
    <mergeCell ref="E111:F111"/>
    <mergeCell ref="G111:J111"/>
    <mergeCell ref="E112:F112"/>
    <mergeCell ref="G112:J112"/>
    <mergeCell ref="E113:F113"/>
    <mergeCell ref="G113:J113"/>
    <mergeCell ref="E114:F114"/>
    <mergeCell ref="G114:J114"/>
    <mergeCell ref="E115:F115"/>
    <mergeCell ref="G115:J115"/>
    <mergeCell ref="E116:F116"/>
    <mergeCell ref="G116:J116"/>
    <mergeCell ref="E117:F117"/>
    <mergeCell ref="G117:J117"/>
    <mergeCell ref="E118:F118"/>
    <mergeCell ref="G118:J118"/>
    <mergeCell ref="E119:F119"/>
    <mergeCell ref="G119:J119"/>
    <mergeCell ref="E120:F120"/>
    <mergeCell ref="G120:J120"/>
    <mergeCell ref="E121:F121"/>
    <mergeCell ref="G121:J121"/>
    <mergeCell ref="E122:F122"/>
    <mergeCell ref="G122:J122"/>
    <mergeCell ref="E123:F123"/>
    <mergeCell ref="G123:J123"/>
    <mergeCell ref="E124:F124"/>
    <mergeCell ref="G124:J124"/>
    <mergeCell ref="E130:F130"/>
    <mergeCell ref="G130:J130"/>
    <mergeCell ref="E131:F131"/>
    <mergeCell ref="G131:J131"/>
    <mergeCell ref="E125:F125"/>
    <mergeCell ref="G125:J125"/>
    <mergeCell ref="E126:F126"/>
    <mergeCell ref="G126:J126"/>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zoomScale="66" zoomScaleNormal="66" workbookViewId="0">
      <selection activeCell="Y12" sqref="Y12"/>
    </sheetView>
  </sheetViews>
  <sheetFormatPr baseColWidth="10" defaultColWidth="11.44140625" defaultRowHeight="13.8" x14ac:dyDescent="0.25"/>
  <cols>
    <col min="1" max="1" width="4" style="2" bestFit="1" customWidth="1"/>
    <col min="2" max="2" width="14.21875" style="2" customWidth="1"/>
    <col min="3" max="3" width="13.21875" style="2" customWidth="1"/>
    <col min="4" max="4" width="16.21875" style="2" customWidth="1"/>
    <col min="5" max="5" width="30.44140625" style="2" customWidth="1"/>
    <col min="6" max="8" width="35" style="1" customWidth="1"/>
    <col min="9" max="9" width="18.21875" style="5" customWidth="1"/>
    <col min="10" max="10" width="14.44140625" style="1" customWidth="1"/>
    <col min="11" max="11" width="12" style="1" customWidth="1"/>
    <col min="12" max="12" width="6.44140625" style="1" bestFit="1" customWidth="1"/>
    <col min="13" max="13" width="24.44140625" style="1" bestFit="1" customWidth="1"/>
    <col min="14" max="14" width="28.44140625" style="1" hidden="1" customWidth="1"/>
    <col min="15" max="15" width="17.5546875" style="1" customWidth="1"/>
    <col min="16" max="16" width="6.44140625" style="1" bestFit="1" customWidth="1"/>
    <col min="17" max="17" width="16" style="1" customWidth="1"/>
    <col min="18" max="18" width="5.77734375" style="1" customWidth="1"/>
    <col min="19" max="19" width="55" style="1" customWidth="1"/>
    <col min="20" max="20" width="15.21875" style="1" bestFit="1" customWidth="1"/>
    <col min="21" max="21" width="6.77734375" style="1" customWidth="1"/>
    <col min="22" max="22" width="5" style="1" customWidth="1"/>
    <col min="23" max="23" width="5.5546875" style="1" customWidth="1"/>
    <col min="24" max="24" width="7.21875" style="1" customWidth="1"/>
    <col min="25" max="25" width="6.5546875" style="1" customWidth="1"/>
    <col min="26" max="26" width="4.5546875" style="1" bestFit="1" customWidth="1"/>
    <col min="27" max="27" width="38.5546875" style="1" bestFit="1" customWidth="1"/>
    <col min="28" max="28" width="8.5546875" style="1" customWidth="1"/>
    <col min="29" max="29" width="10.44140625" style="1" customWidth="1"/>
    <col min="30" max="30" width="9.44140625" style="1" customWidth="1"/>
    <col min="31" max="31" width="9.21875" style="1" customWidth="1"/>
    <col min="32" max="32" width="8.44140625" style="1" customWidth="1"/>
    <col min="33" max="33" width="7.44140625" style="1" customWidth="1"/>
    <col min="34" max="34" width="23" style="1" customWidth="1"/>
    <col min="35" max="35" width="22" style="1" customWidth="1"/>
    <col min="36" max="36" width="16.77734375" style="1" customWidth="1"/>
    <col min="37" max="37" width="14.77734375" style="1" customWidth="1"/>
    <col min="38" max="38" width="21" style="1" customWidth="1"/>
    <col min="39" max="16384" width="11.44140625" style="1"/>
  </cols>
  <sheetData>
    <row r="1" spans="1:70" ht="16.5" customHeight="1" x14ac:dyDescent="0.25">
      <c r="A1" s="467" t="s">
        <v>138</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9"/>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470"/>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2"/>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481" t="s">
        <v>42</v>
      </c>
      <c r="B4" s="482"/>
      <c r="C4" s="414" t="s">
        <v>216</v>
      </c>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25">
      <c r="A5" s="481" t="s">
        <v>124</v>
      </c>
      <c r="B5" s="482"/>
      <c r="C5" s="415" t="s">
        <v>214</v>
      </c>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481" t="s">
        <v>43</v>
      </c>
      <c r="B6" s="482"/>
      <c r="C6" s="415" t="s">
        <v>215</v>
      </c>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473" t="s">
        <v>133</v>
      </c>
      <c r="B7" s="474"/>
      <c r="C7" s="475"/>
      <c r="D7" s="475"/>
      <c r="E7" s="475"/>
      <c r="F7" s="475"/>
      <c r="G7" s="475"/>
      <c r="H7" s="475"/>
      <c r="I7" s="475"/>
      <c r="J7" s="476"/>
      <c r="K7" s="477" t="s">
        <v>134</v>
      </c>
      <c r="L7" s="475"/>
      <c r="M7" s="475"/>
      <c r="N7" s="475"/>
      <c r="O7" s="475"/>
      <c r="P7" s="475"/>
      <c r="Q7" s="476"/>
      <c r="R7" s="477" t="s">
        <v>135</v>
      </c>
      <c r="S7" s="475"/>
      <c r="T7" s="475"/>
      <c r="U7" s="475"/>
      <c r="V7" s="475"/>
      <c r="W7" s="475"/>
      <c r="X7" s="475"/>
      <c r="Y7" s="475"/>
      <c r="Z7" s="476"/>
      <c r="AA7" s="477" t="s">
        <v>136</v>
      </c>
      <c r="AB7" s="475"/>
      <c r="AC7" s="475"/>
      <c r="AD7" s="475"/>
      <c r="AE7" s="475"/>
      <c r="AF7" s="475"/>
      <c r="AG7" s="476"/>
      <c r="AH7" s="477" t="s">
        <v>34</v>
      </c>
      <c r="AI7" s="475"/>
      <c r="AJ7" s="475"/>
      <c r="AK7" s="475"/>
      <c r="AL7" s="476"/>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483" t="s">
        <v>0</v>
      </c>
      <c r="B8" s="480" t="s">
        <v>2</v>
      </c>
      <c r="C8" s="443" t="s">
        <v>3</v>
      </c>
      <c r="D8" s="443" t="s">
        <v>41</v>
      </c>
      <c r="E8" s="447" t="s">
        <v>202</v>
      </c>
      <c r="F8" s="485" t="s">
        <v>1</v>
      </c>
      <c r="G8" s="136"/>
      <c r="H8" s="136"/>
      <c r="I8" s="447" t="s">
        <v>49</v>
      </c>
      <c r="J8" s="443" t="s">
        <v>129</v>
      </c>
      <c r="K8" s="448" t="s">
        <v>33</v>
      </c>
      <c r="L8" s="478" t="s">
        <v>5</v>
      </c>
      <c r="M8" s="447" t="s">
        <v>85</v>
      </c>
      <c r="N8" s="447" t="s">
        <v>90</v>
      </c>
      <c r="O8" s="479" t="s">
        <v>44</v>
      </c>
      <c r="P8" s="478" t="s">
        <v>5</v>
      </c>
      <c r="Q8" s="443" t="s">
        <v>47</v>
      </c>
      <c r="R8" s="444" t="s">
        <v>11</v>
      </c>
      <c r="S8" s="426" t="s">
        <v>151</v>
      </c>
      <c r="T8" s="447" t="s">
        <v>12</v>
      </c>
      <c r="U8" s="426" t="s">
        <v>8</v>
      </c>
      <c r="V8" s="426"/>
      <c r="W8" s="426"/>
      <c r="X8" s="426"/>
      <c r="Y8" s="426"/>
      <c r="Z8" s="426"/>
      <c r="AA8" s="446" t="s">
        <v>132</v>
      </c>
      <c r="AB8" s="446" t="s">
        <v>45</v>
      </c>
      <c r="AC8" s="446" t="s">
        <v>5</v>
      </c>
      <c r="AD8" s="446" t="s">
        <v>46</v>
      </c>
      <c r="AE8" s="446" t="s">
        <v>5</v>
      </c>
      <c r="AF8" s="446" t="s">
        <v>48</v>
      </c>
      <c r="AG8" s="444" t="s">
        <v>29</v>
      </c>
      <c r="AH8" s="426" t="s">
        <v>34</v>
      </c>
      <c r="AI8" s="426" t="s">
        <v>35</v>
      </c>
      <c r="AJ8" s="426" t="s">
        <v>36</v>
      </c>
      <c r="AK8" s="426" t="s">
        <v>37</v>
      </c>
      <c r="AL8" s="426"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484"/>
      <c r="B9" s="480"/>
      <c r="C9" s="426"/>
      <c r="D9" s="426"/>
      <c r="E9" s="448"/>
      <c r="F9" s="486"/>
      <c r="G9" s="136" t="s">
        <v>397</v>
      </c>
      <c r="H9" s="136" t="s">
        <v>203</v>
      </c>
      <c r="I9" s="443"/>
      <c r="J9" s="426"/>
      <c r="K9" s="443"/>
      <c r="L9" s="477"/>
      <c r="M9" s="443"/>
      <c r="N9" s="443"/>
      <c r="O9" s="477"/>
      <c r="P9" s="477"/>
      <c r="Q9" s="426"/>
      <c r="R9" s="445"/>
      <c r="S9" s="426"/>
      <c r="T9" s="443"/>
      <c r="U9" s="7" t="s">
        <v>13</v>
      </c>
      <c r="V9" s="7" t="s">
        <v>17</v>
      </c>
      <c r="W9" s="7" t="s">
        <v>28</v>
      </c>
      <c r="X9" s="7" t="s">
        <v>18</v>
      </c>
      <c r="Y9" s="7" t="s">
        <v>21</v>
      </c>
      <c r="Z9" s="7" t="s">
        <v>24</v>
      </c>
      <c r="AA9" s="446"/>
      <c r="AB9" s="446"/>
      <c r="AC9" s="446"/>
      <c r="AD9" s="446"/>
      <c r="AE9" s="446"/>
      <c r="AF9" s="446"/>
      <c r="AG9" s="445"/>
      <c r="AH9" s="426"/>
      <c r="AI9" s="426"/>
      <c r="AJ9" s="426"/>
      <c r="AK9" s="426"/>
      <c r="AL9" s="426"/>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245.25" customHeight="1" x14ac:dyDescent="0.3">
      <c r="A10" s="389">
        <v>1</v>
      </c>
      <c r="B10" s="392" t="s">
        <v>128</v>
      </c>
      <c r="C10" s="392" t="s">
        <v>222</v>
      </c>
      <c r="D10" s="395" t="s">
        <v>218</v>
      </c>
      <c r="E10" s="147" t="s">
        <v>219</v>
      </c>
      <c r="F10" s="398" t="s">
        <v>228</v>
      </c>
      <c r="G10" s="232" t="s">
        <v>398</v>
      </c>
      <c r="H10" s="398" t="s">
        <v>227</v>
      </c>
      <c r="I10" s="430" t="s">
        <v>117</v>
      </c>
      <c r="J10" s="411">
        <f>300*246</f>
        <v>73800</v>
      </c>
      <c r="K10" s="408" t="str">
        <f>IF(J10&lt;=0,"",IF(J10&lt;=2,"Muy Baja",IF(J10&lt;=24,"Baja",IF(J10&lt;=500,"Media",IF(J10&lt;=5000,"Alta","Muy Alta")))))</f>
        <v>Muy Alta</v>
      </c>
      <c r="L10" s="402">
        <f>IF(K10="","",IF(K10="Muy Baja",0.2,IF(K10="Baja",0.4,IF(K10="Media",0.6,IF(K10="Alta",0.8,IF(K10="Muy Alta",1,))))))</f>
        <v>1</v>
      </c>
      <c r="M10" s="405" t="s">
        <v>144</v>
      </c>
      <c r="N10" s="402"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08" t="str">
        <f>IF(OR(N10='Tabla Impacto'!$C$11,N10='Tabla Impacto'!$D$11),"Leve",IF(OR(N10='Tabla Impacto'!$C$12,N10='Tabla Impacto'!$D$12),"Menor",IF(OR(N10='Tabla Impacto'!$C$13,N10='Tabla Impacto'!$D$13),"Moderado",IF(OR(N10='Tabla Impacto'!$C$14,N10='Tabla Impacto'!$D$14),"Mayor",IF(OR(N10='Tabla Impacto'!$C$15,N10='Tabla Impacto'!$D$15),"Catastrófico","")))))</f>
        <v>Moderado</v>
      </c>
      <c r="P10" s="402">
        <f>IF(O10="","",IF(O10="Leve",0.2,IF(O10="Menor",0.4,IF(O10="Moderado",0.6,IF(O10="Mayor",0.8,IF(O10="Catastrófico",1,))))))</f>
        <v>0.6</v>
      </c>
      <c r="Q10" s="39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
        <v>231</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113</v>
      </c>
      <c r="AA10" s="108">
        <f>IFERROR(IF(T10="Probabilidad",(L10-(+L10*W10)),IF(T10="Impacto",L10,"")),"")</f>
        <v>0.6</v>
      </c>
      <c r="AB10" s="116" t="str">
        <f>IFERROR(IF(AA10="","",IF(AA10&lt;=0.2,"Muy Baja",IF(AA10&lt;=0.4,"Baja",IF(AA10&lt;=0.6,"Media",IF(AA10&lt;=0.8,"Alta","Muy Alta"))))),"")</f>
        <v>Media</v>
      </c>
      <c r="AC10" s="117">
        <f>+AA10</f>
        <v>0.6</v>
      </c>
      <c r="AD10" s="116" t="str">
        <f>IFERROR(IF(AE10="","",IF(AE10&lt;=0.2,"Leve",IF(AE10&lt;=0.4,"Menor",IF(AE10&lt;=0.6,"Moderado",IF(AE10&lt;=0.8,"Mayor","Catastrófico"))))),"")</f>
        <v>Moderado</v>
      </c>
      <c r="AE10" s="117">
        <f>IFERROR(IF(T10="Impacto",(P10-(+P10*W10)),IF(T10="Probabilidad",P10,"")),"")</f>
        <v>0.6</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33" t="s">
        <v>130</v>
      </c>
      <c r="AH10" s="392" t="s">
        <v>235</v>
      </c>
      <c r="AI10" s="411" t="s">
        <v>223</v>
      </c>
      <c r="AJ10" s="436" t="s">
        <v>394</v>
      </c>
      <c r="AK10" s="438">
        <v>45754</v>
      </c>
      <c r="AL10" s="151"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6.8" x14ac:dyDescent="0.25">
      <c r="A11" s="390"/>
      <c r="B11" s="393"/>
      <c r="C11" s="393"/>
      <c r="D11" s="396"/>
      <c r="E11" s="137" t="s">
        <v>217</v>
      </c>
      <c r="F11" s="398"/>
      <c r="G11" s="232" t="s">
        <v>398</v>
      </c>
      <c r="H11" s="398"/>
      <c r="I11" s="431"/>
      <c r="J11" s="412"/>
      <c r="K11" s="409"/>
      <c r="L11" s="403"/>
      <c r="M11" s="406"/>
      <c r="N11" s="403">
        <f>IF(NOT(ISERROR(MATCH(M11,_xlfn.ANCHORARRAY(F22),0))),L24&amp;"Por favor no seleccionar los criterios de impacto",M11)</f>
        <v>0</v>
      </c>
      <c r="O11" s="409"/>
      <c r="P11" s="403"/>
      <c r="Q11" s="400"/>
      <c r="R11" s="105">
        <v>2</v>
      </c>
      <c r="S11" s="112" t="s">
        <v>229</v>
      </c>
      <c r="T11" s="107" t="str">
        <f t="shared" ref="T11" si="0">IF(OR(U11="Preventivo",U11="Detectivo"),"Probabilidad",IF(U11="Correctivo","Impacto",""))</f>
        <v>Probabilidad</v>
      </c>
      <c r="U11" s="114" t="s">
        <v>14</v>
      </c>
      <c r="V11" s="114" t="s">
        <v>9</v>
      </c>
      <c r="W11" s="115" t="str">
        <f t="shared" ref="W11" si="1">IF(AND(U11="Preventivo",V11="Automático"),"50%",IF(AND(U11="Preventivo",V11="Manual"),"40%",IF(AND(U11="Detectivo",V11="Automático"),"40%",IF(AND(U11="Detectivo",V11="Manual"),"30%",IF(AND(U11="Correctivo",V11="Automático"),"35%",IF(AND(U11="Correctivo",V11="Manual"),"25%",""))))))</f>
        <v>40%</v>
      </c>
      <c r="X11" s="114" t="s">
        <v>20</v>
      </c>
      <c r="Y11" s="114" t="s">
        <v>22</v>
      </c>
      <c r="Z11" s="114" t="s">
        <v>113</v>
      </c>
      <c r="AA11" s="108">
        <f>IFERROR(IF(AND(T10="Probabilidad",T11="Probabilidad"),(AC10-(+AC10*W11)),IF(AND(T10="Impacto",T11="Probabilidad"),(L10-(+L10*W11)),IF(T11="Impacto",AC10,""))),"")</f>
        <v>0.36</v>
      </c>
      <c r="AB11" s="116" t="str">
        <f t="shared" ref="AB11" si="2">IFERROR(IF(AA11="","",IF(AA11&lt;=0.2,"Muy Baja",IF(AA11&lt;=0.4,"Baja",IF(AA11&lt;=0.6,"Media",IF(AA11&lt;=0.8,"Alta","Muy Alta"))))),"")</f>
        <v>Baja</v>
      </c>
      <c r="AC11" s="117">
        <f>+AA11</f>
        <v>0.36</v>
      </c>
      <c r="AD11" s="116" t="str">
        <f t="shared" ref="AD11" si="3">IFERROR(IF(AE11="","",IF(AE11&lt;=0.2,"Leve",IF(AE11&lt;=0.4,"Menor",IF(AE11&lt;=0.6,"Moderado",IF(AE11&lt;=0.8,"Mayor","Catastrófico"))))),"")</f>
        <v>Moderado</v>
      </c>
      <c r="AE11" s="117">
        <f>IFERROR(IF(AND(T10="Impacto",T11="Impacto"),(AE10-(+AE10*W11)),IF(AND(T10="Probabilidad",T11="Impacto"),(P10-(+P10*W11)),IF(T11="Probabilidad",AE10,""))),"")</f>
        <v>0.6</v>
      </c>
      <c r="AF11" s="118" t="str">
        <f t="shared" ref="AF11" si="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434"/>
      <c r="AH11" s="394"/>
      <c r="AI11" s="413"/>
      <c r="AJ11" s="437"/>
      <c r="AK11" s="439"/>
      <c r="AL11" s="150"/>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81" customHeight="1" x14ac:dyDescent="0.25">
      <c r="A12" s="390"/>
      <c r="B12" s="393"/>
      <c r="C12" s="393"/>
      <c r="D12" s="396"/>
      <c r="E12" s="137"/>
      <c r="F12" s="398"/>
      <c r="G12" s="232"/>
      <c r="H12" s="398"/>
      <c r="I12" s="431"/>
      <c r="J12" s="412"/>
      <c r="K12" s="409"/>
      <c r="L12" s="403"/>
      <c r="M12" s="406"/>
      <c r="N12" s="403">
        <f>IF(NOT(ISERROR(MATCH(M12,_xlfn.ANCHORARRAY(F23),0))),L25&amp;"Por favor no seleccionar los criterios de impacto",M12)</f>
        <v>0</v>
      </c>
      <c r="O12" s="409"/>
      <c r="P12" s="403"/>
      <c r="Q12" s="400"/>
      <c r="R12" s="105">
        <v>3</v>
      </c>
      <c r="S12" s="112"/>
      <c r="T12" s="107"/>
      <c r="U12" s="114"/>
      <c r="V12" s="114"/>
      <c r="W12" s="115"/>
      <c r="X12" s="114"/>
      <c r="Y12" s="114"/>
      <c r="Z12" s="114"/>
      <c r="AA12" s="108" t="str">
        <f>IFERROR(IF(AND(T11="Probabilidad",T12="Probabilidad"),(AC11-(+AC11*W12)),IF(AND(T11="Impacto",T12="Probabilidad"),(AC10-(+AC10*W12)),IF(T12="Impacto",AC11,""))),"")</f>
        <v/>
      </c>
      <c r="AB12" s="116" t="str">
        <f t="shared" ref="AB12:AB15" si="5">IFERROR(IF(AA12="","",IF(AA12&lt;=0.2,"Muy Baja",IF(AA12&lt;=0.4,"Baja",IF(AA12&lt;=0.6,"Media",IF(AA12&lt;=0.8,"Alta","Muy Alta"))))),"")</f>
        <v/>
      </c>
      <c r="AC12" s="117" t="str">
        <f t="shared" ref="AC12:AC15" si="6">+AA12</f>
        <v/>
      </c>
      <c r="AD12" s="116" t="str">
        <f t="shared" ref="AD12:AD15" si="7">IFERROR(IF(AE12="","",IF(AE12&lt;=0.2,"Leve",IF(AE12&lt;=0.4,"Menor",IF(AE12&lt;=0.6,"Moderado",IF(AE12&lt;=0.8,"Mayor","Catastrófico"))))),"")</f>
        <v/>
      </c>
      <c r="AE12" s="117" t="str">
        <f t="shared" ref="AE12:AE15" si="8">IFERROR(IF(AND(T11="Impacto",T12="Impacto"),(AE11-(+AE11*W12)),IF(AND(T11="Probabilidad",T12="Impacto"),(AE10-(+AE10*W12)),IF(T12="Probabilidad",AE11,""))),"")</f>
        <v/>
      </c>
      <c r="AF12" s="118" t="str">
        <f t="shared" ref="AF12:AF15" si="9">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435"/>
      <c r="AH12" s="109"/>
      <c r="AI12" s="110"/>
      <c r="AJ12" s="111"/>
      <c r="AK12" s="149"/>
      <c r="AL12" s="150"/>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25">
      <c r="A13" s="390"/>
      <c r="B13" s="393"/>
      <c r="C13" s="393"/>
      <c r="D13" s="396"/>
      <c r="E13" s="137"/>
      <c r="F13" s="398"/>
      <c r="G13" s="232"/>
      <c r="H13" s="398"/>
      <c r="I13" s="431"/>
      <c r="J13" s="412"/>
      <c r="K13" s="409"/>
      <c r="L13" s="403"/>
      <c r="M13" s="406"/>
      <c r="N13" s="403">
        <f>IF(NOT(ISERROR(MATCH(M13,_xlfn.ANCHORARRAY(F24),0))),L26&amp;"Por favor no seleccionar los criterios de impacto",M13)</f>
        <v>0</v>
      </c>
      <c r="O13" s="409"/>
      <c r="P13" s="403"/>
      <c r="Q13" s="400"/>
      <c r="R13" s="105">
        <v>4</v>
      </c>
      <c r="S13" s="106"/>
      <c r="T13" s="107" t="str">
        <f t="shared" ref="T13:T15" si="10">IF(OR(U13="Preventivo",U13="Detectivo"),"Probabilidad",IF(U13="Correctivo","Impacto",""))</f>
        <v/>
      </c>
      <c r="U13" s="114"/>
      <c r="V13" s="114"/>
      <c r="W13" s="115" t="str">
        <f t="shared" ref="W13:W15" si="11">IF(AND(U13="Preventivo",V13="Automático"),"50%",IF(AND(U13="Preventivo",V13="Manual"),"40%",IF(AND(U13="Detectivo",V13="Automático"),"40%",IF(AND(U13="Detectivo",V13="Manual"),"30%",IF(AND(U13="Correctivo",V13="Automático"),"35%",IF(AND(U13="Correctivo",V13="Manual"),"25%",""))))))</f>
        <v/>
      </c>
      <c r="X13" s="114"/>
      <c r="Y13" s="114"/>
      <c r="Z13" s="114"/>
      <c r="AA13" s="108" t="str">
        <f t="shared" ref="AA13:AA15" si="12">IFERROR(IF(AND(T12="Probabilidad",T13="Probabilidad"),(AC12-(+AC12*W13)),IF(AND(T12="Impacto",T13="Probabilidad"),(AC11-(+AC11*W13)),IF(T13="Impacto",AC12,""))),"")</f>
        <v/>
      </c>
      <c r="AB13" s="116" t="str">
        <f t="shared" si="5"/>
        <v/>
      </c>
      <c r="AC13" s="117" t="str">
        <f t="shared" si="6"/>
        <v/>
      </c>
      <c r="AD13" s="116" t="str">
        <f t="shared" si="7"/>
        <v/>
      </c>
      <c r="AE13" s="117" t="str">
        <f t="shared" si="8"/>
        <v/>
      </c>
      <c r="AF13" s="118" t="str">
        <f t="shared" si="9"/>
        <v/>
      </c>
      <c r="AG13" s="119"/>
      <c r="AH13" s="109"/>
      <c r="AI13" s="110"/>
      <c r="AJ13" s="111"/>
      <c r="AK13" s="149"/>
      <c r="AL13" s="150"/>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25">
      <c r="A14" s="390"/>
      <c r="B14" s="393"/>
      <c r="C14" s="393"/>
      <c r="D14" s="396"/>
      <c r="E14" s="137"/>
      <c r="F14" s="398"/>
      <c r="G14" s="232"/>
      <c r="H14" s="398"/>
      <c r="I14" s="431"/>
      <c r="J14" s="412"/>
      <c r="K14" s="409"/>
      <c r="L14" s="403"/>
      <c r="M14" s="406"/>
      <c r="N14" s="403">
        <f>IF(NOT(ISERROR(MATCH(M14,_xlfn.ANCHORARRAY(F25),0))),L27&amp;"Por favor no seleccionar los criterios de impacto",M14)</f>
        <v>0</v>
      </c>
      <c r="O14" s="409"/>
      <c r="P14" s="403"/>
      <c r="Q14" s="400"/>
      <c r="R14" s="105">
        <v>5</v>
      </c>
      <c r="S14" s="106"/>
      <c r="T14" s="107" t="str">
        <f t="shared" si="10"/>
        <v/>
      </c>
      <c r="U14" s="114"/>
      <c r="V14" s="114"/>
      <c r="W14" s="115" t="str">
        <f t="shared" si="11"/>
        <v/>
      </c>
      <c r="X14" s="114"/>
      <c r="Y14" s="114"/>
      <c r="Z14" s="114"/>
      <c r="AA14" s="108" t="str">
        <f t="shared" si="12"/>
        <v/>
      </c>
      <c r="AB14" s="116" t="str">
        <f t="shared" si="5"/>
        <v/>
      </c>
      <c r="AC14" s="117" t="str">
        <f t="shared" si="6"/>
        <v/>
      </c>
      <c r="AD14" s="116" t="str">
        <f t="shared" si="7"/>
        <v/>
      </c>
      <c r="AE14" s="117" t="str">
        <f t="shared" si="8"/>
        <v/>
      </c>
      <c r="AF14" s="118" t="str">
        <f t="shared" si="9"/>
        <v/>
      </c>
      <c r="AG14" s="119"/>
      <c r="AH14" s="109"/>
      <c r="AI14" s="110"/>
      <c r="AJ14" s="111"/>
      <c r="AK14" s="149"/>
      <c r="AL14" s="150"/>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25">
      <c r="A15" s="391"/>
      <c r="B15" s="394"/>
      <c r="C15" s="394"/>
      <c r="D15" s="397"/>
      <c r="E15" s="137"/>
      <c r="F15" s="398"/>
      <c r="G15" s="232"/>
      <c r="H15" s="398"/>
      <c r="I15" s="432"/>
      <c r="J15" s="413"/>
      <c r="K15" s="410"/>
      <c r="L15" s="404"/>
      <c r="M15" s="407"/>
      <c r="N15" s="404">
        <f>IF(NOT(ISERROR(MATCH(M15,_xlfn.ANCHORARRAY(F26),0))),L28&amp;"Por favor no seleccionar los criterios de impacto",M15)</f>
        <v>0</v>
      </c>
      <c r="O15" s="410"/>
      <c r="P15" s="404"/>
      <c r="Q15" s="401"/>
      <c r="R15" s="105">
        <v>6</v>
      </c>
      <c r="S15" s="106"/>
      <c r="T15" s="107" t="str">
        <f t="shared" si="10"/>
        <v/>
      </c>
      <c r="U15" s="114"/>
      <c r="V15" s="114"/>
      <c r="W15" s="115" t="str">
        <f t="shared" si="11"/>
        <v/>
      </c>
      <c r="X15" s="114"/>
      <c r="Y15" s="114"/>
      <c r="Z15" s="114"/>
      <c r="AA15" s="108" t="str">
        <f t="shared" si="12"/>
        <v/>
      </c>
      <c r="AB15" s="116" t="str">
        <f t="shared" si="5"/>
        <v/>
      </c>
      <c r="AC15" s="117" t="str">
        <f t="shared" si="6"/>
        <v/>
      </c>
      <c r="AD15" s="116" t="str">
        <f t="shared" si="7"/>
        <v/>
      </c>
      <c r="AE15" s="117" t="str">
        <f t="shared" si="8"/>
        <v/>
      </c>
      <c r="AF15" s="118" t="str">
        <f t="shared" si="9"/>
        <v/>
      </c>
      <c r="AG15" s="119"/>
      <c r="AH15" s="109"/>
      <c r="AI15" s="110"/>
      <c r="AJ15" s="111"/>
      <c r="AK15" s="149"/>
      <c r="AL15" s="150"/>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47.5" customHeight="1" x14ac:dyDescent="0.25">
      <c r="A16" s="389">
        <v>2</v>
      </c>
      <c r="B16" s="458" t="s">
        <v>128</v>
      </c>
      <c r="C16" s="458" t="s">
        <v>225</v>
      </c>
      <c r="D16" s="416" t="s">
        <v>224</v>
      </c>
      <c r="E16" s="138" t="s">
        <v>220</v>
      </c>
      <c r="F16" s="419" t="s">
        <v>230</v>
      </c>
      <c r="G16" s="233" t="s">
        <v>398</v>
      </c>
      <c r="H16" s="440" t="s">
        <v>226</v>
      </c>
      <c r="I16" s="449" t="s">
        <v>117</v>
      </c>
      <c r="J16" s="452">
        <v>28</v>
      </c>
      <c r="K16" s="423" t="str">
        <f>IF(J16&lt;=0,"",IF(J16&lt;=2,"Muy Baja",IF(J16&lt;=24,"Baja",IF(J16&lt;=500,"Media",IF(J16&lt;=5000,"Alta","Muy Alta")))))</f>
        <v>Media</v>
      </c>
      <c r="L16" s="420">
        <f>IF(K16="","",IF(K16="Muy Baja",0.2,IF(K16="Baja",0.4,IF(K16="Media",0.6,IF(K16="Alta",0.8,IF(K16="Muy Alta",1,))))))</f>
        <v>0.6</v>
      </c>
      <c r="M16" s="455" t="s">
        <v>144</v>
      </c>
      <c r="N16" s="420"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423" t="str">
        <f>IF(OR(N16='Tabla Impacto'!$C$11,N16='Tabla Impacto'!$D$11),"Leve",IF(OR(N16='Tabla Impacto'!$C$12,N16='Tabla Impacto'!$D$12),"Menor",IF(OR(N16='Tabla Impacto'!$C$13,N16='Tabla Impacto'!$D$13),"Moderado",IF(OR(N16='Tabla Impacto'!$C$14,N16='Tabla Impacto'!$D$14),"Mayor",IF(OR(N16='Tabla Impacto'!$C$15,N16='Tabla Impacto'!$D$15),"Catastrófico","")))))</f>
        <v>Moderado</v>
      </c>
      <c r="P16" s="420">
        <f>IF(O16="","",IF(O16="Leve",0.2,IF(O16="Menor",0.4,IF(O16="Moderado",0.6,IF(O16="Mayor",0.8,IF(O16="Catastrófico",1,))))))</f>
        <v>0.6</v>
      </c>
      <c r="Q16" s="42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48" t="s">
        <v>233</v>
      </c>
      <c r="T16" s="107" t="str">
        <f>IF(OR(U16="Preventivo",U16="Detectivo"),"Probabilidad",IF(U16="Correctivo","Impacto",""))</f>
        <v>Probabilidad</v>
      </c>
      <c r="U16" s="114" t="s">
        <v>14</v>
      </c>
      <c r="V16" s="114" t="s">
        <v>10</v>
      </c>
      <c r="W16" s="115" t="str">
        <f>IF(AND(U16="Preventivo",V16="Automático"),"50%",IF(AND(U16="Preventivo",V16="Manual"),"40%",IF(AND(U16="Detectivo",V16="Automático"),"40%",IF(AND(U16="Detectivo",V16="Manual"),"30%",IF(AND(U16="Correctivo",V16="Automático"),"35%",IF(AND(U16="Correctivo",V16="Manual"),"25%",""))))))</f>
        <v>50%</v>
      </c>
      <c r="X16" s="114" t="s">
        <v>19</v>
      </c>
      <c r="Y16" s="114" t="s">
        <v>22</v>
      </c>
      <c r="Z16" s="114" t="s">
        <v>113</v>
      </c>
      <c r="AA16" s="108">
        <f>IFERROR(IF(T16="Probabilidad",(L16-(+L16*W16)),IF(T16="Impacto",L16,"")),"")</f>
        <v>0.3</v>
      </c>
      <c r="AB16" s="116" t="str">
        <f>IFERROR(IF(AA16="","",IF(AA16&lt;=0.2,"Muy Baja",IF(AA16&lt;=0.4,"Baja",IF(AA16&lt;=0.6,"Media",IF(AA16&lt;=0.8,"Alta","Muy Alta"))))),"")</f>
        <v>Baja</v>
      </c>
      <c r="AC16" s="117">
        <f>+AA16</f>
        <v>0.3</v>
      </c>
      <c r="AD16" s="116" t="str">
        <f>IFERROR(IF(AE16="","",IF(AE16&lt;=0.2,"Leve",IF(AE16&lt;=0.4,"Menor",IF(AE16&lt;=0.6,"Moderado",IF(AE16&lt;=0.8,"Mayor","Catastrófico"))))),"")</f>
        <v>Moderado</v>
      </c>
      <c r="AE16" s="117">
        <f>IFERROR(IF(T16="Impacto",(P16-(+P16*W16)),IF(T16="Probabilidad",P16,"")),"")</f>
        <v>0.6</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19"/>
      <c r="AH16" s="109" t="s">
        <v>396</v>
      </c>
      <c r="AI16" s="110" t="s">
        <v>232</v>
      </c>
      <c r="AJ16" s="111" t="s">
        <v>394</v>
      </c>
      <c r="AK16" s="149">
        <v>45754</v>
      </c>
      <c r="AL16" s="151" t="s">
        <v>40</v>
      </c>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97.25" customHeight="1" x14ac:dyDescent="0.25">
      <c r="A17" s="390"/>
      <c r="B17" s="459"/>
      <c r="C17" s="459"/>
      <c r="D17" s="417"/>
      <c r="E17" s="138" t="s">
        <v>221</v>
      </c>
      <c r="F17" s="419"/>
      <c r="G17" s="234" t="s">
        <v>398</v>
      </c>
      <c r="H17" s="441"/>
      <c r="I17" s="450"/>
      <c r="J17" s="453"/>
      <c r="K17" s="424"/>
      <c r="L17" s="421"/>
      <c r="M17" s="456"/>
      <c r="N17" s="421">
        <f>IF(NOT(ISERROR(MATCH(M17,_xlfn.ANCHORARRAY(F28),0))),L30&amp;"Por favor no seleccionar los criterios de impacto",M17)</f>
        <v>0</v>
      </c>
      <c r="O17" s="424"/>
      <c r="P17" s="421"/>
      <c r="Q17" s="428"/>
      <c r="R17" s="105">
        <v>2</v>
      </c>
      <c r="S17" s="148" t="s">
        <v>234</v>
      </c>
      <c r="T17" s="107" t="str">
        <f>IF(OR(U17="Preventivo",U17="Detectivo"),"Probabilidad",IF(U17="Correctivo","Impacto",""))</f>
        <v>Probabilidad</v>
      </c>
      <c r="U17" s="114" t="s">
        <v>14</v>
      </c>
      <c r="V17" s="114" t="s">
        <v>9</v>
      </c>
      <c r="W17" s="115" t="str">
        <f t="shared" ref="W17:W21" si="13">IF(AND(U17="Preventivo",V17="Automático"),"50%",IF(AND(U17="Preventivo",V17="Manual"),"40%",IF(AND(U17="Detectivo",V17="Automático"),"40%",IF(AND(U17="Detectivo",V17="Manual"),"30%",IF(AND(U17="Correctivo",V17="Automático"),"35%",IF(AND(U17="Correctivo",V17="Manual"),"25%",""))))))</f>
        <v>40%</v>
      </c>
      <c r="X17" s="114" t="s">
        <v>19</v>
      </c>
      <c r="Y17" s="114" t="s">
        <v>22</v>
      </c>
      <c r="Z17" s="114" t="s">
        <v>113</v>
      </c>
      <c r="AA17" s="108">
        <f>IFERROR(IF(AND(T16="Probabilidad",T17="Probabilidad"),(AC16-(+AC16*W17)),IF(AND(T16="Impacto",T17="Probabilidad"),(L16-(+L16*W17)),IF(T17="Impacto",AC16,""))),"")</f>
        <v>0.18</v>
      </c>
      <c r="AB17" s="116" t="str">
        <f t="shared" ref="AB17:AB21" si="14">IFERROR(IF(AA17="","",IF(AA17&lt;=0.2,"Muy Baja",IF(AA17&lt;=0.4,"Baja",IF(AA17&lt;=0.6,"Media",IF(AA17&lt;=0.8,"Alta","Muy Alta"))))),"")</f>
        <v>Muy Baja</v>
      </c>
      <c r="AC17" s="117">
        <f>+AA17</f>
        <v>0.18</v>
      </c>
      <c r="AD17" s="116" t="str">
        <f t="shared" ref="AD17:AD21" si="15">IFERROR(IF(AE17="","",IF(AE17&lt;=0.2,"Leve",IF(AE17&lt;=0.4,"Menor",IF(AE17&lt;=0.6,"Moderado",IF(AE17&lt;=0.8,"Mayor","Catastrófico"))))),"")</f>
        <v>Moderado</v>
      </c>
      <c r="AE17" s="117">
        <f>IFERROR(IF(AND(T16="Impacto",T17="Impacto"),(AE16-(+AE16*W17)),IF(AND(T16="Probabilidad",T17="Impacto"),(P16-(+P16*W17)),IF(T17="Probabilidad",AE16,""))),"")</f>
        <v>0.6</v>
      </c>
      <c r="AF17" s="118" t="str">
        <f t="shared" ref="AF17:AF21" si="16">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19"/>
      <c r="AH17" s="109" t="s">
        <v>395</v>
      </c>
      <c r="AI17" s="110" t="s">
        <v>232</v>
      </c>
      <c r="AJ17" s="111" t="s">
        <v>394</v>
      </c>
      <c r="AK17" s="149">
        <v>45754</v>
      </c>
      <c r="AL17" s="151" t="s">
        <v>40</v>
      </c>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25">
      <c r="A18" s="390"/>
      <c r="B18" s="459"/>
      <c r="C18" s="459"/>
      <c r="D18" s="417"/>
      <c r="E18" s="138"/>
      <c r="F18" s="419"/>
      <c r="G18" s="234"/>
      <c r="H18" s="441"/>
      <c r="I18" s="450"/>
      <c r="J18" s="453"/>
      <c r="K18" s="424"/>
      <c r="L18" s="421"/>
      <c r="M18" s="456"/>
      <c r="N18" s="421">
        <f>IF(NOT(ISERROR(MATCH(M18,_xlfn.ANCHORARRAY(F29),0))),L31&amp;"Por favor no seleccionar los criterios de impacto",M18)</f>
        <v>0</v>
      </c>
      <c r="O18" s="424"/>
      <c r="P18" s="421"/>
      <c r="Q18" s="428"/>
      <c r="R18" s="105">
        <v>3</v>
      </c>
      <c r="S18" s="112"/>
      <c r="T18" s="107" t="str">
        <f t="shared" ref="T18:T21" si="17">IF(OR(U18="Preventivo",U18="Detectivo"),"Probabilidad",IF(U18="Correctivo","Impacto",""))</f>
        <v/>
      </c>
      <c r="U18" s="114"/>
      <c r="V18" s="114"/>
      <c r="W18" s="115" t="str">
        <f t="shared" si="13"/>
        <v/>
      </c>
      <c r="X18" s="114"/>
      <c r="Y18" s="114"/>
      <c r="Z18" s="114"/>
      <c r="AA18" s="108" t="str">
        <f>IFERROR(IF(AND(T17="Probabilidad",T18="Probabilidad"),(AC17-(+AC17*W18)),IF(AND(T17="Impacto",T18="Probabilidad"),(AC16-(+AC16*W18)),IF(T18="Impacto",AC17,""))),"")</f>
        <v/>
      </c>
      <c r="AB18" s="116" t="str">
        <f t="shared" si="14"/>
        <v/>
      </c>
      <c r="AC18" s="117" t="str">
        <f t="shared" ref="AC18:AC21" si="18">+AA18</f>
        <v/>
      </c>
      <c r="AD18" s="116" t="str">
        <f t="shared" si="15"/>
        <v/>
      </c>
      <c r="AE18" s="117" t="str">
        <f t="shared" ref="AE18:AE21" si="19">IFERROR(IF(AND(T17="Impacto",T18="Impacto"),(AE17-(+AE17*W18)),IF(AND(T17="Probabilidad",T18="Impacto"),(AE16-(+AE16*W18)),IF(T18="Probabilidad",AE17,""))),"")</f>
        <v/>
      </c>
      <c r="AF18" s="118" t="str">
        <f t="shared" si="16"/>
        <v/>
      </c>
      <c r="AG18" s="119"/>
      <c r="AH18" s="109"/>
      <c r="AI18" s="110"/>
      <c r="AJ18" s="111"/>
      <c r="AK18" s="111"/>
      <c r="AL18" s="11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25">
      <c r="A19" s="390"/>
      <c r="B19" s="459"/>
      <c r="C19" s="459"/>
      <c r="D19" s="417"/>
      <c r="E19" s="138"/>
      <c r="F19" s="419"/>
      <c r="G19" s="234"/>
      <c r="H19" s="441"/>
      <c r="I19" s="450"/>
      <c r="J19" s="453"/>
      <c r="K19" s="424"/>
      <c r="L19" s="421"/>
      <c r="M19" s="456"/>
      <c r="N19" s="421">
        <f>IF(NOT(ISERROR(MATCH(M19,_xlfn.ANCHORARRAY(F30),0))),L32&amp;"Por favor no seleccionar los criterios de impacto",M19)</f>
        <v>0</v>
      </c>
      <c r="O19" s="424"/>
      <c r="P19" s="421"/>
      <c r="Q19" s="428"/>
      <c r="R19" s="105">
        <v>4</v>
      </c>
      <c r="S19" s="106"/>
      <c r="T19" s="107" t="str">
        <f t="shared" si="17"/>
        <v/>
      </c>
      <c r="U19" s="114"/>
      <c r="V19" s="114"/>
      <c r="W19" s="115" t="str">
        <f t="shared" si="13"/>
        <v/>
      </c>
      <c r="X19" s="114"/>
      <c r="Y19" s="114"/>
      <c r="Z19" s="114"/>
      <c r="AA19" s="108" t="str">
        <f t="shared" ref="AA19:AA21" si="20">IFERROR(IF(AND(T18="Probabilidad",T19="Probabilidad"),(AC18-(+AC18*W19)),IF(AND(T18="Impacto",T19="Probabilidad"),(AC17-(+AC17*W19)),IF(T19="Impacto",AC18,""))),"")</f>
        <v/>
      </c>
      <c r="AB19" s="116" t="str">
        <f t="shared" si="14"/>
        <v/>
      </c>
      <c r="AC19" s="117" t="str">
        <f t="shared" si="18"/>
        <v/>
      </c>
      <c r="AD19" s="116" t="str">
        <f t="shared" si="15"/>
        <v/>
      </c>
      <c r="AE19" s="117" t="str">
        <f t="shared" si="19"/>
        <v/>
      </c>
      <c r="AF19" s="118" t="str">
        <f t="shared" si="16"/>
        <v/>
      </c>
      <c r="AG19" s="119"/>
      <c r="AH19" s="109"/>
      <c r="AI19" s="110"/>
      <c r="AJ19" s="111"/>
      <c r="AK19" s="111"/>
      <c r="AL19" s="110"/>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25">
      <c r="A20" s="390"/>
      <c r="B20" s="459"/>
      <c r="C20" s="459"/>
      <c r="D20" s="417"/>
      <c r="E20" s="138"/>
      <c r="F20" s="419"/>
      <c r="G20" s="234"/>
      <c r="H20" s="441"/>
      <c r="I20" s="450"/>
      <c r="J20" s="453"/>
      <c r="K20" s="424"/>
      <c r="L20" s="421"/>
      <c r="M20" s="456"/>
      <c r="N20" s="421">
        <f>IF(NOT(ISERROR(MATCH(M20,_xlfn.ANCHORARRAY(F31),0))),L33&amp;"Por favor no seleccionar los criterios de impacto",M20)</f>
        <v>0</v>
      </c>
      <c r="O20" s="424"/>
      <c r="P20" s="421"/>
      <c r="Q20" s="428"/>
      <c r="R20" s="105">
        <v>5</v>
      </c>
      <c r="S20" s="106"/>
      <c r="T20" s="107" t="str">
        <f t="shared" si="17"/>
        <v/>
      </c>
      <c r="U20" s="114"/>
      <c r="V20" s="114"/>
      <c r="W20" s="115" t="str">
        <f t="shared" si="13"/>
        <v/>
      </c>
      <c r="X20" s="114"/>
      <c r="Y20" s="114"/>
      <c r="Z20" s="114"/>
      <c r="AA20" s="108" t="str">
        <f t="shared" si="20"/>
        <v/>
      </c>
      <c r="AB20" s="116" t="str">
        <f t="shared" si="14"/>
        <v/>
      </c>
      <c r="AC20" s="117" t="str">
        <f t="shared" si="18"/>
        <v/>
      </c>
      <c r="AD20" s="116" t="str">
        <f t="shared" si="15"/>
        <v/>
      </c>
      <c r="AE20" s="117" t="str">
        <f t="shared" si="19"/>
        <v/>
      </c>
      <c r="AF20" s="118" t="str">
        <f t="shared" si="16"/>
        <v/>
      </c>
      <c r="AG20" s="119"/>
      <c r="AH20" s="109"/>
      <c r="AI20" s="110"/>
      <c r="AJ20" s="111"/>
      <c r="AK20" s="111"/>
      <c r="AL20" s="110"/>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25">
      <c r="A21" s="391"/>
      <c r="B21" s="460"/>
      <c r="C21" s="460"/>
      <c r="D21" s="418"/>
      <c r="E21" s="138"/>
      <c r="F21" s="419"/>
      <c r="G21" s="235"/>
      <c r="H21" s="442"/>
      <c r="I21" s="451"/>
      <c r="J21" s="454"/>
      <c r="K21" s="425"/>
      <c r="L21" s="422"/>
      <c r="M21" s="457"/>
      <c r="N21" s="422">
        <f>IF(NOT(ISERROR(MATCH(M21,_xlfn.ANCHORARRAY(F32),0))),L34&amp;"Por favor no seleccionar los criterios de impacto",M21)</f>
        <v>0</v>
      </c>
      <c r="O21" s="425"/>
      <c r="P21" s="422"/>
      <c r="Q21" s="429"/>
      <c r="R21" s="105">
        <v>6</v>
      </c>
      <c r="S21" s="106"/>
      <c r="T21" s="107" t="str">
        <f t="shared" si="17"/>
        <v/>
      </c>
      <c r="U21" s="114"/>
      <c r="V21" s="114"/>
      <c r="W21" s="115" t="str">
        <f t="shared" si="13"/>
        <v/>
      </c>
      <c r="X21" s="114"/>
      <c r="Y21" s="114"/>
      <c r="Z21" s="114"/>
      <c r="AA21" s="108" t="str">
        <f t="shared" si="20"/>
        <v/>
      </c>
      <c r="AB21" s="116" t="str">
        <f t="shared" si="14"/>
        <v/>
      </c>
      <c r="AC21" s="117" t="str">
        <f t="shared" si="18"/>
        <v/>
      </c>
      <c r="AD21" s="116" t="str">
        <f t="shared" si="15"/>
        <v/>
      </c>
      <c r="AE21" s="117" t="str">
        <f t="shared" si="19"/>
        <v/>
      </c>
      <c r="AF21" s="118" t="str">
        <f t="shared" si="16"/>
        <v/>
      </c>
      <c r="AG21" s="119"/>
      <c r="AH21" s="109"/>
      <c r="AI21" s="110"/>
      <c r="AJ21" s="111"/>
      <c r="AK21" s="111"/>
      <c r="AL21" s="110"/>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25">
      <c r="A22" s="389">
        <v>3</v>
      </c>
      <c r="B22" s="458"/>
      <c r="C22" s="458"/>
      <c r="D22" s="416"/>
      <c r="E22" s="138"/>
      <c r="F22" s="419"/>
      <c r="G22" s="139"/>
      <c r="H22" s="139"/>
      <c r="I22" s="449"/>
      <c r="J22" s="452"/>
      <c r="K22" s="423" t="str">
        <f t="shared" ref="K22" si="21">IF(J22&lt;=0,"",IF(J22&lt;=2,"Muy Baja",IF(J22&lt;=24,"Baja",IF(J22&lt;=500,"Media",IF(J22&lt;=5000,"Alta","Muy Alta")))))</f>
        <v/>
      </c>
      <c r="L22" s="420" t="str">
        <f t="shared" ref="L22" si="22">IF(K22="","",IF(K22="Muy Baja",0.2,IF(K22="Baja",0.4,IF(K22="Media",0.6,IF(K22="Alta",0.8,IF(K22="Muy Alta",1,))))))</f>
        <v/>
      </c>
      <c r="M22" s="455"/>
      <c r="N22" s="420">
        <f>IF(NOT(ISERROR(MATCH(M22,'Tabla Impacto'!$B$221:$B$223,0))),'Tabla Impacto'!$F$223&amp;"Por favor no seleccionar los criterios de impacto(Afectación Económica o presupuestal y Pérdida Reputacional)",M22)</f>
        <v>0</v>
      </c>
      <c r="O22" s="423" t="str">
        <f>IF(OR(N22='Tabla Impacto'!$C$11,N22='Tabla Impacto'!$D$11),"Leve",IF(OR(N22='Tabla Impacto'!$C$12,N22='Tabla Impacto'!$D$12),"Menor",IF(OR(N22='Tabla Impacto'!$C$13,N22='Tabla Impacto'!$D$13),"Moderado",IF(OR(N22='Tabla Impacto'!$C$14,N22='Tabla Impacto'!$D$14),"Mayor",IF(OR(N22='Tabla Impacto'!$C$15,N22='Tabla Impacto'!$D$15),"Catastrófico","")))))</f>
        <v/>
      </c>
      <c r="P22" s="420" t="str">
        <f t="shared" ref="P22" si="23">IF(O22="","",IF(O22="Leve",0.2,IF(O22="Menor",0.4,IF(O22="Moderado",0.6,IF(O22="Mayor",0.8,IF(O22="Catastrófico",1,))))))</f>
        <v/>
      </c>
      <c r="Q22" s="427" t="str">
        <f t="shared" ref="Q22" si="24">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4"/>
      <c r="V22" s="114"/>
      <c r="W22" s="115" t="str">
        <f>IF(AND(U22="Preventivo",V22="Automático"),"50%",IF(AND(U22="Preventivo",V22="Manual"),"40%",IF(AND(U22="Detectivo",V22="Automático"),"40%",IF(AND(U22="Detectivo",V22="Manual"),"30%",IF(AND(U22="Correctivo",V22="Automático"),"35%",IF(AND(U22="Correctivo",V22="Manual"),"25%",""))))))</f>
        <v/>
      </c>
      <c r="X22" s="114"/>
      <c r="Y22" s="114"/>
      <c r="Z22" s="114"/>
      <c r="AA22" s="108" t="str">
        <f>IFERROR(IF(T22="Probabilidad",(L22-(+L22*W22)),IF(T22="Impacto",L22,"")),"")</f>
        <v/>
      </c>
      <c r="AB22" s="116" t="str">
        <f>IFERROR(IF(AA22="","",IF(AA22&lt;=0.2,"Muy Baja",IF(AA22&lt;=0.4,"Baja",IF(AA22&lt;=0.6,"Media",IF(AA22&lt;=0.8,"Alta","Muy Alta"))))),"")</f>
        <v/>
      </c>
      <c r="AC22" s="117" t="str">
        <f>+AA22</f>
        <v/>
      </c>
      <c r="AD22" s="116" t="str">
        <f>IFERROR(IF(AE22="","",IF(AE22&lt;=0.2,"Leve",IF(AE22&lt;=0.4,"Menor",IF(AE22&lt;=0.6,"Moderado",IF(AE22&lt;=0.8,"Mayor","Catastrófico"))))),"")</f>
        <v/>
      </c>
      <c r="AE22" s="117" t="str">
        <f>IFERROR(IF(T22="Impacto",(P22-(+P22*W22)),IF(T22="Probabilidad",P22,"")),"")</f>
        <v/>
      </c>
      <c r="AF22" s="118"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9"/>
      <c r="AH22" s="109"/>
      <c r="AI22" s="110"/>
      <c r="AJ22" s="111"/>
      <c r="AK22" s="111"/>
      <c r="AL22" s="110"/>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25">
      <c r="A23" s="390"/>
      <c r="B23" s="459"/>
      <c r="C23" s="459"/>
      <c r="D23" s="417"/>
      <c r="E23" s="138"/>
      <c r="F23" s="419"/>
      <c r="G23" s="139"/>
      <c r="H23" s="139"/>
      <c r="I23" s="450"/>
      <c r="J23" s="453"/>
      <c r="K23" s="424"/>
      <c r="L23" s="421"/>
      <c r="M23" s="456"/>
      <c r="N23" s="421">
        <f>IF(NOT(ISERROR(MATCH(M23,_xlfn.ANCHORARRAY(F34),0))),L36&amp;"Por favor no seleccionar los criterios de impacto",M23)</f>
        <v>0</v>
      </c>
      <c r="O23" s="424"/>
      <c r="P23" s="421"/>
      <c r="Q23" s="428"/>
      <c r="R23" s="105">
        <v>2</v>
      </c>
      <c r="S23" s="106"/>
      <c r="T23" s="107" t="str">
        <f>IF(OR(U23="Preventivo",U23="Detectivo"),"Probabilidad",IF(U23="Correctivo","Impacto",""))</f>
        <v/>
      </c>
      <c r="U23" s="114"/>
      <c r="V23" s="114"/>
      <c r="W23" s="115" t="str">
        <f t="shared" ref="W23:W27" si="25">IF(AND(U23="Preventivo",V23="Automático"),"50%",IF(AND(U23="Preventivo",V23="Manual"),"40%",IF(AND(U23="Detectivo",V23="Automático"),"40%",IF(AND(U23="Detectivo",V23="Manual"),"30%",IF(AND(U23="Correctivo",V23="Automático"),"35%",IF(AND(U23="Correctivo",V23="Manual"),"25%",""))))))</f>
        <v/>
      </c>
      <c r="X23" s="114"/>
      <c r="Y23" s="114"/>
      <c r="Z23" s="114"/>
      <c r="AA23" s="108" t="str">
        <f>IFERROR(IF(AND(T22="Probabilidad",T23="Probabilidad"),(AC22-(+AC22*W23)),IF(AND(T22="Impacto",T23="Probabilidad"),(L22-(+L22*W23)),IF(T23="Impacto",AC22,""))),"")</f>
        <v/>
      </c>
      <c r="AB23" s="116" t="str">
        <f t="shared" ref="AB23:AB27" si="26">IFERROR(IF(AA23="","",IF(AA23&lt;=0.2,"Muy Baja",IF(AA23&lt;=0.4,"Baja",IF(AA23&lt;=0.6,"Media",IF(AA23&lt;=0.8,"Alta","Muy Alta"))))),"")</f>
        <v/>
      </c>
      <c r="AC23" s="117" t="str">
        <f>+AA23</f>
        <v/>
      </c>
      <c r="AD23" s="116" t="str">
        <f t="shared" ref="AD23:AD27" si="27">IFERROR(IF(AE23="","",IF(AE23&lt;=0.2,"Leve",IF(AE23&lt;=0.4,"Menor",IF(AE23&lt;=0.6,"Moderado",IF(AE23&lt;=0.8,"Mayor","Catastrófico"))))),"")</f>
        <v/>
      </c>
      <c r="AE23" s="117" t="str">
        <f>IFERROR(IF(AND(T22="Impacto",T23="Impacto"),(AE22-(+AE22*W23)),IF(AND(T22="Probabilidad",T23="Impacto"),(P22-(+P22*W23)),IF(T23="Probabilidad",AE22,""))),"")</f>
        <v/>
      </c>
      <c r="AF23" s="118" t="str">
        <f t="shared" ref="AF23:AF27" si="28">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9"/>
      <c r="AH23" s="109"/>
      <c r="AI23" s="110"/>
      <c r="AJ23" s="111"/>
      <c r="AK23" s="111"/>
      <c r="AL23" s="110"/>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25">
      <c r="A24" s="390"/>
      <c r="B24" s="459"/>
      <c r="C24" s="459"/>
      <c r="D24" s="417"/>
      <c r="E24" s="138"/>
      <c r="F24" s="419"/>
      <c r="G24" s="139"/>
      <c r="H24" s="139"/>
      <c r="I24" s="450"/>
      <c r="J24" s="453"/>
      <c r="K24" s="424"/>
      <c r="L24" s="421"/>
      <c r="M24" s="456"/>
      <c r="N24" s="421">
        <f>IF(NOT(ISERROR(MATCH(M24,_xlfn.ANCHORARRAY(F35),0))),L37&amp;"Por favor no seleccionar los criterios de impacto",M24)</f>
        <v>0</v>
      </c>
      <c r="O24" s="424"/>
      <c r="P24" s="421"/>
      <c r="Q24" s="428"/>
      <c r="R24" s="105">
        <v>3</v>
      </c>
      <c r="S24" s="112"/>
      <c r="T24" s="107" t="str">
        <f t="shared" ref="T24:T27" si="29">IF(OR(U24="Preventivo",U24="Detectivo"),"Probabilidad",IF(U24="Correctivo","Impacto",""))</f>
        <v/>
      </c>
      <c r="U24" s="114"/>
      <c r="V24" s="114"/>
      <c r="W24" s="115" t="str">
        <f t="shared" si="25"/>
        <v/>
      </c>
      <c r="X24" s="114"/>
      <c r="Y24" s="114"/>
      <c r="Z24" s="114"/>
      <c r="AA24" s="108" t="str">
        <f>IFERROR(IF(AND(T23="Probabilidad",T24="Probabilidad"),(AC23-(+AC23*W24)),IF(AND(T23="Impacto",T24="Probabilidad"),(AC22-(+AC22*W24)),IF(T24="Impacto",AC23,""))),"")</f>
        <v/>
      </c>
      <c r="AB24" s="116" t="str">
        <f t="shared" si="26"/>
        <v/>
      </c>
      <c r="AC24" s="117" t="str">
        <f t="shared" ref="AC24:AC27" si="30">+AA24</f>
        <v/>
      </c>
      <c r="AD24" s="116" t="str">
        <f t="shared" si="27"/>
        <v/>
      </c>
      <c r="AE24" s="117" t="str">
        <f t="shared" ref="AE24:AE27" si="31">IFERROR(IF(AND(T23="Impacto",T24="Impacto"),(AE23-(+AE23*W24)),IF(AND(T23="Probabilidad",T24="Impacto"),(AE22-(+AE22*W24)),IF(T24="Probabilidad",AE23,""))),"")</f>
        <v/>
      </c>
      <c r="AF24" s="118" t="str">
        <f t="shared" si="28"/>
        <v/>
      </c>
      <c r="AG24" s="119"/>
      <c r="AH24" s="109"/>
      <c r="AI24" s="110"/>
      <c r="AJ24" s="111"/>
      <c r="AK24" s="111"/>
      <c r="AL24" s="110"/>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25">
      <c r="A25" s="390"/>
      <c r="B25" s="459"/>
      <c r="C25" s="459"/>
      <c r="D25" s="417"/>
      <c r="E25" s="138"/>
      <c r="F25" s="419"/>
      <c r="G25" s="139"/>
      <c r="H25" s="139"/>
      <c r="I25" s="450"/>
      <c r="J25" s="453"/>
      <c r="K25" s="424"/>
      <c r="L25" s="421"/>
      <c r="M25" s="456"/>
      <c r="N25" s="421">
        <f>IF(NOT(ISERROR(MATCH(M25,_xlfn.ANCHORARRAY(F36),0))),L38&amp;"Por favor no seleccionar los criterios de impacto",M25)</f>
        <v>0</v>
      </c>
      <c r="O25" s="424"/>
      <c r="P25" s="421"/>
      <c r="Q25" s="428"/>
      <c r="R25" s="105">
        <v>4</v>
      </c>
      <c r="S25" s="106"/>
      <c r="T25" s="107" t="str">
        <f t="shared" si="29"/>
        <v/>
      </c>
      <c r="U25" s="114"/>
      <c r="V25" s="114"/>
      <c r="W25" s="115" t="str">
        <f t="shared" si="25"/>
        <v/>
      </c>
      <c r="X25" s="114"/>
      <c r="Y25" s="114"/>
      <c r="Z25" s="114"/>
      <c r="AA25" s="108" t="str">
        <f t="shared" ref="AA25:AA27" si="32">IFERROR(IF(AND(T24="Probabilidad",T25="Probabilidad"),(AC24-(+AC24*W25)),IF(AND(T24="Impacto",T25="Probabilidad"),(AC23-(+AC23*W25)),IF(T25="Impacto",AC24,""))),"")</f>
        <v/>
      </c>
      <c r="AB25" s="116" t="str">
        <f t="shared" si="26"/>
        <v/>
      </c>
      <c r="AC25" s="117" t="str">
        <f t="shared" si="30"/>
        <v/>
      </c>
      <c r="AD25" s="116" t="str">
        <f t="shared" si="27"/>
        <v/>
      </c>
      <c r="AE25" s="117" t="str">
        <f t="shared" si="31"/>
        <v/>
      </c>
      <c r="AF25" s="118" t="str">
        <f t="shared" si="28"/>
        <v/>
      </c>
      <c r="AG25" s="119"/>
      <c r="AH25" s="109"/>
      <c r="AI25" s="110"/>
      <c r="AJ25" s="111"/>
      <c r="AK25" s="111"/>
      <c r="AL25" s="110"/>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25">
      <c r="A26" s="390"/>
      <c r="B26" s="459"/>
      <c r="C26" s="459"/>
      <c r="D26" s="417"/>
      <c r="E26" s="138"/>
      <c r="F26" s="419"/>
      <c r="G26" s="139"/>
      <c r="H26" s="139"/>
      <c r="I26" s="450"/>
      <c r="J26" s="453"/>
      <c r="K26" s="424"/>
      <c r="L26" s="421"/>
      <c r="M26" s="456"/>
      <c r="N26" s="421">
        <f>IF(NOT(ISERROR(MATCH(M26,_xlfn.ANCHORARRAY(F37),0))),L39&amp;"Por favor no seleccionar los criterios de impacto",M26)</f>
        <v>0</v>
      </c>
      <c r="O26" s="424"/>
      <c r="P26" s="421"/>
      <c r="Q26" s="428"/>
      <c r="R26" s="105">
        <v>5</v>
      </c>
      <c r="S26" s="106"/>
      <c r="T26" s="107" t="str">
        <f t="shared" si="29"/>
        <v/>
      </c>
      <c r="U26" s="114"/>
      <c r="V26" s="114"/>
      <c r="W26" s="115" t="str">
        <f t="shared" si="25"/>
        <v/>
      </c>
      <c r="X26" s="114"/>
      <c r="Y26" s="114"/>
      <c r="Z26" s="114"/>
      <c r="AA26" s="108" t="str">
        <f t="shared" si="32"/>
        <v/>
      </c>
      <c r="AB26" s="116" t="str">
        <f t="shared" si="26"/>
        <v/>
      </c>
      <c r="AC26" s="117" t="str">
        <f t="shared" si="30"/>
        <v/>
      </c>
      <c r="AD26" s="116" t="str">
        <f t="shared" si="27"/>
        <v/>
      </c>
      <c r="AE26" s="117" t="str">
        <f t="shared" si="31"/>
        <v/>
      </c>
      <c r="AF26" s="118" t="str">
        <f t="shared" si="28"/>
        <v/>
      </c>
      <c r="AG26" s="119"/>
      <c r="AH26" s="109"/>
      <c r="AI26" s="110"/>
      <c r="AJ26" s="111"/>
      <c r="AK26" s="111"/>
      <c r="AL26" s="110"/>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25">
      <c r="A27" s="391"/>
      <c r="B27" s="460"/>
      <c r="C27" s="460"/>
      <c r="D27" s="418"/>
      <c r="E27" s="138"/>
      <c r="F27" s="419"/>
      <c r="G27" s="139"/>
      <c r="H27" s="139"/>
      <c r="I27" s="451"/>
      <c r="J27" s="454"/>
      <c r="K27" s="425"/>
      <c r="L27" s="422"/>
      <c r="M27" s="457"/>
      <c r="N27" s="422">
        <f>IF(NOT(ISERROR(MATCH(M27,_xlfn.ANCHORARRAY(F38),0))),L40&amp;"Por favor no seleccionar los criterios de impacto",M27)</f>
        <v>0</v>
      </c>
      <c r="O27" s="425"/>
      <c r="P27" s="422"/>
      <c r="Q27" s="429"/>
      <c r="R27" s="105">
        <v>6</v>
      </c>
      <c r="S27" s="106"/>
      <c r="T27" s="107" t="str">
        <f t="shared" si="29"/>
        <v/>
      </c>
      <c r="U27" s="114"/>
      <c r="V27" s="114"/>
      <c r="W27" s="115" t="str">
        <f t="shared" si="25"/>
        <v/>
      </c>
      <c r="X27" s="114"/>
      <c r="Y27" s="114"/>
      <c r="Z27" s="114"/>
      <c r="AA27" s="108" t="str">
        <f t="shared" si="32"/>
        <v/>
      </c>
      <c r="AB27" s="116" t="str">
        <f t="shared" si="26"/>
        <v/>
      </c>
      <c r="AC27" s="117" t="str">
        <f t="shared" si="30"/>
        <v/>
      </c>
      <c r="AD27" s="116" t="str">
        <f t="shared" si="27"/>
        <v/>
      </c>
      <c r="AE27" s="117" t="str">
        <f t="shared" si="31"/>
        <v/>
      </c>
      <c r="AF27" s="118" t="str">
        <f t="shared" si="28"/>
        <v/>
      </c>
      <c r="AG27" s="119"/>
      <c r="AH27" s="109"/>
      <c r="AI27" s="110"/>
      <c r="AJ27" s="111"/>
      <c r="AK27" s="111"/>
      <c r="AL27" s="110"/>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25">
      <c r="A28" s="389">
        <v>4</v>
      </c>
      <c r="B28" s="458"/>
      <c r="C28" s="458"/>
      <c r="D28" s="416"/>
      <c r="E28" s="138"/>
      <c r="F28" s="419"/>
      <c r="G28" s="139"/>
      <c r="H28" s="139"/>
      <c r="I28" s="449"/>
      <c r="J28" s="452"/>
      <c r="K28" s="423" t="str">
        <f t="shared" ref="K28" si="33">IF(J28&lt;=0,"",IF(J28&lt;=2,"Muy Baja",IF(J28&lt;=24,"Baja",IF(J28&lt;=500,"Media",IF(J28&lt;=5000,"Alta","Muy Alta")))))</f>
        <v/>
      </c>
      <c r="L28" s="420" t="str">
        <f t="shared" ref="L28" si="34">IF(K28="","",IF(K28="Muy Baja",0.2,IF(K28="Baja",0.4,IF(K28="Media",0.6,IF(K28="Alta",0.8,IF(K28="Muy Alta",1,))))))</f>
        <v/>
      </c>
      <c r="M28" s="455"/>
      <c r="N28" s="420">
        <f>IF(NOT(ISERROR(MATCH(M28,'Tabla Impacto'!$B$221:$B$223,0))),'Tabla Impacto'!$F$223&amp;"Por favor no seleccionar los criterios de impacto(Afectación Económica o presupuestal y Pérdida Reputacional)",M28)</f>
        <v>0</v>
      </c>
      <c r="O28" s="423" t="str">
        <f>IF(OR(N28='Tabla Impacto'!$C$11,N28='Tabla Impacto'!$D$11),"Leve",IF(OR(N28='Tabla Impacto'!$C$12,N28='Tabla Impacto'!$D$12),"Menor",IF(OR(N28='Tabla Impacto'!$C$13,N28='Tabla Impacto'!$D$13),"Moderado",IF(OR(N28='Tabla Impacto'!$C$14,N28='Tabla Impacto'!$D$14),"Mayor",IF(OR(N28='Tabla Impacto'!$C$15,N28='Tabla Impacto'!$D$15),"Catastrófico","")))))</f>
        <v/>
      </c>
      <c r="P28" s="420" t="str">
        <f t="shared" ref="P28" si="35">IF(O28="","",IF(O28="Leve",0.2,IF(O28="Menor",0.4,IF(O28="Moderado",0.6,IF(O28="Mayor",0.8,IF(O28="Catastrófico",1,))))))</f>
        <v/>
      </c>
      <c r="Q28" s="427" t="str">
        <f t="shared" ref="Q28" si="36">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6" t="str">
        <f>IFERROR(IF(AA28="","",IF(AA28&lt;=0.2,"Muy Baja",IF(AA28&lt;=0.4,"Baja",IF(AA28&lt;=0.6,"Media",IF(AA28&lt;=0.8,"Alta","Muy Alta"))))),"")</f>
        <v/>
      </c>
      <c r="AC28" s="117" t="str">
        <f>+AA28</f>
        <v/>
      </c>
      <c r="AD28" s="116" t="str">
        <f>IFERROR(IF(AE28="","",IF(AE28&lt;=0.2,"Leve",IF(AE28&lt;=0.4,"Menor",IF(AE28&lt;=0.6,"Moderado",IF(AE28&lt;=0.8,"Mayor","Catastrófico"))))),"")</f>
        <v/>
      </c>
      <c r="AE28" s="117" t="str">
        <f>IFERROR(IF(T28="Impacto",(P28-(+P28*W28)),IF(T28="Probabilidad",P28,"")),"")</f>
        <v/>
      </c>
      <c r="AF28" s="118"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9"/>
      <c r="AH28" s="109"/>
      <c r="AI28" s="110"/>
      <c r="AJ28" s="111"/>
      <c r="AK28" s="111"/>
      <c r="AL28" s="110"/>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390"/>
      <c r="B29" s="459"/>
      <c r="C29" s="459"/>
      <c r="D29" s="417"/>
      <c r="E29" s="138"/>
      <c r="F29" s="419"/>
      <c r="G29" s="139"/>
      <c r="H29" s="139"/>
      <c r="I29" s="450"/>
      <c r="J29" s="453"/>
      <c r="K29" s="424"/>
      <c r="L29" s="421"/>
      <c r="M29" s="456"/>
      <c r="N29" s="421">
        <f>IF(NOT(ISERROR(MATCH(M29,_xlfn.ANCHORARRAY(F40),0))),L42&amp;"Por favor no seleccionar los criterios de impacto",M29)</f>
        <v>0</v>
      </c>
      <c r="O29" s="424"/>
      <c r="P29" s="421"/>
      <c r="Q29" s="428"/>
      <c r="R29" s="105">
        <v>2</v>
      </c>
      <c r="S29" s="106"/>
      <c r="T29" s="107" t="str">
        <f>IF(OR(U29="Preventivo",U29="Detectivo"),"Probabilidad",IF(U29="Correctivo","Impacto",""))</f>
        <v/>
      </c>
      <c r="U29" s="114"/>
      <c r="V29" s="114"/>
      <c r="W29" s="115" t="str">
        <f t="shared" ref="W29:W33" si="37">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6" t="str">
        <f t="shared" ref="AB29:AB33" si="38">IFERROR(IF(AA29="","",IF(AA29&lt;=0.2,"Muy Baja",IF(AA29&lt;=0.4,"Baja",IF(AA29&lt;=0.6,"Media",IF(AA29&lt;=0.8,"Alta","Muy Alta"))))),"")</f>
        <v/>
      </c>
      <c r="AC29" s="117" t="str">
        <f>+AA29</f>
        <v/>
      </c>
      <c r="AD29" s="116" t="str">
        <f t="shared" ref="AD29:AD33" si="39">IFERROR(IF(AE29="","",IF(AE29&lt;=0.2,"Leve",IF(AE29&lt;=0.4,"Menor",IF(AE29&lt;=0.6,"Moderado",IF(AE29&lt;=0.8,"Mayor","Catastrófico"))))),"")</f>
        <v/>
      </c>
      <c r="AE29" s="117" t="str">
        <f>IFERROR(IF(AND(T28="Impacto",T29="Impacto"),(AE28-(+AE28*W29)),IF(AND(T28="Probabilidad",T29="Impacto"),(P28-(+P28*W29)),IF(T29="Probabilidad",AE28,""))),"")</f>
        <v/>
      </c>
      <c r="AF29" s="118" t="str">
        <f t="shared" ref="AF29:AF33" si="40">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9"/>
      <c r="AH29" s="109"/>
      <c r="AI29" s="110"/>
      <c r="AJ29" s="111"/>
      <c r="AK29" s="111"/>
      <c r="AL29" s="110"/>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390"/>
      <c r="B30" s="459"/>
      <c r="C30" s="459"/>
      <c r="D30" s="417"/>
      <c r="E30" s="138"/>
      <c r="F30" s="419"/>
      <c r="G30" s="139"/>
      <c r="H30" s="139"/>
      <c r="I30" s="450"/>
      <c r="J30" s="453"/>
      <c r="K30" s="424"/>
      <c r="L30" s="421"/>
      <c r="M30" s="456"/>
      <c r="N30" s="421">
        <f>IF(NOT(ISERROR(MATCH(M30,_xlfn.ANCHORARRAY(F41),0))),L43&amp;"Por favor no seleccionar los criterios de impacto",M30)</f>
        <v>0</v>
      </c>
      <c r="O30" s="424"/>
      <c r="P30" s="421"/>
      <c r="Q30" s="428"/>
      <c r="R30" s="105">
        <v>3</v>
      </c>
      <c r="S30" s="112"/>
      <c r="T30" s="107" t="str">
        <f t="shared" ref="T30:T33" si="41">IF(OR(U30="Preventivo",U30="Detectivo"),"Probabilidad",IF(U30="Correctivo","Impacto",""))</f>
        <v/>
      </c>
      <c r="U30" s="114"/>
      <c r="V30" s="114"/>
      <c r="W30" s="115" t="str">
        <f t="shared" si="37"/>
        <v/>
      </c>
      <c r="X30" s="114"/>
      <c r="Y30" s="114"/>
      <c r="Z30" s="114"/>
      <c r="AA30" s="108" t="str">
        <f>IFERROR(IF(AND(T29="Probabilidad",T30="Probabilidad"),(AC29-(+AC29*W30)),IF(AND(T29="Impacto",T30="Probabilidad"),(AC28-(+AC28*W30)),IF(T30="Impacto",AC29,""))),"")</f>
        <v/>
      </c>
      <c r="AB30" s="116" t="str">
        <f t="shared" si="38"/>
        <v/>
      </c>
      <c r="AC30" s="117" t="str">
        <f t="shared" ref="AC30:AC33" si="42">+AA30</f>
        <v/>
      </c>
      <c r="AD30" s="116" t="str">
        <f t="shared" si="39"/>
        <v/>
      </c>
      <c r="AE30" s="117" t="str">
        <f t="shared" ref="AE30:AE33" si="43">IFERROR(IF(AND(T29="Impacto",T30="Impacto"),(AE29-(+AE29*W30)),IF(AND(T29="Probabilidad",T30="Impacto"),(AE28-(+AE28*W30)),IF(T30="Probabilidad",AE29,""))),"")</f>
        <v/>
      </c>
      <c r="AF30" s="118" t="str">
        <f t="shared" si="40"/>
        <v/>
      </c>
      <c r="AG30" s="119"/>
      <c r="AH30" s="109"/>
      <c r="AI30" s="110"/>
      <c r="AJ30" s="111"/>
      <c r="AK30" s="111"/>
      <c r="AL30" s="110"/>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390"/>
      <c r="B31" s="459"/>
      <c r="C31" s="459"/>
      <c r="D31" s="417"/>
      <c r="E31" s="138"/>
      <c r="F31" s="419"/>
      <c r="G31" s="139"/>
      <c r="H31" s="139"/>
      <c r="I31" s="450"/>
      <c r="J31" s="453"/>
      <c r="K31" s="424"/>
      <c r="L31" s="421"/>
      <c r="M31" s="456"/>
      <c r="N31" s="421">
        <f>IF(NOT(ISERROR(MATCH(M31,_xlfn.ANCHORARRAY(F42),0))),L44&amp;"Por favor no seleccionar los criterios de impacto",M31)</f>
        <v>0</v>
      </c>
      <c r="O31" s="424"/>
      <c r="P31" s="421"/>
      <c r="Q31" s="428"/>
      <c r="R31" s="105">
        <v>4</v>
      </c>
      <c r="S31" s="106"/>
      <c r="T31" s="107" t="str">
        <f t="shared" si="41"/>
        <v/>
      </c>
      <c r="U31" s="114"/>
      <c r="V31" s="114"/>
      <c r="W31" s="115" t="str">
        <f t="shared" si="37"/>
        <v/>
      </c>
      <c r="X31" s="114"/>
      <c r="Y31" s="114"/>
      <c r="Z31" s="114"/>
      <c r="AA31" s="108" t="str">
        <f t="shared" ref="AA31:AA33" si="44">IFERROR(IF(AND(T30="Probabilidad",T31="Probabilidad"),(AC30-(+AC30*W31)),IF(AND(T30="Impacto",T31="Probabilidad"),(AC29-(+AC29*W31)),IF(T31="Impacto",AC30,""))),"")</f>
        <v/>
      </c>
      <c r="AB31" s="116" t="str">
        <f t="shared" si="38"/>
        <v/>
      </c>
      <c r="AC31" s="117" t="str">
        <f t="shared" si="42"/>
        <v/>
      </c>
      <c r="AD31" s="116" t="str">
        <f t="shared" si="39"/>
        <v/>
      </c>
      <c r="AE31" s="117" t="str">
        <f t="shared" si="43"/>
        <v/>
      </c>
      <c r="AF31" s="118" t="str">
        <f t="shared" si="40"/>
        <v/>
      </c>
      <c r="AG31" s="119"/>
      <c r="AH31" s="109"/>
      <c r="AI31" s="110"/>
      <c r="AJ31" s="111"/>
      <c r="AK31" s="111"/>
      <c r="AL31" s="110"/>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390"/>
      <c r="B32" s="459"/>
      <c r="C32" s="459"/>
      <c r="D32" s="417"/>
      <c r="E32" s="138"/>
      <c r="F32" s="419"/>
      <c r="G32" s="139"/>
      <c r="H32" s="139"/>
      <c r="I32" s="450"/>
      <c r="J32" s="453"/>
      <c r="K32" s="424"/>
      <c r="L32" s="421"/>
      <c r="M32" s="456"/>
      <c r="N32" s="421">
        <f>IF(NOT(ISERROR(MATCH(M32,_xlfn.ANCHORARRAY(F43),0))),L45&amp;"Por favor no seleccionar los criterios de impacto",M32)</f>
        <v>0</v>
      </c>
      <c r="O32" s="424"/>
      <c r="P32" s="421"/>
      <c r="Q32" s="428"/>
      <c r="R32" s="105">
        <v>5</v>
      </c>
      <c r="S32" s="106"/>
      <c r="T32" s="107" t="str">
        <f t="shared" si="41"/>
        <v/>
      </c>
      <c r="U32" s="114"/>
      <c r="V32" s="114"/>
      <c r="W32" s="115" t="str">
        <f t="shared" si="37"/>
        <v/>
      </c>
      <c r="X32" s="114"/>
      <c r="Y32" s="114"/>
      <c r="Z32" s="114"/>
      <c r="AA32" s="108" t="str">
        <f t="shared" si="44"/>
        <v/>
      </c>
      <c r="AB32" s="116" t="str">
        <f t="shared" si="38"/>
        <v/>
      </c>
      <c r="AC32" s="117" t="str">
        <f t="shared" si="42"/>
        <v/>
      </c>
      <c r="AD32" s="116" t="str">
        <f t="shared" si="39"/>
        <v/>
      </c>
      <c r="AE32" s="117" t="str">
        <f t="shared" si="43"/>
        <v/>
      </c>
      <c r="AF32" s="118" t="str">
        <f t="shared" si="40"/>
        <v/>
      </c>
      <c r="AG32" s="119"/>
      <c r="AH32" s="109"/>
      <c r="AI32" s="110"/>
      <c r="AJ32" s="111"/>
      <c r="AK32" s="111"/>
      <c r="AL32" s="110"/>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391"/>
      <c r="B33" s="460"/>
      <c r="C33" s="460"/>
      <c r="D33" s="418"/>
      <c r="E33" s="138"/>
      <c r="F33" s="419"/>
      <c r="G33" s="139"/>
      <c r="H33" s="139"/>
      <c r="I33" s="451"/>
      <c r="J33" s="454"/>
      <c r="K33" s="425"/>
      <c r="L33" s="422"/>
      <c r="M33" s="457"/>
      <c r="N33" s="422">
        <f>IF(NOT(ISERROR(MATCH(M33,_xlfn.ANCHORARRAY(F44),0))),L46&amp;"Por favor no seleccionar los criterios de impacto",M33)</f>
        <v>0</v>
      </c>
      <c r="O33" s="425"/>
      <c r="P33" s="422"/>
      <c r="Q33" s="429"/>
      <c r="R33" s="105">
        <v>6</v>
      </c>
      <c r="S33" s="106"/>
      <c r="T33" s="107" t="str">
        <f t="shared" si="41"/>
        <v/>
      </c>
      <c r="U33" s="114"/>
      <c r="V33" s="114"/>
      <c r="W33" s="115" t="str">
        <f t="shared" si="37"/>
        <v/>
      </c>
      <c r="X33" s="114"/>
      <c r="Y33" s="114"/>
      <c r="Z33" s="114"/>
      <c r="AA33" s="108" t="str">
        <f t="shared" si="44"/>
        <v/>
      </c>
      <c r="AB33" s="116" t="str">
        <f t="shared" si="38"/>
        <v/>
      </c>
      <c r="AC33" s="117" t="str">
        <f t="shared" si="42"/>
        <v/>
      </c>
      <c r="AD33" s="116" t="str">
        <f t="shared" si="39"/>
        <v/>
      </c>
      <c r="AE33" s="117" t="str">
        <f t="shared" si="43"/>
        <v/>
      </c>
      <c r="AF33" s="118" t="str">
        <f t="shared" si="40"/>
        <v/>
      </c>
      <c r="AG33" s="119"/>
      <c r="AH33" s="109"/>
      <c r="AI33" s="110"/>
      <c r="AJ33" s="111"/>
      <c r="AK33" s="111"/>
      <c r="AL33" s="110"/>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389">
        <v>5</v>
      </c>
      <c r="B34" s="458"/>
      <c r="C34" s="458"/>
      <c r="D34" s="416"/>
      <c r="E34" s="138"/>
      <c r="F34" s="419"/>
      <c r="G34" s="139"/>
      <c r="H34" s="139"/>
      <c r="I34" s="449"/>
      <c r="J34" s="452"/>
      <c r="K34" s="423" t="str">
        <f t="shared" ref="K34" si="45">IF(J34&lt;=0,"",IF(J34&lt;=2,"Muy Baja",IF(J34&lt;=24,"Baja",IF(J34&lt;=500,"Media",IF(J34&lt;=5000,"Alta","Muy Alta")))))</f>
        <v/>
      </c>
      <c r="L34" s="420" t="str">
        <f t="shared" ref="L34" si="46">IF(K34="","",IF(K34="Muy Baja",0.2,IF(K34="Baja",0.4,IF(K34="Media",0.6,IF(K34="Alta",0.8,IF(K34="Muy Alta",1,))))))</f>
        <v/>
      </c>
      <c r="M34" s="455"/>
      <c r="N34" s="420">
        <f>IF(NOT(ISERROR(MATCH(M34,'Tabla Impacto'!$B$221:$B$223,0))),'Tabla Impacto'!$F$223&amp;"Por favor no seleccionar los criterios de impacto(Afectación Económica o presupuestal y Pérdida Reputacional)",M34)</f>
        <v>0</v>
      </c>
      <c r="O34" s="423" t="str">
        <f>IF(OR(N34='Tabla Impacto'!$C$11,N34='Tabla Impacto'!$D$11),"Leve",IF(OR(N34='Tabla Impacto'!$C$12,N34='Tabla Impacto'!$D$12),"Menor",IF(OR(N34='Tabla Impacto'!$C$13,N34='Tabla Impacto'!$D$13),"Moderado",IF(OR(N34='Tabla Impacto'!$C$14,N34='Tabla Impacto'!$D$14),"Mayor",IF(OR(N34='Tabla Impacto'!$C$15,N34='Tabla Impacto'!$D$15),"Catastrófico","")))))</f>
        <v/>
      </c>
      <c r="P34" s="420" t="str">
        <f t="shared" ref="P34" si="47">IF(O34="","",IF(O34="Leve",0.2,IF(O34="Menor",0.4,IF(O34="Moderado",0.6,IF(O34="Mayor",0.8,IF(O34="Catastrófico",1,))))))</f>
        <v/>
      </c>
      <c r="Q34" s="427" t="str">
        <f t="shared" ref="Q34" si="48">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6" t="str">
        <f>IFERROR(IF(AA34="","",IF(AA34&lt;=0.2,"Muy Baja",IF(AA34&lt;=0.4,"Baja",IF(AA34&lt;=0.6,"Media",IF(AA34&lt;=0.8,"Alta","Muy Alta"))))),"")</f>
        <v/>
      </c>
      <c r="AC34" s="117" t="str">
        <f>+AA34</f>
        <v/>
      </c>
      <c r="AD34" s="116" t="str">
        <f>IFERROR(IF(AE34="","",IF(AE34&lt;=0.2,"Leve",IF(AE34&lt;=0.4,"Menor",IF(AE34&lt;=0.6,"Moderado",IF(AE34&lt;=0.8,"Mayor","Catastrófico"))))),"")</f>
        <v/>
      </c>
      <c r="AE34" s="117" t="str">
        <f>IFERROR(IF(T34="Impacto",(P34-(+P34*W34)),IF(T34="Probabilidad",P34,"")),"")</f>
        <v/>
      </c>
      <c r="AF34" s="118"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9"/>
      <c r="AH34" s="109"/>
      <c r="AI34" s="110"/>
      <c r="AJ34" s="111"/>
      <c r="AK34" s="111"/>
      <c r="AL34" s="110"/>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390"/>
      <c r="B35" s="459"/>
      <c r="C35" s="459"/>
      <c r="D35" s="417"/>
      <c r="E35" s="138"/>
      <c r="F35" s="419"/>
      <c r="G35" s="139"/>
      <c r="H35" s="139"/>
      <c r="I35" s="450"/>
      <c r="J35" s="453"/>
      <c r="K35" s="424"/>
      <c r="L35" s="421"/>
      <c r="M35" s="456"/>
      <c r="N35" s="421">
        <f>IF(NOT(ISERROR(MATCH(M35,_xlfn.ANCHORARRAY(F46),0))),L48&amp;"Por favor no seleccionar los criterios de impacto",M35)</f>
        <v>0</v>
      </c>
      <c r="O35" s="424"/>
      <c r="P35" s="421"/>
      <c r="Q35" s="428"/>
      <c r="R35" s="105">
        <v>2</v>
      </c>
      <c r="S35" s="106"/>
      <c r="T35" s="107" t="str">
        <f>IF(OR(U35="Preventivo",U35="Detectivo"),"Probabilidad",IF(U35="Correctivo","Impacto",""))</f>
        <v/>
      </c>
      <c r="U35" s="114"/>
      <c r="V35" s="114"/>
      <c r="W35" s="115" t="str">
        <f t="shared" ref="W35:W39" si="49">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6" t="str">
        <f t="shared" ref="AB35:AB39" si="50">IFERROR(IF(AA35="","",IF(AA35&lt;=0.2,"Muy Baja",IF(AA35&lt;=0.4,"Baja",IF(AA35&lt;=0.6,"Media",IF(AA35&lt;=0.8,"Alta","Muy Alta"))))),"")</f>
        <v/>
      </c>
      <c r="AC35" s="117" t="str">
        <f>+AA35</f>
        <v/>
      </c>
      <c r="AD35" s="116" t="str">
        <f t="shared" ref="AD35:AD39" si="51">IFERROR(IF(AE35="","",IF(AE35&lt;=0.2,"Leve",IF(AE35&lt;=0.4,"Menor",IF(AE35&lt;=0.6,"Moderado",IF(AE35&lt;=0.8,"Mayor","Catastrófico"))))),"")</f>
        <v/>
      </c>
      <c r="AE35" s="117" t="str">
        <f>IFERROR(IF(AND(T34="Impacto",T35="Impacto"),(AE34-(+AE34*W35)),IF(AND(T34="Probabilidad",T35="Impacto"),(P34-(+P34*W35)),IF(T35="Probabilidad",AE34,""))),"")</f>
        <v/>
      </c>
      <c r="AF35" s="118" t="str">
        <f t="shared" ref="AF35:AF39" si="52">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9"/>
      <c r="AH35" s="109"/>
      <c r="AI35" s="110"/>
      <c r="AJ35" s="111"/>
      <c r="AK35" s="111"/>
      <c r="AL35" s="110"/>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390"/>
      <c r="B36" s="459"/>
      <c r="C36" s="459"/>
      <c r="D36" s="417"/>
      <c r="E36" s="138"/>
      <c r="F36" s="419"/>
      <c r="G36" s="139"/>
      <c r="H36" s="139"/>
      <c r="I36" s="450"/>
      <c r="J36" s="453"/>
      <c r="K36" s="424"/>
      <c r="L36" s="421"/>
      <c r="M36" s="456"/>
      <c r="N36" s="421">
        <f>IF(NOT(ISERROR(MATCH(M36,_xlfn.ANCHORARRAY(F47),0))),L49&amp;"Por favor no seleccionar los criterios de impacto",M36)</f>
        <v>0</v>
      </c>
      <c r="O36" s="424"/>
      <c r="P36" s="421"/>
      <c r="Q36" s="428"/>
      <c r="R36" s="105">
        <v>3</v>
      </c>
      <c r="S36" s="112"/>
      <c r="T36" s="107" t="str">
        <f t="shared" ref="T36:T39" si="53">IF(OR(U36="Preventivo",U36="Detectivo"),"Probabilidad",IF(U36="Correctivo","Impacto",""))</f>
        <v/>
      </c>
      <c r="U36" s="114"/>
      <c r="V36" s="114"/>
      <c r="W36" s="115" t="str">
        <f t="shared" si="49"/>
        <v/>
      </c>
      <c r="X36" s="114"/>
      <c r="Y36" s="114"/>
      <c r="Z36" s="114"/>
      <c r="AA36" s="108" t="str">
        <f>IFERROR(IF(AND(T35="Probabilidad",T36="Probabilidad"),(AC35-(+AC35*W36)),IF(AND(T35="Impacto",T36="Probabilidad"),(AC34-(+AC34*W36)),IF(T36="Impacto",AC35,""))),"")</f>
        <v/>
      </c>
      <c r="AB36" s="116" t="str">
        <f t="shared" si="50"/>
        <v/>
      </c>
      <c r="AC36" s="117" t="str">
        <f t="shared" ref="AC36:AC39" si="54">+AA36</f>
        <v/>
      </c>
      <c r="AD36" s="116" t="str">
        <f t="shared" si="51"/>
        <v/>
      </c>
      <c r="AE36" s="117" t="str">
        <f t="shared" ref="AE36:AE39" si="55">IFERROR(IF(AND(T35="Impacto",T36="Impacto"),(AE35-(+AE35*W36)),IF(AND(T35="Probabilidad",T36="Impacto"),(AE34-(+AE34*W36)),IF(T36="Probabilidad",AE35,""))),"")</f>
        <v/>
      </c>
      <c r="AF36" s="118" t="str">
        <f t="shared" si="52"/>
        <v/>
      </c>
      <c r="AG36" s="119"/>
      <c r="AH36" s="109"/>
      <c r="AI36" s="110"/>
      <c r="AJ36" s="111"/>
      <c r="AK36" s="111"/>
      <c r="AL36" s="110"/>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390"/>
      <c r="B37" s="459"/>
      <c r="C37" s="459"/>
      <c r="D37" s="417"/>
      <c r="E37" s="138"/>
      <c r="F37" s="419"/>
      <c r="G37" s="139"/>
      <c r="H37" s="139"/>
      <c r="I37" s="450"/>
      <c r="J37" s="453"/>
      <c r="K37" s="424"/>
      <c r="L37" s="421"/>
      <c r="M37" s="456"/>
      <c r="N37" s="421">
        <f>IF(NOT(ISERROR(MATCH(M37,_xlfn.ANCHORARRAY(F48),0))),L50&amp;"Por favor no seleccionar los criterios de impacto",M37)</f>
        <v>0</v>
      </c>
      <c r="O37" s="424"/>
      <c r="P37" s="421"/>
      <c r="Q37" s="428"/>
      <c r="R37" s="105">
        <v>4</v>
      </c>
      <c r="S37" s="106"/>
      <c r="T37" s="107" t="str">
        <f t="shared" si="53"/>
        <v/>
      </c>
      <c r="U37" s="114"/>
      <c r="V37" s="114"/>
      <c r="W37" s="115" t="str">
        <f t="shared" si="49"/>
        <v/>
      </c>
      <c r="X37" s="114"/>
      <c r="Y37" s="114"/>
      <c r="Z37" s="114"/>
      <c r="AA37" s="108" t="str">
        <f t="shared" ref="AA37:AA39" si="56">IFERROR(IF(AND(T36="Probabilidad",T37="Probabilidad"),(AC36-(+AC36*W37)),IF(AND(T36="Impacto",T37="Probabilidad"),(AC35-(+AC35*W37)),IF(T37="Impacto",AC36,""))),"")</f>
        <v/>
      </c>
      <c r="AB37" s="116" t="str">
        <f t="shared" si="50"/>
        <v/>
      </c>
      <c r="AC37" s="117" t="str">
        <f t="shared" si="54"/>
        <v/>
      </c>
      <c r="AD37" s="116" t="str">
        <f t="shared" si="51"/>
        <v/>
      </c>
      <c r="AE37" s="117" t="str">
        <f t="shared" si="55"/>
        <v/>
      </c>
      <c r="AF37" s="118" t="str">
        <f t="shared" si="52"/>
        <v/>
      </c>
      <c r="AG37" s="119"/>
      <c r="AH37" s="109"/>
      <c r="AI37" s="110"/>
      <c r="AJ37" s="111"/>
      <c r="AK37" s="111"/>
      <c r="AL37" s="110"/>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390"/>
      <c r="B38" s="459"/>
      <c r="C38" s="459"/>
      <c r="D38" s="417"/>
      <c r="E38" s="138"/>
      <c r="F38" s="419"/>
      <c r="G38" s="139"/>
      <c r="H38" s="139"/>
      <c r="I38" s="450"/>
      <c r="J38" s="453"/>
      <c r="K38" s="424"/>
      <c r="L38" s="421"/>
      <c r="M38" s="456"/>
      <c r="N38" s="421">
        <f>IF(NOT(ISERROR(MATCH(M38,_xlfn.ANCHORARRAY(F49),0))),L51&amp;"Por favor no seleccionar los criterios de impacto",M38)</f>
        <v>0</v>
      </c>
      <c r="O38" s="424"/>
      <c r="P38" s="421"/>
      <c r="Q38" s="428"/>
      <c r="R38" s="105">
        <v>5</v>
      </c>
      <c r="S38" s="106"/>
      <c r="T38" s="107" t="str">
        <f t="shared" si="53"/>
        <v/>
      </c>
      <c r="U38" s="114"/>
      <c r="V38" s="114"/>
      <c r="W38" s="115" t="str">
        <f t="shared" si="49"/>
        <v/>
      </c>
      <c r="X38" s="114"/>
      <c r="Y38" s="114"/>
      <c r="Z38" s="114"/>
      <c r="AA38" s="108" t="str">
        <f t="shared" si="56"/>
        <v/>
      </c>
      <c r="AB38" s="116" t="str">
        <f t="shared" si="50"/>
        <v/>
      </c>
      <c r="AC38" s="117" t="str">
        <f t="shared" si="54"/>
        <v/>
      </c>
      <c r="AD38" s="116" t="str">
        <f t="shared" si="51"/>
        <v/>
      </c>
      <c r="AE38" s="117" t="str">
        <f t="shared" si="55"/>
        <v/>
      </c>
      <c r="AF38" s="118" t="str">
        <f t="shared" si="52"/>
        <v/>
      </c>
      <c r="AG38" s="119"/>
      <c r="AH38" s="109"/>
      <c r="AI38" s="110"/>
      <c r="AJ38" s="111"/>
      <c r="AK38" s="111"/>
      <c r="AL38" s="110"/>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391"/>
      <c r="B39" s="460"/>
      <c r="C39" s="460"/>
      <c r="D39" s="418"/>
      <c r="E39" s="138"/>
      <c r="F39" s="419"/>
      <c r="G39" s="139"/>
      <c r="H39" s="139"/>
      <c r="I39" s="451"/>
      <c r="J39" s="454"/>
      <c r="K39" s="425"/>
      <c r="L39" s="422"/>
      <c r="M39" s="457"/>
      <c r="N39" s="422">
        <f>IF(NOT(ISERROR(MATCH(M39,_xlfn.ANCHORARRAY(F50),0))),L52&amp;"Por favor no seleccionar los criterios de impacto",M39)</f>
        <v>0</v>
      </c>
      <c r="O39" s="425"/>
      <c r="P39" s="422"/>
      <c r="Q39" s="429"/>
      <c r="R39" s="105">
        <v>6</v>
      </c>
      <c r="S39" s="106"/>
      <c r="T39" s="107" t="str">
        <f t="shared" si="53"/>
        <v/>
      </c>
      <c r="U39" s="114"/>
      <c r="V39" s="114"/>
      <c r="W39" s="115" t="str">
        <f t="shared" si="49"/>
        <v/>
      </c>
      <c r="X39" s="114"/>
      <c r="Y39" s="114"/>
      <c r="Z39" s="114"/>
      <c r="AA39" s="108" t="str">
        <f t="shared" si="56"/>
        <v/>
      </c>
      <c r="AB39" s="116" t="str">
        <f t="shared" si="50"/>
        <v/>
      </c>
      <c r="AC39" s="117" t="str">
        <f t="shared" si="54"/>
        <v/>
      </c>
      <c r="AD39" s="116" t="str">
        <f t="shared" si="51"/>
        <v/>
      </c>
      <c r="AE39" s="117" t="str">
        <f t="shared" si="55"/>
        <v/>
      </c>
      <c r="AF39" s="118" t="str">
        <f t="shared" si="52"/>
        <v/>
      </c>
      <c r="AG39" s="119"/>
      <c r="AH39" s="109"/>
      <c r="AI39" s="110"/>
      <c r="AJ39" s="111"/>
      <c r="AK39" s="111"/>
      <c r="AL39" s="110"/>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389">
        <v>6</v>
      </c>
      <c r="B40" s="458"/>
      <c r="C40" s="458"/>
      <c r="D40" s="416"/>
      <c r="E40" s="138"/>
      <c r="F40" s="419"/>
      <c r="G40" s="139"/>
      <c r="H40" s="139"/>
      <c r="I40" s="449"/>
      <c r="J40" s="452"/>
      <c r="K40" s="423" t="str">
        <f t="shared" ref="K40" si="57">IF(J40&lt;=0,"",IF(J40&lt;=2,"Muy Baja",IF(J40&lt;=24,"Baja",IF(J40&lt;=500,"Media",IF(J40&lt;=5000,"Alta","Muy Alta")))))</f>
        <v/>
      </c>
      <c r="L40" s="420" t="str">
        <f t="shared" ref="L40" si="58">IF(K40="","",IF(K40="Muy Baja",0.2,IF(K40="Baja",0.4,IF(K40="Media",0.6,IF(K40="Alta",0.8,IF(K40="Muy Alta",1,))))))</f>
        <v/>
      </c>
      <c r="M40" s="455"/>
      <c r="N40" s="420">
        <f>IF(NOT(ISERROR(MATCH(M40,'Tabla Impacto'!$B$221:$B$223,0))),'Tabla Impacto'!$F$223&amp;"Por favor no seleccionar los criterios de impacto(Afectación Económica o presupuestal y Pérdida Reputacional)",M40)</f>
        <v>0</v>
      </c>
      <c r="O40" s="423" t="str">
        <f>IF(OR(N40='Tabla Impacto'!$C$11,N40='Tabla Impacto'!$D$11),"Leve",IF(OR(N40='Tabla Impacto'!$C$12,N40='Tabla Impacto'!$D$12),"Menor",IF(OR(N40='Tabla Impacto'!$C$13,N40='Tabla Impacto'!$D$13),"Moderado",IF(OR(N40='Tabla Impacto'!$C$14,N40='Tabla Impacto'!$D$14),"Mayor",IF(OR(N40='Tabla Impacto'!$C$15,N40='Tabla Impacto'!$D$15),"Catastrófico","")))))</f>
        <v/>
      </c>
      <c r="P40" s="420" t="str">
        <f t="shared" ref="P40" si="59">IF(O40="","",IF(O40="Leve",0.2,IF(O40="Menor",0.4,IF(O40="Moderado",0.6,IF(O40="Mayor",0.8,IF(O40="Catastrófico",1,))))))</f>
        <v/>
      </c>
      <c r="Q40" s="427" t="str">
        <f t="shared" ref="Q40" si="60">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6" t="str">
        <f>IFERROR(IF(AA40="","",IF(AA40&lt;=0.2,"Muy Baja",IF(AA40&lt;=0.4,"Baja",IF(AA40&lt;=0.6,"Media",IF(AA40&lt;=0.8,"Alta","Muy Alta"))))),"")</f>
        <v/>
      </c>
      <c r="AC40" s="117" t="str">
        <f>+AA40</f>
        <v/>
      </c>
      <c r="AD40" s="116" t="str">
        <f>IFERROR(IF(AE40="","",IF(AE40&lt;=0.2,"Leve",IF(AE40&lt;=0.4,"Menor",IF(AE40&lt;=0.6,"Moderado",IF(AE40&lt;=0.8,"Mayor","Catastrófico"))))),"")</f>
        <v/>
      </c>
      <c r="AE40" s="117" t="str">
        <f>IFERROR(IF(T40="Impacto",(P40-(+P40*W40)),IF(T40="Probabilidad",P40,"")),"")</f>
        <v/>
      </c>
      <c r="AF40" s="118"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9"/>
      <c r="AH40" s="109"/>
      <c r="AI40" s="110"/>
      <c r="AJ40" s="111"/>
      <c r="AK40" s="111"/>
      <c r="AL40" s="110"/>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390"/>
      <c r="B41" s="459"/>
      <c r="C41" s="459"/>
      <c r="D41" s="417"/>
      <c r="E41" s="138"/>
      <c r="F41" s="419"/>
      <c r="G41" s="139"/>
      <c r="H41" s="139"/>
      <c r="I41" s="450"/>
      <c r="J41" s="453"/>
      <c r="K41" s="424"/>
      <c r="L41" s="421"/>
      <c r="M41" s="456"/>
      <c r="N41" s="421">
        <f>IF(NOT(ISERROR(MATCH(M41,_xlfn.ANCHORARRAY(F52),0))),L54&amp;"Por favor no seleccionar los criterios de impacto",M41)</f>
        <v>0</v>
      </c>
      <c r="O41" s="424"/>
      <c r="P41" s="421"/>
      <c r="Q41" s="428"/>
      <c r="R41" s="105">
        <v>2</v>
      </c>
      <c r="S41" s="106"/>
      <c r="T41" s="107" t="str">
        <f>IF(OR(U41="Preventivo",U41="Detectivo"),"Probabilidad",IF(U41="Correctivo","Impacto",""))</f>
        <v/>
      </c>
      <c r="U41" s="114"/>
      <c r="V41" s="114"/>
      <c r="W41" s="115" t="str">
        <f t="shared" ref="W41:W45" si="61">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6" t="str">
        <f t="shared" ref="AB41:AB45" si="62">IFERROR(IF(AA41="","",IF(AA41&lt;=0.2,"Muy Baja",IF(AA41&lt;=0.4,"Baja",IF(AA41&lt;=0.6,"Media",IF(AA41&lt;=0.8,"Alta","Muy Alta"))))),"")</f>
        <v/>
      </c>
      <c r="AC41" s="117" t="str">
        <f>+AA41</f>
        <v/>
      </c>
      <c r="AD41" s="116" t="str">
        <f t="shared" ref="AD41:AD45" si="63">IFERROR(IF(AE41="","",IF(AE41&lt;=0.2,"Leve",IF(AE41&lt;=0.4,"Menor",IF(AE41&lt;=0.6,"Moderado",IF(AE41&lt;=0.8,"Mayor","Catastrófico"))))),"")</f>
        <v/>
      </c>
      <c r="AE41" s="117" t="str">
        <f>IFERROR(IF(AND(T40="Impacto",T41="Impacto"),(AE40-(+AE40*W41)),IF(AND(T40="Probabilidad",T41="Impacto"),(P40-(+P40*W41)),IF(T41="Probabilidad",AE40,""))),"")</f>
        <v/>
      </c>
      <c r="AF41" s="118" t="str">
        <f t="shared" ref="AF41:AF45" si="64">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9"/>
      <c r="AH41" s="109"/>
      <c r="AI41" s="110"/>
      <c r="AJ41" s="111"/>
      <c r="AK41" s="111"/>
      <c r="AL41" s="110"/>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390"/>
      <c r="B42" s="459"/>
      <c r="C42" s="459"/>
      <c r="D42" s="417"/>
      <c r="E42" s="138"/>
      <c r="F42" s="419"/>
      <c r="G42" s="139"/>
      <c r="H42" s="139"/>
      <c r="I42" s="450"/>
      <c r="J42" s="453"/>
      <c r="K42" s="424"/>
      <c r="L42" s="421"/>
      <c r="M42" s="456"/>
      <c r="N42" s="421">
        <f>IF(NOT(ISERROR(MATCH(M42,_xlfn.ANCHORARRAY(F53),0))),L55&amp;"Por favor no seleccionar los criterios de impacto",M42)</f>
        <v>0</v>
      </c>
      <c r="O42" s="424"/>
      <c r="P42" s="421"/>
      <c r="Q42" s="428"/>
      <c r="R42" s="105">
        <v>3</v>
      </c>
      <c r="S42" s="112"/>
      <c r="T42" s="107" t="str">
        <f t="shared" ref="T42:T45" si="65">IF(OR(U42="Preventivo",U42="Detectivo"),"Probabilidad",IF(U42="Correctivo","Impacto",""))</f>
        <v/>
      </c>
      <c r="U42" s="114"/>
      <c r="V42" s="114"/>
      <c r="W42" s="115" t="str">
        <f t="shared" si="61"/>
        <v/>
      </c>
      <c r="X42" s="114"/>
      <c r="Y42" s="114"/>
      <c r="Z42" s="114"/>
      <c r="AA42" s="108" t="str">
        <f>IFERROR(IF(AND(T41="Probabilidad",T42="Probabilidad"),(AC41-(+AC41*W42)),IF(AND(T41="Impacto",T42="Probabilidad"),(AC40-(+AC40*W42)),IF(T42="Impacto",AC41,""))),"")</f>
        <v/>
      </c>
      <c r="AB42" s="116" t="str">
        <f t="shared" si="62"/>
        <v/>
      </c>
      <c r="AC42" s="117" t="str">
        <f t="shared" ref="AC42:AC45" si="66">+AA42</f>
        <v/>
      </c>
      <c r="AD42" s="116" t="str">
        <f t="shared" si="63"/>
        <v/>
      </c>
      <c r="AE42" s="117" t="str">
        <f t="shared" ref="AE42:AE45" si="67">IFERROR(IF(AND(T41="Impacto",T42="Impacto"),(AE41-(+AE41*W42)),IF(AND(T41="Probabilidad",T42="Impacto"),(AE40-(+AE40*W42)),IF(T42="Probabilidad",AE41,""))),"")</f>
        <v/>
      </c>
      <c r="AF42" s="118" t="str">
        <f t="shared" si="64"/>
        <v/>
      </c>
      <c r="AG42" s="119"/>
      <c r="AH42" s="109"/>
      <c r="AI42" s="110"/>
      <c r="AJ42" s="111"/>
      <c r="AK42" s="111"/>
      <c r="AL42" s="110"/>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390"/>
      <c r="B43" s="459"/>
      <c r="C43" s="459"/>
      <c r="D43" s="417"/>
      <c r="E43" s="138"/>
      <c r="F43" s="419"/>
      <c r="G43" s="139"/>
      <c r="H43" s="139"/>
      <c r="I43" s="450"/>
      <c r="J43" s="453"/>
      <c r="K43" s="424"/>
      <c r="L43" s="421"/>
      <c r="M43" s="456"/>
      <c r="N43" s="421">
        <f>IF(NOT(ISERROR(MATCH(M43,_xlfn.ANCHORARRAY(F54),0))),L56&amp;"Por favor no seleccionar los criterios de impacto",M43)</f>
        <v>0</v>
      </c>
      <c r="O43" s="424"/>
      <c r="P43" s="421"/>
      <c r="Q43" s="428"/>
      <c r="R43" s="105">
        <v>4</v>
      </c>
      <c r="S43" s="106"/>
      <c r="T43" s="107" t="str">
        <f t="shared" si="65"/>
        <v/>
      </c>
      <c r="U43" s="114"/>
      <c r="V43" s="114"/>
      <c r="W43" s="115" t="str">
        <f t="shared" si="61"/>
        <v/>
      </c>
      <c r="X43" s="114"/>
      <c r="Y43" s="114"/>
      <c r="Z43" s="114"/>
      <c r="AA43" s="108" t="str">
        <f t="shared" ref="AA43:AA45" si="68">IFERROR(IF(AND(T42="Probabilidad",T43="Probabilidad"),(AC42-(+AC42*W43)),IF(AND(T42="Impacto",T43="Probabilidad"),(AC41-(+AC41*W43)),IF(T43="Impacto",AC42,""))),"")</f>
        <v/>
      </c>
      <c r="AB43" s="116" t="str">
        <f t="shared" si="62"/>
        <v/>
      </c>
      <c r="AC43" s="117" t="str">
        <f t="shared" si="66"/>
        <v/>
      </c>
      <c r="AD43" s="116" t="str">
        <f t="shared" si="63"/>
        <v/>
      </c>
      <c r="AE43" s="117" t="str">
        <f t="shared" si="67"/>
        <v/>
      </c>
      <c r="AF43" s="118" t="str">
        <f t="shared" si="64"/>
        <v/>
      </c>
      <c r="AG43" s="119"/>
      <c r="AH43" s="109"/>
      <c r="AI43" s="110"/>
      <c r="AJ43" s="111"/>
      <c r="AK43" s="111"/>
      <c r="AL43" s="110"/>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390"/>
      <c r="B44" s="459"/>
      <c r="C44" s="459"/>
      <c r="D44" s="417"/>
      <c r="E44" s="138"/>
      <c r="F44" s="419"/>
      <c r="G44" s="139"/>
      <c r="H44" s="139"/>
      <c r="I44" s="450"/>
      <c r="J44" s="453"/>
      <c r="K44" s="424"/>
      <c r="L44" s="421"/>
      <c r="M44" s="456"/>
      <c r="N44" s="421">
        <f>IF(NOT(ISERROR(MATCH(M44,_xlfn.ANCHORARRAY(F55),0))),L57&amp;"Por favor no seleccionar los criterios de impacto",M44)</f>
        <v>0</v>
      </c>
      <c r="O44" s="424"/>
      <c r="P44" s="421"/>
      <c r="Q44" s="428"/>
      <c r="R44" s="105">
        <v>5</v>
      </c>
      <c r="S44" s="106"/>
      <c r="T44" s="107" t="str">
        <f t="shared" si="65"/>
        <v/>
      </c>
      <c r="U44" s="114"/>
      <c r="V44" s="114"/>
      <c r="W44" s="115" t="str">
        <f t="shared" si="61"/>
        <v/>
      </c>
      <c r="X44" s="114"/>
      <c r="Y44" s="114"/>
      <c r="Z44" s="114"/>
      <c r="AA44" s="108" t="str">
        <f t="shared" si="68"/>
        <v/>
      </c>
      <c r="AB44" s="116" t="str">
        <f t="shared" si="62"/>
        <v/>
      </c>
      <c r="AC44" s="117" t="str">
        <f t="shared" si="66"/>
        <v/>
      </c>
      <c r="AD44" s="116" t="str">
        <f t="shared" si="63"/>
        <v/>
      </c>
      <c r="AE44" s="117" t="str">
        <f t="shared" si="67"/>
        <v/>
      </c>
      <c r="AF44" s="118" t="str">
        <f t="shared" si="64"/>
        <v/>
      </c>
      <c r="AG44" s="119"/>
      <c r="AH44" s="109"/>
      <c r="AI44" s="110"/>
      <c r="AJ44" s="111"/>
      <c r="AK44" s="111"/>
      <c r="AL44" s="110"/>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391"/>
      <c r="B45" s="460"/>
      <c r="C45" s="460"/>
      <c r="D45" s="418"/>
      <c r="E45" s="138"/>
      <c r="F45" s="419"/>
      <c r="G45" s="139"/>
      <c r="H45" s="139"/>
      <c r="I45" s="451"/>
      <c r="J45" s="454"/>
      <c r="K45" s="425"/>
      <c r="L45" s="422"/>
      <c r="M45" s="457"/>
      <c r="N45" s="422">
        <f>IF(NOT(ISERROR(MATCH(M45,_xlfn.ANCHORARRAY(F56),0))),L58&amp;"Por favor no seleccionar los criterios de impacto",M45)</f>
        <v>0</v>
      </c>
      <c r="O45" s="425"/>
      <c r="P45" s="422"/>
      <c r="Q45" s="429"/>
      <c r="R45" s="105">
        <v>6</v>
      </c>
      <c r="S45" s="106"/>
      <c r="T45" s="107" t="str">
        <f t="shared" si="65"/>
        <v/>
      </c>
      <c r="U45" s="114"/>
      <c r="V45" s="114"/>
      <c r="W45" s="115" t="str">
        <f t="shared" si="61"/>
        <v/>
      </c>
      <c r="X45" s="114"/>
      <c r="Y45" s="114"/>
      <c r="Z45" s="114"/>
      <c r="AA45" s="108" t="str">
        <f t="shared" si="68"/>
        <v/>
      </c>
      <c r="AB45" s="116" t="str">
        <f t="shared" si="62"/>
        <v/>
      </c>
      <c r="AC45" s="117" t="str">
        <f t="shared" si="66"/>
        <v/>
      </c>
      <c r="AD45" s="116" t="str">
        <f t="shared" si="63"/>
        <v/>
      </c>
      <c r="AE45" s="117" t="str">
        <f t="shared" si="67"/>
        <v/>
      </c>
      <c r="AF45" s="118" t="str">
        <f t="shared" si="64"/>
        <v/>
      </c>
      <c r="AG45" s="119"/>
      <c r="AH45" s="109"/>
      <c r="AI45" s="110"/>
      <c r="AJ45" s="111"/>
      <c r="AK45" s="111"/>
      <c r="AL45" s="110"/>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389">
        <v>7</v>
      </c>
      <c r="B46" s="458"/>
      <c r="C46" s="458"/>
      <c r="D46" s="458"/>
      <c r="E46" s="121"/>
      <c r="F46" s="462"/>
      <c r="G46" s="124"/>
      <c r="H46" s="124"/>
      <c r="I46" s="458"/>
      <c r="J46" s="452"/>
      <c r="K46" s="423" t="str">
        <f t="shared" ref="K46" si="69">IF(J46&lt;=0,"",IF(J46&lt;=2,"Muy Baja",IF(J46&lt;=24,"Baja",IF(J46&lt;=500,"Media",IF(J46&lt;=5000,"Alta","Muy Alta")))))</f>
        <v/>
      </c>
      <c r="L46" s="420" t="str">
        <f t="shared" ref="L46" si="70">IF(K46="","",IF(K46="Muy Baja",0.2,IF(K46="Baja",0.4,IF(K46="Media",0.6,IF(K46="Alta",0.8,IF(K46="Muy Alta",1,))))))</f>
        <v/>
      </c>
      <c r="M46" s="455"/>
      <c r="N46" s="420">
        <f>IF(NOT(ISERROR(MATCH(M46,'Tabla Impacto'!$B$221:$B$223,0))),'Tabla Impacto'!$F$223&amp;"Por favor no seleccionar los criterios de impacto(Afectación Económica o presupuestal y Pérdida Reputacional)",M46)</f>
        <v>0</v>
      </c>
      <c r="O46" s="423" t="str">
        <f>IF(OR(N46='Tabla Impacto'!$C$11,N46='Tabla Impacto'!$D$11),"Leve",IF(OR(N46='Tabla Impacto'!$C$12,N46='Tabla Impacto'!$D$12),"Menor",IF(OR(N46='Tabla Impacto'!$C$13,N46='Tabla Impacto'!$D$13),"Moderado",IF(OR(N46='Tabla Impacto'!$C$14,N46='Tabla Impacto'!$D$14),"Mayor",IF(OR(N46='Tabla Impacto'!$C$15,N46='Tabla Impacto'!$D$15),"Catastrófico","")))))</f>
        <v/>
      </c>
      <c r="P46" s="420" t="str">
        <f t="shared" ref="P46" si="71">IF(O46="","",IF(O46="Leve",0.2,IF(O46="Menor",0.4,IF(O46="Moderado",0.6,IF(O46="Mayor",0.8,IF(O46="Catastrófico",1,))))))</f>
        <v/>
      </c>
      <c r="Q46" s="427" t="str">
        <f t="shared" ref="Q46" si="72">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6" t="str">
        <f>IFERROR(IF(AA46="","",IF(AA46&lt;=0.2,"Muy Baja",IF(AA46&lt;=0.4,"Baja",IF(AA46&lt;=0.6,"Media",IF(AA46&lt;=0.8,"Alta","Muy Alta"))))),"")</f>
        <v/>
      </c>
      <c r="AC46" s="117" t="str">
        <f>+AA46</f>
        <v/>
      </c>
      <c r="AD46" s="116" t="str">
        <f>IFERROR(IF(AE46="","",IF(AE46&lt;=0.2,"Leve",IF(AE46&lt;=0.4,"Menor",IF(AE46&lt;=0.6,"Moderado",IF(AE46&lt;=0.8,"Mayor","Catastrófico"))))),"")</f>
        <v/>
      </c>
      <c r="AE46" s="117" t="str">
        <f>IFERROR(IF(T46="Impacto",(P46-(+P46*W46)),IF(T46="Probabilidad",P46,"")),"")</f>
        <v/>
      </c>
      <c r="AF46" s="118"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9"/>
      <c r="AH46" s="109"/>
      <c r="AI46" s="110"/>
      <c r="AJ46" s="111"/>
      <c r="AK46" s="111"/>
      <c r="AL46" s="110"/>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390"/>
      <c r="B47" s="459"/>
      <c r="C47" s="459"/>
      <c r="D47" s="459"/>
      <c r="E47" s="121"/>
      <c r="F47" s="462"/>
      <c r="G47" s="124"/>
      <c r="H47" s="124"/>
      <c r="I47" s="459"/>
      <c r="J47" s="453"/>
      <c r="K47" s="424"/>
      <c r="L47" s="421"/>
      <c r="M47" s="456"/>
      <c r="N47" s="421">
        <f>IF(NOT(ISERROR(MATCH(M47,_xlfn.ANCHORARRAY(F58),0))),L60&amp;"Por favor no seleccionar los criterios de impacto",M47)</f>
        <v>0</v>
      </c>
      <c r="O47" s="424"/>
      <c r="P47" s="421"/>
      <c r="Q47" s="428"/>
      <c r="R47" s="105">
        <v>2</v>
      </c>
      <c r="S47" s="106"/>
      <c r="T47" s="107" t="str">
        <f>IF(OR(U47="Preventivo",U47="Detectivo"),"Probabilidad",IF(U47="Correctivo","Impacto",""))</f>
        <v/>
      </c>
      <c r="U47" s="114"/>
      <c r="V47" s="114"/>
      <c r="W47" s="115" t="str">
        <f t="shared" ref="W47:W51" si="73">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6" t="str">
        <f t="shared" ref="AB47:AB51" si="74">IFERROR(IF(AA47="","",IF(AA47&lt;=0.2,"Muy Baja",IF(AA47&lt;=0.4,"Baja",IF(AA47&lt;=0.6,"Media",IF(AA47&lt;=0.8,"Alta","Muy Alta"))))),"")</f>
        <v/>
      </c>
      <c r="AC47" s="117" t="str">
        <f>+AA47</f>
        <v/>
      </c>
      <c r="AD47" s="116" t="str">
        <f t="shared" ref="AD47:AD51" si="75">IFERROR(IF(AE47="","",IF(AE47&lt;=0.2,"Leve",IF(AE47&lt;=0.4,"Menor",IF(AE47&lt;=0.6,"Moderado",IF(AE47&lt;=0.8,"Mayor","Catastrófico"))))),"")</f>
        <v/>
      </c>
      <c r="AE47" s="117" t="str">
        <f>IFERROR(IF(AND(T46="Impacto",T47="Impacto"),(AE46-(+AE46*W47)),IF(AND(T46="Probabilidad",T47="Impacto"),(P46-(+P46*W47)),IF(T47="Probabilidad",AE46,""))),"")</f>
        <v/>
      </c>
      <c r="AF47" s="118" t="str">
        <f t="shared" ref="AF47:AF51" si="76">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9"/>
      <c r="AH47" s="109"/>
      <c r="AI47" s="110"/>
      <c r="AJ47" s="111"/>
      <c r="AK47" s="111"/>
      <c r="AL47" s="110"/>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390"/>
      <c r="B48" s="459"/>
      <c r="C48" s="459"/>
      <c r="D48" s="459"/>
      <c r="E48" s="121"/>
      <c r="F48" s="462"/>
      <c r="G48" s="124"/>
      <c r="H48" s="124"/>
      <c r="I48" s="459"/>
      <c r="J48" s="453"/>
      <c r="K48" s="424"/>
      <c r="L48" s="421"/>
      <c r="M48" s="456"/>
      <c r="N48" s="421">
        <f>IF(NOT(ISERROR(MATCH(M48,_xlfn.ANCHORARRAY(F59),0))),L61&amp;"Por favor no seleccionar los criterios de impacto",M48)</f>
        <v>0</v>
      </c>
      <c r="O48" s="424"/>
      <c r="P48" s="421"/>
      <c r="Q48" s="428"/>
      <c r="R48" s="105">
        <v>3</v>
      </c>
      <c r="S48" s="112"/>
      <c r="T48" s="107" t="str">
        <f t="shared" ref="T48:T51" si="77">IF(OR(U48="Preventivo",U48="Detectivo"),"Probabilidad",IF(U48="Correctivo","Impacto",""))</f>
        <v/>
      </c>
      <c r="U48" s="114"/>
      <c r="V48" s="114"/>
      <c r="W48" s="115" t="str">
        <f t="shared" si="73"/>
        <v/>
      </c>
      <c r="X48" s="114"/>
      <c r="Y48" s="114"/>
      <c r="Z48" s="114"/>
      <c r="AA48" s="108" t="str">
        <f>IFERROR(IF(AND(T47="Probabilidad",T48="Probabilidad"),(AC47-(+AC47*W48)),IF(AND(T47="Impacto",T48="Probabilidad"),(AC46-(+AC46*W48)),IF(T48="Impacto",AC47,""))),"")</f>
        <v/>
      </c>
      <c r="AB48" s="116" t="str">
        <f t="shared" si="74"/>
        <v/>
      </c>
      <c r="AC48" s="117" t="str">
        <f t="shared" ref="AC48:AC51" si="78">+AA48</f>
        <v/>
      </c>
      <c r="AD48" s="116" t="str">
        <f t="shared" si="75"/>
        <v/>
      </c>
      <c r="AE48" s="117" t="str">
        <f t="shared" ref="AE48:AE51" si="79">IFERROR(IF(AND(T47="Impacto",T48="Impacto"),(AE47-(+AE47*W48)),IF(AND(T47="Probabilidad",T48="Impacto"),(AE46-(+AE46*W48)),IF(T48="Probabilidad",AE47,""))),"")</f>
        <v/>
      </c>
      <c r="AF48" s="118" t="str">
        <f t="shared" si="76"/>
        <v/>
      </c>
      <c r="AG48" s="119"/>
      <c r="AH48" s="109"/>
      <c r="AI48" s="110"/>
      <c r="AJ48" s="111"/>
      <c r="AK48" s="111"/>
      <c r="AL48" s="110"/>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390"/>
      <c r="B49" s="459"/>
      <c r="C49" s="459"/>
      <c r="D49" s="459"/>
      <c r="E49" s="121"/>
      <c r="F49" s="462"/>
      <c r="G49" s="124"/>
      <c r="H49" s="124"/>
      <c r="I49" s="459"/>
      <c r="J49" s="453"/>
      <c r="K49" s="424"/>
      <c r="L49" s="421"/>
      <c r="M49" s="456"/>
      <c r="N49" s="421">
        <f>IF(NOT(ISERROR(MATCH(M49,_xlfn.ANCHORARRAY(F60),0))),L62&amp;"Por favor no seleccionar los criterios de impacto",M49)</f>
        <v>0</v>
      </c>
      <c r="O49" s="424"/>
      <c r="P49" s="421"/>
      <c r="Q49" s="428"/>
      <c r="R49" s="105">
        <v>4</v>
      </c>
      <c r="S49" s="106"/>
      <c r="T49" s="107" t="str">
        <f t="shared" si="77"/>
        <v/>
      </c>
      <c r="U49" s="114"/>
      <c r="V49" s="114"/>
      <c r="W49" s="115" t="str">
        <f t="shared" si="73"/>
        <v/>
      </c>
      <c r="X49" s="114"/>
      <c r="Y49" s="114"/>
      <c r="Z49" s="114"/>
      <c r="AA49" s="108" t="str">
        <f t="shared" ref="AA49:AA51" si="80">IFERROR(IF(AND(T48="Probabilidad",T49="Probabilidad"),(AC48-(+AC48*W49)),IF(AND(T48="Impacto",T49="Probabilidad"),(AC47-(+AC47*W49)),IF(T49="Impacto",AC48,""))),"")</f>
        <v/>
      </c>
      <c r="AB49" s="116" t="str">
        <f t="shared" si="74"/>
        <v/>
      </c>
      <c r="AC49" s="117" t="str">
        <f t="shared" si="78"/>
        <v/>
      </c>
      <c r="AD49" s="116" t="str">
        <f t="shared" si="75"/>
        <v/>
      </c>
      <c r="AE49" s="117" t="str">
        <f t="shared" si="79"/>
        <v/>
      </c>
      <c r="AF49" s="118" t="str">
        <f t="shared" si="76"/>
        <v/>
      </c>
      <c r="AG49" s="119"/>
      <c r="AH49" s="109"/>
      <c r="AI49" s="110"/>
      <c r="AJ49" s="111"/>
      <c r="AK49" s="111"/>
      <c r="AL49" s="110"/>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390"/>
      <c r="B50" s="459"/>
      <c r="C50" s="459"/>
      <c r="D50" s="459"/>
      <c r="E50" s="121"/>
      <c r="F50" s="462"/>
      <c r="G50" s="124"/>
      <c r="H50" s="124"/>
      <c r="I50" s="459"/>
      <c r="J50" s="453"/>
      <c r="K50" s="424"/>
      <c r="L50" s="421"/>
      <c r="M50" s="456"/>
      <c r="N50" s="421">
        <f>IF(NOT(ISERROR(MATCH(M50,_xlfn.ANCHORARRAY(F61),0))),L63&amp;"Por favor no seleccionar los criterios de impacto",M50)</f>
        <v>0</v>
      </c>
      <c r="O50" s="424"/>
      <c r="P50" s="421"/>
      <c r="Q50" s="428"/>
      <c r="R50" s="105">
        <v>5</v>
      </c>
      <c r="S50" s="106"/>
      <c r="T50" s="107" t="str">
        <f t="shared" si="77"/>
        <v/>
      </c>
      <c r="U50" s="114"/>
      <c r="V50" s="114"/>
      <c r="W50" s="115" t="str">
        <f t="shared" si="73"/>
        <v/>
      </c>
      <c r="X50" s="114"/>
      <c r="Y50" s="114"/>
      <c r="Z50" s="114"/>
      <c r="AA50" s="108" t="str">
        <f t="shared" si="80"/>
        <v/>
      </c>
      <c r="AB50" s="116" t="str">
        <f t="shared" si="74"/>
        <v/>
      </c>
      <c r="AC50" s="117" t="str">
        <f t="shared" si="78"/>
        <v/>
      </c>
      <c r="AD50" s="116" t="str">
        <f t="shared" si="75"/>
        <v/>
      </c>
      <c r="AE50" s="117" t="str">
        <f t="shared" si="79"/>
        <v/>
      </c>
      <c r="AF50" s="118" t="str">
        <f t="shared" si="76"/>
        <v/>
      </c>
      <c r="AG50" s="119"/>
      <c r="AH50" s="109"/>
      <c r="AI50" s="110"/>
      <c r="AJ50" s="111"/>
      <c r="AK50" s="111"/>
      <c r="AL50" s="110"/>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391"/>
      <c r="B51" s="460"/>
      <c r="C51" s="460"/>
      <c r="D51" s="460"/>
      <c r="E51" s="122"/>
      <c r="F51" s="463"/>
      <c r="G51" s="125"/>
      <c r="H51" s="125"/>
      <c r="I51" s="460"/>
      <c r="J51" s="454"/>
      <c r="K51" s="425"/>
      <c r="L51" s="422"/>
      <c r="M51" s="457"/>
      <c r="N51" s="422">
        <f>IF(NOT(ISERROR(MATCH(M51,_xlfn.ANCHORARRAY(F62),0))),L64&amp;"Por favor no seleccionar los criterios de impacto",M51)</f>
        <v>0</v>
      </c>
      <c r="O51" s="425"/>
      <c r="P51" s="422"/>
      <c r="Q51" s="429"/>
      <c r="R51" s="105">
        <v>6</v>
      </c>
      <c r="S51" s="106"/>
      <c r="T51" s="107" t="str">
        <f t="shared" si="77"/>
        <v/>
      </c>
      <c r="U51" s="114"/>
      <c r="V51" s="114"/>
      <c r="W51" s="115" t="str">
        <f t="shared" si="73"/>
        <v/>
      </c>
      <c r="X51" s="114"/>
      <c r="Y51" s="114"/>
      <c r="Z51" s="114"/>
      <c r="AA51" s="108" t="str">
        <f t="shared" si="80"/>
        <v/>
      </c>
      <c r="AB51" s="116" t="str">
        <f t="shared" si="74"/>
        <v/>
      </c>
      <c r="AC51" s="117" t="str">
        <f t="shared" si="78"/>
        <v/>
      </c>
      <c r="AD51" s="116" t="str">
        <f t="shared" si="75"/>
        <v/>
      </c>
      <c r="AE51" s="117" t="str">
        <f t="shared" si="79"/>
        <v/>
      </c>
      <c r="AF51" s="118" t="str">
        <f t="shared" si="76"/>
        <v/>
      </c>
      <c r="AG51" s="119"/>
      <c r="AH51" s="109"/>
      <c r="AI51" s="110"/>
      <c r="AJ51" s="111"/>
      <c r="AK51" s="111"/>
      <c r="AL51" s="110"/>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389">
        <v>8</v>
      </c>
      <c r="B52" s="458"/>
      <c r="C52" s="458"/>
      <c r="D52" s="458"/>
      <c r="E52" s="120"/>
      <c r="F52" s="461"/>
      <c r="G52" s="123"/>
      <c r="H52" s="123"/>
      <c r="I52" s="458"/>
      <c r="J52" s="452"/>
      <c r="K52" s="423" t="str">
        <f t="shared" ref="K52" si="81">IF(J52&lt;=0,"",IF(J52&lt;=2,"Muy Baja",IF(J52&lt;=24,"Baja",IF(J52&lt;=500,"Media",IF(J52&lt;=5000,"Alta","Muy Alta")))))</f>
        <v/>
      </c>
      <c r="L52" s="420" t="str">
        <f t="shared" ref="L52" si="82">IF(K52="","",IF(K52="Muy Baja",0.2,IF(K52="Baja",0.4,IF(K52="Media",0.6,IF(K52="Alta",0.8,IF(K52="Muy Alta",1,))))))</f>
        <v/>
      </c>
      <c r="M52" s="455"/>
      <c r="N52" s="420">
        <f>IF(NOT(ISERROR(MATCH(M52,'Tabla Impacto'!$B$221:$B$223,0))),'Tabla Impacto'!$F$223&amp;"Por favor no seleccionar los criterios de impacto(Afectación Económica o presupuestal y Pérdida Reputacional)",M52)</f>
        <v>0</v>
      </c>
      <c r="O52" s="423" t="str">
        <f>IF(OR(N52='Tabla Impacto'!$C$11,N52='Tabla Impacto'!$D$11),"Leve",IF(OR(N52='Tabla Impacto'!$C$12,N52='Tabla Impacto'!$D$12),"Menor",IF(OR(N52='Tabla Impacto'!$C$13,N52='Tabla Impacto'!$D$13),"Moderado",IF(OR(N52='Tabla Impacto'!$C$14,N52='Tabla Impacto'!$D$14),"Mayor",IF(OR(N52='Tabla Impacto'!$C$15,N52='Tabla Impacto'!$D$15),"Catastrófico","")))))</f>
        <v/>
      </c>
      <c r="P52" s="420" t="str">
        <f t="shared" ref="P52" si="83">IF(O52="","",IF(O52="Leve",0.2,IF(O52="Menor",0.4,IF(O52="Moderado",0.6,IF(O52="Mayor",0.8,IF(O52="Catastrófico",1,))))))</f>
        <v/>
      </c>
      <c r="Q52" s="427" t="str">
        <f t="shared" ref="Q52" si="84">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6" t="str">
        <f>IFERROR(IF(AA52="","",IF(AA52&lt;=0.2,"Muy Baja",IF(AA52&lt;=0.4,"Baja",IF(AA52&lt;=0.6,"Media",IF(AA52&lt;=0.8,"Alta","Muy Alta"))))),"")</f>
        <v/>
      </c>
      <c r="AC52" s="117" t="str">
        <f>+AA52</f>
        <v/>
      </c>
      <c r="AD52" s="116" t="str">
        <f>IFERROR(IF(AE52="","",IF(AE52&lt;=0.2,"Leve",IF(AE52&lt;=0.4,"Menor",IF(AE52&lt;=0.6,"Moderado",IF(AE52&lt;=0.8,"Mayor","Catastrófico"))))),"")</f>
        <v/>
      </c>
      <c r="AE52" s="117" t="str">
        <f>IFERROR(IF(T52="Impacto",(P52-(+P52*W52)),IF(T52="Probabilidad",P52,"")),"")</f>
        <v/>
      </c>
      <c r="AF52" s="118"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9"/>
      <c r="AH52" s="109"/>
      <c r="AI52" s="110"/>
      <c r="AJ52" s="111"/>
      <c r="AK52" s="111"/>
      <c r="AL52" s="110"/>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390"/>
      <c r="B53" s="459"/>
      <c r="C53" s="459"/>
      <c r="D53" s="459"/>
      <c r="E53" s="121"/>
      <c r="F53" s="462"/>
      <c r="G53" s="124"/>
      <c r="H53" s="124"/>
      <c r="I53" s="459"/>
      <c r="J53" s="453"/>
      <c r="K53" s="424"/>
      <c r="L53" s="421"/>
      <c r="M53" s="456"/>
      <c r="N53" s="421">
        <f>IF(NOT(ISERROR(MATCH(M53,_xlfn.ANCHORARRAY(F64),0))),L66&amp;"Por favor no seleccionar los criterios de impacto",M53)</f>
        <v>0</v>
      </c>
      <c r="O53" s="424"/>
      <c r="P53" s="421"/>
      <c r="Q53" s="428"/>
      <c r="R53" s="105">
        <v>2</v>
      </c>
      <c r="S53" s="106"/>
      <c r="T53" s="107" t="str">
        <f>IF(OR(U53="Preventivo",U53="Detectivo"),"Probabilidad",IF(U53="Correctivo","Impacto",""))</f>
        <v/>
      </c>
      <c r="U53" s="114"/>
      <c r="V53" s="114"/>
      <c r="W53" s="115" t="str">
        <f t="shared" ref="W53:W57" si="85">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6" t="str">
        <f t="shared" ref="AB53:AB57" si="86">IFERROR(IF(AA53="","",IF(AA53&lt;=0.2,"Muy Baja",IF(AA53&lt;=0.4,"Baja",IF(AA53&lt;=0.6,"Media",IF(AA53&lt;=0.8,"Alta","Muy Alta"))))),"")</f>
        <v/>
      </c>
      <c r="AC53" s="117" t="str">
        <f>+AA53</f>
        <v/>
      </c>
      <c r="AD53" s="116" t="str">
        <f t="shared" ref="AD53:AD57" si="87">IFERROR(IF(AE53="","",IF(AE53&lt;=0.2,"Leve",IF(AE53&lt;=0.4,"Menor",IF(AE53&lt;=0.6,"Moderado",IF(AE53&lt;=0.8,"Mayor","Catastrófico"))))),"")</f>
        <v/>
      </c>
      <c r="AE53" s="117" t="str">
        <f>IFERROR(IF(AND(T52="Impacto",T53="Impacto"),(AE52-(+AE52*W53)),IF(AND(T52="Probabilidad",T53="Impacto"),(P52-(+P52*W53)),IF(T53="Probabilidad",AE52,""))),"")</f>
        <v/>
      </c>
      <c r="AF53" s="118" t="str">
        <f t="shared" ref="AF53:AF57" si="88">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9"/>
      <c r="AH53" s="109"/>
      <c r="AI53" s="110"/>
      <c r="AJ53" s="111"/>
      <c r="AK53" s="111"/>
      <c r="AL53" s="110"/>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390"/>
      <c r="B54" s="459"/>
      <c r="C54" s="459"/>
      <c r="D54" s="459"/>
      <c r="E54" s="121"/>
      <c r="F54" s="462"/>
      <c r="G54" s="124"/>
      <c r="H54" s="124"/>
      <c r="I54" s="459"/>
      <c r="J54" s="453"/>
      <c r="K54" s="424"/>
      <c r="L54" s="421"/>
      <c r="M54" s="456"/>
      <c r="N54" s="421">
        <f>IF(NOT(ISERROR(MATCH(M54,_xlfn.ANCHORARRAY(F65),0))),L67&amp;"Por favor no seleccionar los criterios de impacto",M54)</f>
        <v>0</v>
      </c>
      <c r="O54" s="424"/>
      <c r="P54" s="421"/>
      <c r="Q54" s="428"/>
      <c r="R54" s="105">
        <v>3</v>
      </c>
      <c r="S54" s="112"/>
      <c r="T54" s="107" t="str">
        <f t="shared" ref="T54:T57" si="89">IF(OR(U54="Preventivo",U54="Detectivo"),"Probabilidad",IF(U54="Correctivo","Impacto",""))</f>
        <v/>
      </c>
      <c r="U54" s="114"/>
      <c r="V54" s="114"/>
      <c r="W54" s="115" t="str">
        <f t="shared" si="85"/>
        <v/>
      </c>
      <c r="X54" s="114"/>
      <c r="Y54" s="114"/>
      <c r="Z54" s="114"/>
      <c r="AA54" s="108" t="str">
        <f>IFERROR(IF(AND(T53="Probabilidad",T54="Probabilidad"),(AC53-(+AC53*W54)),IF(AND(T53="Impacto",T54="Probabilidad"),(AC52-(+AC52*W54)),IF(T54="Impacto",AC53,""))),"")</f>
        <v/>
      </c>
      <c r="AB54" s="116" t="str">
        <f t="shared" si="86"/>
        <v/>
      </c>
      <c r="AC54" s="117" t="str">
        <f t="shared" ref="AC54:AC57" si="90">+AA54</f>
        <v/>
      </c>
      <c r="AD54" s="116" t="str">
        <f t="shared" si="87"/>
        <v/>
      </c>
      <c r="AE54" s="117" t="str">
        <f t="shared" ref="AE54:AE57" si="91">IFERROR(IF(AND(T53="Impacto",T54="Impacto"),(AE53-(+AE53*W54)),IF(AND(T53="Probabilidad",T54="Impacto"),(AE52-(+AE52*W54)),IF(T54="Probabilidad",AE53,""))),"")</f>
        <v/>
      </c>
      <c r="AF54" s="118" t="str">
        <f t="shared" si="88"/>
        <v/>
      </c>
      <c r="AG54" s="119"/>
      <c r="AH54" s="109"/>
      <c r="AI54" s="110"/>
      <c r="AJ54" s="111"/>
      <c r="AK54" s="111"/>
      <c r="AL54" s="110"/>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390"/>
      <c r="B55" s="459"/>
      <c r="C55" s="459"/>
      <c r="D55" s="459"/>
      <c r="E55" s="121"/>
      <c r="F55" s="462"/>
      <c r="G55" s="124"/>
      <c r="H55" s="124"/>
      <c r="I55" s="459"/>
      <c r="J55" s="453"/>
      <c r="K55" s="424"/>
      <c r="L55" s="421"/>
      <c r="M55" s="456"/>
      <c r="N55" s="421">
        <f>IF(NOT(ISERROR(MATCH(M55,_xlfn.ANCHORARRAY(F66),0))),L68&amp;"Por favor no seleccionar los criterios de impacto",M55)</f>
        <v>0</v>
      </c>
      <c r="O55" s="424"/>
      <c r="P55" s="421"/>
      <c r="Q55" s="428"/>
      <c r="R55" s="105">
        <v>4</v>
      </c>
      <c r="S55" s="106"/>
      <c r="T55" s="107" t="str">
        <f t="shared" si="89"/>
        <v/>
      </c>
      <c r="U55" s="114"/>
      <c r="V55" s="114"/>
      <c r="W55" s="115" t="str">
        <f t="shared" si="85"/>
        <v/>
      </c>
      <c r="X55" s="114"/>
      <c r="Y55" s="114"/>
      <c r="Z55" s="114"/>
      <c r="AA55" s="108" t="str">
        <f t="shared" ref="AA55:AA57" si="92">IFERROR(IF(AND(T54="Probabilidad",T55="Probabilidad"),(AC54-(+AC54*W55)),IF(AND(T54="Impacto",T55="Probabilidad"),(AC53-(+AC53*W55)),IF(T55="Impacto",AC54,""))),"")</f>
        <v/>
      </c>
      <c r="AB55" s="116" t="str">
        <f t="shared" si="86"/>
        <v/>
      </c>
      <c r="AC55" s="117" t="str">
        <f t="shared" si="90"/>
        <v/>
      </c>
      <c r="AD55" s="116" t="str">
        <f t="shared" si="87"/>
        <v/>
      </c>
      <c r="AE55" s="117" t="str">
        <f t="shared" si="91"/>
        <v/>
      </c>
      <c r="AF55" s="118" t="str">
        <f t="shared" si="88"/>
        <v/>
      </c>
      <c r="AG55" s="119"/>
      <c r="AH55" s="109"/>
      <c r="AI55" s="110"/>
      <c r="AJ55" s="111"/>
      <c r="AK55" s="111"/>
      <c r="AL55" s="110"/>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390"/>
      <c r="B56" s="459"/>
      <c r="C56" s="459"/>
      <c r="D56" s="459"/>
      <c r="E56" s="121"/>
      <c r="F56" s="462"/>
      <c r="G56" s="124"/>
      <c r="H56" s="124"/>
      <c r="I56" s="459"/>
      <c r="J56" s="453"/>
      <c r="K56" s="424"/>
      <c r="L56" s="421"/>
      <c r="M56" s="456"/>
      <c r="N56" s="421">
        <f>IF(NOT(ISERROR(MATCH(M56,_xlfn.ANCHORARRAY(F67),0))),L69&amp;"Por favor no seleccionar los criterios de impacto",M56)</f>
        <v>0</v>
      </c>
      <c r="O56" s="424"/>
      <c r="P56" s="421"/>
      <c r="Q56" s="428"/>
      <c r="R56" s="105">
        <v>5</v>
      </c>
      <c r="S56" s="106"/>
      <c r="T56" s="107" t="str">
        <f t="shared" si="89"/>
        <v/>
      </c>
      <c r="U56" s="114"/>
      <c r="V56" s="114"/>
      <c r="W56" s="115" t="str">
        <f t="shared" si="85"/>
        <v/>
      </c>
      <c r="X56" s="114"/>
      <c r="Y56" s="114"/>
      <c r="Z56" s="114"/>
      <c r="AA56" s="108" t="str">
        <f t="shared" si="92"/>
        <v/>
      </c>
      <c r="AB56" s="116" t="str">
        <f t="shared" si="86"/>
        <v/>
      </c>
      <c r="AC56" s="117" t="str">
        <f t="shared" si="90"/>
        <v/>
      </c>
      <c r="AD56" s="116" t="str">
        <f t="shared" si="87"/>
        <v/>
      </c>
      <c r="AE56" s="117" t="str">
        <f t="shared" si="91"/>
        <v/>
      </c>
      <c r="AF56" s="118" t="str">
        <f t="shared" si="88"/>
        <v/>
      </c>
      <c r="AG56" s="119"/>
      <c r="AH56" s="109"/>
      <c r="AI56" s="110"/>
      <c r="AJ56" s="111"/>
      <c r="AK56" s="111"/>
      <c r="AL56" s="110"/>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391"/>
      <c r="B57" s="460"/>
      <c r="C57" s="460"/>
      <c r="D57" s="460"/>
      <c r="E57" s="122"/>
      <c r="F57" s="463"/>
      <c r="G57" s="125"/>
      <c r="H57" s="125"/>
      <c r="I57" s="460"/>
      <c r="J57" s="454"/>
      <c r="K57" s="425"/>
      <c r="L57" s="422"/>
      <c r="M57" s="457"/>
      <c r="N57" s="422">
        <f>IF(NOT(ISERROR(MATCH(M57,_xlfn.ANCHORARRAY(F68),0))),L70&amp;"Por favor no seleccionar los criterios de impacto",M57)</f>
        <v>0</v>
      </c>
      <c r="O57" s="425"/>
      <c r="P57" s="422"/>
      <c r="Q57" s="429"/>
      <c r="R57" s="105">
        <v>6</v>
      </c>
      <c r="S57" s="106"/>
      <c r="T57" s="107" t="str">
        <f t="shared" si="89"/>
        <v/>
      </c>
      <c r="U57" s="114"/>
      <c r="V57" s="114"/>
      <c r="W57" s="115" t="str">
        <f t="shared" si="85"/>
        <v/>
      </c>
      <c r="X57" s="114"/>
      <c r="Y57" s="114"/>
      <c r="Z57" s="114"/>
      <c r="AA57" s="108" t="str">
        <f t="shared" si="92"/>
        <v/>
      </c>
      <c r="AB57" s="116" t="str">
        <f t="shared" si="86"/>
        <v/>
      </c>
      <c r="AC57" s="117" t="str">
        <f t="shared" si="90"/>
        <v/>
      </c>
      <c r="AD57" s="116" t="str">
        <f t="shared" si="87"/>
        <v/>
      </c>
      <c r="AE57" s="117" t="str">
        <f t="shared" si="91"/>
        <v/>
      </c>
      <c r="AF57" s="118" t="str">
        <f t="shared" si="88"/>
        <v/>
      </c>
      <c r="AG57" s="119"/>
      <c r="AH57" s="109"/>
      <c r="AI57" s="110"/>
      <c r="AJ57" s="111"/>
      <c r="AK57" s="111"/>
      <c r="AL57" s="11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389">
        <v>9</v>
      </c>
      <c r="B58" s="458"/>
      <c r="C58" s="458"/>
      <c r="D58" s="458"/>
      <c r="E58" s="120"/>
      <c r="F58" s="461"/>
      <c r="G58" s="123"/>
      <c r="H58" s="123"/>
      <c r="I58" s="458"/>
      <c r="J58" s="452"/>
      <c r="K58" s="423" t="str">
        <f t="shared" ref="K58" si="93">IF(J58&lt;=0,"",IF(J58&lt;=2,"Muy Baja",IF(J58&lt;=24,"Baja",IF(J58&lt;=500,"Media",IF(J58&lt;=5000,"Alta","Muy Alta")))))</f>
        <v/>
      </c>
      <c r="L58" s="420" t="str">
        <f t="shared" ref="L58" si="94">IF(K58="","",IF(K58="Muy Baja",0.2,IF(K58="Baja",0.4,IF(K58="Media",0.6,IF(K58="Alta",0.8,IF(K58="Muy Alta",1,))))))</f>
        <v/>
      </c>
      <c r="M58" s="455"/>
      <c r="N58" s="420">
        <f>IF(NOT(ISERROR(MATCH(M58,'Tabla Impacto'!$B$221:$B$223,0))),'Tabla Impacto'!$F$223&amp;"Por favor no seleccionar los criterios de impacto(Afectación Económica o presupuestal y Pérdida Reputacional)",M58)</f>
        <v>0</v>
      </c>
      <c r="O58" s="423" t="str">
        <f>IF(OR(N58='Tabla Impacto'!$C$11,N58='Tabla Impacto'!$D$11),"Leve",IF(OR(N58='Tabla Impacto'!$C$12,N58='Tabla Impacto'!$D$12),"Menor",IF(OR(N58='Tabla Impacto'!$C$13,N58='Tabla Impacto'!$D$13),"Moderado",IF(OR(N58='Tabla Impacto'!$C$14,N58='Tabla Impacto'!$D$14),"Mayor",IF(OR(N58='Tabla Impacto'!$C$15,N58='Tabla Impacto'!$D$15),"Catastrófico","")))))</f>
        <v/>
      </c>
      <c r="P58" s="420" t="str">
        <f t="shared" ref="P58" si="95">IF(O58="","",IF(O58="Leve",0.2,IF(O58="Menor",0.4,IF(O58="Moderado",0.6,IF(O58="Mayor",0.8,IF(O58="Catastrófico",1,))))))</f>
        <v/>
      </c>
      <c r="Q58" s="427" t="str">
        <f t="shared" ref="Q58" si="96">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6" t="str">
        <f>IFERROR(IF(AA58="","",IF(AA58&lt;=0.2,"Muy Baja",IF(AA58&lt;=0.4,"Baja",IF(AA58&lt;=0.6,"Media",IF(AA58&lt;=0.8,"Alta","Muy Alta"))))),"")</f>
        <v/>
      </c>
      <c r="AC58" s="117" t="str">
        <f>+AA58</f>
        <v/>
      </c>
      <c r="AD58" s="116" t="str">
        <f>IFERROR(IF(AE58="","",IF(AE58&lt;=0.2,"Leve",IF(AE58&lt;=0.4,"Menor",IF(AE58&lt;=0.6,"Moderado",IF(AE58&lt;=0.8,"Mayor","Catastrófico"))))),"")</f>
        <v/>
      </c>
      <c r="AE58" s="117" t="str">
        <f>IFERROR(IF(T58="Impacto",(P58-(+P58*W58)),IF(T58="Probabilidad",P58,"")),"")</f>
        <v/>
      </c>
      <c r="AF58" s="118"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9"/>
      <c r="AH58" s="109"/>
      <c r="AI58" s="110"/>
      <c r="AJ58" s="111"/>
      <c r="AK58" s="111"/>
      <c r="AL58" s="110"/>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25">
      <c r="A59" s="390"/>
      <c r="B59" s="459"/>
      <c r="C59" s="459"/>
      <c r="D59" s="459"/>
      <c r="E59" s="121"/>
      <c r="F59" s="462"/>
      <c r="G59" s="124"/>
      <c r="H59" s="124"/>
      <c r="I59" s="459"/>
      <c r="J59" s="453"/>
      <c r="K59" s="424"/>
      <c r="L59" s="421"/>
      <c r="M59" s="456"/>
      <c r="N59" s="421">
        <f>IF(NOT(ISERROR(MATCH(M59,_xlfn.ANCHORARRAY(F70),0))),L72&amp;"Por favor no seleccionar los criterios de impacto",M59)</f>
        <v>0</v>
      </c>
      <c r="O59" s="424"/>
      <c r="P59" s="421"/>
      <c r="Q59" s="428"/>
      <c r="R59" s="105">
        <v>2</v>
      </c>
      <c r="S59" s="106"/>
      <c r="T59" s="107" t="str">
        <f>IF(OR(U59="Preventivo",U59="Detectivo"),"Probabilidad",IF(U59="Correctivo","Impacto",""))</f>
        <v/>
      </c>
      <c r="U59" s="114"/>
      <c r="V59" s="114"/>
      <c r="W59" s="115" t="str">
        <f t="shared" ref="W59:W63" si="97">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6" t="str">
        <f t="shared" ref="AB59:AB63" si="98">IFERROR(IF(AA59="","",IF(AA59&lt;=0.2,"Muy Baja",IF(AA59&lt;=0.4,"Baja",IF(AA59&lt;=0.6,"Media",IF(AA59&lt;=0.8,"Alta","Muy Alta"))))),"")</f>
        <v/>
      </c>
      <c r="AC59" s="117" t="str">
        <f>+AA59</f>
        <v/>
      </c>
      <c r="AD59" s="116" t="str">
        <f t="shared" ref="AD59:AD63" si="99">IFERROR(IF(AE59="","",IF(AE59&lt;=0.2,"Leve",IF(AE59&lt;=0.4,"Menor",IF(AE59&lt;=0.6,"Moderado",IF(AE59&lt;=0.8,"Mayor","Catastrófico"))))),"")</f>
        <v/>
      </c>
      <c r="AE59" s="117" t="str">
        <f>IFERROR(IF(AND(T58="Impacto",T59="Impacto"),(AE58-(+AE58*W59)),IF(AND(T58="Probabilidad",T59="Impacto"),(P58-(+P58*W59)),IF(T59="Probabilidad",AE58,""))),"")</f>
        <v/>
      </c>
      <c r="AF59" s="118" t="str">
        <f t="shared" ref="AF59:AF63" si="100">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9"/>
      <c r="AH59" s="109"/>
      <c r="AI59" s="110"/>
      <c r="AJ59" s="111"/>
      <c r="AK59" s="111"/>
      <c r="AL59" s="110"/>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25">
      <c r="A60" s="390"/>
      <c r="B60" s="459"/>
      <c r="C60" s="459"/>
      <c r="D60" s="459"/>
      <c r="E60" s="121"/>
      <c r="F60" s="462"/>
      <c r="G60" s="124"/>
      <c r="H60" s="124"/>
      <c r="I60" s="459"/>
      <c r="J60" s="453"/>
      <c r="K60" s="424"/>
      <c r="L60" s="421"/>
      <c r="M60" s="456"/>
      <c r="N60" s="421">
        <f>IF(NOT(ISERROR(MATCH(M60,_xlfn.ANCHORARRAY(F71),0))),L73&amp;"Por favor no seleccionar los criterios de impacto",M60)</f>
        <v>0</v>
      </c>
      <c r="O60" s="424"/>
      <c r="P60" s="421"/>
      <c r="Q60" s="428"/>
      <c r="R60" s="105">
        <v>3</v>
      </c>
      <c r="S60" s="112"/>
      <c r="T60" s="107" t="str">
        <f t="shared" ref="T60:T63" si="101">IF(OR(U60="Preventivo",U60="Detectivo"),"Probabilidad",IF(U60="Correctivo","Impacto",""))</f>
        <v/>
      </c>
      <c r="U60" s="114"/>
      <c r="V60" s="114"/>
      <c r="W60" s="115" t="str">
        <f t="shared" si="97"/>
        <v/>
      </c>
      <c r="X60" s="114"/>
      <c r="Y60" s="114"/>
      <c r="Z60" s="114"/>
      <c r="AA60" s="108" t="str">
        <f>IFERROR(IF(AND(T59="Probabilidad",T60="Probabilidad"),(AC59-(+AC59*W60)),IF(AND(T59="Impacto",T60="Probabilidad"),(AC58-(+AC58*W60)),IF(T60="Impacto",AC59,""))),"")</f>
        <v/>
      </c>
      <c r="AB60" s="116" t="str">
        <f t="shared" si="98"/>
        <v/>
      </c>
      <c r="AC60" s="117" t="str">
        <f t="shared" ref="AC60:AC63" si="102">+AA60</f>
        <v/>
      </c>
      <c r="AD60" s="116" t="str">
        <f t="shared" si="99"/>
        <v/>
      </c>
      <c r="AE60" s="117" t="str">
        <f t="shared" ref="AE60:AE63" si="103">IFERROR(IF(AND(T59="Impacto",T60="Impacto"),(AE59-(+AE59*W60)),IF(AND(T59="Probabilidad",T60="Impacto"),(AE58-(+AE58*W60)),IF(T60="Probabilidad",AE59,""))),"")</f>
        <v/>
      </c>
      <c r="AF60" s="118" t="str">
        <f t="shared" si="100"/>
        <v/>
      </c>
      <c r="AG60" s="119"/>
      <c r="AH60" s="109"/>
      <c r="AI60" s="110"/>
      <c r="AJ60" s="111"/>
      <c r="AK60" s="111"/>
      <c r="AL60" s="110"/>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25">
      <c r="A61" s="390"/>
      <c r="B61" s="459"/>
      <c r="C61" s="459"/>
      <c r="D61" s="459"/>
      <c r="E61" s="121"/>
      <c r="F61" s="462"/>
      <c r="G61" s="124"/>
      <c r="H61" s="124"/>
      <c r="I61" s="459"/>
      <c r="J61" s="453"/>
      <c r="K61" s="424"/>
      <c r="L61" s="421"/>
      <c r="M61" s="456"/>
      <c r="N61" s="421">
        <f>IF(NOT(ISERROR(MATCH(M61,_xlfn.ANCHORARRAY(F72),0))),L74&amp;"Por favor no seleccionar los criterios de impacto",M61)</f>
        <v>0</v>
      </c>
      <c r="O61" s="424"/>
      <c r="P61" s="421"/>
      <c r="Q61" s="428"/>
      <c r="R61" s="105">
        <v>4</v>
      </c>
      <c r="S61" s="106"/>
      <c r="T61" s="107" t="str">
        <f t="shared" si="101"/>
        <v/>
      </c>
      <c r="U61" s="114"/>
      <c r="V61" s="114"/>
      <c r="W61" s="115" t="str">
        <f t="shared" si="97"/>
        <v/>
      </c>
      <c r="X61" s="114"/>
      <c r="Y61" s="114"/>
      <c r="Z61" s="114"/>
      <c r="AA61" s="108" t="str">
        <f t="shared" ref="AA61:AA63" si="104">IFERROR(IF(AND(T60="Probabilidad",T61="Probabilidad"),(AC60-(+AC60*W61)),IF(AND(T60="Impacto",T61="Probabilidad"),(AC59-(+AC59*W61)),IF(T61="Impacto",AC60,""))),"")</f>
        <v/>
      </c>
      <c r="AB61" s="116" t="str">
        <f t="shared" si="98"/>
        <v/>
      </c>
      <c r="AC61" s="117" t="str">
        <f t="shared" si="102"/>
        <v/>
      </c>
      <c r="AD61" s="116" t="str">
        <f t="shared" si="99"/>
        <v/>
      </c>
      <c r="AE61" s="117" t="str">
        <f t="shared" si="103"/>
        <v/>
      </c>
      <c r="AF61" s="118" t="str">
        <f t="shared" si="100"/>
        <v/>
      </c>
      <c r="AG61" s="119"/>
      <c r="AH61" s="109"/>
      <c r="AI61" s="110"/>
      <c r="AJ61" s="111"/>
      <c r="AK61" s="111"/>
      <c r="AL61" s="110"/>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25">
      <c r="A62" s="390"/>
      <c r="B62" s="459"/>
      <c r="C62" s="459"/>
      <c r="D62" s="459"/>
      <c r="E62" s="121"/>
      <c r="F62" s="462"/>
      <c r="G62" s="124"/>
      <c r="H62" s="124"/>
      <c r="I62" s="459"/>
      <c r="J62" s="453"/>
      <c r="K62" s="424"/>
      <c r="L62" s="421"/>
      <c r="M62" s="456"/>
      <c r="N62" s="421">
        <f>IF(NOT(ISERROR(MATCH(M62,_xlfn.ANCHORARRAY(F73),0))),L75&amp;"Por favor no seleccionar los criterios de impacto",M62)</f>
        <v>0</v>
      </c>
      <c r="O62" s="424"/>
      <c r="P62" s="421"/>
      <c r="Q62" s="428"/>
      <c r="R62" s="105">
        <v>5</v>
      </c>
      <c r="S62" s="106"/>
      <c r="T62" s="107" t="str">
        <f t="shared" si="101"/>
        <v/>
      </c>
      <c r="U62" s="114"/>
      <c r="V62" s="114"/>
      <c r="W62" s="115" t="str">
        <f t="shared" si="97"/>
        <v/>
      </c>
      <c r="X62" s="114"/>
      <c r="Y62" s="114"/>
      <c r="Z62" s="114"/>
      <c r="AA62" s="108" t="str">
        <f t="shared" si="104"/>
        <v/>
      </c>
      <c r="AB62" s="116" t="str">
        <f t="shared" si="98"/>
        <v/>
      </c>
      <c r="AC62" s="117" t="str">
        <f t="shared" si="102"/>
        <v/>
      </c>
      <c r="AD62" s="116" t="str">
        <f t="shared" si="99"/>
        <v/>
      </c>
      <c r="AE62" s="117" t="str">
        <f t="shared" si="103"/>
        <v/>
      </c>
      <c r="AF62" s="118" t="str">
        <f t="shared" si="100"/>
        <v/>
      </c>
      <c r="AG62" s="119"/>
      <c r="AH62" s="109"/>
      <c r="AI62" s="110"/>
      <c r="AJ62" s="111"/>
      <c r="AK62" s="111"/>
      <c r="AL62" s="110"/>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25">
      <c r="A63" s="391"/>
      <c r="B63" s="460"/>
      <c r="C63" s="460"/>
      <c r="D63" s="460"/>
      <c r="E63" s="122"/>
      <c r="F63" s="463"/>
      <c r="G63" s="125"/>
      <c r="H63" s="125"/>
      <c r="I63" s="460"/>
      <c r="J63" s="454"/>
      <c r="K63" s="425"/>
      <c r="L63" s="422"/>
      <c r="M63" s="457"/>
      <c r="N63" s="422">
        <f>IF(NOT(ISERROR(MATCH(M63,_xlfn.ANCHORARRAY(F74),0))),L76&amp;"Por favor no seleccionar los criterios de impacto",M63)</f>
        <v>0</v>
      </c>
      <c r="O63" s="425"/>
      <c r="P63" s="422"/>
      <c r="Q63" s="429"/>
      <c r="R63" s="105">
        <v>6</v>
      </c>
      <c r="S63" s="106"/>
      <c r="T63" s="107" t="str">
        <f t="shared" si="101"/>
        <v/>
      </c>
      <c r="U63" s="114"/>
      <c r="V63" s="114"/>
      <c r="W63" s="115" t="str">
        <f t="shared" si="97"/>
        <v/>
      </c>
      <c r="X63" s="114"/>
      <c r="Y63" s="114"/>
      <c r="Z63" s="114"/>
      <c r="AA63" s="108" t="str">
        <f t="shared" si="104"/>
        <v/>
      </c>
      <c r="AB63" s="116" t="str">
        <f t="shared" si="98"/>
        <v/>
      </c>
      <c r="AC63" s="117" t="str">
        <f t="shared" si="102"/>
        <v/>
      </c>
      <c r="AD63" s="116" t="str">
        <f t="shared" si="99"/>
        <v/>
      </c>
      <c r="AE63" s="117" t="str">
        <f t="shared" si="103"/>
        <v/>
      </c>
      <c r="AF63" s="118" t="str">
        <f t="shared" si="100"/>
        <v/>
      </c>
      <c r="AG63" s="119"/>
      <c r="AH63" s="109"/>
      <c r="AI63" s="110"/>
      <c r="AJ63" s="111"/>
      <c r="AK63" s="111"/>
      <c r="AL63" s="110"/>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25">
      <c r="A64" s="389">
        <v>10</v>
      </c>
      <c r="B64" s="458"/>
      <c r="C64" s="458"/>
      <c r="D64" s="458"/>
      <c r="E64" s="120"/>
      <c r="F64" s="461"/>
      <c r="G64" s="123"/>
      <c r="H64" s="123"/>
      <c r="I64" s="458"/>
      <c r="J64" s="452"/>
      <c r="K64" s="423" t="str">
        <f t="shared" ref="K64" si="105">IF(J64&lt;=0,"",IF(J64&lt;=2,"Muy Baja",IF(J64&lt;=24,"Baja",IF(J64&lt;=500,"Media",IF(J64&lt;=5000,"Alta","Muy Alta")))))</f>
        <v/>
      </c>
      <c r="L64" s="420" t="str">
        <f t="shared" ref="L64" si="106">IF(K64="","",IF(K64="Muy Baja",0.2,IF(K64="Baja",0.4,IF(K64="Media",0.6,IF(K64="Alta",0.8,IF(K64="Muy Alta",1,))))))</f>
        <v/>
      </c>
      <c r="M64" s="455"/>
      <c r="N64" s="420">
        <f>IF(NOT(ISERROR(MATCH(M64,'Tabla Impacto'!$B$221:$B$223,0))),'Tabla Impacto'!$F$223&amp;"Por favor no seleccionar los criterios de impacto(Afectación Económica o presupuestal y Pérdida Reputacional)",M64)</f>
        <v>0</v>
      </c>
      <c r="O64" s="423" t="str">
        <f>IF(OR(N64='Tabla Impacto'!$C$11,N64='Tabla Impacto'!$D$11),"Leve",IF(OR(N64='Tabla Impacto'!$C$12,N64='Tabla Impacto'!$D$12),"Menor",IF(OR(N64='Tabla Impacto'!$C$13,N64='Tabla Impacto'!$D$13),"Moderado",IF(OR(N64='Tabla Impacto'!$C$14,N64='Tabla Impacto'!$D$14),"Mayor",IF(OR(N64='Tabla Impacto'!$C$15,N64='Tabla Impacto'!$D$15),"Catastrófico","")))))</f>
        <v/>
      </c>
      <c r="P64" s="420" t="str">
        <f t="shared" ref="P64" si="107">IF(O64="","",IF(O64="Leve",0.2,IF(O64="Menor",0.4,IF(O64="Moderado",0.6,IF(O64="Mayor",0.8,IF(O64="Catastrófico",1,))))))</f>
        <v/>
      </c>
      <c r="Q64" s="427" t="str">
        <f t="shared" ref="Q64" si="108">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6" t="str">
        <f>IFERROR(IF(AA64="","",IF(AA64&lt;=0.2,"Muy Baja",IF(AA64&lt;=0.4,"Baja",IF(AA64&lt;=0.6,"Media",IF(AA64&lt;=0.8,"Alta","Muy Alta"))))),"")</f>
        <v/>
      </c>
      <c r="AC64" s="117" t="str">
        <f>+AA64</f>
        <v/>
      </c>
      <c r="AD64" s="116" t="str">
        <f>IFERROR(IF(AE64="","",IF(AE64&lt;=0.2,"Leve",IF(AE64&lt;=0.4,"Menor",IF(AE64&lt;=0.6,"Moderado",IF(AE64&lt;=0.8,"Mayor","Catastrófico"))))),"")</f>
        <v/>
      </c>
      <c r="AE64" s="117" t="str">
        <f>IFERROR(IF(T64="Impacto",(P64-(+P64*W64)),IF(T64="Probabilidad",P64,"")),"")</f>
        <v/>
      </c>
      <c r="AF64" s="118"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9"/>
      <c r="AH64" s="109"/>
      <c r="AI64" s="110"/>
      <c r="AJ64" s="111"/>
      <c r="AK64" s="111"/>
      <c r="AL64" s="110"/>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25">
      <c r="A65" s="390"/>
      <c r="B65" s="459"/>
      <c r="C65" s="459"/>
      <c r="D65" s="459"/>
      <c r="E65" s="121"/>
      <c r="F65" s="462"/>
      <c r="G65" s="124"/>
      <c r="H65" s="124"/>
      <c r="I65" s="459"/>
      <c r="J65" s="453"/>
      <c r="K65" s="424"/>
      <c r="L65" s="421"/>
      <c r="M65" s="456"/>
      <c r="N65" s="421">
        <f>IF(NOT(ISERROR(MATCH(M65,_xlfn.ANCHORARRAY(F76),0))),L78&amp;"Por favor no seleccionar los criterios de impacto",M65)</f>
        <v>0</v>
      </c>
      <c r="O65" s="424"/>
      <c r="P65" s="421"/>
      <c r="Q65" s="428"/>
      <c r="R65" s="105">
        <v>2</v>
      </c>
      <c r="S65" s="106"/>
      <c r="T65" s="107" t="str">
        <f>IF(OR(U65="Preventivo",U65="Detectivo"),"Probabilidad",IF(U65="Correctivo","Impacto",""))</f>
        <v/>
      </c>
      <c r="U65" s="114"/>
      <c r="V65" s="114"/>
      <c r="W65" s="115" t="str">
        <f t="shared" ref="W65:W69" si="109">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6" t="str">
        <f t="shared" ref="AB65:AB69" si="110">IFERROR(IF(AA65="","",IF(AA65&lt;=0.2,"Muy Baja",IF(AA65&lt;=0.4,"Baja",IF(AA65&lt;=0.6,"Media",IF(AA65&lt;=0.8,"Alta","Muy Alta"))))),"")</f>
        <v/>
      </c>
      <c r="AC65" s="117" t="str">
        <f>+AA65</f>
        <v/>
      </c>
      <c r="AD65" s="116" t="str">
        <f t="shared" ref="AD65:AD69" si="111">IFERROR(IF(AE65="","",IF(AE65&lt;=0.2,"Leve",IF(AE65&lt;=0.4,"Menor",IF(AE65&lt;=0.6,"Moderado",IF(AE65&lt;=0.8,"Mayor","Catastrófico"))))),"")</f>
        <v/>
      </c>
      <c r="AE65" s="117" t="str">
        <f>IFERROR(IF(AND(T64="Impacto",T65="Impacto"),(AE64-(+AE64*W65)),IF(AND(T64="Probabilidad",T65="Impacto"),(P64-(+P64*W65)),IF(T65="Probabilidad",AE64,""))),"")</f>
        <v/>
      </c>
      <c r="AF65" s="118" t="str">
        <f t="shared" ref="AF65:AF69" si="112">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9"/>
      <c r="AH65" s="109"/>
      <c r="AI65" s="110"/>
      <c r="AJ65" s="111"/>
      <c r="AK65" s="111"/>
      <c r="AL65" s="110"/>
    </row>
    <row r="66" spans="1:38" ht="19.5" customHeight="1" x14ac:dyDescent="0.25">
      <c r="A66" s="390"/>
      <c r="B66" s="459"/>
      <c r="C66" s="459"/>
      <c r="D66" s="459"/>
      <c r="E66" s="121"/>
      <c r="F66" s="462"/>
      <c r="G66" s="124"/>
      <c r="H66" s="124"/>
      <c r="I66" s="459"/>
      <c r="J66" s="453"/>
      <c r="K66" s="424"/>
      <c r="L66" s="421"/>
      <c r="M66" s="456"/>
      <c r="N66" s="421">
        <f>IF(NOT(ISERROR(MATCH(M66,_xlfn.ANCHORARRAY(F77),0))),L79&amp;"Por favor no seleccionar los criterios de impacto",M66)</f>
        <v>0</v>
      </c>
      <c r="O66" s="424"/>
      <c r="P66" s="421"/>
      <c r="Q66" s="428"/>
      <c r="R66" s="105">
        <v>3</v>
      </c>
      <c r="S66" s="112"/>
      <c r="T66" s="107" t="str">
        <f t="shared" ref="T66:T69" si="113">IF(OR(U66="Preventivo",U66="Detectivo"),"Probabilidad",IF(U66="Correctivo","Impacto",""))</f>
        <v/>
      </c>
      <c r="U66" s="114"/>
      <c r="V66" s="114"/>
      <c r="W66" s="115" t="str">
        <f t="shared" si="109"/>
        <v/>
      </c>
      <c r="X66" s="114"/>
      <c r="Y66" s="114"/>
      <c r="Z66" s="114"/>
      <c r="AA66" s="108" t="str">
        <f>IFERROR(IF(AND(T65="Probabilidad",T66="Probabilidad"),(AC65-(+AC65*W66)),IF(AND(T65="Impacto",T66="Probabilidad"),(AC64-(+AC64*W66)),IF(T66="Impacto",AC65,""))),"")</f>
        <v/>
      </c>
      <c r="AB66" s="116" t="str">
        <f t="shared" si="110"/>
        <v/>
      </c>
      <c r="AC66" s="117" t="str">
        <f t="shared" ref="AC66:AC69" si="114">+AA66</f>
        <v/>
      </c>
      <c r="AD66" s="116" t="str">
        <f t="shared" si="111"/>
        <v/>
      </c>
      <c r="AE66" s="117" t="str">
        <f t="shared" ref="AE66:AE69" si="115">IFERROR(IF(AND(T65="Impacto",T66="Impacto"),(AE65-(+AE65*W66)),IF(AND(T65="Probabilidad",T66="Impacto"),(AE64-(+AE64*W66)),IF(T66="Probabilidad",AE65,""))),"")</f>
        <v/>
      </c>
      <c r="AF66" s="118" t="str">
        <f t="shared" si="112"/>
        <v/>
      </c>
      <c r="AG66" s="119"/>
      <c r="AH66" s="109"/>
      <c r="AI66" s="110"/>
      <c r="AJ66" s="111"/>
      <c r="AK66" s="111"/>
      <c r="AL66" s="110"/>
    </row>
    <row r="67" spans="1:38" ht="19.5" customHeight="1" x14ac:dyDescent="0.25">
      <c r="A67" s="390"/>
      <c r="B67" s="459"/>
      <c r="C67" s="459"/>
      <c r="D67" s="459"/>
      <c r="E67" s="121"/>
      <c r="F67" s="462"/>
      <c r="G67" s="124"/>
      <c r="H67" s="124"/>
      <c r="I67" s="459"/>
      <c r="J67" s="453"/>
      <c r="K67" s="424"/>
      <c r="L67" s="421"/>
      <c r="M67" s="456"/>
      <c r="N67" s="421">
        <f>IF(NOT(ISERROR(MATCH(M67,_xlfn.ANCHORARRAY(F78),0))),L80&amp;"Por favor no seleccionar los criterios de impacto",M67)</f>
        <v>0</v>
      </c>
      <c r="O67" s="424"/>
      <c r="P67" s="421"/>
      <c r="Q67" s="428"/>
      <c r="R67" s="105">
        <v>4</v>
      </c>
      <c r="S67" s="106"/>
      <c r="T67" s="107" t="str">
        <f t="shared" si="113"/>
        <v/>
      </c>
      <c r="U67" s="114"/>
      <c r="V67" s="114"/>
      <c r="W67" s="115" t="str">
        <f t="shared" si="109"/>
        <v/>
      </c>
      <c r="X67" s="114"/>
      <c r="Y67" s="114"/>
      <c r="Z67" s="114"/>
      <c r="AA67" s="108" t="str">
        <f t="shared" ref="AA67:AA69" si="116">IFERROR(IF(AND(T66="Probabilidad",T67="Probabilidad"),(AC66-(+AC66*W67)),IF(AND(T66="Impacto",T67="Probabilidad"),(AC65-(+AC65*W67)),IF(T67="Impacto",AC66,""))),"")</f>
        <v/>
      </c>
      <c r="AB67" s="116" t="str">
        <f t="shared" si="110"/>
        <v/>
      </c>
      <c r="AC67" s="117" t="str">
        <f t="shared" si="114"/>
        <v/>
      </c>
      <c r="AD67" s="116" t="str">
        <f t="shared" si="111"/>
        <v/>
      </c>
      <c r="AE67" s="117" t="str">
        <f t="shared" si="115"/>
        <v/>
      </c>
      <c r="AF67" s="118" t="str">
        <f t="shared" si="112"/>
        <v/>
      </c>
      <c r="AG67" s="119"/>
      <c r="AH67" s="109"/>
      <c r="AI67" s="110"/>
      <c r="AJ67" s="111"/>
      <c r="AK67" s="111"/>
      <c r="AL67" s="110"/>
    </row>
    <row r="68" spans="1:38" ht="19.5" customHeight="1" x14ac:dyDescent="0.25">
      <c r="A68" s="390"/>
      <c r="B68" s="459"/>
      <c r="C68" s="459"/>
      <c r="D68" s="459"/>
      <c r="E68" s="121"/>
      <c r="F68" s="462"/>
      <c r="G68" s="124"/>
      <c r="H68" s="124"/>
      <c r="I68" s="459"/>
      <c r="J68" s="453"/>
      <c r="K68" s="424"/>
      <c r="L68" s="421"/>
      <c r="M68" s="456"/>
      <c r="N68" s="421">
        <f>IF(NOT(ISERROR(MATCH(M68,_xlfn.ANCHORARRAY(F79),0))),L81&amp;"Por favor no seleccionar los criterios de impacto",M68)</f>
        <v>0</v>
      </c>
      <c r="O68" s="424"/>
      <c r="P68" s="421"/>
      <c r="Q68" s="428"/>
      <c r="R68" s="105">
        <v>5</v>
      </c>
      <c r="S68" s="106"/>
      <c r="T68" s="107" t="str">
        <f t="shared" si="113"/>
        <v/>
      </c>
      <c r="U68" s="114"/>
      <c r="V68" s="114"/>
      <c r="W68" s="115" t="str">
        <f t="shared" si="109"/>
        <v/>
      </c>
      <c r="X68" s="114"/>
      <c r="Y68" s="114"/>
      <c r="Z68" s="114"/>
      <c r="AA68" s="108" t="str">
        <f t="shared" si="116"/>
        <v/>
      </c>
      <c r="AB68" s="116" t="str">
        <f t="shared" si="110"/>
        <v/>
      </c>
      <c r="AC68" s="117" t="str">
        <f t="shared" si="114"/>
        <v/>
      </c>
      <c r="AD68" s="116" t="str">
        <f t="shared" si="111"/>
        <v/>
      </c>
      <c r="AE68" s="117" t="str">
        <f t="shared" si="115"/>
        <v/>
      </c>
      <c r="AF68" s="118" t="str">
        <f t="shared" si="112"/>
        <v/>
      </c>
      <c r="AG68" s="119"/>
      <c r="AH68" s="109"/>
      <c r="AI68" s="110"/>
      <c r="AJ68" s="111"/>
      <c r="AK68" s="111"/>
      <c r="AL68" s="110"/>
    </row>
    <row r="69" spans="1:38" ht="19.5" customHeight="1" x14ac:dyDescent="0.25">
      <c r="A69" s="391"/>
      <c r="B69" s="460"/>
      <c r="C69" s="460"/>
      <c r="D69" s="460"/>
      <c r="E69" s="122"/>
      <c r="F69" s="463"/>
      <c r="G69" s="125"/>
      <c r="H69" s="125"/>
      <c r="I69" s="460"/>
      <c r="J69" s="454"/>
      <c r="K69" s="425"/>
      <c r="L69" s="422"/>
      <c r="M69" s="457"/>
      <c r="N69" s="422">
        <f>IF(NOT(ISERROR(MATCH(M69,_xlfn.ANCHORARRAY(F80),0))),L82&amp;"Por favor no seleccionar los criterios de impacto",M69)</f>
        <v>0</v>
      </c>
      <c r="O69" s="425"/>
      <c r="P69" s="422"/>
      <c r="Q69" s="429"/>
      <c r="R69" s="105">
        <v>6</v>
      </c>
      <c r="S69" s="106"/>
      <c r="T69" s="107" t="str">
        <f t="shared" si="113"/>
        <v/>
      </c>
      <c r="U69" s="114"/>
      <c r="V69" s="114"/>
      <c r="W69" s="115" t="str">
        <f t="shared" si="109"/>
        <v/>
      </c>
      <c r="X69" s="114"/>
      <c r="Y69" s="114"/>
      <c r="Z69" s="114"/>
      <c r="AA69" s="108" t="str">
        <f t="shared" si="116"/>
        <v/>
      </c>
      <c r="AB69" s="116" t="str">
        <f t="shared" si="110"/>
        <v/>
      </c>
      <c r="AC69" s="117" t="str">
        <f t="shared" si="114"/>
        <v/>
      </c>
      <c r="AD69" s="116" t="str">
        <f t="shared" si="111"/>
        <v/>
      </c>
      <c r="AE69" s="117" t="str">
        <f t="shared" si="115"/>
        <v/>
      </c>
      <c r="AF69" s="118" t="str">
        <f t="shared" si="112"/>
        <v/>
      </c>
      <c r="AG69" s="119"/>
      <c r="AH69" s="109"/>
      <c r="AI69" s="110"/>
      <c r="AJ69" s="111"/>
      <c r="AK69" s="111"/>
      <c r="AL69" s="110"/>
    </row>
    <row r="70" spans="1:38" ht="49.5" customHeight="1" x14ac:dyDescent="0.25">
      <c r="A70" s="6"/>
      <c r="B70" s="464" t="s">
        <v>125</v>
      </c>
      <c r="C70" s="465"/>
      <c r="D70" s="465"/>
      <c r="E70" s="465"/>
      <c r="F70" s="465"/>
      <c r="G70" s="465"/>
      <c r="H70" s="465"/>
      <c r="I70" s="465"/>
      <c r="J70" s="465"/>
      <c r="K70" s="465"/>
      <c r="L70" s="465"/>
      <c r="M70" s="465"/>
      <c r="N70" s="465"/>
      <c r="O70" s="465"/>
      <c r="P70" s="465"/>
      <c r="Q70" s="465"/>
      <c r="R70" s="465"/>
      <c r="S70" s="465"/>
      <c r="T70" s="465"/>
      <c r="U70" s="465"/>
      <c r="V70" s="465"/>
      <c r="W70" s="465"/>
      <c r="X70" s="465"/>
      <c r="Y70" s="465"/>
      <c r="Z70" s="465"/>
      <c r="AA70" s="465"/>
      <c r="AB70" s="465"/>
      <c r="AC70" s="465"/>
      <c r="AD70" s="465"/>
      <c r="AE70" s="465"/>
      <c r="AF70" s="465"/>
      <c r="AG70" s="465"/>
      <c r="AH70" s="465"/>
      <c r="AI70" s="465"/>
      <c r="AJ70" s="465"/>
      <c r="AK70" s="465"/>
      <c r="AL70" s="466"/>
    </row>
    <row r="72" spans="1:38" x14ac:dyDescent="0.25">
      <c r="A72" s="1"/>
      <c r="B72" s="24" t="s">
        <v>137</v>
      </c>
      <c r="C72" s="1"/>
      <c r="D72" s="1"/>
      <c r="E72" s="1"/>
      <c r="I72" s="1"/>
    </row>
  </sheetData>
  <dataConsolidate/>
  <mergeCells count="191">
    <mergeCell ref="A1:AL2"/>
    <mergeCell ref="A7:J7"/>
    <mergeCell ref="K7:Q7"/>
    <mergeCell ref="R7:Z7"/>
    <mergeCell ref="AA7:AG7"/>
    <mergeCell ref="AH7:AL7"/>
    <mergeCell ref="AC8:AC9"/>
    <mergeCell ref="J8:J9"/>
    <mergeCell ref="K8:K9"/>
    <mergeCell ref="L8:L9"/>
    <mergeCell ref="O8:O9"/>
    <mergeCell ref="P8:P9"/>
    <mergeCell ref="B8:B9"/>
    <mergeCell ref="Q8:Q9"/>
    <mergeCell ref="M8:M9"/>
    <mergeCell ref="N8:N9"/>
    <mergeCell ref="T8:T9"/>
    <mergeCell ref="U8:Z8"/>
    <mergeCell ref="A4:B4"/>
    <mergeCell ref="A5:B5"/>
    <mergeCell ref="A6:B6"/>
    <mergeCell ref="A8:A9"/>
    <mergeCell ref="I8:I9"/>
    <mergeCell ref="F8:F9"/>
    <mergeCell ref="B70:AL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M46:M51"/>
    <mergeCell ref="N46:N51"/>
    <mergeCell ref="O46:O51"/>
    <mergeCell ref="L40:L45"/>
    <mergeCell ref="N34:N39"/>
    <mergeCell ref="O34:O39"/>
    <mergeCell ref="A34:A39"/>
    <mergeCell ref="B34:B39"/>
    <mergeCell ref="C34:C39"/>
    <mergeCell ref="A40:A45"/>
    <mergeCell ref="B40:B45"/>
    <mergeCell ref="C40:C45"/>
    <mergeCell ref="D40:D45"/>
    <mergeCell ref="F40:F45"/>
    <mergeCell ref="I40:I45"/>
    <mergeCell ref="D34:D39"/>
    <mergeCell ref="F34:F39"/>
    <mergeCell ref="P34:P39"/>
    <mergeCell ref="Q34:Q39"/>
    <mergeCell ref="P40:P45"/>
    <mergeCell ref="Q40:Q45"/>
    <mergeCell ref="A52:A57"/>
    <mergeCell ref="B52:B57"/>
    <mergeCell ref="C52:C57"/>
    <mergeCell ref="D52:D57"/>
    <mergeCell ref="F52:F57"/>
    <mergeCell ref="A46:A51"/>
    <mergeCell ref="B46:B51"/>
    <mergeCell ref="C46:C51"/>
    <mergeCell ref="D46:D51"/>
    <mergeCell ref="F46:F51"/>
    <mergeCell ref="M40:M45"/>
    <mergeCell ref="N40:N45"/>
    <mergeCell ref="O40:O45"/>
    <mergeCell ref="I34:I39"/>
    <mergeCell ref="J34:J39"/>
    <mergeCell ref="K34:K39"/>
    <mergeCell ref="L34:L39"/>
    <mergeCell ref="M34:M39"/>
    <mergeCell ref="J40:J45"/>
    <mergeCell ref="K40:K45"/>
    <mergeCell ref="J22:J27"/>
    <mergeCell ref="K22:K27"/>
    <mergeCell ref="L22:L27"/>
    <mergeCell ref="P22:P27"/>
    <mergeCell ref="Q22:Q27"/>
    <mergeCell ref="A28:A33"/>
    <mergeCell ref="B28:B33"/>
    <mergeCell ref="C28:C33"/>
    <mergeCell ref="D28:D33"/>
    <mergeCell ref="F28:F33"/>
    <mergeCell ref="I28:I33"/>
    <mergeCell ref="J28:J33"/>
    <mergeCell ref="K28:K33"/>
    <mergeCell ref="L28:L33"/>
    <mergeCell ref="M22:M27"/>
    <mergeCell ref="N22:N27"/>
    <mergeCell ref="O22:O27"/>
    <mergeCell ref="M28:M33"/>
    <mergeCell ref="N28:N33"/>
    <mergeCell ref="O28:O33"/>
    <mergeCell ref="P28:P33"/>
    <mergeCell ref="Q28:Q33"/>
    <mergeCell ref="A16:A21"/>
    <mergeCell ref="B16:B21"/>
    <mergeCell ref="C16:C21"/>
    <mergeCell ref="A22:A27"/>
    <mergeCell ref="B22:B27"/>
    <mergeCell ref="C22:C27"/>
    <mergeCell ref="D22:D27"/>
    <mergeCell ref="F22:F27"/>
    <mergeCell ref="I22:I27"/>
    <mergeCell ref="R8:R9"/>
    <mergeCell ref="AF8:AF9"/>
    <mergeCell ref="AE8:AE9"/>
    <mergeCell ref="AA8:AA9"/>
    <mergeCell ref="S8:S9"/>
    <mergeCell ref="AD8:AD9"/>
    <mergeCell ref="AB8:AB9"/>
    <mergeCell ref="E8:E9"/>
    <mergeCell ref="I16:I21"/>
    <mergeCell ref="J16:J21"/>
    <mergeCell ref="K16:K21"/>
    <mergeCell ref="L16:L21"/>
    <mergeCell ref="M16:M21"/>
    <mergeCell ref="C4:AL4"/>
    <mergeCell ref="C5:AL5"/>
    <mergeCell ref="C6:AL6"/>
    <mergeCell ref="D16:D21"/>
    <mergeCell ref="F16:F21"/>
    <mergeCell ref="N16:N21"/>
    <mergeCell ref="O16:O21"/>
    <mergeCell ref="P16:P21"/>
    <mergeCell ref="AH8:AH9"/>
    <mergeCell ref="AL8:AL9"/>
    <mergeCell ref="AK8:AK9"/>
    <mergeCell ref="AJ8:AJ9"/>
    <mergeCell ref="AI8:AI9"/>
    <mergeCell ref="Q16:Q21"/>
    <mergeCell ref="I10:I15"/>
    <mergeCell ref="AG10:AG12"/>
    <mergeCell ref="AH10:AH11"/>
    <mergeCell ref="AI10:AI11"/>
    <mergeCell ref="AJ10:AJ11"/>
    <mergeCell ref="AK10:AK11"/>
    <mergeCell ref="H16:H21"/>
    <mergeCell ref="D8:D9"/>
    <mergeCell ref="C8:C9"/>
    <mergeCell ref="AG8:AG9"/>
    <mergeCell ref="A10:A15"/>
    <mergeCell ref="B10:B15"/>
    <mergeCell ref="C10:C15"/>
    <mergeCell ref="D10:D15"/>
    <mergeCell ref="F10:F15"/>
    <mergeCell ref="Q10:Q15"/>
    <mergeCell ref="L10:L15"/>
    <mergeCell ref="M10:M15"/>
    <mergeCell ref="N10:N15"/>
    <mergeCell ref="O10:O15"/>
    <mergeCell ref="P10:P15"/>
    <mergeCell ref="H10:H15"/>
    <mergeCell ref="J10:J15"/>
    <mergeCell ref="K10:K15"/>
  </mergeCells>
  <conditionalFormatting sqref="K10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Q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U10:U69</xm:sqref>
        </x14:dataValidation>
        <x14:dataValidation type="list" allowBlank="1" showInputMessage="1" showErrorMessage="1" xr:uid="{00000000-0002-0000-0100-000001000000}">
          <x14:formula1>
            <xm:f>'Tabla Valoración controles'!$D$7:$D$8</xm:f>
          </x14:formula1>
          <xm:sqref>V10:V69</xm:sqref>
        </x14:dataValidation>
        <x14:dataValidation type="list" allowBlank="1" showInputMessage="1" showErrorMessage="1" xr:uid="{00000000-0002-0000-0100-000002000000}">
          <x14:formula1>
            <xm:f>'Tabla Valoración controles'!$D$9:$D$10</xm:f>
          </x14:formula1>
          <xm:sqref>X10:X69</xm:sqref>
        </x14:dataValidation>
        <x14:dataValidation type="list" allowBlank="1" showInputMessage="1" showErrorMessage="1" xr:uid="{00000000-0002-0000-0100-000003000000}">
          <x14:formula1>
            <xm:f>'Tabla Valoración controles'!$D$11:$D$12</xm:f>
          </x14:formula1>
          <xm:sqref>Y10:Y69</xm:sqref>
        </x14:dataValidation>
        <x14:dataValidation type="list" allowBlank="1" showInputMessage="1" showErrorMessage="1" xr:uid="{00000000-0002-0000-0100-000004000000}">
          <x14:formula1>
            <xm:f>'Opciones Tratamiento'!$B$9:$B$10</xm:f>
          </x14:formula1>
          <xm:sqref>AL10:AL11 AL13:AL14 AL67:AL68 AL19:AL20 AL22:AL23 AL25:AL26 AL28:AL29 AL31:AL32 AL34:AL35 AL37:AL38 AL40:AL41 AL43:AL44 AL46:AL47 AL49:AL50 AL52:AL53 AL55:AL56 AL58:AL59 AL61:AL62 AL64:AL65 AL16:AL17</xm:sqref>
        </x14:dataValidation>
        <x14:dataValidation type="list" allowBlank="1" showInputMessage="1" showErrorMessage="1" xr:uid="{00000000-0002-0000-0100-000005000000}">
          <x14:formula1>
            <xm:f>'Tabla Valoración controles'!$D$13:$D$14</xm:f>
          </x14:formula1>
          <xm:sqref>Z10:Z69</xm:sqref>
        </x14:dataValidation>
        <x14:dataValidation type="list" allowBlank="1" showInputMessage="1" showErrorMessage="1" xr:uid="{00000000-0002-0000-0100-000006000000}">
          <x14:formula1>
            <xm:f>'Opciones Tratamiento'!$B$13:$B$19</xm:f>
          </x14:formula1>
          <xm:sqref>I10:I69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AG10 AG66:AG69 AG18:AG22 AG24:AG28 AG30:AG34 AG36:AG40 AG42:AG46 AG48:AG52 AG54:AG58 AG60:AG64 AG13:AG16</xm:sqref>
        </x14:dataValidation>
        <x14:dataValidation type="list" allowBlank="1" showInputMessage="1" showErrorMessage="1" xr:uid="{00000000-0002-0000-0100-000009000000}">
          <x14:formula1>
            <xm:f>'Tabla Impacto'!$F$210:$F$221</xm:f>
          </x14:formula1>
          <xm:sqref>M10:M69</xm:sqref>
        </x14:dataValidation>
        <x14:dataValidation type="custom" allowBlank="1" showInputMessage="1" showErrorMessage="1" error="Recuerde que las acciones se generan bajo la medida de mitigar el riesgo" xr:uid="{00000000-0002-0000-0100-00000A000000}">
          <x14:formula1>
            <xm:f>IF(OR(AG10='Opciones Tratamiento'!$B$2,AG10='Opciones Tratamiento'!$B$3,AG10='Opciones Tratamiento'!$B$4),ISBLANK(AG10),ISTEXT(AG10))</xm:f>
          </x14:formula1>
          <xm:sqref>AH10 AH12:AH69</xm:sqref>
        </x14:dataValidation>
        <x14:dataValidation type="custom" allowBlank="1" showInputMessage="1" showErrorMessage="1" error="Recuerde que las acciones se generan bajo la medida de mitigar el riesgo" xr:uid="{00000000-0002-0000-0100-00000B000000}">
          <x14:formula1>
            <xm:f>IF(OR(AG10='Opciones Tratamiento'!$B$2,AG10='Opciones Tratamiento'!$B$3,AG10='Opciones Tratamiento'!$B$4),ISBLANK(AG10),ISTEXT(AG10))</xm:f>
          </x14:formula1>
          <xm:sqref>AI10 AI12:AI69</xm:sqref>
        </x14:dataValidation>
        <x14:dataValidation type="custom" allowBlank="1" showInputMessage="1" showErrorMessage="1" error="Recuerde que las acciones se generan bajo la medida de mitigar el riesgo" xr:uid="{00000000-0002-0000-0100-00000C000000}">
          <x14:formula1>
            <xm:f>IF(OR(AG10='Opciones Tratamiento'!$B$2,AG10='Opciones Tratamiento'!$B$3,AG10='Opciones Tratamiento'!$B$4),ISBLANK(AG10),ISTEXT(AG10))</xm:f>
          </x14:formula1>
          <xm:sqref>AJ10 AJ12:AJ69</xm:sqref>
        </x14:dataValidation>
        <x14:dataValidation type="custom" allowBlank="1" showInputMessage="1" showErrorMessage="1" error="Recuerde que las acciones se generan bajo la medida de mitigar el riesgo" xr:uid="{00000000-0002-0000-0100-00000D000000}">
          <x14:formula1>
            <xm:f>IF(OR(AG10='Opciones Tratamiento'!$B$2,AG10='Opciones Tratamiento'!$B$3,AG10='Opciones Tratamiento'!$B$4),ISBLANK(AG10),ISTEXT(AG10))</xm:f>
          </x14:formula1>
          <xm:sqref>AK10 AK12:AK69</xm:sqref>
        </x14:dataValidation>
        <x14:dataValidation type="list" allowBlank="1" showInputMessage="1" showErrorMessage="1" xr:uid="{00000000-0002-0000-0100-00000E000000}">
          <x14:formula1>
            <xm:f>'C:\Users\HOME\Downloads\[Formato Matriz de Riesgos 2021 (1).xlsx]Opciones Tratamiento'!#REF!</xm:f>
          </x14:formula1>
          <xm:sqref>AG65 AG17 AG23 AG29 AG35 AG41 AG47 AG53 AG59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6" zoomScale="40" zoomScaleNormal="40" workbookViewId="0"/>
  </sheetViews>
  <sheetFormatPr baseColWidth="10" defaultRowHeight="14.4" x14ac:dyDescent="0.3"/>
  <cols>
    <col min="2" max="39" width="5.5546875" customWidth="1"/>
    <col min="41" max="46" width="5.554687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487" t="s">
        <v>149</v>
      </c>
      <c r="C2" s="487"/>
      <c r="D2" s="487"/>
      <c r="E2" s="487"/>
      <c r="F2" s="487"/>
      <c r="G2" s="487"/>
      <c r="H2" s="487"/>
      <c r="I2" s="487"/>
      <c r="J2" s="524" t="s">
        <v>2</v>
      </c>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487"/>
      <c r="C3" s="487"/>
      <c r="D3" s="487"/>
      <c r="E3" s="487"/>
      <c r="F3" s="487"/>
      <c r="G3" s="487"/>
      <c r="H3" s="487"/>
      <c r="I3" s="487"/>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487"/>
      <c r="C4" s="487"/>
      <c r="D4" s="487"/>
      <c r="E4" s="487"/>
      <c r="F4" s="487"/>
      <c r="G4" s="487"/>
      <c r="H4" s="487"/>
      <c r="I4" s="487"/>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35" t="s">
        <v>4</v>
      </c>
      <c r="C6" s="535"/>
      <c r="D6" s="536"/>
      <c r="E6" s="525" t="s">
        <v>110</v>
      </c>
      <c r="F6" s="526"/>
      <c r="G6" s="526"/>
      <c r="H6" s="526"/>
      <c r="I6" s="527"/>
      <c r="J6" s="521" t="str">
        <f>IF(AND('Mapa final'!$K$10="Muy Alta",'Mapa final'!$O$10="Leve"),CONCATENATE("R",'Mapa final'!$A$10),"")</f>
        <v/>
      </c>
      <c r="K6" s="522"/>
      <c r="L6" s="522" t="str">
        <f>IF(AND('Mapa final'!$K$16="Muy Alta",'Mapa final'!$O$16="Leve"),CONCATENATE("R",'Mapa final'!$A$16),"")</f>
        <v/>
      </c>
      <c r="M6" s="522"/>
      <c r="N6" s="522" t="str">
        <f>IF(AND('Mapa final'!$K$22="Muy Alta",'Mapa final'!$O$22="Leve"),CONCATENATE("R",'Mapa final'!$A$22),"")</f>
        <v/>
      </c>
      <c r="O6" s="523"/>
      <c r="P6" s="521" t="str">
        <f>IF(AND('Mapa final'!$K$10="Muy Alta",'Mapa final'!$O$10="Menor"),CONCATENATE("R",'Mapa final'!$A$10),"")</f>
        <v/>
      </c>
      <c r="Q6" s="522"/>
      <c r="R6" s="522" t="str">
        <f>IF(AND('Mapa final'!$K$16="Muy Alta",'Mapa final'!$O$16="Menor"),CONCATENATE("R",'Mapa final'!$A$16),"")</f>
        <v/>
      </c>
      <c r="S6" s="522"/>
      <c r="T6" s="522" t="str">
        <f>IF(AND('Mapa final'!$K$22="Muy Alta",'Mapa final'!$O$22="Menor"),CONCATENATE("R",'Mapa final'!$A$22),"")</f>
        <v/>
      </c>
      <c r="U6" s="523"/>
      <c r="V6" s="521" t="str">
        <f>IF(AND('Mapa final'!$K$10="Muy Alta",'Mapa final'!$O$10="Moderado"),CONCATENATE("R",'Mapa final'!$A$10),"")</f>
        <v>R1</v>
      </c>
      <c r="W6" s="522"/>
      <c r="X6" s="522" t="str">
        <f>IF(AND('Mapa final'!$K$16="Muy Alta",'Mapa final'!$O$16="Moderado"),CONCATENATE("R",'Mapa final'!$A$16),"")</f>
        <v/>
      </c>
      <c r="Y6" s="522"/>
      <c r="Z6" s="522" t="str">
        <f>IF(AND('Mapa final'!$K$22="Muy Alta",'Mapa final'!$O$22="Moderado"),CONCATENATE("R",'Mapa final'!$A$22),"")</f>
        <v/>
      </c>
      <c r="AA6" s="523"/>
      <c r="AB6" s="521" t="str">
        <f>IF(AND('Mapa final'!$K$10="Muy Alta",'Mapa final'!$O$10="Mayor"),CONCATENATE("R",'Mapa final'!$A$10),"")</f>
        <v/>
      </c>
      <c r="AC6" s="522"/>
      <c r="AD6" s="522" t="str">
        <f>IF(AND('Mapa final'!$K$16="Muy Alta",'Mapa final'!$O$16="Mayor"),CONCATENATE("R",'Mapa final'!$A$16),"")</f>
        <v/>
      </c>
      <c r="AE6" s="522"/>
      <c r="AF6" s="522" t="str">
        <f>IF(AND('Mapa final'!$K$22="Muy Alta",'Mapa final'!$O$22="Mayor"),CONCATENATE("R",'Mapa final'!$A$22),"")</f>
        <v/>
      </c>
      <c r="AG6" s="523"/>
      <c r="AH6" s="512" t="str">
        <f>IF(AND('Mapa final'!$K$10="Muy Alta",'Mapa final'!$O$10="Catastrófico"),CONCATENATE("R",'Mapa final'!$A$10),"")</f>
        <v/>
      </c>
      <c r="AI6" s="513"/>
      <c r="AJ6" s="513" t="str">
        <f>IF(AND('Mapa final'!$K$16="Muy Alta",'Mapa final'!$O$16="Catastrófico"),CONCATENATE("R",'Mapa final'!$A$16),"")</f>
        <v/>
      </c>
      <c r="AK6" s="513"/>
      <c r="AL6" s="513" t="str">
        <f>IF(AND('Mapa final'!$K$22="Muy Alta",'Mapa final'!$O$22="Catastrófico"),CONCATENATE("R",'Mapa final'!$A$22),"")</f>
        <v/>
      </c>
      <c r="AM6" s="514"/>
      <c r="AO6" s="537" t="s">
        <v>77</v>
      </c>
      <c r="AP6" s="538"/>
      <c r="AQ6" s="538"/>
      <c r="AR6" s="538"/>
      <c r="AS6" s="538"/>
      <c r="AT6" s="53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35"/>
      <c r="C7" s="535"/>
      <c r="D7" s="536"/>
      <c r="E7" s="528"/>
      <c r="F7" s="529"/>
      <c r="G7" s="529"/>
      <c r="H7" s="529"/>
      <c r="I7" s="530"/>
      <c r="J7" s="515"/>
      <c r="K7" s="516"/>
      <c r="L7" s="516"/>
      <c r="M7" s="516"/>
      <c r="N7" s="516"/>
      <c r="O7" s="517"/>
      <c r="P7" s="515"/>
      <c r="Q7" s="516"/>
      <c r="R7" s="516"/>
      <c r="S7" s="516"/>
      <c r="T7" s="516"/>
      <c r="U7" s="517"/>
      <c r="V7" s="515"/>
      <c r="W7" s="516"/>
      <c r="X7" s="516"/>
      <c r="Y7" s="516"/>
      <c r="Z7" s="516"/>
      <c r="AA7" s="517"/>
      <c r="AB7" s="515"/>
      <c r="AC7" s="516"/>
      <c r="AD7" s="516"/>
      <c r="AE7" s="516"/>
      <c r="AF7" s="516"/>
      <c r="AG7" s="517"/>
      <c r="AH7" s="506"/>
      <c r="AI7" s="507"/>
      <c r="AJ7" s="507"/>
      <c r="AK7" s="507"/>
      <c r="AL7" s="507"/>
      <c r="AM7" s="508"/>
      <c r="AN7" s="67"/>
      <c r="AO7" s="540"/>
      <c r="AP7" s="541"/>
      <c r="AQ7" s="541"/>
      <c r="AR7" s="541"/>
      <c r="AS7" s="541"/>
      <c r="AT7" s="54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35"/>
      <c r="C8" s="535"/>
      <c r="D8" s="536"/>
      <c r="E8" s="528"/>
      <c r="F8" s="529"/>
      <c r="G8" s="529"/>
      <c r="H8" s="529"/>
      <c r="I8" s="530"/>
      <c r="J8" s="515" t="str">
        <f>IF(AND('Mapa final'!$K$28="Muy Alta",'Mapa final'!$O$28="Leve"),CONCATENATE("R",'Mapa final'!$A$28),"")</f>
        <v/>
      </c>
      <c r="K8" s="516"/>
      <c r="L8" s="516" t="str">
        <f>IF(AND('Mapa final'!$K$34="Muy Alta",'Mapa final'!$O$34="Leve"),CONCATENATE("R",'Mapa final'!$A$34),"")</f>
        <v/>
      </c>
      <c r="M8" s="516"/>
      <c r="N8" s="516" t="str">
        <f>IF(AND('Mapa final'!$K$40="Muy Alta",'Mapa final'!$O$40="Leve"),CONCATENATE("R",'Mapa final'!$A$40),"")</f>
        <v/>
      </c>
      <c r="O8" s="517"/>
      <c r="P8" s="515" t="str">
        <f>IF(AND('Mapa final'!$K$28="Muy Alta",'Mapa final'!$O$28="Menor"),CONCATENATE("R",'Mapa final'!$A$28),"")</f>
        <v/>
      </c>
      <c r="Q8" s="516"/>
      <c r="R8" s="516" t="str">
        <f>IF(AND('Mapa final'!$K$34="Muy Alta",'Mapa final'!$O$34="Menor"),CONCATENATE("R",'Mapa final'!$A$34),"")</f>
        <v/>
      </c>
      <c r="S8" s="516"/>
      <c r="T8" s="516" t="str">
        <f>IF(AND('Mapa final'!$K$40="Muy Alta",'Mapa final'!$O$40="Menor"),CONCATENATE("R",'Mapa final'!$A$40),"")</f>
        <v/>
      </c>
      <c r="U8" s="517"/>
      <c r="V8" s="515" t="str">
        <f>IF(AND('Mapa final'!$K$28="Muy Alta",'Mapa final'!$O$28="Moderado"),CONCATENATE("R",'Mapa final'!$A$28),"")</f>
        <v/>
      </c>
      <c r="W8" s="516"/>
      <c r="X8" s="516" t="str">
        <f>IF(AND('Mapa final'!$K$34="Muy Alta",'Mapa final'!$O$34="Moderado"),CONCATENATE("R",'Mapa final'!$A$34),"")</f>
        <v/>
      </c>
      <c r="Y8" s="516"/>
      <c r="Z8" s="516" t="str">
        <f>IF(AND('Mapa final'!$K$40="Muy Alta",'Mapa final'!$O$40="Moderado"),CONCATENATE("R",'Mapa final'!$A$40),"")</f>
        <v/>
      </c>
      <c r="AA8" s="517"/>
      <c r="AB8" s="515" t="str">
        <f>IF(AND('Mapa final'!$K$28="Muy Alta",'Mapa final'!$O$28="Mayor"),CONCATENATE("R",'Mapa final'!$A$28),"")</f>
        <v/>
      </c>
      <c r="AC8" s="516"/>
      <c r="AD8" s="516" t="str">
        <f>IF(AND('Mapa final'!$K$34="Muy Alta",'Mapa final'!$O$34="Mayor"),CONCATENATE("R",'Mapa final'!$A$34),"")</f>
        <v/>
      </c>
      <c r="AE8" s="516"/>
      <c r="AF8" s="516" t="str">
        <f>IF(AND('Mapa final'!$K$40="Muy Alta",'Mapa final'!$O$40="Mayor"),CONCATENATE("R",'Mapa final'!$A$40),"")</f>
        <v/>
      </c>
      <c r="AG8" s="517"/>
      <c r="AH8" s="506" t="str">
        <f>IF(AND('Mapa final'!$K$28="Muy Alta",'Mapa final'!$O$28="Catastrófico"),CONCATENATE("R",'Mapa final'!$A$28),"")</f>
        <v/>
      </c>
      <c r="AI8" s="507"/>
      <c r="AJ8" s="507" t="str">
        <f>IF(AND('Mapa final'!$K$34="Muy Alta",'Mapa final'!$O$34="Catastrófico"),CONCATENATE("R",'Mapa final'!$A$34),"")</f>
        <v/>
      </c>
      <c r="AK8" s="507"/>
      <c r="AL8" s="507" t="str">
        <f>IF(AND('Mapa final'!$K$40="Muy Alta",'Mapa final'!$O$40="Catastrófico"),CONCATENATE("R",'Mapa final'!$A$40),"")</f>
        <v/>
      </c>
      <c r="AM8" s="508"/>
      <c r="AN8" s="67"/>
      <c r="AO8" s="540"/>
      <c r="AP8" s="541"/>
      <c r="AQ8" s="541"/>
      <c r="AR8" s="541"/>
      <c r="AS8" s="541"/>
      <c r="AT8" s="54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35"/>
      <c r="C9" s="535"/>
      <c r="D9" s="536"/>
      <c r="E9" s="528"/>
      <c r="F9" s="529"/>
      <c r="G9" s="529"/>
      <c r="H9" s="529"/>
      <c r="I9" s="530"/>
      <c r="J9" s="515"/>
      <c r="K9" s="516"/>
      <c r="L9" s="516"/>
      <c r="M9" s="516"/>
      <c r="N9" s="516"/>
      <c r="O9" s="517"/>
      <c r="P9" s="515"/>
      <c r="Q9" s="516"/>
      <c r="R9" s="516"/>
      <c r="S9" s="516"/>
      <c r="T9" s="516"/>
      <c r="U9" s="517"/>
      <c r="V9" s="515"/>
      <c r="W9" s="516"/>
      <c r="X9" s="516"/>
      <c r="Y9" s="516"/>
      <c r="Z9" s="516"/>
      <c r="AA9" s="517"/>
      <c r="AB9" s="515"/>
      <c r="AC9" s="516"/>
      <c r="AD9" s="516"/>
      <c r="AE9" s="516"/>
      <c r="AF9" s="516"/>
      <c r="AG9" s="517"/>
      <c r="AH9" s="506"/>
      <c r="AI9" s="507"/>
      <c r="AJ9" s="507"/>
      <c r="AK9" s="507"/>
      <c r="AL9" s="507"/>
      <c r="AM9" s="508"/>
      <c r="AN9" s="67"/>
      <c r="AO9" s="540"/>
      <c r="AP9" s="541"/>
      <c r="AQ9" s="541"/>
      <c r="AR9" s="541"/>
      <c r="AS9" s="541"/>
      <c r="AT9" s="54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35"/>
      <c r="C10" s="535"/>
      <c r="D10" s="536"/>
      <c r="E10" s="528"/>
      <c r="F10" s="529"/>
      <c r="G10" s="529"/>
      <c r="H10" s="529"/>
      <c r="I10" s="530"/>
      <c r="J10" s="515" t="str">
        <f>IF(AND('Mapa final'!$K$46="Muy Alta",'Mapa final'!$O$46="Leve"),CONCATENATE("R",'Mapa final'!$A$46),"")</f>
        <v/>
      </c>
      <c r="K10" s="516"/>
      <c r="L10" s="516" t="str">
        <f>IF(AND('Mapa final'!$K$52="Muy Alta",'Mapa final'!$O$52="Leve"),CONCATENATE("R",'Mapa final'!$A$52),"")</f>
        <v/>
      </c>
      <c r="M10" s="516"/>
      <c r="N10" s="516" t="str">
        <f>IF(AND('Mapa final'!$K$58="Muy Alta",'Mapa final'!$O$58="Leve"),CONCATENATE("R",'Mapa final'!$A$58),"")</f>
        <v/>
      </c>
      <c r="O10" s="517"/>
      <c r="P10" s="515" t="str">
        <f>IF(AND('Mapa final'!$K$46="Muy Alta",'Mapa final'!$O$46="Menor"),CONCATENATE("R",'Mapa final'!$A$46),"")</f>
        <v/>
      </c>
      <c r="Q10" s="516"/>
      <c r="R10" s="516" t="str">
        <f>IF(AND('Mapa final'!$K$52="Muy Alta",'Mapa final'!$O$52="Menor"),CONCATENATE("R",'Mapa final'!$A$52),"")</f>
        <v/>
      </c>
      <c r="S10" s="516"/>
      <c r="T10" s="516" t="str">
        <f>IF(AND('Mapa final'!$K$58="Muy Alta",'Mapa final'!$O$58="Menor"),CONCATENATE("R",'Mapa final'!$A$58),"")</f>
        <v/>
      </c>
      <c r="U10" s="517"/>
      <c r="V10" s="515" t="str">
        <f>IF(AND('Mapa final'!$K$46="Muy Alta",'Mapa final'!$O$46="Moderado"),CONCATENATE("R",'Mapa final'!$A$46),"")</f>
        <v/>
      </c>
      <c r="W10" s="516"/>
      <c r="X10" s="516" t="str">
        <f>IF(AND('Mapa final'!$K$52="Muy Alta",'Mapa final'!$O$52="Moderado"),CONCATENATE("R",'Mapa final'!$A$52),"")</f>
        <v/>
      </c>
      <c r="Y10" s="516"/>
      <c r="Z10" s="516" t="str">
        <f>IF(AND('Mapa final'!$K$58="Muy Alta",'Mapa final'!$O$58="Moderado"),CONCATENATE("R",'Mapa final'!$A$58),"")</f>
        <v/>
      </c>
      <c r="AA10" s="517"/>
      <c r="AB10" s="515" t="str">
        <f>IF(AND('Mapa final'!$K$46="Muy Alta",'Mapa final'!$O$46="Mayor"),CONCATENATE("R",'Mapa final'!$A$46),"")</f>
        <v/>
      </c>
      <c r="AC10" s="516"/>
      <c r="AD10" s="516" t="str">
        <f>IF(AND('Mapa final'!$K$52="Muy Alta",'Mapa final'!$O$52="Mayor"),CONCATENATE("R",'Mapa final'!$A$52),"")</f>
        <v/>
      </c>
      <c r="AE10" s="516"/>
      <c r="AF10" s="516" t="str">
        <f>IF(AND('Mapa final'!$K$58="Muy Alta",'Mapa final'!$O$58="Mayor"),CONCATENATE("R",'Mapa final'!$A$58),"")</f>
        <v/>
      </c>
      <c r="AG10" s="517"/>
      <c r="AH10" s="506" t="str">
        <f>IF(AND('Mapa final'!$K$46="Muy Alta",'Mapa final'!$O$46="Catastrófico"),CONCATENATE("R",'Mapa final'!$A$46),"")</f>
        <v/>
      </c>
      <c r="AI10" s="507"/>
      <c r="AJ10" s="507" t="str">
        <f>IF(AND('Mapa final'!$K$52="Muy Alta",'Mapa final'!$O$52="Catastrófico"),CONCATENATE("R",'Mapa final'!$A$52),"")</f>
        <v/>
      </c>
      <c r="AK10" s="507"/>
      <c r="AL10" s="507" t="str">
        <f>IF(AND('Mapa final'!$K$58="Muy Alta",'Mapa final'!$O$58="Catastrófico"),CONCATENATE("R",'Mapa final'!$A$58),"")</f>
        <v/>
      </c>
      <c r="AM10" s="508"/>
      <c r="AN10" s="67"/>
      <c r="AO10" s="540"/>
      <c r="AP10" s="541"/>
      <c r="AQ10" s="541"/>
      <c r="AR10" s="541"/>
      <c r="AS10" s="541"/>
      <c r="AT10" s="54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35"/>
      <c r="C11" s="535"/>
      <c r="D11" s="536"/>
      <c r="E11" s="528"/>
      <c r="F11" s="529"/>
      <c r="G11" s="529"/>
      <c r="H11" s="529"/>
      <c r="I11" s="530"/>
      <c r="J11" s="515"/>
      <c r="K11" s="516"/>
      <c r="L11" s="516"/>
      <c r="M11" s="516"/>
      <c r="N11" s="516"/>
      <c r="O11" s="517"/>
      <c r="P11" s="515"/>
      <c r="Q11" s="516"/>
      <c r="R11" s="516"/>
      <c r="S11" s="516"/>
      <c r="T11" s="516"/>
      <c r="U11" s="517"/>
      <c r="V11" s="515"/>
      <c r="W11" s="516"/>
      <c r="X11" s="516"/>
      <c r="Y11" s="516"/>
      <c r="Z11" s="516"/>
      <c r="AA11" s="517"/>
      <c r="AB11" s="515"/>
      <c r="AC11" s="516"/>
      <c r="AD11" s="516"/>
      <c r="AE11" s="516"/>
      <c r="AF11" s="516"/>
      <c r="AG11" s="517"/>
      <c r="AH11" s="506"/>
      <c r="AI11" s="507"/>
      <c r="AJ11" s="507"/>
      <c r="AK11" s="507"/>
      <c r="AL11" s="507"/>
      <c r="AM11" s="508"/>
      <c r="AN11" s="67"/>
      <c r="AO11" s="540"/>
      <c r="AP11" s="541"/>
      <c r="AQ11" s="541"/>
      <c r="AR11" s="541"/>
      <c r="AS11" s="541"/>
      <c r="AT11" s="54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35"/>
      <c r="C12" s="535"/>
      <c r="D12" s="536"/>
      <c r="E12" s="528"/>
      <c r="F12" s="529"/>
      <c r="G12" s="529"/>
      <c r="H12" s="529"/>
      <c r="I12" s="530"/>
      <c r="J12" s="515" t="str">
        <f>IF(AND('Mapa final'!$K$64="Muy Alta",'Mapa final'!$O$64="Leve"),CONCATENATE("R",'Mapa final'!$A$64),"")</f>
        <v/>
      </c>
      <c r="K12" s="516"/>
      <c r="L12" s="516" t="str">
        <f>IF(AND('Mapa final'!$K$70="Muy Alta",'Mapa final'!$O$70="Leve"),CONCATENATE("R",'Mapa final'!$A$70),"")</f>
        <v/>
      </c>
      <c r="M12" s="516"/>
      <c r="N12" s="516" t="str">
        <f>IF(AND('Mapa final'!$K$76="Muy Alta",'Mapa final'!$O$76="Leve"),CONCATENATE("R",'Mapa final'!$A$76),"")</f>
        <v/>
      </c>
      <c r="O12" s="517"/>
      <c r="P12" s="515" t="str">
        <f>IF(AND('Mapa final'!$K$64="Muy Alta",'Mapa final'!$O$64="Menor"),CONCATENATE("R",'Mapa final'!$A$64),"")</f>
        <v/>
      </c>
      <c r="Q12" s="516"/>
      <c r="R12" s="516" t="str">
        <f>IF(AND('Mapa final'!$K$70="Muy Alta",'Mapa final'!$O$70="Menor"),CONCATENATE("R",'Mapa final'!$A$70),"")</f>
        <v/>
      </c>
      <c r="S12" s="516"/>
      <c r="T12" s="516" t="str">
        <f>IF(AND('Mapa final'!$K$76="Muy Alta",'Mapa final'!$O$76="Menor"),CONCATENATE("R",'Mapa final'!$A$76),"")</f>
        <v/>
      </c>
      <c r="U12" s="517"/>
      <c r="V12" s="515" t="str">
        <f>IF(AND('Mapa final'!$K$64="Muy Alta",'Mapa final'!$O$64="Moderado"),CONCATENATE("R",'Mapa final'!$A$64),"")</f>
        <v/>
      </c>
      <c r="W12" s="516"/>
      <c r="X12" s="516" t="str">
        <f>IF(AND('Mapa final'!$K$70="Muy Alta",'Mapa final'!$O$70="Moderado"),CONCATENATE("R",'Mapa final'!$A$70),"")</f>
        <v/>
      </c>
      <c r="Y12" s="516"/>
      <c r="Z12" s="516" t="str">
        <f>IF(AND('Mapa final'!$K$76="Muy Alta",'Mapa final'!$O$76="Moderado"),CONCATENATE("R",'Mapa final'!$A$76),"")</f>
        <v/>
      </c>
      <c r="AA12" s="517"/>
      <c r="AB12" s="515" t="str">
        <f>IF(AND('Mapa final'!$K$64="Muy Alta",'Mapa final'!$O$64="Mayor"),CONCATENATE("R",'Mapa final'!$A$64),"")</f>
        <v/>
      </c>
      <c r="AC12" s="516"/>
      <c r="AD12" s="516" t="str">
        <f>IF(AND('Mapa final'!$K$70="Muy Alta",'Mapa final'!$O$70="Mayor"),CONCATENATE("R",'Mapa final'!$A$70),"")</f>
        <v/>
      </c>
      <c r="AE12" s="516"/>
      <c r="AF12" s="516" t="str">
        <f>IF(AND('Mapa final'!$K$76="Muy Alta",'Mapa final'!$O$76="Mayor"),CONCATENATE("R",'Mapa final'!$A$76),"")</f>
        <v/>
      </c>
      <c r="AG12" s="517"/>
      <c r="AH12" s="506" t="str">
        <f>IF(AND('Mapa final'!$K$64="Muy Alta",'Mapa final'!$O$64="Catastrófico"),CONCATENATE("R",'Mapa final'!$A$64),"")</f>
        <v/>
      </c>
      <c r="AI12" s="507"/>
      <c r="AJ12" s="507" t="str">
        <f>IF(AND('Mapa final'!$K$70="Muy Alta",'Mapa final'!$O$70="Catastrófico"),CONCATENATE("R",'Mapa final'!$A$70),"")</f>
        <v/>
      </c>
      <c r="AK12" s="507"/>
      <c r="AL12" s="507" t="str">
        <f>IF(AND('Mapa final'!$K$76="Muy Alta",'Mapa final'!$O$76="Catastrófico"),CONCATENATE("R",'Mapa final'!$A$76),"")</f>
        <v/>
      </c>
      <c r="AM12" s="508"/>
      <c r="AN12" s="67"/>
      <c r="AO12" s="540"/>
      <c r="AP12" s="541"/>
      <c r="AQ12" s="541"/>
      <c r="AR12" s="541"/>
      <c r="AS12" s="541"/>
      <c r="AT12" s="54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35"/>
      <c r="C13" s="535"/>
      <c r="D13" s="536"/>
      <c r="E13" s="531"/>
      <c r="F13" s="532"/>
      <c r="G13" s="532"/>
      <c r="H13" s="532"/>
      <c r="I13" s="533"/>
      <c r="J13" s="515"/>
      <c r="K13" s="516"/>
      <c r="L13" s="516"/>
      <c r="M13" s="516"/>
      <c r="N13" s="516"/>
      <c r="O13" s="517"/>
      <c r="P13" s="515"/>
      <c r="Q13" s="516"/>
      <c r="R13" s="516"/>
      <c r="S13" s="516"/>
      <c r="T13" s="516"/>
      <c r="U13" s="517"/>
      <c r="V13" s="515"/>
      <c r="W13" s="516"/>
      <c r="X13" s="516"/>
      <c r="Y13" s="516"/>
      <c r="Z13" s="516"/>
      <c r="AA13" s="517"/>
      <c r="AB13" s="515"/>
      <c r="AC13" s="516"/>
      <c r="AD13" s="516"/>
      <c r="AE13" s="516"/>
      <c r="AF13" s="516"/>
      <c r="AG13" s="517"/>
      <c r="AH13" s="509"/>
      <c r="AI13" s="510"/>
      <c r="AJ13" s="510"/>
      <c r="AK13" s="510"/>
      <c r="AL13" s="510"/>
      <c r="AM13" s="511"/>
      <c r="AN13" s="67"/>
      <c r="AO13" s="543"/>
      <c r="AP13" s="544"/>
      <c r="AQ13" s="544"/>
      <c r="AR13" s="544"/>
      <c r="AS13" s="544"/>
      <c r="AT13" s="54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35"/>
      <c r="C14" s="535"/>
      <c r="D14" s="536"/>
      <c r="E14" s="525" t="s">
        <v>109</v>
      </c>
      <c r="F14" s="526"/>
      <c r="G14" s="526"/>
      <c r="H14" s="526"/>
      <c r="I14" s="526"/>
      <c r="J14" s="503" t="str">
        <f>IF(AND('Mapa final'!$K$10="Alta",'Mapa final'!$O$10="Leve"),CONCATENATE("R",'Mapa final'!$A$10),"")</f>
        <v/>
      </c>
      <c r="K14" s="504"/>
      <c r="L14" s="504" t="str">
        <f>IF(AND('Mapa final'!$K$16="Alta",'Mapa final'!$O$16="Leve"),CONCATENATE("R",'Mapa final'!$A$16),"")</f>
        <v/>
      </c>
      <c r="M14" s="504"/>
      <c r="N14" s="504" t="str">
        <f>IF(AND('Mapa final'!$K$22="Alta",'Mapa final'!$O$22="Leve"),CONCATENATE("R",'Mapa final'!$A$22),"")</f>
        <v/>
      </c>
      <c r="O14" s="505"/>
      <c r="P14" s="503" t="str">
        <f>IF(AND('Mapa final'!$K$10="Alta",'Mapa final'!$O$10="Menor"),CONCATENATE("R",'Mapa final'!$A$10),"")</f>
        <v/>
      </c>
      <c r="Q14" s="504"/>
      <c r="R14" s="504" t="str">
        <f>IF(AND('Mapa final'!$K$16="Alta",'Mapa final'!$O$16="Menor"),CONCATENATE("R",'Mapa final'!$A$16),"")</f>
        <v/>
      </c>
      <c r="S14" s="504"/>
      <c r="T14" s="504" t="str">
        <f>IF(AND('Mapa final'!$K$22="Alta",'Mapa final'!$O$22="Menor"),CONCATENATE("R",'Mapa final'!$A$22),"")</f>
        <v/>
      </c>
      <c r="U14" s="505"/>
      <c r="V14" s="521" t="str">
        <f>IF(AND('Mapa final'!$K$10="Alta",'Mapa final'!$O$10="Moderado"),CONCATENATE("R",'Mapa final'!$A$10),"")</f>
        <v/>
      </c>
      <c r="W14" s="522"/>
      <c r="X14" s="522" t="str">
        <f>IF(AND('Mapa final'!$K$16="Alta",'Mapa final'!$O$16="Moderado"),CONCATENATE("R",'Mapa final'!$A$16),"")</f>
        <v/>
      </c>
      <c r="Y14" s="522"/>
      <c r="Z14" s="522" t="str">
        <f>IF(AND('Mapa final'!$K$22="Alta",'Mapa final'!$O$22="Moderado"),CONCATENATE("R",'Mapa final'!$A$22),"")</f>
        <v/>
      </c>
      <c r="AA14" s="523"/>
      <c r="AB14" s="521" t="str">
        <f>IF(AND('Mapa final'!$K$10="Alta",'Mapa final'!$O$10="Mayor"),CONCATENATE("R",'Mapa final'!$A$10),"")</f>
        <v/>
      </c>
      <c r="AC14" s="522"/>
      <c r="AD14" s="522" t="str">
        <f>IF(AND('Mapa final'!$K$16="Alta",'Mapa final'!$O$16="Mayor"),CONCATENATE("R",'Mapa final'!$A$16),"")</f>
        <v/>
      </c>
      <c r="AE14" s="522"/>
      <c r="AF14" s="522" t="str">
        <f>IF(AND('Mapa final'!$K$22="Alta",'Mapa final'!$O$22="Mayor"),CONCATENATE("R",'Mapa final'!$A$22),"")</f>
        <v/>
      </c>
      <c r="AG14" s="523"/>
      <c r="AH14" s="512" t="str">
        <f>IF(AND('Mapa final'!$K$10="Alta",'Mapa final'!$O$10="Catastrófico"),CONCATENATE("R",'Mapa final'!$A$10),"")</f>
        <v/>
      </c>
      <c r="AI14" s="513"/>
      <c r="AJ14" s="513" t="str">
        <f>IF(AND('Mapa final'!$K$16="Alta",'Mapa final'!$O$16="Catastrófico"),CONCATENATE("R",'Mapa final'!$A$16),"")</f>
        <v/>
      </c>
      <c r="AK14" s="513"/>
      <c r="AL14" s="513" t="str">
        <f>IF(AND('Mapa final'!$K$22="Alta",'Mapa final'!$O$22="Catastrófico"),CONCATENATE("R",'Mapa final'!$A$22),"")</f>
        <v/>
      </c>
      <c r="AM14" s="514"/>
      <c r="AN14" s="67"/>
      <c r="AO14" s="546" t="s">
        <v>78</v>
      </c>
      <c r="AP14" s="547"/>
      <c r="AQ14" s="547"/>
      <c r="AR14" s="547"/>
      <c r="AS14" s="547"/>
      <c r="AT14" s="54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35"/>
      <c r="C15" s="535"/>
      <c r="D15" s="536"/>
      <c r="E15" s="528"/>
      <c r="F15" s="529"/>
      <c r="G15" s="529"/>
      <c r="H15" s="529"/>
      <c r="I15" s="529"/>
      <c r="J15" s="497"/>
      <c r="K15" s="498"/>
      <c r="L15" s="498"/>
      <c r="M15" s="498"/>
      <c r="N15" s="498"/>
      <c r="O15" s="499"/>
      <c r="P15" s="497"/>
      <c r="Q15" s="498"/>
      <c r="R15" s="498"/>
      <c r="S15" s="498"/>
      <c r="T15" s="498"/>
      <c r="U15" s="499"/>
      <c r="V15" s="515"/>
      <c r="W15" s="516"/>
      <c r="X15" s="516"/>
      <c r="Y15" s="516"/>
      <c r="Z15" s="516"/>
      <c r="AA15" s="517"/>
      <c r="AB15" s="515"/>
      <c r="AC15" s="516"/>
      <c r="AD15" s="516"/>
      <c r="AE15" s="516"/>
      <c r="AF15" s="516"/>
      <c r="AG15" s="517"/>
      <c r="AH15" s="506"/>
      <c r="AI15" s="507"/>
      <c r="AJ15" s="507"/>
      <c r="AK15" s="507"/>
      <c r="AL15" s="507"/>
      <c r="AM15" s="508"/>
      <c r="AN15" s="67"/>
      <c r="AO15" s="549"/>
      <c r="AP15" s="550"/>
      <c r="AQ15" s="550"/>
      <c r="AR15" s="550"/>
      <c r="AS15" s="550"/>
      <c r="AT15" s="55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35"/>
      <c r="C16" s="535"/>
      <c r="D16" s="536"/>
      <c r="E16" s="528"/>
      <c r="F16" s="529"/>
      <c r="G16" s="529"/>
      <c r="H16" s="529"/>
      <c r="I16" s="529"/>
      <c r="J16" s="497" t="str">
        <f>IF(AND('Mapa final'!$K$28="Alta",'Mapa final'!$O$28="Leve"),CONCATENATE("R",'Mapa final'!$A$28),"")</f>
        <v/>
      </c>
      <c r="K16" s="498"/>
      <c r="L16" s="498" t="str">
        <f>IF(AND('Mapa final'!$K$34="Alta",'Mapa final'!$O$34="Leve"),CONCATENATE("R",'Mapa final'!$A$34),"")</f>
        <v/>
      </c>
      <c r="M16" s="498"/>
      <c r="N16" s="498" t="str">
        <f>IF(AND('Mapa final'!$K$40="Alta",'Mapa final'!$O$40="Leve"),CONCATENATE("R",'Mapa final'!$A$40),"")</f>
        <v/>
      </c>
      <c r="O16" s="499"/>
      <c r="P16" s="497" t="str">
        <f>IF(AND('Mapa final'!$K$28="Alta",'Mapa final'!$O$28="Menor"),CONCATENATE("R",'Mapa final'!$A$28),"")</f>
        <v/>
      </c>
      <c r="Q16" s="498"/>
      <c r="R16" s="498" t="str">
        <f>IF(AND('Mapa final'!$K$34="Alta",'Mapa final'!$O$34="Menor"),CONCATENATE("R",'Mapa final'!$A$34),"")</f>
        <v/>
      </c>
      <c r="S16" s="498"/>
      <c r="T16" s="498" t="str">
        <f>IF(AND('Mapa final'!$K$40="Alta",'Mapa final'!$O$40="Menor"),CONCATENATE("R",'Mapa final'!$A$40),"")</f>
        <v/>
      </c>
      <c r="U16" s="499"/>
      <c r="V16" s="515" t="str">
        <f>IF(AND('Mapa final'!$K$28="Alta",'Mapa final'!$O$28="Moderado"),CONCATENATE("R",'Mapa final'!$A$28),"")</f>
        <v/>
      </c>
      <c r="W16" s="516"/>
      <c r="X16" s="516" t="str">
        <f>IF(AND('Mapa final'!$K$34="Alta",'Mapa final'!$O$34="Moderado"),CONCATENATE("R",'Mapa final'!$A$34),"")</f>
        <v/>
      </c>
      <c r="Y16" s="516"/>
      <c r="Z16" s="516" t="str">
        <f>IF(AND('Mapa final'!$K$40="Alta",'Mapa final'!$O$40="Moderado"),CONCATENATE("R",'Mapa final'!$A$40),"")</f>
        <v/>
      </c>
      <c r="AA16" s="517"/>
      <c r="AB16" s="515" t="str">
        <f>IF(AND('Mapa final'!$K$28="Alta",'Mapa final'!$O$28="Mayor"),CONCATENATE("R",'Mapa final'!$A$28),"")</f>
        <v/>
      </c>
      <c r="AC16" s="516"/>
      <c r="AD16" s="516" t="str">
        <f>IF(AND('Mapa final'!$K$34="Alta",'Mapa final'!$O$34="Mayor"),CONCATENATE("R",'Mapa final'!$A$34),"")</f>
        <v/>
      </c>
      <c r="AE16" s="516"/>
      <c r="AF16" s="516" t="str">
        <f>IF(AND('Mapa final'!$K$40="Alta",'Mapa final'!$O$40="Mayor"),CONCATENATE("R",'Mapa final'!$A$40),"")</f>
        <v/>
      </c>
      <c r="AG16" s="517"/>
      <c r="AH16" s="506" t="str">
        <f>IF(AND('Mapa final'!$K$28="Alta",'Mapa final'!$O$28="Catastrófico"),CONCATENATE("R",'Mapa final'!$A$28),"")</f>
        <v/>
      </c>
      <c r="AI16" s="507"/>
      <c r="AJ16" s="507" t="str">
        <f>IF(AND('Mapa final'!$K$34="Alta",'Mapa final'!$O$34="Catastrófico"),CONCATENATE("R",'Mapa final'!$A$34),"")</f>
        <v/>
      </c>
      <c r="AK16" s="507"/>
      <c r="AL16" s="507" t="str">
        <f>IF(AND('Mapa final'!$K$40="Alta",'Mapa final'!$O$40="Catastrófico"),CONCATENATE("R",'Mapa final'!$A$40),"")</f>
        <v/>
      </c>
      <c r="AM16" s="508"/>
      <c r="AN16" s="67"/>
      <c r="AO16" s="549"/>
      <c r="AP16" s="550"/>
      <c r="AQ16" s="550"/>
      <c r="AR16" s="550"/>
      <c r="AS16" s="550"/>
      <c r="AT16" s="55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35"/>
      <c r="C17" s="535"/>
      <c r="D17" s="536"/>
      <c r="E17" s="528"/>
      <c r="F17" s="529"/>
      <c r="G17" s="529"/>
      <c r="H17" s="529"/>
      <c r="I17" s="529"/>
      <c r="J17" s="497"/>
      <c r="K17" s="498"/>
      <c r="L17" s="498"/>
      <c r="M17" s="498"/>
      <c r="N17" s="498"/>
      <c r="O17" s="499"/>
      <c r="P17" s="497"/>
      <c r="Q17" s="498"/>
      <c r="R17" s="498"/>
      <c r="S17" s="498"/>
      <c r="T17" s="498"/>
      <c r="U17" s="499"/>
      <c r="V17" s="515"/>
      <c r="W17" s="516"/>
      <c r="X17" s="516"/>
      <c r="Y17" s="516"/>
      <c r="Z17" s="516"/>
      <c r="AA17" s="517"/>
      <c r="AB17" s="515"/>
      <c r="AC17" s="516"/>
      <c r="AD17" s="516"/>
      <c r="AE17" s="516"/>
      <c r="AF17" s="516"/>
      <c r="AG17" s="517"/>
      <c r="AH17" s="506"/>
      <c r="AI17" s="507"/>
      <c r="AJ17" s="507"/>
      <c r="AK17" s="507"/>
      <c r="AL17" s="507"/>
      <c r="AM17" s="508"/>
      <c r="AN17" s="67"/>
      <c r="AO17" s="549"/>
      <c r="AP17" s="550"/>
      <c r="AQ17" s="550"/>
      <c r="AR17" s="550"/>
      <c r="AS17" s="550"/>
      <c r="AT17" s="55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35"/>
      <c r="C18" s="535"/>
      <c r="D18" s="536"/>
      <c r="E18" s="528"/>
      <c r="F18" s="529"/>
      <c r="G18" s="529"/>
      <c r="H18" s="529"/>
      <c r="I18" s="529"/>
      <c r="J18" s="497" t="str">
        <f>IF(AND('Mapa final'!$K$46="Alta",'Mapa final'!$O$46="Leve"),CONCATENATE("R",'Mapa final'!$A$46),"")</f>
        <v/>
      </c>
      <c r="K18" s="498"/>
      <c r="L18" s="498" t="str">
        <f>IF(AND('Mapa final'!$K$52="Alta",'Mapa final'!$O$52="Leve"),CONCATENATE("R",'Mapa final'!$A$52),"")</f>
        <v/>
      </c>
      <c r="M18" s="498"/>
      <c r="N18" s="498" t="str">
        <f>IF(AND('Mapa final'!$K$58="Alta",'Mapa final'!$O$58="Leve"),CONCATENATE("R",'Mapa final'!$A$58),"")</f>
        <v/>
      </c>
      <c r="O18" s="499"/>
      <c r="P18" s="497" t="str">
        <f>IF(AND('Mapa final'!$K$46="Alta",'Mapa final'!$O$46="Menor"),CONCATENATE("R",'Mapa final'!$A$46),"")</f>
        <v/>
      </c>
      <c r="Q18" s="498"/>
      <c r="R18" s="498" t="str">
        <f>IF(AND('Mapa final'!$K$52="Alta",'Mapa final'!$O$52="Menor"),CONCATENATE("R",'Mapa final'!$A$52),"")</f>
        <v/>
      </c>
      <c r="S18" s="498"/>
      <c r="T18" s="498" t="str">
        <f>IF(AND('Mapa final'!$K$58="Alta",'Mapa final'!$O$58="Menor"),CONCATENATE("R",'Mapa final'!$A$58),"")</f>
        <v/>
      </c>
      <c r="U18" s="499"/>
      <c r="V18" s="515" t="str">
        <f>IF(AND('Mapa final'!$K$46="Alta",'Mapa final'!$O$46="Moderado"),CONCATENATE("R",'Mapa final'!$A$46),"")</f>
        <v/>
      </c>
      <c r="W18" s="516"/>
      <c r="X18" s="516" t="str">
        <f>IF(AND('Mapa final'!$K$52="Alta",'Mapa final'!$O$52="Moderado"),CONCATENATE("R",'Mapa final'!$A$52),"")</f>
        <v/>
      </c>
      <c r="Y18" s="516"/>
      <c r="Z18" s="516" t="str">
        <f>IF(AND('Mapa final'!$K$58="Alta",'Mapa final'!$O$58="Moderado"),CONCATENATE("R",'Mapa final'!$A$58),"")</f>
        <v/>
      </c>
      <c r="AA18" s="517"/>
      <c r="AB18" s="515" t="str">
        <f>IF(AND('Mapa final'!$K$46="Alta",'Mapa final'!$O$46="Mayor"),CONCATENATE("R",'Mapa final'!$A$46),"")</f>
        <v/>
      </c>
      <c r="AC18" s="516"/>
      <c r="AD18" s="516" t="str">
        <f>IF(AND('Mapa final'!$K$52="Alta",'Mapa final'!$O$52="Mayor"),CONCATENATE("R",'Mapa final'!$A$52),"")</f>
        <v/>
      </c>
      <c r="AE18" s="516"/>
      <c r="AF18" s="516" t="str">
        <f>IF(AND('Mapa final'!$K$58="Alta",'Mapa final'!$O$58="Mayor"),CONCATENATE("R",'Mapa final'!$A$58),"")</f>
        <v/>
      </c>
      <c r="AG18" s="517"/>
      <c r="AH18" s="506" t="str">
        <f>IF(AND('Mapa final'!$K$46="Alta",'Mapa final'!$O$46="Catastrófico"),CONCATENATE("R",'Mapa final'!$A$46),"")</f>
        <v/>
      </c>
      <c r="AI18" s="507"/>
      <c r="AJ18" s="507" t="str">
        <f>IF(AND('Mapa final'!$K$52="Alta",'Mapa final'!$O$52="Catastrófico"),CONCATENATE("R",'Mapa final'!$A$52),"")</f>
        <v/>
      </c>
      <c r="AK18" s="507"/>
      <c r="AL18" s="507" t="str">
        <f>IF(AND('Mapa final'!$K$58="Alta",'Mapa final'!$O$58="Catastrófico"),CONCATENATE("R",'Mapa final'!$A$58),"")</f>
        <v/>
      </c>
      <c r="AM18" s="508"/>
      <c r="AN18" s="67"/>
      <c r="AO18" s="549"/>
      <c r="AP18" s="550"/>
      <c r="AQ18" s="550"/>
      <c r="AR18" s="550"/>
      <c r="AS18" s="550"/>
      <c r="AT18" s="55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35"/>
      <c r="C19" s="535"/>
      <c r="D19" s="536"/>
      <c r="E19" s="528"/>
      <c r="F19" s="529"/>
      <c r="G19" s="529"/>
      <c r="H19" s="529"/>
      <c r="I19" s="529"/>
      <c r="J19" s="497"/>
      <c r="K19" s="498"/>
      <c r="L19" s="498"/>
      <c r="M19" s="498"/>
      <c r="N19" s="498"/>
      <c r="O19" s="499"/>
      <c r="P19" s="497"/>
      <c r="Q19" s="498"/>
      <c r="R19" s="498"/>
      <c r="S19" s="498"/>
      <c r="T19" s="498"/>
      <c r="U19" s="499"/>
      <c r="V19" s="515"/>
      <c r="W19" s="516"/>
      <c r="X19" s="516"/>
      <c r="Y19" s="516"/>
      <c r="Z19" s="516"/>
      <c r="AA19" s="517"/>
      <c r="AB19" s="515"/>
      <c r="AC19" s="516"/>
      <c r="AD19" s="516"/>
      <c r="AE19" s="516"/>
      <c r="AF19" s="516"/>
      <c r="AG19" s="517"/>
      <c r="AH19" s="506"/>
      <c r="AI19" s="507"/>
      <c r="AJ19" s="507"/>
      <c r="AK19" s="507"/>
      <c r="AL19" s="507"/>
      <c r="AM19" s="508"/>
      <c r="AN19" s="67"/>
      <c r="AO19" s="549"/>
      <c r="AP19" s="550"/>
      <c r="AQ19" s="550"/>
      <c r="AR19" s="550"/>
      <c r="AS19" s="550"/>
      <c r="AT19" s="55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35"/>
      <c r="C20" s="535"/>
      <c r="D20" s="536"/>
      <c r="E20" s="528"/>
      <c r="F20" s="529"/>
      <c r="G20" s="529"/>
      <c r="H20" s="529"/>
      <c r="I20" s="529"/>
      <c r="J20" s="497" t="str">
        <f>IF(AND('Mapa final'!$K$64="Alta",'Mapa final'!$O$64="Leve"),CONCATENATE("R",'Mapa final'!$A$64),"")</f>
        <v/>
      </c>
      <c r="K20" s="498"/>
      <c r="L20" s="498" t="str">
        <f>IF(AND('Mapa final'!$K$70="Alta",'Mapa final'!$O$70="Leve"),CONCATENATE("R",'Mapa final'!$A$70),"")</f>
        <v/>
      </c>
      <c r="M20" s="498"/>
      <c r="N20" s="498" t="str">
        <f>IF(AND('Mapa final'!$K$76="Alta",'Mapa final'!$O$76="Leve"),CONCATENATE("R",'Mapa final'!$A$76),"")</f>
        <v/>
      </c>
      <c r="O20" s="499"/>
      <c r="P20" s="497" t="str">
        <f>IF(AND('Mapa final'!$K$64="Alta",'Mapa final'!$O$64="Menor"),CONCATENATE("R",'Mapa final'!$A$64),"")</f>
        <v/>
      </c>
      <c r="Q20" s="498"/>
      <c r="R20" s="498" t="str">
        <f>IF(AND('Mapa final'!$K$70="Alta",'Mapa final'!$O$70="Menor"),CONCATENATE("R",'Mapa final'!$A$70),"")</f>
        <v/>
      </c>
      <c r="S20" s="498"/>
      <c r="T20" s="498" t="str">
        <f>IF(AND('Mapa final'!$K$76="Alta",'Mapa final'!$O$76="Menor"),CONCATENATE("R",'Mapa final'!$A$76),"")</f>
        <v/>
      </c>
      <c r="U20" s="499"/>
      <c r="V20" s="515" t="str">
        <f>IF(AND('Mapa final'!$K$64="Alta",'Mapa final'!$O$64="Moderado"),CONCATENATE("R",'Mapa final'!$A$64),"")</f>
        <v/>
      </c>
      <c r="W20" s="516"/>
      <c r="X20" s="516" t="str">
        <f>IF(AND('Mapa final'!$K$70="Alta",'Mapa final'!$O$70="Moderado"),CONCATENATE("R",'Mapa final'!$A$70),"")</f>
        <v/>
      </c>
      <c r="Y20" s="516"/>
      <c r="Z20" s="516" t="str">
        <f>IF(AND('Mapa final'!$K$76="Alta",'Mapa final'!$O$76="Moderado"),CONCATENATE("R",'Mapa final'!$A$76),"")</f>
        <v/>
      </c>
      <c r="AA20" s="517"/>
      <c r="AB20" s="515" t="str">
        <f>IF(AND('Mapa final'!$K$64="Alta",'Mapa final'!$O$64="Mayor"),CONCATENATE("R",'Mapa final'!$A$64),"")</f>
        <v/>
      </c>
      <c r="AC20" s="516"/>
      <c r="AD20" s="516" t="str">
        <f>IF(AND('Mapa final'!$K$70="Alta",'Mapa final'!$O$70="Mayor"),CONCATENATE("R",'Mapa final'!$A$70),"")</f>
        <v/>
      </c>
      <c r="AE20" s="516"/>
      <c r="AF20" s="516" t="str">
        <f>IF(AND('Mapa final'!$K$76="Alta",'Mapa final'!$O$76="Mayor"),CONCATENATE("R",'Mapa final'!$A$76),"")</f>
        <v/>
      </c>
      <c r="AG20" s="517"/>
      <c r="AH20" s="506" t="str">
        <f>IF(AND('Mapa final'!$K$64="Alta",'Mapa final'!$O$64="Catastrófico"),CONCATENATE("R",'Mapa final'!$A$64),"")</f>
        <v/>
      </c>
      <c r="AI20" s="507"/>
      <c r="AJ20" s="507" t="str">
        <f>IF(AND('Mapa final'!$K$70="Alta",'Mapa final'!$O$70="Catastrófico"),CONCATENATE("R",'Mapa final'!$A$70),"")</f>
        <v/>
      </c>
      <c r="AK20" s="507"/>
      <c r="AL20" s="507" t="str">
        <f>IF(AND('Mapa final'!$K$76="Alta",'Mapa final'!$O$76="Catastrófico"),CONCATENATE("R",'Mapa final'!$A$76),"")</f>
        <v/>
      </c>
      <c r="AM20" s="508"/>
      <c r="AN20" s="67"/>
      <c r="AO20" s="549"/>
      <c r="AP20" s="550"/>
      <c r="AQ20" s="550"/>
      <c r="AR20" s="550"/>
      <c r="AS20" s="550"/>
      <c r="AT20" s="55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35"/>
      <c r="C21" s="535"/>
      <c r="D21" s="536"/>
      <c r="E21" s="531"/>
      <c r="F21" s="532"/>
      <c r="G21" s="532"/>
      <c r="H21" s="532"/>
      <c r="I21" s="532"/>
      <c r="J21" s="500"/>
      <c r="K21" s="501"/>
      <c r="L21" s="501"/>
      <c r="M21" s="501"/>
      <c r="N21" s="501"/>
      <c r="O21" s="502"/>
      <c r="P21" s="500"/>
      <c r="Q21" s="501"/>
      <c r="R21" s="501"/>
      <c r="S21" s="501"/>
      <c r="T21" s="501"/>
      <c r="U21" s="502"/>
      <c r="V21" s="518"/>
      <c r="W21" s="519"/>
      <c r="X21" s="519"/>
      <c r="Y21" s="519"/>
      <c r="Z21" s="519"/>
      <c r="AA21" s="520"/>
      <c r="AB21" s="518"/>
      <c r="AC21" s="519"/>
      <c r="AD21" s="519"/>
      <c r="AE21" s="519"/>
      <c r="AF21" s="519"/>
      <c r="AG21" s="520"/>
      <c r="AH21" s="509"/>
      <c r="AI21" s="510"/>
      <c r="AJ21" s="510"/>
      <c r="AK21" s="510"/>
      <c r="AL21" s="510"/>
      <c r="AM21" s="511"/>
      <c r="AN21" s="67"/>
      <c r="AO21" s="552"/>
      <c r="AP21" s="553"/>
      <c r="AQ21" s="553"/>
      <c r="AR21" s="553"/>
      <c r="AS21" s="553"/>
      <c r="AT21" s="55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35"/>
      <c r="C22" s="535"/>
      <c r="D22" s="536"/>
      <c r="E22" s="525" t="s">
        <v>111</v>
      </c>
      <c r="F22" s="526"/>
      <c r="G22" s="526"/>
      <c r="H22" s="526"/>
      <c r="I22" s="527"/>
      <c r="J22" s="503" t="str">
        <f>IF(AND('Mapa final'!$K$10="Media",'Mapa final'!$O$10="Leve"),CONCATENATE("R",'Mapa final'!$A$10),"")</f>
        <v/>
      </c>
      <c r="K22" s="504"/>
      <c r="L22" s="504" t="str">
        <f>IF(AND('Mapa final'!$K$16="Media",'Mapa final'!$O$16="Leve"),CONCATENATE("R",'Mapa final'!$A$16),"")</f>
        <v/>
      </c>
      <c r="M22" s="504"/>
      <c r="N22" s="504" t="str">
        <f>IF(AND('Mapa final'!$K$22="Media",'Mapa final'!$O$22="Leve"),CONCATENATE("R",'Mapa final'!$A$22),"")</f>
        <v/>
      </c>
      <c r="O22" s="505"/>
      <c r="P22" s="503" t="str">
        <f>IF(AND('Mapa final'!$K$10="Media",'Mapa final'!$O$10="Menor"),CONCATENATE("R",'Mapa final'!$A$10),"")</f>
        <v/>
      </c>
      <c r="Q22" s="504"/>
      <c r="R22" s="504" t="str">
        <f>IF(AND('Mapa final'!$K$16="Media",'Mapa final'!$O$16="Menor"),CONCATENATE("R",'Mapa final'!$A$16),"")</f>
        <v/>
      </c>
      <c r="S22" s="504"/>
      <c r="T22" s="504" t="str">
        <f>IF(AND('Mapa final'!$K$22="Media",'Mapa final'!$O$22="Menor"),CONCATENATE("R",'Mapa final'!$A$22),"")</f>
        <v/>
      </c>
      <c r="U22" s="505"/>
      <c r="V22" s="503" t="str">
        <f>IF(AND('Mapa final'!$K$10="Media",'Mapa final'!$O$10="Moderado"),CONCATENATE("R",'Mapa final'!$A$10),"")</f>
        <v/>
      </c>
      <c r="W22" s="504"/>
      <c r="X22" s="504" t="str">
        <f>IF(AND('Mapa final'!$K$16="Media",'Mapa final'!$O$16="Moderado"),CONCATENATE("R",'Mapa final'!$A$16),"")</f>
        <v>R2</v>
      </c>
      <c r="Y22" s="504"/>
      <c r="Z22" s="504" t="str">
        <f>IF(AND('Mapa final'!$K$22="Media",'Mapa final'!$O$22="Moderado"),CONCATENATE("R",'Mapa final'!$A$22),"")</f>
        <v/>
      </c>
      <c r="AA22" s="505"/>
      <c r="AB22" s="521" t="str">
        <f>IF(AND('Mapa final'!$K$10="Media",'Mapa final'!$O$10="Mayor"),CONCATENATE("R",'Mapa final'!$A$10),"")</f>
        <v/>
      </c>
      <c r="AC22" s="522"/>
      <c r="AD22" s="522" t="str">
        <f>IF(AND('Mapa final'!$K$16="Media",'Mapa final'!$O$16="Mayor"),CONCATENATE("R",'Mapa final'!$A$16),"")</f>
        <v/>
      </c>
      <c r="AE22" s="522"/>
      <c r="AF22" s="522" t="str">
        <f>IF(AND('Mapa final'!$K$22="Media",'Mapa final'!$O$22="Mayor"),CONCATENATE("R",'Mapa final'!$A$22),"")</f>
        <v/>
      </c>
      <c r="AG22" s="523"/>
      <c r="AH22" s="512" t="str">
        <f>IF(AND('Mapa final'!$K$10="Media",'Mapa final'!$O$10="Catastrófico"),CONCATENATE("R",'Mapa final'!$A$10),"")</f>
        <v/>
      </c>
      <c r="AI22" s="513"/>
      <c r="AJ22" s="513" t="str">
        <f>IF(AND('Mapa final'!$K$16="Media",'Mapa final'!$O$16="Catastrófico"),CONCATENATE("R",'Mapa final'!$A$16),"")</f>
        <v/>
      </c>
      <c r="AK22" s="513"/>
      <c r="AL22" s="513" t="str">
        <f>IF(AND('Mapa final'!$K$22="Media",'Mapa final'!$O$22="Catastrófico"),CONCATENATE("R",'Mapa final'!$A$22),"")</f>
        <v/>
      </c>
      <c r="AM22" s="514"/>
      <c r="AN22" s="67"/>
      <c r="AO22" s="555" t="s">
        <v>79</v>
      </c>
      <c r="AP22" s="556"/>
      <c r="AQ22" s="556"/>
      <c r="AR22" s="556"/>
      <c r="AS22" s="556"/>
      <c r="AT22" s="55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35"/>
      <c r="C23" s="535"/>
      <c r="D23" s="536"/>
      <c r="E23" s="528"/>
      <c r="F23" s="529"/>
      <c r="G23" s="529"/>
      <c r="H23" s="529"/>
      <c r="I23" s="530"/>
      <c r="J23" s="497"/>
      <c r="K23" s="498"/>
      <c r="L23" s="498"/>
      <c r="M23" s="498"/>
      <c r="N23" s="498"/>
      <c r="O23" s="499"/>
      <c r="P23" s="497"/>
      <c r="Q23" s="498"/>
      <c r="R23" s="498"/>
      <c r="S23" s="498"/>
      <c r="T23" s="498"/>
      <c r="U23" s="499"/>
      <c r="V23" s="497"/>
      <c r="W23" s="498"/>
      <c r="X23" s="498"/>
      <c r="Y23" s="498"/>
      <c r="Z23" s="498"/>
      <c r="AA23" s="499"/>
      <c r="AB23" s="515"/>
      <c r="AC23" s="516"/>
      <c r="AD23" s="516"/>
      <c r="AE23" s="516"/>
      <c r="AF23" s="516"/>
      <c r="AG23" s="517"/>
      <c r="AH23" s="506"/>
      <c r="AI23" s="507"/>
      <c r="AJ23" s="507"/>
      <c r="AK23" s="507"/>
      <c r="AL23" s="507"/>
      <c r="AM23" s="508"/>
      <c r="AN23" s="67"/>
      <c r="AO23" s="558"/>
      <c r="AP23" s="559"/>
      <c r="AQ23" s="559"/>
      <c r="AR23" s="559"/>
      <c r="AS23" s="559"/>
      <c r="AT23" s="56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35"/>
      <c r="C24" s="535"/>
      <c r="D24" s="536"/>
      <c r="E24" s="528"/>
      <c r="F24" s="529"/>
      <c r="G24" s="529"/>
      <c r="H24" s="529"/>
      <c r="I24" s="530"/>
      <c r="J24" s="497" t="str">
        <f>IF(AND('Mapa final'!$K$28="Media",'Mapa final'!$O$28="Leve"),CONCATENATE("R",'Mapa final'!$A$28),"")</f>
        <v/>
      </c>
      <c r="K24" s="498"/>
      <c r="L24" s="498" t="str">
        <f>IF(AND('Mapa final'!$K$34="Media",'Mapa final'!$O$34="Leve"),CONCATENATE("R",'Mapa final'!$A$34),"")</f>
        <v/>
      </c>
      <c r="M24" s="498"/>
      <c r="N24" s="498" t="str">
        <f>IF(AND('Mapa final'!$K$40="Media",'Mapa final'!$O$40="Leve"),CONCATENATE("R",'Mapa final'!$A$40),"")</f>
        <v/>
      </c>
      <c r="O24" s="499"/>
      <c r="P24" s="497" t="str">
        <f>IF(AND('Mapa final'!$K$28="Media",'Mapa final'!$O$28="Menor"),CONCATENATE("R",'Mapa final'!$A$28),"")</f>
        <v/>
      </c>
      <c r="Q24" s="498"/>
      <c r="R24" s="498" t="str">
        <f>IF(AND('Mapa final'!$K$34="Media",'Mapa final'!$O$34="Menor"),CONCATENATE("R",'Mapa final'!$A$34),"")</f>
        <v/>
      </c>
      <c r="S24" s="498"/>
      <c r="T24" s="498" t="str">
        <f>IF(AND('Mapa final'!$K$40="Media",'Mapa final'!$O$40="Menor"),CONCATENATE("R",'Mapa final'!$A$40),"")</f>
        <v/>
      </c>
      <c r="U24" s="499"/>
      <c r="V24" s="497" t="str">
        <f>IF(AND('Mapa final'!$K$28="Media",'Mapa final'!$O$28="Moderado"),CONCATENATE("R",'Mapa final'!$A$28),"")</f>
        <v/>
      </c>
      <c r="W24" s="498"/>
      <c r="X24" s="498" t="str">
        <f>IF(AND('Mapa final'!$K$34="Media",'Mapa final'!$O$34="Moderado"),CONCATENATE("R",'Mapa final'!$A$34),"")</f>
        <v/>
      </c>
      <c r="Y24" s="498"/>
      <c r="Z24" s="498" t="str">
        <f>IF(AND('Mapa final'!$K$40="Media",'Mapa final'!$O$40="Moderado"),CONCATENATE("R",'Mapa final'!$A$40),"")</f>
        <v/>
      </c>
      <c r="AA24" s="499"/>
      <c r="AB24" s="515" t="str">
        <f>IF(AND('Mapa final'!$K$28="Media",'Mapa final'!$O$28="Mayor"),CONCATENATE("R",'Mapa final'!$A$28),"")</f>
        <v/>
      </c>
      <c r="AC24" s="516"/>
      <c r="AD24" s="516" t="str">
        <f>IF(AND('Mapa final'!$K$34="Media",'Mapa final'!$O$34="Mayor"),CONCATENATE("R",'Mapa final'!$A$34),"")</f>
        <v/>
      </c>
      <c r="AE24" s="516"/>
      <c r="AF24" s="516" t="str">
        <f>IF(AND('Mapa final'!$K$40="Media",'Mapa final'!$O$40="Mayor"),CONCATENATE("R",'Mapa final'!$A$40),"")</f>
        <v/>
      </c>
      <c r="AG24" s="517"/>
      <c r="AH24" s="506" t="str">
        <f>IF(AND('Mapa final'!$K$28="Media",'Mapa final'!$O$28="Catastrófico"),CONCATENATE("R",'Mapa final'!$A$28),"")</f>
        <v/>
      </c>
      <c r="AI24" s="507"/>
      <c r="AJ24" s="507" t="str">
        <f>IF(AND('Mapa final'!$K$34="Media",'Mapa final'!$O$34="Catastrófico"),CONCATENATE("R",'Mapa final'!$A$34),"")</f>
        <v/>
      </c>
      <c r="AK24" s="507"/>
      <c r="AL24" s="507" t="str">
        <f>IF(AND('Mapa final'!$K$40="Media",'Mapa final'!$O$40="Catastrófico"),CONCATENATE("R",'Mapa final'!$A$40),"")</f>
        <v/>
      </c>
      <c r="AM24" s="508"/>
      <c r="AN24" s="67"/>
      <c r="AO24" s="558"/>
      <c r="AP24" s="559"/>
      <c r="AQ24" s="559"/>
      <c r="AR24" s="559"/>
      <c r="AS24" s="559"/>
      <c r="AT24" s="56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35"/>
      <c r="C25" s="535"/>
      <c r="D25" s="536"/>
      <c r="E25" s="528"/>
      <c r="F25" s="529"/>
      <c r="G25" s="529"/>
      <c r="H25" s="529"/>
      <c r="I25" s="530"/>
      <c r="J25" s="497"/>
      <c r="K25" s="498"/>
      <c r="L25" s="498"/>
      <c r="M25" s="498"/>
      <c r="N25" s="498"/>
      <c r="O25" s="499"/>
      <c r="P25" s="497"/>
      <c r="Q25" s="498"/>
      <c r="R25" s="498"/>
      <c r="S25" s="498"/>
      <c r="T25" s="498"/>
      <c r="U25" s="499"/>
      <c r="V25" s="497"/>
      <c r="W25" s="498"/>
      <c r="X25" s="498"/>
      <c r="Y25" s="498"/>
      <c r="Z25" s="498"/>
      <c r="AA25" s="499"/>
      <c r="AB25" s="515"/>
      <c r="AC25" s="516"/>
      <c r="AD25" s="516"/>
      <c r="AE25" s="516"/>
      <c r="AF25" s="516"/>
      <c r="AG25" s="517"/>
      <c r="AH25" s="506"/>
      <c r="AI25" s="507"/>
      <c r="AJ25" s="507"/>
      <c r="AK25" s="507"/>
      <c r="AL25" s="507"/>
      <c r="AM25" s="508"/>
      <c r="AN25" s="67"/>
      <c r="AO25" s="558"/>
      <c r="AP25" s="559"/>
      <c r="AQ25" s="559"/>
      <c r="AR25" s="559"/>
      <c r="AS25" s="559"/>
      <c r="AT25" s="56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35"/>
      <c r="C26" s="535"/>
      <c r="D26" s="536"/>
      <c r="E26" s="528"/>
      <c r="F26" s="529"/>
      <c r="G26" s="529"/>
      <c r="H26" s="529"/>
      <c r="I26" s="530"/>
      <c r="J26" s="497" t="str">
        <f>IF(AND('Mapa final'!$K$46="Media",'Mapa final'!$O$46="Leve"),CONCATENATE("R",'Mapa final'!$A$46),"")</f>
        <v/>
      </c>
      <c r="K26" s="498"/>
      <c r="L26" s="498" t="str">
        <f>IF(AND('Mapa final'!$K$52="Media",'Mapa final'!$O$52="Leve"),CONCATENATE("R",'Mapa final'!$A$52),"")</f>
        <v/>
      </c>
      <c r="M26" s="498"/>
      <c r="N26" s="498" t="str">
        <f>IF(AND('Mapa final'!$K$58="Media",'Mapa final'!$O$58="Leve"),CONCATENATE("R",'Mapa final'!$A$58),"")</f>
        <v/>
      </c>
      <c r="O26" s="499"/>
      <c r="P26" s="497" t="str">
        <f>IF(AND('Mapa final'!$K$46="Media",'Mapa final'!$O$46="Menor"),CONCATENATE("R",'Mapa final'!$A$46),"")</f>
        <v/>
      </c>
      <c r="Q26" s="498"/>
      <c r="R26" s="498" t="str">
        <f>IF(AND('Mapa final'!$K$52="Media",'Mapa final'!$O$52="Menor"),CONCATENATE("R",'Mapa final'!$A$52),"")</f>
        <v/>
      </c>
      <c r="S26" s="498"/>
      <c r="T26" s="498" t="str">
        <f>IF(AND('Mapa final'!$K$58="Media",'Mapa final'!$O$58="Menor"),CONCATENATE("R",'Mapa final'!$A$58),"")</f>
        <v/>
      </c>
      <c r="U26" s="499"/>
      <c r="V26" s="497" t="str">
        <f>IF(AND('Mapa final'!$K$46="Media",'Mapa final'!$O$46="Moderado"),CONCATENATE("R",'Mapa final'!$A$46),"")</f>
        <v/>
      </c>
      <c r="W26" s="498"/>
      <c r="X26" s="498" t="str">
        <f>IF(AND('Mapa final'!$K$52="Media",'Mapa final'!$O$52="Moderado"),CONCATENATE("R",'Mapa final'!$A$52),"")</f>
        <v/>
      </c>
      <c r="Y26" s="498"/>
      <c r="Z26" s="498" t="str">
        <f>IF(AND('Mapa final'!$K$58="Media",'Mapa final'!$O$58="Moderado"),CONCATENATE("R",'Mapa final'!$A$58),"")</f>
        <v/>
      </c>
      <c r="AA26" s="499"/>
      <c r="AB26" s="515" t="str">
        <f>IF(AND('Mapa final'!$K$46="Media",'Mapa final'!$O$46="Mayor"),CONCATENATE("R",'Mapa final'!$A$46),"")</f>
        <v/>
      </c>
      <c r="AC26" s="516"/>
      <c r="AD26" s="516" t="str">
        <f>IF(AND('Mapa final'!$K$52="Media",'Mapa final'!$O$52="Mayor"),CONCATENATE("R",'Mapa final'!$A$52),"")</f>
        <v/>
      </c>
      <c r="AE26" s="516"/>
      <c r="AF26" s="516" t="str">
        <f>IF(AND('Mapa final'!$K$58="Media",'Mapa final'!$O$58="Mayor"),CONCATENATE("R",'Mapa final'!$A$58),"")</f>
        <v/>
      </c>
      <c r="AG26" s="517"/>
      <c r="AH26" s="506" t="str">
        <f>IF(AND('Mapa final'!$K$46="Media",'Mapa final'!$O$46="Catastrófico"),CONCATENATE("R",'Mapa final'!$A$46),"")</f>
        <v/>
      </c>
      <c r="AI26" s="507"/>
      <c r="AJ26" s="507" t="str">
        <f>IF(AND('Mapa final'!$K$52="Media",'Mapa final'!$O$52="Catastrófico"),CONCATENATE("R",'Mapa final'!$A$52),"")</f>
        <v/>
      </c>
      <c r="AK26" s="507"/>
      <c r="AL26" s="507" t="str">
        <f>IF(AND('Mapa final'!$K$58="Media",'Mapa final'!$O$58="Catastrófico"),CONCATENATE("R",'Mapa final'!$A$58),"")</f>
        <v/>
      </c>
      <c r="AM26" s="508"/>
      <c r="AN26" s="67"/>
      <c r="AO26" s="558"/>
      <c r="AP26" s="559"/>
      <c r="AQ26" s="559"/>
      <c r="AR26" s="559"/>
      <c r="AS26" s="559"/>
      <c r="AT26" s="56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35"/>
      <c r="C27" s="535"/>
      <c r="D27" s="536"/>
      <c r="E27" s="528"/>
      <c r="F27" s="529"/>
      <c r="G27" s="529"/>
      <c r="H27" s="529"/>
      <c r="I27" s="530"/>
      <c r="J27" s="497"/>
      <c r="K27" s="498"/>
      <c r="L27" s="498"/>
      <c r="M27" s="498"/>
      <c r="N27" s="498"/>
      <c r="O27" s="499"/>
      <c r="P27" s="497"/>
      <c r="Q27" s="498"/>
      <c r="R27" s="498"/>
      <c r="S27" s="498"/>
      <c r="T27" s="498"/>
      <c r="U27" s="499"/>
      <c r="V27" s="497"/>
      <c r="W27" s="498"/>
      <c r="X27" s="498"/>
      <c r="Y27" s="498"/>
      <c r="Z27" s="498"/>
      <c r="AA27" s="499"/>
      <c r="AB27" s="515"/>
      <c r="AC27" s="516"/>
      <c r="AD27" s="516"/>
      <c r="AE27" s="516"/>
      <c r="AF27" s="516"/>
      <c r="AG27" s="517"/>
      <c r="AH27" s="506"/>
      <c r="AI27" s="507"/>
      <c r="AJ27" s="507"/>
      <c r="AK27" s="507"/>
      <c r="AL27" s="507"/>
      <c r="AM27" s="508"/>
      <c r="AN27" s="67"/>
      <c r="AO27" s="558"/>
      <c r="AP27" s="559"/>
      <c r="AQ27" s="559"/>
      <c r="AR27" s="559"/>
      <c r="AS27" s="559"/>
      <c r="AT27" s="56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35"/>
      <c r="C28" s="535"/>
      <c r="D28" s="536"/>
      <c r="E28" s="528"/>
      <c r="F28" s="529"/>
      <c r="G28" s="529"/>
      <c r="H28" s="529"/>
      <c r="I28" s="530"/>
      <c r="J28" s="497" t="str">
        <f>IF(AND('Mapa final'!$K$64="Media",'Mapa final'!$O$64="Leve"),CONCATENATE("R",'Mapa final'!$A$64),"")</f>
        <v/>
      </c>
      <c r="K28" s="498"/>
      <c r="L28" s="498" t="str">
        <f>IF(AND('Mapa final'!$K$70="Media",'Mapa final'!$O$70="Leve"),CONCATENATE("R",'Mapa final'!$A$70),"")</f>
        <v/>
      </c>
      <c r="M28" s="498"/>
      <c r="N28" s="498" t="str">
        <f>IF(AND('Mapa final'!$K$76="Media",'Mapa final'!$O$76="Leve"),CONCATENATE("R",'Mapa final'!$A$76),"")</f>
        <v/>
      </c>
      <c r="O28" s="499"/>
      <c r="P28" s="497" t="str">
        <f>IF(AND('Mapa final'!$K$64="Media",'Mapa final'!$O$64="Menor"),CONCATENATE("R",'Mapa final'!$A$64),"")</f>
        <v/>
      </c>
      <c r="Q28" s="498"/>
      <c r="R28" s="498" t="str">
        <f>IF(AND('Mapa final'!$K$70="Media",'Mapa final'!$O$70="Menor"),CONCATENATE("R",'Mapa final'!$A$70),"")</f>
        <v/>
      </c>
      <c r="S28" s="498"/>
      <c r="T28" s="498" t="str">
        <f>IF(AND('Mapa final'!$K$76="Media",'Mapa final'!$O$76="Menor"),CONCATENATE("R",'Mapa final'!$A$76),"")</f>
        <v/>
      </c>
      <c r="U28" s="499"/>
      <c r="V28" s="497" t="str">
        <f>IF(AND('Mapa final'!$K$64="Media",'Mapa final'!$O$64="Moderado"),CONCATENATE("R",'Mapa final'!$A$64),"")</f>
        <v/>
      </c>
      <c r="W28" s="498"/>
      <c r="X28" s="498" t="str">
        <f>IF(AND('Mapa final'!$K$70="Media",'Mapa final'!$O$70="Moderado"),CONCATENATE("R",'Mapa final'!$A$70),"")</f>
        <v/>
      </c>
      <c r="Y28" s="498"/>
      <c r="Z28" s="498" t="str">
        <f>IF(AND('Mapa final'!$K$76="Media",'Mapa final'!$O$76="Moderado"),CONCATENATE("R",'Mapa final'!$A$76),"")</f>
        <v/>
      </c>
      <c r="AA28" s="499"/>
      <c r="AB28" s="515" t="str">
        <f>IF(AND('Mapa final'!$K$64="Media",'Mapa final'!$O$64="Mayor"),CONCATENATE("R",'Mapa final'!$A$64),"")</f>
        <v/>
      </c>
      <c r="AC28" s="516"/>
      <c r="AD28" s="516" t="str">
        <f>IF(AND('Mapa final'!$K$70="Media",'Mapa final'!$O$70="Mayor"),CONCATENATE("R",'Mapa final'!$A$70),"")</f>
        <v/>
      </c>
      <c r="AE28" s="516"/>
      <c r="AF28" s="516" t="str">
        <f>IF(AND('Mapa final'!$K$76="Media",'Mapa final'!$O$76="Mayor"),CONCATENATE("R",'Mapa final'!$A$76),"")</f>
        <v/>
      </c>
      <c r="AG28" s="517"/>
      <c r="AH28" s="506" t="str">
        <f>IF(AND('Mapa final'!$K$64="Media",'Mapa final'!$O$64="Catastrófico"),CONCATENATE("R",'Mapa final'!$A$64),"")</f>
        <v/>
      </c>
      <c r="AI28" s="507"/>
      <c r="AJ28" s="507" t="str">
        <f>IF(AND('Mapa final'!$K$70="Media",'Mapa final'!$O$70="Catastrófico"),CONCATENATE("R",'Mapa final'!$A$70),"")</f>
        <v/>
      </c>
      <c r="AK28" s="507"/>
      <c r="AL28" s="507" t="str">
        <f>IF(AND('Mapa final'!$K$76="Media",'Mapa final'!$O$76="Catastrófico"),CONCATENATE("R",'Mapa final'!$A$76),"")</f>
        <v/>
      </c>
      <c r="AM28" s="508"/>
      <c r="AN28" s="67"/>
      <c r="AO28" s="558"/>
      <c r="AP28" s="559"/>
      <c r="AQ28" s="559"/>
      <c r="AR28" s="559"/>
      <c r="AS28" s="559"/>
      <c r="AT28" s="56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35"/>
      <c r="C29" s="535"/>
      <c r="D29" s="536"/>
      <c r="E29" s="531"/>
      <c r="F29" s="532"/>
      <c r="G29" s="532"/>
      <c r="H29" s="532"/>
      <c r="I29" s="533"/>
      <c r="J29" s="497"/>
      <c r="K29" s="498"/>
      <c r="L29" s="498"/>
      <c r="M29" s="498"/>
      <c r="N29" s="498"/>
      <c r="O29" s="499"/>
      <c r="P29" s="500"/>
      <c r="Q29" s="501"/>
      <c r="R29" s="501"/>
      <c r="S29" s="501"/>
      <c r="T29" s="501"/>
      <c r="U29" s="502"/>
      <c r="V29" s="500"/>
      <c r="W29" s="501"/>
      <c r="X29" s="501"/>
      <c r="Y29" s="501"/>
      <c r="Z29" s="501"/>
      <c r="AA29" s="502"/>
      <c r="AB29" s="518"/>
      <c r="AC29" s="519"/>
      <c r="AD29" s="519"/>
      <c r="AE29" s="519"/>
      <c r="AF29" s="519"/>
      <c r="AG29" s="520"/>
      <c r="AH29" s="509"/>
      <c r="AI29" s="510"/>
      <c r="AJ29" s="510"/>
      <c r="AK29" s="510"/>
      <c r="AL29" s="510"/>
      <c r="AM29" s="511"/>
      <c r="AN29" s="67"/>
      <c r="AO29" s="561"/>
      <c r="AP29" s="562"/>
      <c r="AQ29" s="562"/>
      <c r="AR29" s="562"/>
      <c r="AS29" s="562"/>
      <c r="AT29" s="56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35"/>
      <c r="C30" s="535"/>
      <c r="D30" s="536"/>
      <c r="E30" s="525" t="s">
        <v>108</v>
      </c>
      <c r="F30" s="526"/>
      <c r="G30" s="526"/>
      <c r="H30" s="526"/>
      <c r="I30" s="526"/>
      <c r="J30" s="494" t="str">
        <f>IF(AND('Mapa final'!$K$10="Baja",'Mapa final'!$O$10="Leve"),CONCATENATE("R",'Mapa final'!$A$10),"")</f>
        <v/>
      </c>
      <c r="K30" s="495"/>
      <c r="L30" s="495" t="str">
        <f>IF(AND('Mapa final'!$K$16="Baja",'Mapa final'!$O$16="Leve"),CONCATENATE("R",'Mapa final'!$A$16),"")</f>
        <v/>
      </c>
      <c r="M30" s="495"/>
      <c r="N30" s="495" t="str">
        <f>IF(AND('Mapa final'!$K$22="Baja",'Mapa final'!$O$22="Leve"),CONCATENATE("R",'Mapa final'!$A$22),"")</f>
        <v/>
      </c>
      <c r="O30" s="496"/>
      <c r="P30" s="504" t="str">
        <f>IF(AND('Mapa final'!$K$10="Baja",'Mapa final'!$O$10="Menor"),CONCATENATE("R",'Mapa final'!$A$10),"")</f>
        <v/>
      </c>
      <c r="Q30" s="504"/>
      <c r="R30" s="504" t="str">
        <f>IF(AND('Mapa final'!$K$16="Baja",'Mapa final'!$O$16="Menor"),CONCATENATE("R",'Mapa final'!$A$16),"")</f>
        <v/>
      </c>
      <c r="S30" s="504"/>
      <c r="T30" s="504" t="str">
        <f>IF(AND('Mapa final'!$K$22="Baja",'Mapa final'!$O$22="Menor"),CONCATENATE("R",'Mapa final'!$A$22),"")</f>
        <v/>
      </c>
      <c r="U30" s="505"/>
      <c r="V30" s="503" t="str">
        <f>IF(AND('Mapa final'!$K$10="Baja",'Mapa final'!$O$10="Moderado"),CONCATENATE("R",'Mapa final'!$A$10),"")</f>
        <v/>
      </c>
      <c r="W30" s="504"/>
      <c r="X30" s="504" t="str">
        <f>IF(AND('Mapa final'!$K$16="Baja",'Mapa final'!$O$16="Moderado"),CONCATENATE("R",'Mapa final'!$A$16),"")</f>
        <v/>
      </c>
      <c r="Y30" s="504"/>
      <c r="Z30" s="504" t="str">
        <f>IF(AND('Mapa final'!$K$22="Baja",'Mapa final'!$O$22="Moderado"),CONCATENATE("R",'Mapa final'!$A$22),"")</f>
        <v/>
      </c>
      <c r="AA30" s="505"/>
      <c r="AB30" s="521" t="str">
        <f>IF(AND('Mapa final'!$K$10="Baja",'Mapa final'!$O$10="Mayor"),CONCATENATE("R",'Mapa final'!$A$10),"")</f>
        <v/>
      </c>
      <c r="AC30" s="522"/>
      <c r="AD30" s="522" t="str">
        <f>IF(AND('Mapa final'!$K$16="Baja",'Mapa final'!$O$16="Mayor"),CONCATENATE("R",'Mapa final'!$A$16),"")</f>
        <v/>
      </c>
      <c r="AE30" s="522"/>
      <c r="AF30" s="522" t="str">
        <f>IF(AND('Mapa final'!$K$22="Baja",'Mapa final'!$O$22="Mayor"),CONCATENATE("R",'Mapa final'!$A$22),"")</f>
        <v/>
      </c>
      <c r="AG30" s="523"/>
      <c r="AH30" s="512" t="str">
        <f>IF(AND('Mapa final'!$K$10="Baja",'Mapa final'!$O$10="Catastrófico"),CONCATENATE("R",'Mapa final'!$A$10),"")</f>
        <v/>
      </c>
      <c r="AI30" s="513"/>
      <c r="AJ30" s="513" t="str">
        <f>IF(AND('Mapa final'!$K$16="Baja",'Mapa final'!$O$16="Catastrófico"),CONCATENATE("R",'Mapa final'!$A$16),"")</f>
        <v/>
      </c>
      <c r="AK30" s="513"/>
      <c r="AL30" s="513" t="str">
        <f>IF(AND('Mapa final'!$K$22="Baja",'Mapa final'!$O$22="Catastrófico"),CONCATENATE("R",'Mapa final'!$A$22),"")</f>
        <v/>
      </c>
      <c r="AM30" s="514"/>
      <c r="AN30" s="67"/>
      <c r="AO30" s="564" t="s">
        <v>80</v>
      </c>
      <c r="AP30" s="565"/>
      <c r="AQ30" s="565"/>
      <c r="AR30" s="565"/>
      <c r="AS30" s="565"/>
      <c r="AT30" s="56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35"/>
      <c r="C31" s="535"/>
      <c r="D31" s="536"/>
      <c r="E31" s="528"/>
      <c r="F31" s="529"/>
      <c r="G31" s="529"/>
      <c r="H31" s="529"/>
      <c r="I31" s="529"/>
      <c r="J31" s="488"/>
      <c r="K31" s="489"/>
      <c r="L31" s="489"/>
      <c r="M31" s="489"/>
      <c r="N31" s="489"/>
      <c r="O31" s="490"/>
      <c r="P31" s="498"/>
      <c r="Q31" s="498"/>
      <c r="R31" s="498"/>
      <c r="S31" s="498"/>
      <c r="T31" s="498"/>
      <c r="U31" s="499"/>
      <c r="V31" s="497"/>
      <c r="W31" s="498"/>
      <c r="X31" s="498"/>
      <c r="Y31" s="498"/>
      <c r="Z31" s="498"/>
      <c r="AA31" s="499"/>
      <c r="AB31" s="515"/>
      <c r="AC31" s="516"/>
      <c r="AD31" s="516"/>
      <c r="AE31" s="516"/>
      <c r="AF31" s="516"/>
      <c r="AG31" s="517"/>
      <c r="AH31" s="506"/>
      <c r="AI31" s="507"/>
      <c r="AJ31" s="507"/>
      <c r="AK31" s="507"/>
      <c r="AL31" s="507"/>
      <c r="AM31" s="508"/>
      <c r="AN31" s="67"/>
      <c r="AO31" s="567"/>
      <c r="AP31" s="568"/>
      <c r="AQ31" s="568"/>
      <c r="AR31" s="568"/>
      <c r="AS31" s="568"/>
      <c r="AT31" s="56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35"/>
      <c r="C32" s="535"/>
      <c r="D32" s="536"/>
      <c r="E32" s="528"/>
      <c r="F32" s="529"/>
      <c r="G32" s="529"/>
      <c r="H32" s="529"/>
      <c r="I32" s="529"/>
      <c r="J32" s="488" t="str">
        <f>IF(AND('Mapa final'!$K$28="Baja",'Mapa final'!$O$28="Leve"),CONCATENATE("R",'Mapa final'!$A$28),"")</f>
        <v/>
      </c>
      <c r="K32" s="489"/>
      <c r="L32" s="489" t="str">
        <f>IF(AND('Mapa final'!$K$34="Baja",'Mapa final'!$O$34="Leve"),CONCATENATE("R",'Mapa final'!$A$34),"")</f>
        <v/>
      </c>
      <c r="M32" s="489"/>
      <c r="N32" s="489" t="str">
        <f>IF(AND('Mapa final'!$K$40="Baja",'Mapa final'!$O$40="Leve"),CONCATENATE("R",'Mapa final'!$A$40),"")</f>
        <v/>
      </c>
      <c r="O32" s="490"/>
      <c r="P32" s="498" t="str">
        <f>IF(AND('Mapa final'!$K$28="Baja",'Mapa final'!$O$28="Menor"),CONCATENATE("R",'Mapa final'!$A$28),"")</f>
        <v/>
      </c>
      <c r="Q32" s="498"/>
      <c r="R32" s="498" t="str">
        <f>IF(AND('Mapa final'!$K$34="Baja",'Mapa final'!$O$34="Menor"),CONCATENATE("R",'Mapa final'!$A$34),"")</f>
        <v/>
      </c>
      <c r="S32" s="498"/>
      <c r="T32" s="498" t="str">
        <f>IF(AND('Mapa final'!$K$40="Baja",'Mapa final'!$O$40="Menor"),CONCATENATE("R",'Mapa final'!$A$40),"")</f>
        <v/>
      </c>
      <c r="U32" s="499"/>
      <c r="V32" s="497" t="str">
        <f>IF(AND('Mapa final'!$K$28="Baja",'Mapa final'!$O$28="Moderado"),CONCATENATE("R",'Mapa final'!$A$28),"")</f>
        <v/>
      </c>
      <c r="W32" s="498"/>
      <c r="X32" s="498" t="str">
        <f>IF(AND('Mapa final'!$K$34="Baja",'Mapa final'!$O$34="Moderado"),CONCATENATE("R",'Mapa final'!$A$34),"")</f>
        <v/>
      </c>
      <c r="Y32" s="498"/>
      <c r="Z32" s="498" t="str">
        <f>IF(AND('Mapa final'!$K$40="Baja",'Mapa final'!$O$40="Moderado"),CONCATENATE("R",'Mapa final'!$A$40),"")</f>
        <v/>
      </c>
      <c r="AA32" s="499"/>
      <c r="AB32" s="515" t="str">
        <f>IF(AND('Mapa final'!$K$28="Baja",'Mapa final'!$O$28="Mayor"),CONCATENATE("R",'Mapa final'!$A$28),"")</f>
        <v/>
      </c>
      <c r="AC32" s="516"/>
      <c r="AD32" s="516" t="str">
        <f>IF(AND('Mapa final'!$K$34="Baja",'Mapa final'!$O$34="Mayor"),CONCATENATE("R",'Mapa final'!$A$34),"")</f>
        <v/>
      </c>
      <c r="AE32" s="516"/>
      <c r="AF32" s="516" t="str">
        <f>IF(AND('Mapa final'!$K$40="Baja",'Mapa final'!$O$40="Mayor"),CONCATENATE("R",'Mapa final'!$A$40),"")</f>
        <v/>
      </c>
      <c r="AG32" s="517"/>
      <c r="AH32" s="506" t="str">
        <f>IF(AND('Mapa final'!$K$28="Baja",'Mapa final'!$O$28="Catastrófico"),CONCATENATE("R",'Mapa final'!$A$28),"")</f>
        <v/>
      </c>
      <c r="AI32" s="507"/>
      <c r="AJ32" s="507" t="str">
        <f>IF(AND('Mapa final'!$K$34="Baja",'Mapa final'!$O$34="Catastrófico"),CONCATENATE("R",'Mapa final'!$A$34),"")</f>
        <v/>
      </c>
      <c r="AK32" s="507"/>
      <c r="AL32" s="507" t="str">
        <f>IF(AND('Mapa final'!$K$40="Baja",'Mapa final'!$O$40="Catastrófico"),CONCATENATE("R",'Mapa final'!$A$40),"")</f>
        <v/>
      </c>
      <c r="AM32" s="508"/>
      <c r="AN32" s="67"/>
      <c r="AO32" s="567"/>
      <c r="AP32" s="568"/>
      <c r="AQ32" s="568"/>
      <c r="AR32" s="568"/>
      <c r="AS32" s="568"/>
      <c r="AT32" s="56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35"/>
      <c r="C33" s="535"/>
      <c r="D33" s="536"/>
      <c r="E33" s="528"/>
      <c r="F33" s="529"/>
      <c r="G33" s="529"/>
      <c r="H33" s="529"/>
      <c r="I33" s="529"/>
      <c r="J33" s="488"/>
      <c r="K33" s="489"/>
      <c r="L33" s="489"/>
      <c r="M33" s="489"/>
      <c r="N33" s="489"/>
      <c r="O33" s="490"/>
      <c r="P33" s="498"/>
      <c r="Q33" s="498"/>
      <c r="R33" s="498"/>
      <c r="S33" s="498"/>
      <c r="T33" s="498"/>
      <c r="U33" s="499"/>
      <c r="V33" s="497"/>
      <c r="W33" s="498"/>
      <c r="X33" s="498"/>
      <c r="Y33" s="498"/>
      <c r="Z33" s="498"/>
      <c r="AA33" s="499"/>
      <c r="AB33" s="515"/>
      <c r="AC33" s="516"/>
      <c r="AD33" s="516"/>
      <c r="AE33" s="516"/>
      <c r="AF33" s="516"/>
      <c r="AG33" s="517"/>
      <c r="AH33" s="506"/>
      <c r="AI33" s="507"/>
      <c r="AJ33" s="507"/>
      <c r="AK33" s="507"/>
      <c r="AL33" s="507"/>
      <c r="AM33" s="508"/>
      <c r="AN33" s="67"/>
      <c r="AO33" s="567"/>
      <c r="AP33" s="568"/>
      <c r="AQ33" s="568"/>
      <c r="AR33" s="568"/>
      <c r="AS33" s="568"/>
      <c r="AT33" s="56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35"/>
      <c r="C34" s="535"/>
      <c r="D34" s="536"/>
      <c r="E34" s="528"/>
      <c r="F34" s="529"/>
      <c r="G34" s="529"/>
      <c r="H34" s="529"/>
      <c r="I34" s="529"/>
      <c r="J34" s="488" t="str">
        <f>IF(AND('Mapa final'!$K$46="Baja",'Mapa final'!$O$46="Leve"),CONCATENATE("R",'Mapa final'!$A$46),"")</f>
        <v/>
      </c>
      <c r="K34" s="489"/>
      <c r="L34" s="489" t="str">
        <f>IF(AND('Mapa final'!$K$52="Baja",'Mapa final'!$O$52="Leve"),CONCATENATE("R",'Mapa final'!$A$52),"")</f>
        <v/>
      </c>
      <c r="M34" s="489"/>
      <c r="N34" s="489" t="str">
        <f>IF(AND('Mapa final'!$K$58="Baja",'Mapa final'!$O$58="Leve"),CONCATENATE("R",'Mapa final'!$A$58),"")</f>
        <v/>
      </c>
      <c r="O34" s="490"/>
      <c r="P34" s="498" t="str">
        <f>IF(AND('Mapa final'!$K$46="Baja",'Mapa final'!$O$46="Menor"),CONCATENATE("R",'Mapa final'!$A$46),"")</f>
        <v/>
      </c>
      <c r="Q34" s="498"/>
      <c r="R34" s="498" t="str">
        <f>IF(AND('Mapa final'!$K$52="Baja",'Mapa final'!$O$52="Menor"),CONCATENATE("R",'Mapa final'!$A$52),"")</f>
        <v/>
      </c>
      <c r="S34" s="498"/>
      <c r="T34" s="498" t="str">
        <f>IF(AND('Mapa final'!$K$58="Baja",'Mapa final'!$O$58="Menor"),CONCATENATE("R",'Mapa final'!$A$58),"")</f>
        <v/>
      </c>
      <c r="U34" s="499"/>
      <c r="V34" s="497" t="str">
        <f>IF(AND('Mapa final'!$K$46="Baja",'Mapa final'!$O$46="Moderado"),CONCATENATE("R",'Mapa final'!$A$46),"")</f>
        <v/>
      </c>
      <c r="W34" s="498"/>
      <c r="X34" s="498" t="str">
        <f>IF(AND('Mapa final'!$K$52="Baja",'Mapa final'!$O$52="Moderado"),CONCATENATE("R",'Mapa final'!$A$52),"")</f>
        <v/>
      </c>
      <c r="Y34" s="498"/>
      <c r="Z34" s="498" t="str">
        <f>IF(AND('Mapa final'!$K$58="Baja",'Mapa final'!$O$58="Moderado"),CONCATENATE("R",'Mapa final'!$A$58),"")</f>
        <v/>
      </c>
      <c r="AA34" s="499"/>
      <c r="AB34" s="515" t="str">
        <f>IF(AND('Mapa final'!$K$46="Baja",'Mapa final'!$O$46="Mayor"),CONCATENATE("R",'Mapa final'!$A$46),"")</f>
        <v/>
      </c>
      <c r="AC34" s="516"/>
      <c r="AD34" s="516" t="str">
        <f>IF(AND('Mapa final'!$K$52="Baja",'Mapa final'!$O$52="Mayor"),CONCATENATE("R",'Mapa final'!$A$52),"")</f>
        <v/>
      </c>
      <c r="AE34" s="516"/>
      <c r="AF34" s="516" t="str">
        <f>IF(AND('Mapa final'!$K$58="Baja",'Mapa final'!$O$58="Mayor"),CONCATENATE("R",'Mapa final'!$A$58),"")</f>
        <v/>
      </c>
      <c r="AG34" s="517"/>
      <c r="AH34" s="506" t="str">
        <f>IF(AND('Mapa final'!$K$46="Baja",'Mapa final'!$O$46="Catastrófico"),CONCATENATE("R",'Mapa final'!$A$46),"")</f>
        <v/>
      </c>
      <c r="AI34" s="507"/>
      <c r="AJ34" s="507" t="str">
        <f>IF(AND('Mapa final'!$K$52="Baja",'Mapa final'!$O$52="Catastrófico"),CONCATENATE("R",'Mapa final'!$A$52),"")</f>
        <v/>
      </c>
      <c r="AK34" s="507"/>
      <c r="AL34" s="507" t="str">
        <f>IF(AND('Mapa final'!$K$58="Baja",'Mapa final'!$O$58="Catastrófico"),CONCATENATE("R",'Mapa final'!$A$58),"")</f>
        <v/>
      </c>
      <c r="AM34" s="508"/>
      <c r="AN34" s="67"/>
      <c r="AO34" s="567"/>
      <c r="AP34" s="568"/>
      <c r="AQ34" s="568"/>
      <c r="AR34" s="568"/>
      <c r="AS34" s="568"/>
      <c r="AT34" s="56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35"/>
      <c r="C35" s="535"/>
      <c r="D35" s="536"/>
      <c r="E35" s="528"/>
      <c r="F35" s="529"/>
      <c r="G35" s="529"/>
      <c r="H35" s="529"/>
      <c r="I35" s="529"/>
      <c r="J35" s="488"/>
      <c r="K35" s="489"/>
      <c r="L35" s="489"/>
      <c r="M35" s="489"/>
      <c r="N35" s="489"/>
      <c r="O35" s="490"/>
      <c r="P35" s="498"/>
      <c r="Q35" s="498"/>
      <c r="R35" s="498"/>
      <c r="S35" s="498"/>
      <c r="T35" s="498"/>
      <c r="U35" s="499"/>
      <c r="V35" s="497"/>
      <c r="W35" s="498"/>
      <c r="X35" s="498"/>
      <c r="Y35" s="498"/>
      <c r="Z35" s="498"/>
      <c r="AA35" s="499"/>
      <c r="AB35" s="515"/>
      <c r="AC35" s="516"/>
      <c r="AD35" s="516"/>
      <c r="AE35" s="516"/>
      <c r="AF35" s="516"/>
      <c r="AG35" s="517"/>
      <c r="AH35" s="506"/>
      <c r="AI35" s="507"/>
      <c r="AJ35" s="507"/>
      <c r="AK35" s="507"/>
      <c r="AL35" s="507"/>
      <c r="AM35" s="508"/>
      <c r="AN35" s="67"/>
      <c r="AO35" s="567"/>
      <c r="AP35" s="568"/>
      <c r="AQ35" s="568"/>
      <c r="AR35" s="568"/>
      <c r="AS35" s="568"/>
      <c r="AT35" s="56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35"/>
      <c r="C36" s="535"/>
      <c r="D36" s="536"/>
      <c r="E36" s="528"/>
      <c r="F36" s="529"/>
      <c r="G36" s="529"/>
      <c r="H36" s="529"/>
      <c r="I36" s="529"/>
      <c r="J36" s="488" t="str">
        <f>IF(AND('Mapa final'!$K$64="Baja",'Mapa final'!$O$64="Leve"),CONCATENATE("R",'Mapa final'!$A$64),"")</f>
        <v/>
      </c>
      <c r="K36" s="489"/>
      <c r="L36" s="489" t="str">
        <f>IF(AND('Mapa final'!$K$70="Baja",'Mapa final'!$O$70="Leve"),CONCATENATE("R",'Mapa final'!$A$70),"")</f>
        <v/>
      </c>
      <c r="M36" s="489"/>
      <c r="N36" s="489" t="str">
        <f>IF(AND('Mapa final'!$K$76="Baja",'Mapa final'!$O$76="Leve"),CONCATENATE("R",'Mapa final'!$A$76),"")</f>
        <v/>
      </c>
      <c r="O36" s="490"/>
      <c r="P36" s="498" t="str">
        <f>IF(AND('Mapa final'!$K$64="Baja",'Mapa final'!$O$64="Menor"),CONCATENATE("R",'Mapa final'!$A$64),"")</f>
        <v/>
      </c>
      <c r="Q36" s="498"/>
      <c r="R36" s="498" t="str">
        <f>IF(AND('Mapa final'!$K$70="Baja",'Mapa final'!$O$70="Menor"),CONCATENATE("R",'Mapa final'!$A$70),"")</f>
        <v/>
      </c>
      <c r="S36" s="498"/>
      <c r="T36" s="498" t="str">
        <f>IF(AND('Mapa final'!$K$76="Baja",'Mapa final'!$O$76="Menor"),CONCATENATE("R",'Mapa final'!$A$76),"")</f>
        <v/>
      </c>
      <c r="U36" s="499"/>
      <c r="V36" s="497" t="str">
        <f>IF(AND('Mapa final'!$K$64="Baja",'Mapa final'!$O$64="Moderado"),CONCATENATE("R",'Mapa final'!$A$64),"")</f>
        <v/>
      </c>
      <c r="W36" s="498"/>
      <c r="X36" s="498" t="str">
        <f>IF(AND('Mapa final'!$K$70="Baja",'Mapa final'!$O$70="Moderado"),CONCATENATE("R",'Mapa final'!$A$70),"")</f>
        <v/>
      </c>
      <c r="Y36" s="498"/>
      <c r="Z36" s="498" t="str">
        <f>IF(AND('Mapa final'!$K$76="Baja",'Mapa final'!$O$76="Moderado"),CONCATENATE("R",'Mapa final'!$A$76),"")</f>
        <v/>
      </c>
      <c r="AA36" s="499"/>
      <c r="AB36" s="515" t="str">
        <f>IF(AND('Mapa final'!$K$64="Baja",'Mapa final'!$O$64="Mayor"),CONCATENATE("R",'Mapa final'!$A$64),"")</f>
        <v/>
      </c>
      <c r="AC36" s="516"/>
      <c r="AD36" s="516" t="str">
        <f>IF(AND('Mapa final'!$K$70="Baja",'Mapa final'!$O$70="Mayor"),CONCATENATE("R",'Mapa final'!$A$70),"")</f>
        <v/>
      </c>
      <c r="AE36" s="516"/>
      <c r="AF36" s="516" t="str">
        <f>IF(AND('Mapa final'!$K$76="Baja",'Mapa final'!$O$76="Mayor"),CONCATENATE("R",'Mapa final'!$A$76),"")</f>
        <v/>
      </c>
      <c r="AG36" s="517"/>
      <c r="AH36" s="506" t="str">
        <f>IF(AND('Mapa final'!$K$64="Baja",'Mapa final'!$O$64="Catastrófico"),CONCATENATE("R",'Mapa final'!$A$64),"")</f>
        <v/>
      </c>
      <c r="AI36" s="507"/>
      <c r="AJ36" s="507" t="str">
        <f>IF(AND('Mapa final'!$K$70="Baja",'Mapa final'!$O$70="Catastrófico"),CONCATENATE("R",'Mapa final'!$A$70),"")</f>
        <v/>
      </c>
      <c r="AK36" s="507"/>
      <c r="AL36" s="507" t="str">
        <f>IF(AND('Mapa final'!$K$76="Baja",'Mapa final'!$O$76="Catastrófico"),CONCATENATE("R",'Mapa final'!$A$76),"")</f>
        <v/>
      </c>
      <c r="AM36" s="508"/>
      <c r="AN36" s="67"/>
      <c r="AO36" s="567"/>
      <c r="AP36" s="568"/>
      <c r="AQ36" s="568"/>
      <c r="AR36" s="568"/>
      <c r="AS36" s="568"/>
      <c r="AT36" s="56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35"/>
      <c r="C37" s="535"/>
      <c r="D37" s="536"/>
      <c r="E37" s="531"/>
      <c r="F37" s="532"/>
      <c r="G37" s="532"/>
      <c r="H37" s="532"/>
      <c r="I37" s="532"/>
      <c r="J37" s="491"/>
      <c r="K37" s="492"/>
      <c r="L37" s="492"/>
      <c r="M37" s="492"/>
      <c r="N37" s="492"/>
      <c r="O37" s="493"/>
      <c r="P37" s="501"/>
      <c r="Q37" s="501"/>
      <c r="R37" s="501"/>
      <c r="S37" s="501"/>
      <c r="T37" s="501"/>
      <c r="U37" s="502"/>
      <c r="V37" s="500"/>
      <c r="W37" s="501"/>
      <c r="X37" s="501"/>
      <c r="Y37" s="501"/>
      <c r="Z37" s="501"/>
      <c r="AA37" s="502"/>
      <c r="AB37" s="518"/>
      <c r="AC37" s="519"/>
      <c r="AD37" s="519"/>
      <c r="AE37" s="519"/>
      <c r="AF37" s="519"/>
      <c r="AG37" s="520"/>
      <c r="AH37" s="509"/>
      <c r="AI37" s="510"/>
      <c r="AJ37" s="510"/>
      <c r="AK37" s="510"/>
      <c r="AL37" s="510"/>
      <c r="AM37" s="511"/>
      <c r="AN37" s="67"/>
      <c r="AO37" s="570"/>
      <c r="AP37" s="571"/>
      <c r="AQ37" s="571"/>
      <c r="AR37" s="571"/>
      <c r="AS37" s="571"/>
      <c r="AT37" s="57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35"/>
      <c r="C38" s="535"/>
      <c r="D38" s="536"/>
      <c r="E38" s="525" t="s">
        <v>107</v>
      </c>
      <c r="F38" s="526"/>
      <c r="G38" s="526"/>
      <c r="H38" s="526"/>
      <c r="I38" s="527"/>
      <c r="J38" s="494" t="str">
        <f>IF(AND('Mapa final'!$K$10="Muy Baja",'Mapa final'!$O$10="Leve"),CONCATENATE("R",'Mapa final'!$A$10),"")</f>
        <v/>
      </c>
      <c r="K38" s="495"/>
      <c r="L38" s="495" t="str">
        <f>IF(AND('Mapa final'!$K$16="Muy Baja",'Mapa final'!$O$16="Leve"),CONCATENATE("R",'Mapa final'!$A$16),"")</f>
        <v/>
      </c>
      <c r="M38" s="495"/>
      <c r="N38" s="495" t="str">
        <f>IF(AND('Mapa final'!$K$22="Muy Baja",'Mapa final'!$O$22="Leve"),CONCATENATE("R",'Mapa final'!$A$22),"")</f>
        <v/>
      </c>
      <c r="O38" s="496"/>
      <c r="P38" s="494" t="str">
        <f>IF(AND('Mapa final'!$K$10="Muy Baja",'Mapa final'!$O$10="Menor"),CONCATENATE("R",'Mapa final'!$A$10),"")</f>
        <v/>
      </c>
      <c r="Q38" s="495"/>
      <c r="R38" s="495" t="str">
        <f>IF(AND('Mapa final'!$K$16="Muy Baja",'Mapa final'!$O$16="Menor"),CONCATENATE("R",'Mapa final'!$A$16),"")</f>
        <v/>
      </c>
      <c r="S38" s="495"/>
      <c r="T38" s="495" t="str">
        <f>IF(AND('Mapa final'!$K$22="Muy Baja",'Mapa final'!$O$22="Menor"),CONCATENATE("R",'Mapa final'!$A$22),"")</f>
        <v/>
      </c>
      <c r="U38" s="496"/>
      <c r="V38" s="503" t="str">
        <f>IF(AND('Mapa final'!$K$10="Muy Baja",'Mapa final'!$O$10="Moderado"),CONCATENATE("R",'Mapa final'!$A$10),"")</f>
        <v/>
      </c>
      <c r="W38" s="504"/>
      <c r="X38" s="504" t="str">
        <f>IF(AND('Mapa final'!$K$16="Muy Baja",'Mapa final'!$O$16="Moderado"),CONCATENATE("R",'Mapa final'!$A$16),"")</f>
        <v/>
      </c>
      <c r="Y38" s="504"/>
      <c r="Z38" s="504" t="str">
        <f>IF(AND('Mapa final'!$K$22="Muy Baja",'Mapa final'!$O$22="Moderado"),CONCATENATE("R",'Mapa final'!$A$22),"")</f>
        <v/>
      </c>
      <c r="AA38" s="505"/>
      <c r="AB38" s="521" t="str">
        <f>IF(AND('Mapa final'!$K$10="Muy Baja",'Mapa final'!$O$10="Mayor"),CONCATENATE("R",'Mapa final'!$A$10),"")</f>
        <v/>
      </c>
      <c r="AC38" s="522"/>
      <c r="AD38" s="522" t="str">
        <f>IF(AND('Mapa final'!$K$16="Muy Baja",'Mapa final'!$O$16="Mayor"),CONCATENATE("R",'Mapa final'!$A$16),"")</f>
        <v/>
      </c>
      <c r="AE38" s="522"/>
      <c r="AF38" s="522" t="str">
        <f>IF(AND('Mapa final'!$K$22="Muy Baja",'Mapa final'!$O$22="Mayor"),CONCATENATE("R",'Mapa final'!$A$22),"")</f>
        <v/>
      </c>
      <c r="AG38" s="523"/>
      <c r="AH38" s="512" t="str">
        <f>IF(AND('Mapa final'!$K$10="Muy Baja",'Mapa final'!$O$10="Catastrófico"),CONCATENATE("R",'Mapa final'!$A$10),"")</f>
        <v/>
      </c>
      <c r="AI38" s="513"/>
      <c r="AJ38" s="513" t="str">
        <f>IF(AND('Mapa final'!$K$16="Muy Baja",'Mapa final'!$O$16="Catastrófico"),CONCATENATE("R",'Mapa final'!$A$16),"")</f>
        <v/>
      </c>
      <c r="AK38" s="513"/>
      <c r="AL38" s="513" t="str">
        <f>IF(AND('Mapa final'!$K$22="Muy Baja",'Mapa final'!$O$22="Catastrófico"),CONCATENATE("R",'Mapa final'!$A$22),"")</f>
        <v/>
      </c>
      <c r="AM38" s="514"/>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35"/>
      <c r="C39" s="535"/>
      <c r="D39" s="536"/>
      <c r="E39" s="528"/>
      <c r="F39" s="529"/>
      <c r="G39" s="529"/>
      <c r="H39" s="529"/>
      <c r="I39" s="530"/>
      <c r="J39" s="488"/>
      <c r="K39" s="489"/>
      <c r="L39" s="489"/>
      <c r="M39" s="489"/>
      <c r="N39" s="489"/>
      <c r="O39" s="490"/>
      <c r="P39" s="488"/>
      <c r="Q39" s="489"/>
      <c r="R39" s="489"/>
      <c r="S39" s="489"/>
      <c r="T39" s="489"/>
      <c r="U39" s="490"/>
      <c r="V39" s="497"/>
      <c r="W39" s="498"/>
      <c r="X39" s="498"/>
      <c r="Y39" s="498"/>
      <c r="Z39" s="498"/>
      <c r="AA39" s="499"/>
      <c r="AB39" s="515"/>
      <c r="AC39" s="516"/>
      <c r="AD39" s="516"/>
      <c r="AE39" s="516"/>
      <c r="AF39" s="516"/>
      <c r="AG39" s="517"/>
      <c r="AH39" s="506"/>
      <c r="AI39" s="507"/>
      <c r="AJ39" s="507"/>
      <c r="AK39" s="507"/>
      <c r="AL39" s="507"/>
      <c r="AM39" s="508"/>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35"/>
      <c r="C40" s="535"/>
      <c r="D40" s="536"/>
      <c r="E40" s="528"/>
      <c r="F40" s="529"/>
      <c r="G40" s="529"/>
      <c r="H40" s="529"/>
      <c r="I40" s="530"/>
      <c r="J40" s="488" t="str">
        <f>IF(AND('Mapa final'!$K$28="Muy Baja",'Mapa final'!$O$28="Leve"),CONCATENATE("R",'Mapa final'!$A$28),"")</f>
        <v/>
      </c>
      <c r="K40" s="489"/>
      <c r="L40" s="489" t="str">
        <f>IF(AND('Mapa final'!$K$34="Muy Baja",'Mapa final'!$O$34="Leve"),CONCATENATE("R",'Mapa final'!$A$34),"")</f>
        <v/>
      </c>
      <c r="M40" s="489"/>
      <c r="N40" s="489" t="str">
        <f>IF(AND('Mapa final'!$K$40="Muy Baja",'Mapa final'!$O$40="Leve"),CONCATENATE("R",'Mapa final'!$A$40),"")</f>
        <v/>
      </c>
      <c r="O40" s="490"/>
      <c r="P40" s="488" t="str">
        <f>IF(AND('Mapa final'!$K$28="Muy Baja",'Mapa final'!$O$28="Menor"),CONCATENATE("R",'Mapa final'!$A$28),"")</f>
        <v/>
      </c>
      <c r="Q40" s="489"/>
      <c r="R40" s="489" t="str">
        <f>IF(AND('Mapa final'!$K$34="Muy Baja",'Mapa final'!$O$34="Menor"),CONCATENATE("R",'Mapa final'!$A$34),"")</f>
        <v/>
      </c>
      <c r="S40" s="489"/>
      <c r="T40" s="489" t="str">
        <f>IF(AND('Mapa final'!$K$40="Muy Baja",'Mapa final'!$O$40="Menor"),CONCATENATE("R",'Mapa final'!$A$40),"")</f>
        <v/>
      </c>
      <c r="U40" s="490"/>
      <c r="V40" s="497" t="str">
        <f>IF(AND('Mapa final'!$K$28="Muy Baja",'Mapa final'!$O$28="Moderado"),CONCATENATE("R",'Mapa final'!$A$28),"")</f>
        <v/>
      </c>
      <c r="W40" s="498"/>
      <c r="X40" s="498" t="str">
        <f>IF(AND('Mapa final'!$K$34="Muy Baja",'Mapa final'!$O$34="Moderado"),CONCATENATE("R",'Mapa final'!$A$34),"")</f>
        <v/>
      </c>
      <c r="Y40" s="498"/>
      <c r="Z40" s="498" t="str">
        <f>IF(AND('Mapa final'!$K$40="Muy Baja",'Mapa final'!$O$40="Moderado"),CONCATENATE("R",'Mapa final'!$A$40),"")</f>
        <v/>
      </c>
      <c r="AA40" s="499"/>
      <c r="AB40" s="515" t="str">
        <f>IF(AND('Mapa final'!$K$28="Muy Baja",'Mapa final'!$O$28="Mayor"),CONCATENATE("R",'Mapa final'!$A$28),"")</f>
        <v/>
      </c>
      <c r="AC40" s="516"/>
      <c r="AD40" s="516" t="str">
        <f>IF(AND('Mapa final'!$K$34="Muy Baja",'Mapa final'!$O$34="Mayor"),CONCATENATE("R",'Mapa final'!$A$34),"")</f>
        <v/>
      </c>
      <c r="AE40" s="516"/>
      <c r="AF40" s="516" t="str">
        <f>IF(AND('Mapa final'!$K$40="Muy Baja",'Mapa final'!$O$40="Mayor"),CONCATENATE("R",'Mapa final'!$A$40),"")</f>
        <v/>
      </c>
      <c r="AG40" s="517"/>
      <c r="AH40" s="506" t="str">
        <f>IF(AND('Mapa final'!$K$28="Muy Baja",'Mapa final'!$O$28="Catastrófico"),CONCATENATE("R",'Mapa final'!$A$28),"")</f>
        <v/>
      </c>
      <c r="AI40" s="507"/>
      <c r="AJ40" s="507" t="str">
        <f>IF(AND('Mapa final'!$K$34="Muy Baja",'Mapa final'!$O$34="Catastrófico"),CONCATENATE("R",'Mapa final'!$A$34),"")</f>
        <v/>
      </c>
      <c r="AK40" s="507"/>
      <c r="AL40" s="507" t="str">
        <f>IF(AND('Mapa final'!$K$40="Muy Baja",'Mapa final'!$O$40="Catastrófico"),CONCATENATE("R",'Mapa final'!$A$40),"")</f>
        <v/>
      </c>
      <c r="AM40" s="508"/>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35"/>
      <c r="C41" s="535"/>
      <c r="D41" s="536"/>
      <c r="E41" s="528"/>
      <c r="F41" s="529"/>
      <c r="G41" s="529"/>
      <c r="H41" s="529"/>
      <c r="I41" s="530"/>
      <c r="J41" s="488"/>
      <c r="K41" s="489"/>
      <c r="L41" s="489"/>
      <c r="M41" s="489"/>
      <c r="N41" s="489"/>
      <c r="O41" s="490"/>
      <c r="P41" s="488"/>
      <c r="Q41" s="489"/>
      <c r="R41" s="489"/>
      <c r="S41" s="489"/>
      <c r="T41" s="489"/>
      <c r="U41" s="490"/>
      <c r="V41" s="497"/>
      <c r="W41" s="498"/>
      <c r="X41" s="498"/>
      <c r="Y41" s="498"/>
      <c r="Z41" s="498"/>
      <c r="AA41" s="499"/>
      <c r="AB41" s="515"/>
      <c r="AC41" s="516"/>
      <c r="AD41" s="516"/>
      <c r="AE41" s="516"/>
      <c r="AF41" s="516"/>
      <c r="AG41" s="517"/>
      <c r="AH41" s="506"/>
      <c r="AI41" s="507"/>
      <c r="AJ41" s="507"/>
      <c r="AK41" s="507"/>
      <c r="AL41" s="507"/>
      <c r="AM41" s="508"/>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35"/>
      <c r="C42" s="535"/>
      <c r="D42" s="536"/>
      <c r="E42" s="528"/>
      <c r="F42" s="529"/>
      <c r="G42" s="529"/>
      <c r="H42" s="529"/>
      <c r="I42" s="530"/>
      <c r="J42" s="488" t="str">
        <f>IF(AND('Mapa final'!$K$46="Muy Baja",'Mapa final'!$O$46="Leve"),CONCATENATE("R",'Mapa final'!$A$46),"")</f>
        <v/>
      </c>
      <c r="K42" s="489"/>
      <c r="L42" s="489" t="str">
        <f>IF(AND('Mapa final'!$K$52="Muy Baja",'Mapa final'!$O$52="Leve"),CONCATENATE("R",'Mapa final'!$A$52),"")</f>
        <v/>
      </c>
      <c r="M42" s="489"/>
      <c r="N42" s="489" t="str">
        <f>IF(AND('Mapa final'!$K$58="Muy Baja",'Mapa final'!$O$58="Leve"),CONCATENATE("R",'Mapa final'!$A$58),"")</f>
        <v/>
      </c>
      <c r="O42" s="490"/>
      <c r="P42" s="488" t="str">
        <f>IF(AND('Mapa final'!$K$46="Muy Baja",'Mapa final'!$O$46="Menor"),CONCATENATE("R",'Mapa final'!$A$46),"")</f>
        <v/>
      </c>
      <c r="Q42" s="489"/>
      <c r="R42" s="489" t="str">
        <f>IF(AND('Mapa final'!$K$52="Muy Baja",'Mapa final'!$O$52="Menor"),CONCATENATE("R",'Mapa final'!$A$52),"")</f>
        <v/>
      </c>
      <c r="S42" s="489"/>
      <c r="T42" s="489" t="str">
        <f>IF(AND('Mapa final'!$K$58="Muy Baja",'Mapa final'!$O$58="Menor"),CONCATENATE("R",'Mapa final'!$A$58),"")</f>
        <v/>
      </c>
      <c r="U42" s="490"/>
      <c r="V42" s="497" t="str">
        <f>IF(AND('Mapa final'!$K$46="Muy Baja",'Mapa final'!$O$46="Moderado"),CONCATENATE("R",'Mapa final'!$A$46),"")</f>
        <v/>
      </c>
      <c r="W42" s="498"/>
      <c r="X42" s="498" t="str">
        <f>IF(AND('Mapa final'!$K$52="Muy Baja",'Mapa final'!$O$52="Moderado"),CONCATENATE("R",'Mapa final'!$A$52),"")</f>
        <v/>
      </c>
      <c r="Y42" s="498"/>
      <c r="Z42" s="498" t="str">
        <f>IF(AND('Mapa final'!$K$58="Muy Baja",'Mapa final'!$O$58="Moderado"),CONCATENATE("R",'Mapa final'!$A$58),"")</f>
        <v/>
      </c>
      <c r="AA42" s="499"/>
      <c r="AB42" s="515" t="str">
        <f>IF(AND('Mapa final'!$K$46="Muy Baja",'Mapa final'!$O$46="Mayor"),CONCATENATE("R",'Mapa final'!$A$46),"")</f>
        <v/>
      </c>
      <c r="AC42" s="516"/>
      <c r="AD42" s="516" t="str">
        <f>IF(AND('Mapa final'!$K$52="Muy Baja",'Mapa final'!$O$52="Mayor"),CONCATENATE("R",'Mapa final'!$A$52),"")</f>
        <v/>
      </c>
      <c r="AE42" s="516"/>
      <c r="AF42" s="516" t="str">
        <f>IF(AND('Mapa final'!$K$58="Muy Baja",'Mapa final'!$O$58="Mayor"),CONCATENATE("R",'Mapa final'!$A$58),"")</f>
        <v/>
      </c>
      <c r="AG42" s="517"/>
      <c r="AH42" s="506" t="str">
        <f>IF(AND('Mapa final'!$K$46="Muy Baja",'Mapa final'!$O$46="Catastrófico"),CONCATENATE("R",'Mapa final'!$A$46),"")</f>
        <v/>
      </c>
      <c r="AI42" s="507"/>
      <c r="AJ42" s="507" t="str">
        <f>IF(AND('Mapa final'!$K$52="Muy Baja",'Mapa final'!$O$52="Catastrófico"),CONCATENATE("R",'Mapa final'!$A$52),"")</f>
        <v/>
      </c>
      <c r="AK42" s="507"/>
      <c r="AL42" s="507" t="str">
        <f>IF(AND('Mapa final'!$K$58="Muy Baja",'Mapa final'!$O$58="Catastrófico"),CONCATENATE("R",'Mapa final'!$A$58),"")</f>
        <v/>
      </c>
      <c r="AM42" s="508"/>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35"/>
      <c r="C43" s="535"/>
      <c r="D43" s="536"/>
      <c r="E43" s="528"/>
      <c r="F43" s="529"/>
      <c r="G43" s="529"/>
      <c r="H43" s="529"/>
      <c r="I43" s="530"/>
      <c r="J43" s="488"/>
      <c r="K43" s="489"/>
      <c r="L43" s="489"/>
      <c r="M43" s="489"/>
      <c r="N43" s="489"/>
      <c r="O43" s="490"/>
      <c r="P43" s="488"/>
      <c r="Q43" s="489"/>
      <c r="R43" s="489"/>
      <c r="S43" s="489"/>
      <c r="T43" s="489"/>
      <c r="U43" s="490"/>
      <c r="V43" s="497"/>
      <c r="W43" s="498"/>
      <c r="X43" s="498"/>
      <c r="Y43" s="498"/>
      <c r="Z43" s="498"/>
      <c r="AA43" s="499"/>
      <c r="AB43" s="515"/>
      <c r="AC43" s="516"/>
      <c r="AD43" s="516"/>
      <c r="AE43" s="516"/>
      <c r="AF43" s="516"/>
      <c r="AG43" s="517"/>
      <c r="AH43" s="506"/>
      <c r="AI43" s="507"/>
      <c r="AJ43" s="507"/>
      <c r="AK43" s="507"/>
      <c r="AL43" s="507"/>
      <c r="AM43" s="508"/>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35"/>
      <c r="C44" s="535"/>
      <c r="D44" s="536"/>
      <c r="E44" s="528"/>
      <c r="F44" s="529"/>
      <c r="G44" s="529"/>
      <c r="H44" s="529"/>
      <c r="I44" s="530"/>
      <c r="J44" s="488" t="str">
        <f>IF(AND('Mapa final'!$K$64="Muy Baja",'Mapa final'!$O$64="Leve"),CONCATENATE("R",'Mapa final'!$A$64),"")</f>
        <v/>
      </c>
      <c r="K44" s="489"/>
      <c r="L44" s="489" t="str">
        <f>IF(AND('Mapa final'!$K$70="Muy Baja",'Mapa final'!$O$70="Leve"),CONCATENATE("R",'Mapa final'!$A$70),"")</f>
        <v/>
      </c>
      <c r="M44" s="489"/>
      <c r="N44" s="489" t="str">
        <f>IF(AND('Mapa final'!$K$76="Muy Baja",'Mapa final'!$O$76="Leve"),CONCATENATE("R",'Mapa final'!$A$76),"")</f>
        <v/>
      </c>
      <c r="O44" s="490"/>
      <c r="P44" s="488" t="str">
        <f>IF(AND('Mapa final'!$K$64="Muy Baja",'Mapa final'!$O$64="Menor"),CONCATENATE("R",'Mapa final'!$A$64),"")</f>
        <v/>
      </c>
      <c r="Q44" s="489"/>
      <c r="R44" s="489" t="str">
        <f>IF(AND('Mapa final'!$K$70="Muy Baja",'Mapa final'!$O$70="Menor"),CONCATENATE("R",'Mapa final'!$A$70),"")</f>
        <v/>
      </c>
      <c r="S44" s="489"/>
      <c r="T44" s="489" t="str">
        <f>IF(AND('Mapa final'!$K$76="Muy Baja",'Mapa final'!$O$76="Menor"),CONCATENATE("R",'Mapa final'!$A$76),"")</f>
        <v/>
      </c>
      <c r="U44" s="490"/>
      <c r="V44" s="497" t="str">
        <f>IF(AND('Mapa final'!$K$64="Muy Baja",'Mapa final'!$O$64="Moderado"),CONCATENATE("R",'Mapa final'!$A$64),"")</f>
        <v/>
      </c>
      <c r="W44" s="498"/>
      <c r="X44" s="498" t="str">
        <f>IF(AND('Mapa final'!$K$70="Muy Baja",'Mapa final'!$O$70="Moderado"),CONCATENATE("R",'Mapa final'!$A$70),"")</f>
        <v/>
      </c>
      <c r="Y44" s="498"/>
      <c r="Z44" s="498" t="str">
        <f>IF(AND('Mapa final'!$K$76="Muy Baja",'Mapa final'!$O$76="Moderado"),CONCATENATE("R",'Mapa final'!$A$76),"")</f>
        <v/>
      </c>
      <c r="AA44" s="499"/>
      <c r="AB44" s="515" t="str">
        <f>IF(AND('Mapa final'!$K$64="Muy Baja",'Mapa final'!$O$64="Mayor"),CONCATENATE("R",'Mapa final'!$A$64),"")</f>
        <v/>
      </c>
      <c r="AC44" s="516"/>
      <c r="AD44" s="516" t="str">
        <f>IF(AND('Mapa final'!$K$70="Muy Baja",'Mapa final'!$O$70="Mayor"),CONCATENATE("R",'Mapa final'!$A$70),"")</f>
        <v/>
      </c>
      <c r="AE44" s="516"/>
      <c r="AF44" s="516" t="str">
        <f>IF(AND('Mapa final'!$K$76="Muy Baja",'Mapa final'!$O$76="Mayor"),CONCATENATE("R",'Mapa final'!$A$76),"")</f>
        <v/>
      </c>
      <c r="AG44" s="517"/>
      <c r="AH44" s="506" t="str">
        <f>IF(AND('Mapa final'!$K$64="Muy Baja",'Mapa final'!$O$64="Catastrófico"),CONCATENATE("R",'Mapa final'!$A$64),"")</f>
        <v/>
      </c>
      <c r="AI44" s="507"/>
      <c r="AJ44" s="507" t="str">
        <f>IF(AND('Mapa final'!$K$70="Muy Baja",'Mapa final'!$O$70="Catastrófico"),CONCATENATE("R",'Mapa final'!$A$70),"")</f>
        <v/>
      </c>
      <c r="AK44" s="507"/>
      <c r="AL44" s="507" t="str">
        <f>IF(AND('Mapa final'!$K$76="Muy Baja",'Mapa final'!$O$76="Catastrófico"),CONCATENATE("R",'Mapa final'!$A$76),"")</f>
        <v/>
      </c>
      <c r="AM44" s="508"/>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35"/>
      <c r="C45" s="535"/>
      <c r="D45" s="536"/>
      <c r="E45" s="531"/>
      <c r="F45" s="532"/>
      <c r="G45" s="532"/>
      <c r="H45" s="532"/>
      <c r="I45" s="533"/>
      <c r="J45" s="491"/>
      <c r="K45" s="492"/>
      <c r="L45" s="492"/>
      <c r="M45" s="492"/>
      <c r="N45" s="492"/>
      <c r="O45" s="493"/>
      <c r="P45" s="491"/>
      <c r="Q45" s="492"/>
      <c r="R45" s="492"/>
      <c r="S45" s="492"/>
      <c r="T45" s="492"/>
      <c r="U45" s="493"/>
      <c r="V45" s="500"/>
      <c r="W45" s="501"/>
      <c r="X45" s="501"/>
      <c r="Y45" s="501"/>
      <c r="Z45" s="501"/>
      <c r="AA45" s="502"/>
      <c r="AB45" s="518"/>
      <c r="AC45" s="519"/>
      <c r="AD45" s="519"/>
      <c r="AE45" s="519"/>
      <c r="AF45" s="519"/>
      <c r="AG45" s="520"/>
      <c r="AH45" s="509"/>
      <c r="AI45" s="510"/>
      <c r="AJ45" s="510"/>
      <c r="AK45" s="510"/>
      <c r="AL45" s="510"/>
      <c r="AM45" s="51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25" t="s">
        <v>106</v>
      </c>
      <c r="K46" s="526"/>
      <c r="L46" s="526"/>
      <c r="M46" s="526"/>
      <c r="N46" s="526"/>
      <c r="O46" s="527"/>
      <c r="P46" s="525" t="s">
        <v>105</v>
      </c>
      <c r="Q46" s="526"/>
      <c r="R46" s="526"/>
      <c r="S46" s="526"/>
      <c r="T46" s="526"/>
      <c r="U46" s="527"/>
      <c r="V46" s="525" t="s">
        <v>104</v>
      </c>
      <c r="W46" s="526"/>
      <c r="X46" s="526"/>
      <c r="Y46" s="526"/>
      <c r="Z46" s="526"/>
      <c r="AA46" s="527"/>
      <c r="AB46" s="525" t="s">
        <v>103</v>
      </c>
      <c r="AC46" s="534"/>
      <c r="AD46" s="526"/>
      <c r="AE46" s="526"/>
      <c r="AF46" s="526"/>
      <c r="AG46" s="527"/>
      <c r="AH46" s="525" t="s">
        <v>102</v>
      </c>
      <c r="AI46" s="526"/>
      <c r="AJ46" s="526"/>
      <c r="AK46" s="526"/>
      <c r="AL46" s="526"/>
      <c r="AM46" s="52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28"/>
      <c r="K47" s="529"/>
      <c r="L47" s="529"/>
      <c r="M47" s="529"/>
      <c r="N47" s="529"/>
      <c r="O47" s="530"/>
      <c r="P47" s="528"/>
      <c r="Q47" s="529"/>
      <c r="R47" s="529"/>
      <c r="S47" s="529"/>
      <c r="T47" s="529"/>
      <c r="U47" s="530"/>
      <c r="V47" s="528"/>
      <c r="W47" s="529"/>
      <c r="X47" s="529"/>
      <c r="Y47" s="529"/>
      <c r="Z47" s="529"/>
      <c r="AA47" s="530"/>
      <c r="AB47" s="528"/>
      <c r="AC47" s="529"/>
      <c r="AD47" s="529"/>
      <c r="AE47" s="529"/>
      <c r="AF47" s="529"/>
      <c r="AG47" s="530"/>
      <c r="AH47" s="528"/>
      <c r="AI47" s="529"/>
      <c r="AJ47" s="529"/>
      <c r="AK47" s="529"/>
      <c r="AL47" s="529"/>
      <c r="AM47" s="530"/>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28"/>
      <c r="K48" s="529"/>
      <c r="L48" s="529"/>
      <c r="M48" s="529"/>
      <c r="N48" s="529"/>
      <c r="O48" s="530"/>
      <c r="P48" s="528"/>
      <c r="Q48" s="529"/>
      <c r="R48" s="529"/>
      <c r="S48" s="529"/>
      <c r="T48" s="529"/>
      <c r="U48" s="530"/>
      <c r="V48" s="528"/>
      <c r="W48" s="529"/>
      <c r="X48" s="529"/>
      <c r="Y48" s="529"/>
      <c r="Z48" s="529"/>
      <c r="AA48" s="530"/>
      <c r="AB48" s="528"/>
      <c r="AC48" s="529"/>
      <c r="AD48" s="529"/>
      <c r="AE48" s="529"/>
      <c r="AF48" s="529"/>
      <c r="AG48" s="530"/>
      <c r="AH48" s="528"/>
      <c r="AI48" s="529"/>
      <c r="AJ48" s="529"/>
      <c r="AK48" s="529"/>
      <c r="AL48" s="529"/>
      <c r="AM48" s="530"/>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28"/>
      <c r="K49" s="529"/>
      <c r="L49" s="529"/>
      <c r="M49" s="529"/>
      <c r="N49" s="529"/>
      <c r="O49" s="530"/>
      <c r="P49" s="528"/>
      <c r="Q49" s="529"/>
      <c r="R49" s="529"/>
      <c r="S49" s="529"/>
      <c r="T49" s="529"/>
      <c r="U49" s="530"/>
      <c r="V49" s="528"/>
      <c r="W49" s="529"/>
      <c r="X49" s="529"/>
      <c r="Y49" s="529"/>
      <c r="Z49" s="529"/>
      <c r="AA49" s="530"/>
      <c r="AB49" s="528"/>
      <c r="AC49" s="529"/>
      <c r="AD49" s="529"/>
      <c r="AE49" s="529"/>
      <c r="AF49" s="529"/>
      <c r="AG49" s="530"/>
      <c r="AH49" s="528"/>
      <c r="AI49" s="529"/>
      <c r="AJ49" s="529"/>
      <c r="AK49" s="529"/>
      <c r="AL49" s="529"/>
      <c r="AM49" s="530"/>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28"/>
      <c r="K50" s="529"/>
      <c r="L50" s="529"/>
      <c r="M50" s="529"/>
      <c r="N50" s="529"/>
      <c r="O50" s="530"/>
      <c r="P50" s="528"/>
      <c r="Q50" s="529"/>
      <c r="R50" s="529"/>
      <c r="S50" s="529"/>
      <c r="T50" s="529"/>
      <c r="U50" s="530"/>
      <c r="V50" s="528"/>
      <c r="W50" s="529"/>
      <c r="X50" s="529"/>
      <c r="Y50" s="529"/>
      <c r="Z50" s="529"/>
      <c r="AA50" s="530"/>
      <c r="AB50" s="528"/>
      <c r="AC50" s="529"/>
      <c r="AD50" s="529"/>
      <c r="AE50" s="529"/>
      <c r="AF50" s="529"/>
      <c r="AG50" s="530"/>
      <c r="AH50" s="528"/>
      <c r="AI50" s="529"/>
      <c r="AJ50" s="529"/>
      <c r="AK50" s="529"/>
      <c r="AL50" s="529"/>
      <c r="AM50" s="530"/>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31"/>
      <c r="K51" s="532"/>
      <c r="L51" s="532"/>
      <c r="M51" s="532"/>
      <c r="N51" s="532"/>
      <c r="O51" s="533"/>
      <c r="P51" s="531"/>
      <c r="Q51" s="532"/>
      <c r="R51" s="532"/>
      <c r="S51" s="532"/>
      <c r="T51" s="532"/>
      <c r="U51" s="533"/>
      <c r="V51" s="531"/>
      <c r="W51" s="532"/>
      <c r="X51" s="532"/>
      <c r="Y51" s="532"/>
      <c r="Z51" s="532"/>
      <c r="AA51" s="533"/>
      <c r="AB51" s="531"/>
      <c r="AC51" s="532"/>
      <c r="AD51" s="532"/>
      <c r="AE51" s="532"/>
      <c r="AF51" s="532"/>
      <c r="AG51" s="533"/>
      <c r="AH51" s="531"/>
      <c r="AI51" s="532"/>
      <c r="AJ51" s="532"/>
      <c r="AK51" s="532"/>
      <c r="AL51" s="532"/>
      <c r="AM51" s="533"/>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AW46" sqref="AW46"/>
    </sheetView>
  </sheetViews>
  <sheetFormatPr baseColWidth="10" defaultRowHeight="14.4" x14ac:dyDescent="0.3"/>
  <cols>
    <col min="2" max="18" width="5.5546875" customWidth="1"/>
    <col min="19" max="19" width="8.44140625" customWidth="1"/>
    <col min="20" max="23" width="5.5546875" customWidth="1"/>
    <col min="24" max="24" width="8.5546875" customWidth="1"/>
    <col min="25" max="26" width="5.5546875" customWidth="1"/>
    <col min="27" max="27" width="10.5546875" customWidth="1"/>
    <col min="28" max="28" width="5.5546875" customWidth="1"/>
    <col min="29" max="29" width="7.44140625" customWidth="1"/>
    <col min="30" max="33" width="5.5546875" customWidth="1"/>
    <col min="34" max="34" width="8.5546875" customWidth="1"/>
    <col min="35" max="39" width="5.5546875" customWidth="1"/>
    <col min="41" max="46" width="5.554687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02" t="s">
        <v>148</v>
      </c>
      <c r="C2" s="603"/>
      <c r="D2" s="603"/>
      <c r="E2" s="603"/>
      <c r="F2" s="603"/>
      <c r="G2" s="603"/>
      <c r="H2" s="603"/>
      <c r="I2" s="603"/>
      <c r="J2" s="524" t="s">
        <v>2</v>
      </c>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3"/>
      <c r="C3" s="603"/>
      <c r="D3" s="603"/>
      <c r="E3" s="603"/>
      <c r="F3" s="603"/>
      <c r="G3" s="603"/>
      <c r="H3" s="603"/>
      <c r="I3" s="603"/>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3"/>
      <c r="C4" s="603"/>
      <c r="D4" s="603"/>
      <c r="E4" s="603"/>
      <c r="F4" s="603"/>
      <c r="G4" s="603"/>
      <c r="H4" s="603"/>
      <c r="I4" s="603"/>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35" t="s">
        <v>4</v>
      </c>
      <c r="C6" s="535"/>
      <c r="D6" s="536"/>
      <c r="E6" s="573" t="s">
        <v>110</v>
      </c>
      <c r="F6" s="574"/>
      <c r="G6" s="574"/>
      <c r="H6" s="574"/>
      <c r="I6" s="575"/>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93" t="s">
        <v>77</v>
      </c>
      <c r="AP6" s="594"/>
      <c r="AQ6" s="594"/>
      <c r="AR6" s="594"/>
      <c r="AS6" s="594"/>
      <c r="AT6" s="59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35"/>
      <c r="C7" s="535"/>
      <c r="D7" s="536"/>
      <c r="E7" s="576"/>
      <c r="F7" s="577"/>
      <c r="G7" s="577"/>
      <c r="H7" s="577"/>
      <c r="I7" s="578"/>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96"/>
      <c r="AP7" s="597"/>
      <c r="AQ7" s="597"/>
      <c r="AR7" s="597"/>
      <c r="AS7" s="597"/>
      <c r="AT7" s="59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35"/>
      <c r="C8" s="535"/>
      <c r="D8" s="536"/>
      <c r="E8" s="576"/>
      <c r="F8" s="577"/>
      <c r="G8" s="577"/>
      <c r="H8" s="577"/>
      <c r="I8" s="578"/>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96"/>
      <c r="AP8" s="597"/>
      <c r="AQ8" s="597"/>
      <c r="AR8" s="597"/>
      <c r="AS8" s="597"/>
      <c r="AT8" s="59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35"/>
      <c r="C9" s="535"/>
      <c r="D9" s="536"/>
      <c r="E9" s="576"/>
      <c r="F9" s="577"/>
      <c r="G9" s="577"/>
      <c r="H9" s="577"/>
      <c r="I9" s="578"/>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96"/>
      <c r="AP9" s="597"/>
      <c r="AQ9" s="597"/>
      <c r="AR9" s="597"/>
      <c r="AS9" s="597"/>
      <c r="AT9" s="59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35"/>
      <c r="C10" s="535"/>
      <c r="D10" s="536"/>
      <c r="E10" s="576"/>
      <c r="F10" s="577"/>
      <c r="G10" s="577"/>
      <c r="H10" s="577"/>
      <c r="I10" s="578"/>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96"/>
      <c r="AP10" s="597"/>
      <c r="AQ10" s="597"/>
      <c r="AR10" s="597"/>
      <c r="AS10" s="597"/>
      <c r="AT10" s="59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35"/>
      <c r="C11" s="535"/>
      <c r="D11" s="536"/>
      <c r="E11" s="576"/>
      <c r="F11" s="577"/>
      <c r="G11" s="577"/>
      <c r="H11" s="577"/>
      <c r="I11" s="578"/>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96"/>
      <c r="AP11" s="597"/>
      <c r="AQ11" s="597"/>
      <c r="AR11" s="597"/>
      <c r="AS11" s="597"/>
      <c r="AT11" s="59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35"/>
      <c r="C12" s="535"/>
      <c r="D12" s="536"/>
      <c r="E12" s="576"/>
      <c r="F12" s="577"/>
      <c r="G12" s="577"/>
      <c r="H12" s="577"/>
      <c r="I12" s="578"/>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96"/>
      <c r="AP12" s="597"/>
      <c r="AQ12" s="597"/>
      <c r="AR12" s="597"/>
      <c r="AS12" s="597"/>
      <c r="AT12" s="59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35"/>
      <c r="C13" s="535"/>
      <c r="D13" s="536"/>
      <c r="E13" s="576"/>
      <c r="F13" s="577"/>
      <c r="G13" s="577"/>
      <c r="H13" s="577"/>
      <c r="I13" s="578"/>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96"/>
      <c r="AP13" s="597"/>
      <c r="AQ13" s="597"/>
      <c r="AR13" s="597"/>
      <c r="AS13" s="597"/>
      <c r="AT13" s="59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35"/>
      <c r="C14" s="535"/>
      <c r="D14" s="536"/>
      <c r="E14" s="576"/>
      <c r="F14" s="577"/>
      <c r="G14" s="577"/>
      <c r="H14" s="577"/>
      <c r="I14" s="578"/>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96"/>
      <c r="AP14" s="597"/>
      <c r="AQ14" s="597"/>
      <c r="AR14" s="597"/>
      <c r="AS14" s="597"/>
      <c r="AT14" s="59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35"/>
      <c r="C15" s="535"/>
      <c r="D15" s="536"/>
      <c r="E15" s="579"/>
      <c r="F15" s="580"/>
      <c r="G15" s="580"/>
      <c r="H15" s="580"/>
      <c r="I15" s="581"/>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99"/>
      <c r="AP15" s="600"/>
      <c r="AQ15" s="600"/>
      <c r="AR15" s="600"/>
      <c r="AS15" s="600"/>
      <c r="AT15" s="60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35"/>
      <c r="C16" s="535"/>
      <c r="D16" s="536"/>
      <c r="E16" s="573" t="s">
        <v>109</v>
      </c>
      <c r="F16" s="574"/>
      <c r="G16" s="574"/>
      <c r="H16" s="574"/>
      <c r="I16" s="574"/>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83" t="s">
        <v>78</v>
      </c>
      <c r="AP16" s="584"/>
      <c r="AQ16" s="584"/>
      <c r="AR16" s="584"/>
      <c r="AS16" s="584"/>
      <c r="AT16" s="58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35"/>
      <c r="C17" s="535"/>
      <c r="D17" s="536"/>
      <c r="E17" s="592"/>
      <c r="F17" s="577"/>
      <c r="G17" s="577"/>
      <c r="H17" s="577"/>
      <c r="I17" s="577"/>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86"/>
      <c r="AP17" s="587"/>
      <c r="AQ17" s="587"/>
      <c r="AR17" s="587"/>
      <c r="AS17" s="587"/>
      <c r="AT17" s="58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35"/>
      <c r="C18" s="535"/>
      <c r="D18" s="536"/>
      <c r="E18" s="576"/>
      <c r="F18" s="577"/>
      <c r="G18" s="577"/>
      <c r="H18" s="577"/>
      <c r="I18" s="577"/>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86"/>
      <c r="AP18" s="587"/>
      <c r="AQ18" s="587"/>
      <c r="AR18" s="587"/>
      <c r="AS18" s="587"/>
      <c r="AT18" s="58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35"/>
      <c r="C19" s="535"/>
      <c r="D19" s="536"/>
      <c r="E19" s="576"/>
      <c r="F19" s="577"/>
      <c r="G19" s="577"/>
      <c r="H19" s="577"/>
      <c r="I19" s="577"/>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86"/>
      <c r="AP19" s="587"/>
      <c r="AQ19" s="587"/>
      <c r="AR19" s="587"/>
      <c r="AS19" s="587"/>
      <c r="AT19" s="58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35"/>
      <c r="C20" s="535"/>
      <c r="D20" s="536"/>
      <c r="E20" s="576"/>
      <c r="F20" s="577"/>
      <c r="G20" s="577"/>
      <c r="H20" s="577"/>
      <c r="I20" s="577"/>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86"/>
      <c r="AP20" s="587"/>
      <c r="AQ20" s="587"/>
      <c r="AR20" s="587"/>
      <c r="AS20" s="587"/>
      <c r="AT20" s="58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35"/>
      <c r="C21" s="535"/>
      <c r="D21" s="536"/>
      <c r="E21" s="576"/>
      <c r="F21" s="577"/>
      <c r="G21" s="577"/>
      <c r="H21" s="577"/>
      <c r="I21" s="577"/>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86"/>
      <c r="AP21" s="587"/>
      <c r="AQ21" s="587"/>
      <c r="AR21" s="587"/>
      <c r="AS21" s="587"/>
      <c r="AT21" s="58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35"/>
      <c r="C22" s="535"/>
      <c r="D22" s="536"/>
      <c r="E22" s="576"/>
      <c r="F22" s="577"/>
      <c r="G22" s="577"/>
      <c r="H22" s="577"/>
      <c r="I22" s="577"/>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86"/>
      <c r="AP22" s="587"/>
      <c r="AQ22" s="587"/>
      <c r="AR22" s="587"/>
      <c r="AS22" s="587"/>
      <c r="AT22" s="58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35"/>
      <c r="C23" s="535"/>
      <c r="D23" s="536"/>
      <c r="E23" s="576"/>
      <c r="F23" s="577"/>
      <c r="G23" s="577"/>
      <c r="H23" s="577"/>
      <c r="I23" s="577"/>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86"/>
      <c r="AP23" s="587"/>
      <c r="AQ23" s="587"/>
      <c r="AR23" s="587"/>
      <c r="AS23" s="587"/>
      <c r="AT23" s="58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35"/>
      <c r="C24" s="535"/>
      <c r="D24" s="536"/>
      <c r="E24" s="576"/>
      <c r="F24" s="577"/>
      <c r="G24" s="577"/>
      <c r="H24" s="577"/>
      <c r="I24" s="577"/>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86"/>
      <c r="AP24" s="587"/>
      <c r="AQ24" s="587"/>
      <c r="AR24" s="587"/>
      <c r="AS24" s="587"/>
      <c r="AT24" s="58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35"/>
      <c r="C25" s="535"/>
      <c r="D25" s="536"/>
      <c r="E25" s="579"/>
      <c r="F25" s="580"/>
      <c r="G25" s="580"/>
      <c r="H25" s="580"/>
      <c r="I25" s="580"/>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89"/>
      <c r="AP25" s="590"/>
      <c r="AQ25" s="590"/>
      <c r="AR25" s="590"/>
      <c r="AS25" s="590"/>
      <c r="AT25" s="59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35"/>
      <c r="C26" s="535"/>
      <c r="D26" s="536"/>
      <c r="E26" s="573" t="s">
        <v>111</v>
      </c>
      <c r="F26" s="574"/>
      <c r="G26" s="574"/>
      <c r="H26" s="574"/>
      <c r="I26" s="575"/>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R1C1</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13" t="s">
        <v>79</v>
      </c>
      <c r="AP26" s="614"/>
      <c r="AQ26" s="614"/>
      <c r="AR26" s="614"/>
      <c r="AS26" s="614"/>
      <c r="AT26" s="61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35"/>
      <c r="C27" s="535"/>
      <c r="D27" s="536"/>
      <c r="E27" s="592"/>
      <c r="F27" s="577"/>
      <c r="G27" s="577"/>
      <c r="H27" s="577"/>
      <c r="I27" s="578"/>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16"/>
      <c r="AP27" s="617"/>
      <c r="AQ27" s="617"/>
      <c r="AR27" s="617"/>
      <c r="AS27" s="617"/>
      <c r="AT27" s="61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35"/>
      <c r="C28" s="535"/>
      <c r="D28" s="536"/>
      <c r="E28" s="576"/>
      <c r="F28" s="577"/>
      <c r="G28" s="577"/>
      <c r="H28" s="577"/>
      <c r="I28" s="578"/>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16"/>
      <c r="AP28" s="617"/>
      <c r="AQ28" s="617"/>
      <c r="AR28" s="617"/>
      <c r="AS28" s="617"/>
      <c r="AT28" s="61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35"/>
      <c r="C29" s="535"/>
      <c r="D29" s="536"/>
      <c r="E29" s="576"/>
      <c r="F29" s="577"/>
      <c r="G29" s="577"/>
      <c r="H29" s="577"/>
      <c r="I29" s="578"/>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16"/>
      <c r="AP29" s="617"/>
      <c r="AQ29" s="617"/>
      <c r="AR29" s="617"/>
      <c r="AS29" s="617"/>
      <c r="AT29" s="61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35"/>
      <c r="C30" s="535"/>
      <c r="D30" s="536"/>
      <c r="E30" s="576"/>
      <c r="F30" s="577"/>
      <c r="G30" s="577"/>
      <c r="H30" s="577"/>
      <c r="I30" s="578"/>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16"/>
      <c r="AP30" s="617"/>
      <c r="AQ30" s="617"/>
      <c r="AR30" s="617"/>
      <c r="AS30" s="617"/>
      <c r="AT30" s="61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35"/>
      <c r="C31" s="535"/>
      <c r="D31" s="536"/>
      <c r="E31" s="576"/>
      <c r="F31" s="577"/>
      <c r="G31" s="577"/>
      <c r="H31" s="577"/>
      <c r="I31" s="578"/>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16"/>
      <c r="AP31" s="617"/>
      <c r="AQ31" s="617"/>
      <c r="AR31" s="617"/>
      <c r="AS31" s="617"/>
      <c r="AT31" s="61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35"/>
      <c r="C32" s="535"/>
      <c r="D32" s="536"/>
      <c r="E32" s="576"/>
      <c r="F32" s="577"/>
      <c r="G32" s="577"/>
      <c r="H32" s="577"/>
      <c r="I32" s="578"/>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16"/>
      <c r="AP32" s="617"/>
      <c r="AQ32" s="617"/>
      <c r="AR32" s="617"/>
      <c r="AS32" s="617"/>
      <c r="AT32" s="61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35"/>
      <c r="C33" s="535"/>
      <c r="D33" s="536"/>
      <c r="E33" s="576"/>
      <c r="F33" s="577"/>
      <c r="G33" s="577"/>
      <c r="H33" s="577"/>
      <c r="I33" s="578"/>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16"/>
      <c r="AP33" s="617"/>
      <c r="AQ33" s="617"/>
      <c r="AR33" s="617"/>
      <c r="AS33" s="617"/>
      <c r="AT33" s="61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35"/>
      <c r="C34" s="535"/>
      <c r="D34" s="536"/>
      <c r="E34" s="576"/>
      <c r="F34" s="577"/>
      <c r="G34" s="577"/>
      <c r="H34" s="577"/>
      <c r="I34" s="578"/>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16"/>
      <c r="AP34" s="617"/>
      <c r="AQ34" s="617"/>
      <c r="AR34" s="617"/>
      <c r="AS34" s="617"/>
      <c r="AT34" s="61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35"/>
      <c r="C35" s="535"/>
      <c r="D35" s="536"/>
      <c r="E35" s="579"/>
      <c r="F35" s="580"/>
      <c r="G35" s="580"/>
      <c r="H35" s="580"/>
      <c r="I35" s="581"/>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19"/>
      <c r="AP35" s="620"/>
      <c r="AQ35" s="620"/>
      <c r="AR35" s="620"/>
      <c r="AS35" s="620"/>
      <c r="AT35" s="62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35"/>
      <c r="C36" s="535"/>
      <c r="D36" s="536"/>
      <c r="E36" s="573" t="s">
        <v>108</v>
      </c>
      <c r="F36" s="574"/>
      <c r="G36" s="574"/>
      <c r="H36" s="574"/>
      <c r="I36" s="574"/>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04" t="s">
        <v>80</v>
      </c>
      <c r="AP36" s="605"/>
      <c r="AQ36" s="605"/>
      <c r="AR36" s="605"/>
      <c r="AS36" s="605"/>
      <c r="AT36" s="60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35"/>
      <c r="C37" s="535"/>
      <c r="D37" s="536"/>
      <c r="E37" s="592"/>
      <c r="F37" s="577"/>
      <c r="G37" s="577"/>
      <c r="H37" s="577"/>
      <c r="I37" s="577"/>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R2C1</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07"/>
      <c r="AP37" s="608"/>
      <c r="AQ37" s="608"/>
      <c r="AR37" s="608"/>
      <c r="AS37" s="608"/>
      <c r="AT37" s="60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35"/>
      <c r="C38" s="535"/>
      <c r="D38" s="536"/>
      <c r="E38" s="576"/>
      <c r="F38" s="577"/>
      <c r="G38" s="577"/>
      <c r="H38" s="577"/>
      <c r="I38" s="577"/>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07"/>
      <c r="AP38" s="608"/>
      <c r="AQ38" s="608"/>
      <c r="AR38" s="608"/>
      <c r="AS38" s="608"/>
      <c r="AT38" s="609"/>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35"/>
      <c r="C39" s="535"/>
      <c r="D39" s="536"/>
      <c r="E39" s="576"/>
      <c r="F39" s="577"/>
      <c r="G39" s="577"/>
      <c r="H39" s="577"/>
      <c r="I39" s="577"/>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07"/>
      <c r="AP39" s="608"/>
      <c r="AQ39" s="608"/>
      <c r="AR39" s="608"/>
      <c r="AS39" s="608"/>
      <c r="AT39" s="609"/>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35"/>
      <c r="C40" s="535"/>
      <c r="D40" s="536"/>
      <c r="E40" s="576"/>
      <c r="F40" s="577"/>
      <c r="G40" s="577"/>
      <c r="H40" s="577"/>
      <c r="I40" s="577"/>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07"/>
      <c r="AP40" s="608"/>
      <c r="AQ40" s="608"/>
      <c r="AR40" s="608"/>
      <c r="AS40" s="608"/>
      <c r="AT40" s="609"/>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35"/>
      <c r="C41" s="535"/>
      <c r="D41" s="536"/>
      <c r="E41" s="576"/>
      <c r="F41" s="577"/>
      <c r="G41" s="577"/>
      <c r="H41" s="577"/>
      <c r="I41" s="577"/>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07"/>
      <c r="AP41" s="608"/>
      <c r="AQ41" s="608"/>
      <c r="AR41" s="608"/>
      <c r="AS41" s="608"/>
      <c r="AT41" s="609"/>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35"/>
      <c r="C42" s="535"/>
      <c r="D42" s="536"/>
      <c r="E42" s="576"/>
      <c r="F42" s="577"/>
      <c r="G42" s="577"/>
      <c r="H42" s="577"/>
      <c r="I42" s="577"/>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07"/>
      <c r="AP42" s="608"/>
      <c r="AQ42" s="608"/>
      <c r="AR42" s="608"/>
      <c r="AS42" s="608"/>
      <c r="AT42" s="609"/>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35"/>
      <c r="C43" s="535"/>
      <c r="D43" s="536"/>
      <c r="E43" s="576"/>
      <c r="F43" s="577"/>
      <c r="G43" s="577"/>
      <c r="H43" s="577"/>
      <c r="I43" s="577"/>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07"/>
      <c r="AP43" s="608"/>
      <c r="AQ43" s="608"/>
      <c r="AR43" s="608"/>
      <c r="AS43" s="608"/>
      <c r="AT43" s="609"/>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35"/>
      <c r="C44" s="535"/>
      <c r="D44" s="536"/>
      <c r="E44" s="576"/>
      <c r="F44" s="577"/>
      <c r="G44" s="577"/>
      <c r="H44" s="577"/>
      <c r="I44" s="577"/>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07"/>
      <c r="AP44" s="608"/>
      <c r="AQ44" s="608"/>
      <c r="AR44" s="608"/>
      <c r="AS44" s="608"/>
      <c r="AT44" s="609"/>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35"/>
      <c r="C45" s="535"/>
      <c r="D45" s="536"/>
      <c r="E45" s="579"/>
      <c r="F45" s="580"/>
      <c r="G45" s="580"/>
      <c r="H45" s="580"/>
      <c r="I45" s="580"/>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10"/>
      <c r="AP45" s="611"/>
      <c r="AQ45" s="611"/>
      <c r="AR45" s="611"/>
      <c r="AS45" s="611"/>
      <c r="AT45" s="612"/>
    </row>
    <row r="46" spans="1:80" ht="46.5" customHeight="1" x14ac:dyDescent="0.45">
      <c r="A46" s="67"/>
      <c r="B46" s="535"/>
      <c r="C46" s="535"/>
      <c r="D46" s="536"/>
      <c r="E46" s="573" t="s">
        <v>107</v>
      </c>
      <c r="F46" s="574"/>
      <c r="G46" s="574"/>
      <c r="H46" s="574"/>
      <c r="I46" s="575"/>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35"/>
      <c r="C47" s="535"/>
      <c r="D47" s="536"/>
      <c r="E47" s="592"/>
      <c r="F47" s="577"/>
      <c r="G47" s="577"/>
      <c r="H47" s="577"/>
      <c r="I47" s="578"/>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R2C2</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35"/>
      <c r="C48" s="535"/>
      <c r="D48" s="536"/>
      <c r="E48" s="592"/>
      <c r="F48" s="577"/>
      <c r="G48" s="577"/>
      <c r="H48" s="577"/>
      <c r="I48" s="578"/>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35"/>
      <c r="C49" s="535"/>
      <c r="D49" s="536"/>
      <c r="E49" s="576"/>
      <c r="F49" s="577"/>
      <c r="G49" s="577"/>
      <c r="H49" s="577"/>
      <c r="I49" s="578"/>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35"/>
      <c r="C50" s="535"/>
      <c r="D50" s="536"/>
      <c r="E50" s="576"/>
      <c r="F50" s="577"/>
      <c r="G50" s="577"/>
      <c r="H50" s="577"/>
      <c r="I50" s="578"/>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35"/>
      <c r="C51" s="535"/>
      <c r="D51" s="536"/>
      <c r="E51" s="576"/>
      <c r="F51" s="577"/>
      <c r="G51" s="577"/>
      <c r="H51" s="577"/>
      <c r="I51" s="578"/>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35"/>
      <c r="C52" s="535"/>
      <c r="D52" s="536"/>
      <c r="E52" s="576"/>
      <c r="F52" s="577"/>
      <c r="G52" s="577"/>
      <c r="H52" s="577"/>
      <c r="I52" s="578"/>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35"/>
      <c r="C53" s="535"/>
      <c r="D53" s="536"/>
      <c r="E53" s="576"/>
      <c r="F53" s="577"/>
      <c r="G53" s="577"/>
      <c r="H53" s="577"/>
      <c r="I53" s="578"/>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35"/>
      <c r="C54" s="535"/>
      <c r="D54" s="536"/>
      <c r="E54" s="576"/>
      <c r="F54" s="577"/>
      <c r="G54" s="577"/>
      <c r="H54" s="577"/>
      <c r="I54" s="578"/>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35"/>
      <c r="C55" s="535"/>
      <c r="D55" s="536"/>
      <c r="E55" s="579"/>
      <c r="F55" s="580"/>
      <c r="G55" s="580"/>
      <c r="H55" s="580"/>
      <c r="I55" s="581"/>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73" t="s">
        <v>106</v>
      </c>
      <c r="K56" s="574"/>
      <c r="L56" s="574"/>
      <c r="M56" s="574"/>
      <c r="N56" s="574"/>
      <c r="O56" s="575"/>
      <c r="P56" s="573" t="s">
        <v>105</v>
      </c>
      <c r="Q56" s="574"/>
      <c r="R56" s="574"/>
      <c r="S56" s="574"/>
      <c r="T56" s="574"/>
      <c r="U56" s="575"/>
      <c r="V56" s="573" t="s">
        <v>104</v>
      </c>
      <c r="W56" s="574"/>
      <c r="X56" s="574"/>
      <c r="Y56" s="574"/>
      <c r="Z56" s="574"/>
      <c r="AA56" s="575"/>
      <c r="AB56" s="573" t="s">
        <v>103</v>
      </c>
      <c r="AC56" s="582"/>
      <c r="AD56" s="574"/>
      <c r="AE56" s="574"/>
      <c r="AF56" s="574"/>
      <c r="AG56" s="575"/>
      <c r="AH56" s="573" t="s">
        <v>102</v>
      </c>
      <c r="AI56" s="574"/>
      <c r="AJ56" s="574"/>
      <c r="AK56" s="574"/>
      <c r="AL56" s="574"/>
      <c r="AM56" s="575"/>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76"/>
      <c r="K57" s="577"/>
      <c r="L57" s="577"/>
      <c r="M57" s="577"/>
      <c r="N57" s="577"/>
      <c r="O57" s="578"/>
      <c r="P57" s="576"/>
      <c r="Q57" s="577"/>
      <c r="R57" s="577"/>
      <c r="S57" s="577"/>
      <c r="T57" s="577"/>
      <c r="U57" s="578"/>
      <c r="V57" s="576"/>
      <c r="W57" s="577"/>
      <c r="X57" s="577"/>
      <c r="Y57" s="577"/>
      <c r="Z57" s="577"/>
      <c r="AA57" s="578"/>
      <c r="AB57" s="576"/>
      <c r="AC57" s="577"/>
      <c r="AD57" s="577"/>
      <c r="AE57" s="577"/>
      <c r="AF57" s="577"/>
      <c r="AG57" s="578"/>
      <c r="AH57" s="576"/>
      <c r="AI57" s="577"/>
      <c r="AJ57" s="577"/>
      <c r="AK57" s="577"/>
      <c r="AL57" s="577"/>
      <c r="AM57" s="578"/>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76"/>
      <c r="K58" s="577"/>
      <c r="L58" s="577"/>
      <c r="M58" s="577"/>
      <c r="N58" s="577"/>
      <c r="O58" s="578"/>
      <c r="P58" s="576"/>
      <c r="Q58" s="577"/>
      <c r="R58" s="577"/>
      <c r="S58" s="577"/>
      <c r="T58" s="577"/>
      <c r="U58" s="578"/>
      <c r="V58" s="576"/>
      <c r="W58" s="577"/>
      <c r="X58" s="577"/>
      <c r="Y58" s="577"/>
      <c r="Z58" s="577"/>
      <c r="AA58" s="578"/>
      <c r="AB58" s="576"/>
      <c r="AC58" s="577"/>
      <c r="AD58" s="577"/>
      <c r="AE58" s="577"/>
      <c r="AF58" s="577"/>
      <c r="AG58" s="578"/>
      <c r="AH58" s="576"/>
      <c r="AI58" s="577"/>
      <c r="AJ58" s="577"/>
      <c r="AK58" s="577"/>
      <c r="AL58" s="577"/>
      <c r="AM58" s="578"/>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76"/>
      <c r="K59" s="577"/>
      <c r="L59" s="577"/>
      <c r="M59" s="577"/>
      <c r="N59" s="577"/>
      <c r="O59" s="578"/>
      <c r="P59" s="576"/>
      <c r="Q59" s="577"/>
      <c r="R59" s="577"/>
      <c r="S59" s="577"/>
      <c r="T59" s="577"/>
      <c r="U59" s="578"/>
      <c r="V59" s="576"/>
      <c r="W59" s="577"/>
      <c r="X59" s="577"/>
      <c r="Y59" s="577"/>
      <c r="Z59" s="577"/>
      <c r="AA59" s="578"/>
      <c r="AB59" s="576"/>
      <c r="AC59" s="577"/>
      <c r="AD59" s="577"/>
      <c r="AE59" s="577"/>
      <c r="AF59" s="577"/>
      <c r="AG59" s="578"/>
      <c r="AH59" s="576"/>
      <c r="AI59" s="577"/>
      <c r="AJ59" s="577"/>
      <c r="AK59" s="577"/>
      <c r="AL59" s="577"/>
      <c r="AM59" s="578"/>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76"/>
      <c r="K60" s="577"/>
      <c r="L60" s="577"/>
      <c r="M60" s="577"/>
      <c r="N60" s="577"/>
      <c r="O60" s="578"/>
      <c r="P60" s="576"/>
      <c r="Q60" s="577"/>
      <c r="R60" s="577"/>
      <c r="S60" s="577"/>
      <c r="T60" s="577"/>
      <c r="U60" s="578"/>
      <c r="V60" s="576"/>
      <c r="W60" s="577"/>
      <c r="X60" s="577"/>
      <c r="Y60" s="577"/>
      <c r="Z60" s="577"/>
      <c r="AA60" s="578"/>
      <c r="AB60" s="576"/>
      <c r="AC60" s="577"/>
      <c r="AD60" s="577"/>
      <c r="AE60" s="577"/>
      <c r="AF60" s="577"/>
      <c r="AG60" s="578"/>
      <c r="AH60" s="576"/>
      <c r="AI60" s="577"/>
      <c r="AJ60" s="577"/>
      <c r="AK60" s="577"/>
      <c r="AL60" s="577"/>
      <c r="AM60" s="578"/>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79"/>
      <c r="K61" s="580"/>
      <c r="L61" s="580"/>
      <c r="M61" s="580"/>
      <c r="N61" s="580"/>
      <c r="O61" s="581"/>
      <c r="P61" s="579"/>
      <c r="Q61" s="580"/>
      <c r="R61" s="580"/>
      <c r="S61" s="580"/>
      <c r="T61" s="580"/>
      <c r="U61" s="581"/>
      <c r="V61" s="579"/>
      <c r="W61" s="580"/>
      <c r="X61" s="580"/>
      <c r="Y61" s="580"/>
      <c r="Z61" s="580"/>
      <c r="AA61" s="581"/>
      <c r="AB61" s="579"/>
      <c r="AC61" s="580"/>
      <c r="AD61" s="580"/>
      <c r="AE61" s="580"/>
      <c r="AF61" s="580"/>
      <c r="AG61" s="581"/>
      <c r="AH61" s="579"/>
      <c r="AI61" s="580"/>
      <c r="AJ61" s="580"/>
      <c r="AK61" s="580"/>
      <c r="AL61" s="580"/>
      <c r="AM61" s="581"/>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C6" sqref="C6"/>
    </sheetView>
  </sheetViews>
  <sheetFormatPr baseColWidth="10" defaultRowHeight="14.4" x14ac:dyDescent="0.3"/>
  <cols>
    <col min="2" max="2" width="24.21875" customWidth="1"/>
    <col min="3" max="3" width="70.21875" customWidth="1"/>
    <col min="4" max="4" width="29.77734375" customWidth="1"/>
  </cols>
  <sheetData>
    <row r="1" spans="1:37" ht="23.4" x14ac:dyDescent="0.3">
      <c r="A1" s="67"/>
      <c r="B1" s="622" t="s">
        <v>54</v>
      </c>
      <c r="C1" s="622"/>
      <c r="D1" s="622"/>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topLeftCell="A2" zoomScale="70" zoomScaleNormal="70" workbookViewId="0">
      <selection activeCell="D6" sqref="D6"/>
    </sheetView>
  </sheetViews>
  <sheetFormatPr baseColWidth="10" defaultColWidth="11.44140625" defaultRowHeight="14.4" x14ac:dyDescent="0.3"/>
  <cols>
    <col min="1" max="1" width="11.44140625" style="22"/>
    <col min="2" max="2" width="40.44140625" style="22" customWidth="1"/>
    <col min="3" max="3" width="74.77734375" style="22" customWidth="1"/>
    <col min="4" max="4" width="135" style="22" bestFit="1" customWidth="1"/>
    <col min="5" max="5" width="137.77734375" style="22" customWidth="1"/>
    <col min="6" max="16384" width="11.44140625" style="22"/>
  </cols>
  <sheetData>
    <row r="1" spans="1:21" ht="32.4" x14ac:dyDescent="0.3">
      <c r="A1" s="89"/>
      <c r="B1" s="623" t="s">
        <v>61</v>
      </c>
      <c r="C1" s="623"/>
      <c r="D1" s="623"/>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55</v>
      </c>
      <c r="D3" s="126" t="s">
        <v>56</v>
      </c>
      <c r="E3" s="89"/>
      <c r="F3" s="89"/>
      <c r="G3" s="89"/>
      <c r="H3" s="89"/>
      <c r="I3" s="89"/>
      <c r="J3" s="89"/>
      <c r="K3" s="89"/>
      <c r="L3" s="89"/>
      <c r="M3" s="89"/>
      <c r="N3" s="89"/>
      <c r="O3" s="89"/>
      <c r="P3" s="89"/>
      <c r="Q3" s="89"/>
      <c r="R3" s="89"/>
      <c r="S3" s="89"/>
      <c r="T3" s="89"/>
      <c r="U3" s="89"/>
    </row>
    <row r="4" spans="1:21" ht="32.4" x14ac:dyDescent="0.3">
      <c r="A4" s="89" t="s">
        <v>81</v>
      </c>
      <c r="B4" s="127" t="s">
        <v>95</v>
      </c>
      <c r="C4" s="128" t="s">
        <v>204</v>
      </c>
      <c r="D4" s="129" t="s">
        <v>91</v>
      </c>
      <c r="E4" s="89"/>
      <c r="F4" s="89"/>
      <c r="G4" s="89"/>
      <c r="H4" s="89"/>
      <c r="I4" s="89"/>
      <c r="J4" s="89"/>
      <c r="K4" s="89"/>
      <c r="L4" s="89"/>
      <c r="M4" s="89"/>
      <c r="N4" s="89"/>
      <c r="O4" s="89"/>
      <c r="P4" s="89"/>
      <c r="Q4" s="89"/>
      <c r="R4" s="89"/>
      <c r="S4" s="89"/>
      <c r="T4" s="89"/>
      <c r="U4" s="89"/>
    </row>
    <row r="5" spans="1:21" ht="64.8" x14ac:dyDescent="0.3">
      <c r="A5" s="89" t="s">
        <v>82</v>
      </c>
      <c r="B5" s="130" t="s">
        <v>57</v>
      </c>
      <c r="C5" s="131" t="s">
        <v>205</v>
      </c>
      <c r="D5" s="132" t="s">
        <v>92</v>
      </c>
      <c r="E5" s="89"/>
      <c r="F5" s="89"/>
      <c r="G5" s="89"/>
      <c r="H5" s="89"/>
      <c r="I5" s="89"/>
      <c r="J5" s="89"/>
      <c r="K5" s="89"/>
      <c r="L5" s="89"/>
      <c r="M5" s="89"/>
      <c r="N5" s="89"/>
      <c r="O5" s="89"/>
      <c r="P5" s="89"/>
      <c r="Q5" s="89"/>
      <c r="R5" s="89"/>
      <c r="S5" s="89"/>
      <c r="T5" s="89"/>
      <c r="U5" s="89"/>
    </row>
    <row r="6" spans="1:21" ht="64.8" x14ac:dyDescent="0.3">
      <c r="A6" s="89" t="s">
        <v>79</v>
      </c>
      <c r="B6" s="133" t="s">
        <v>58</v>
      </c>
      <c r="C6" s="131" t="s">
        <v>209</v>
      </c>
      <c r="D6" s="132" t="s">
        <v>94</v>
      </c>
      <c r="E6" s="89"/>
      <c r="F6" s="89"/>
      <c r="G6" s="89"/>
      <c r="H6" s="89"/>
      <c r="I6" s="89"/>
      <c r="J6" s="89"/>
      <c r="K6" s="89"/>
      <c r="L6" s="89"/>
      <c r="M6" s="89"/>
      <c r="N6" s="89"/>
      <c r="O6" s="89"/>
      <c r="P6" s="89"/>
      <c r="Q6" s="89"/>
      <c r="R6" s="89"/>
      <c r="S6" s="89"/>
      <c r="T6" s="89"/>
      <c r="U6" s="89"/>
    </row>
    <row r="7" spans="1:21" ht="97.2" x14ac:dyDescent="0.3">
      <c r="A7" s="89" t="s">
        <v>7</v>
      </c>
      <c r="B7" s="134" t="s">
        <v>59</v>
      </c>
      <c r="C7" s="131" t="s">
        <v>210</v>
      </c>
      <c r="D7" s="132" t="s">
        <v>93</v>
      </c>
      <c r="E7" s="89"/>
      <c r="F7" s="89"/>
      <c r="G7" s="89"/>
      <c r="H7" s="89"/>
      <c r="I7" s="89"/>
      <c r="J7" s="89"/>
      <c r="K7" s="89"/>
      <c r="L7" s="89"/>
      <c r="M7" s="89"/>
      <c r="N7" s="89"/>
      <c r="O7" s="89"/>
      <c r="P7" s="89"/>
      <c r="Q7" s="89"/>
      <c r="R7" s="89"/>
      <c r="S7" s="89"/>
      <c r="T7" s="89"/>
      <c r="U7" s="89"/>
    </row>
    <row r="8" spans="1:21" ht="64.8" x14ac:dyDescent="0.3">
      <c r="A8" s="89" t="s">
        <v>83</v>
      </c>
      <c r="B8" s="135" t="s">
        <v>60</v>
      </c>
      <c r="C8" s="131" t="s">
        <v>206</v>
      </c>
      <c r="D8" s="13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86</v>
      </c>
      <c r="C209" s="143" t="s">
        <v>139</v>
      </c>
      <c r="D209" s="144" t="s">
        <v>86</v>
      </c>
      <c r="E209" s="144" t="s">
        <v>139</v>
      </c>
    </row>
    <row r="210" spans="1:8" s="23" customFormat="1" ht="42" x14ac:dyDescent="0.4">
      <c r="A210" s="87"/>
      <c r="B210" s="145" t="s">
        <v>88</v>
      </c>
      <c r="C210" s="145"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5" t="s">
        <v>88</v>
      </c>
      <c r="C211" s="145" t="s">
        <v>205</v>
      </c>
      <c r="E211" s="23" t="s">
        <v>204</v>
      </c>
      <c r="F211" s="23" t="str">
        <f t="shared" ref="F211:F221" si="0">IF(NOT(ISBLANK(D211)),D211,IF(NOT(ISBLANK(E211)),"     "&amp;E211,FALSE))</f>
        <v xml:space="preserve">     Afectación menor a 200 SMLMV</v>
      </c>
    </row>
    <row r="212" spans="1:8" s="23" customFormat="1" ht="42" x14ac:dyDescent="0.4">
      <c r="A212" s="87"/>
      <c r="B212" s="145" t="s">
        <v>88</v>
      </c>
      <c r="C212" s="145" t="s">
        <v>209</v>
      </c>
      <c r="E212" s="23" t="s">
        <v>205</v>
      </c>
      <c r="F212" s="23" t="str">
        <f t="shared" si="0"/>
        <v xml:space="preserve">     Entre 200 y 1000 SMLMV</v>
      </c>
    </row>
    <row r="213" spans="1:8" s="23" customFormat="1" ht="42" x14ac:dyDescent="0.4">
      <c r="A213" s="87"/>
      <c r="B213" s="145" t="s">
        <v>88</v>
      </c>
      <c r="C213" s="145" t="s">
        <v>210</v>
      </c>
      <c r="E213" s="23" t="s">
        <v>209</v>
      </c>
      <c r="F213" s="23" t="str">
        <f t="shared" si="0"/>
        <v xml:space="preserve">     Entre 1000 y 5000 SMLMV </v>
      </c>
    </row>
    <row r="214" spans="1:8" s="23" customFormat="1" ht="42" x14ac:dyDescent="0.4">
      <c r="A214" s="87"/>
      <c r="B214" s="145" t="s">
        <v>88</v>
      </c>
      <c r="C214" s="145" t="s">
        <v>206</v>
      </c>
      <c r="E214" s="23" t="s">
        <v>210</v>
      </c>
      <c r="F214" s="23" t="str">
        <f t="shared" si="0"/>
        <v xml:space="preserve">     Entre 5000 y 10000 SMLMV</v>
      </c>
    </row>
    <row r="215" spans="1:8" s="23" customFormat="1" ht="21" x14ac:dyDescent="0.4">
      <c r="A215" s="87"/>
      <c r="B215" s="145" t="s">
        <v>56</v>
      </c>
      <c r="C215" s="145" t="s">
        <v>91</v>
      </c>
      <c r="E215" s="23" t="s">
        <v>206</v>
      </c>
      <c r="F215" s="23" t="str">
        <f t="shared" si="0"/>
        <v xml:space="preserve">     Mayor a 10000 SMLMV</v>
      </c>
    </row>
    <row r="216" spans="1:8" s="23" customFormat="1" ht="63" x14ac:dyDescent="0.4">
      <c r="A216" s="87"/>
      <c r="B216" s="145" t="s">
        <v>56</v>
      </c>
      <c r="C216" s="145" t="s">
        <v>92</v>
      </c>
      <c r="D216" s="23" t="s">
        <v>56</v>
      </c>
      <c r="F216" s="23" t="str">
        <f t="shared" si="0"/>
        <v>Pérdida Reputacional</v>
      </c>
    </row>
    <row r="217" spans="1:8" s="23" customFormat="1" ht="42" x14ac:dyDescent="0.4">
      <c r="A217" s="87"/>
      <c r="B217" s="145" t="s">
        <v>56</v>
      </c>
      <c r="C217" s="145" t="s">
        <v>94</v>
      </c>
      <c r="E217" s="23" t="s">
        <v>91</v>
      </c>
      <c r="F217" s="23" t="str">
        <f>IF(NOT(ISBLANK(D217)),D217,IF(NOT(ISBLANK(E217)),"     "&amp;E217,FALSE))</f>
        <v xml:space="preserve">     El riesgo afecta la imagen de alguna área de la organización</v>
      </c>
    </row>
    <row r="218" spans="1:8" s="23" customFormat="1" ht="63" x14ac:dyDescent="0.4">
      <c r="A218" s="87"/>
      <c r="B218" s="145" t="s">
        <v>56</v>
      </c>
      <c r="C218" s="145"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56</v>
      </c>
      <c r="C219" s="145"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6" t="s">
        <v>140</v>
      </c>
    </row>
    <row r="224" spans="1:8" s="23" customFormat="1" x14ac:dyDescent="0.3">
      <c r="F224" s="146"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Priorizaciòn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2025-04-11T17:09:42Z</dcterms:modified>
</cp:coreProperties>
</file>