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13. HACIENDA PUBLICA\"/>
    </mc:Choice>
  </mc:AlternateContent>
  <xr:revisionPtr revIDLastSave="0" documentId="13_ncr:1_{68703BB7-E71B-4CCD-9E90-6A8F1343826F}" xr6:coauthVersionLast="47" xr6:coauthVersionMax="47" xr10:uidLastSave="{00000000-0000-0000-0000-000000000000}"/>
  <bookViews>
    <workbookView xWindow="-96" yWindow="-96" windowWidth="23232" windowHeight="12432" activeTab="4" xr2:uid="{00000000-000D-0000-FFFF-FFFF00000000}"/>
  </bookViews>
  <sheets>
    <sheet name="Intructivo" sheetId="20" r:id="rId1"/>
    <sheet name="Contexto" sheetId="21" r:id="rId2"/>
    <sheet name="Priorizacion de Causas"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s>
  <definedNames>
    <definedName name="_xlnm.Print_Titles" localSheetId="4">'Mapa final'!$8:$9</definedName>
  </definedNames>
  <calcPr calcId="191029"/>
  <pivotCaches>
    <pivotCache cacheId="2"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1" l="1"/>
  <c r="S22" i="1" l="1"/>
  <c r="S39" i="1" l="1"/>
  <c r="H2" i="23" l="1"/>
  <c r="H3" i="23"/>
  <c r="H4" i="23"/>
  <c r="H1" i="23"/>
  <c r="A5" i="23" l="1"/>
  <c r="E39" i="1" l="1"/>
  <c r="A6" i="23"/>
  <c r="A7" i="22"/>
  <c r="A6" i="22"/>
  <c r="S34" i="1" l="1"/>
  <c r="K34" i="1"/>
  <c r="L34" i="1" s="1"/>
  <c r="T34" i="1" l="1"/>
  <c r="T33" i="1"/>
  <c r="S33" i="1" l="1"/>
  <c r="S30" i="1"/>
  <c r="S31" i="1"/>
  <c r="S32" i="1"/>
  <c r="K16" i="1" l="1"/>
  <c r="E10" i="1"/>
  <c r="R34" i="22"/>
  <c r="S34" i="22"/>
  <c r="S63" i="1" l="1"/>
  <c r="S57" i="1"/>
  <c r="S51" i="1"/>
  <c r="S45" i="1"/>
  <c r="S28" i="1" l="1"/>
  <c r="S16" i="1" l="1"/>
  <c r="J10" i="1" l="1"/>
  <c r="K10" i="1" s="1"/>
  <c r="T11" i="1"/>
  <c r="W11" i="1"/>
  <c r="T12" i="1"/>
  <c r="W12" i="1"/>
  <c r="T13" i="1"/>
  <c r="W13" i="1"/>
  <c r="T14" i="1"/>
  <c r="W14" i="1"/>
  <c r="T15" i="1"/>
  <c r="W15" i="1"/>
  <c r="S41" i="22"/>
  <c r="R12" i="22"/>
  <c r="S12" i="22"/>
  <c r="R13" i="22"/>
  <c r="S13" i="22"/>
  <c r="R14" i="22"/>
  <c r="S14" i="22"/>
  <c r="R15" i="22"/>
  <c r="S15" i="22"/>
  <c r="R16" i="22"/>
  <c r="S16" i="22"/>
  <c r="R17" i="22"/>
  <c r="S17" i="22"/>
  <c r="R18" i="22"/>
  <c r="S18" i="22"/>
  <c r="R19" i="22"/>
  <c r="S19" i="22"/>
  <c r="R20" i="22"/>
  <c r="S20" i="22"/>
  <c r="R21" i="22"/>
  <c r="S21" i="22"/>
  <c r="R22" i="22"/>
  <c r="S22" i="22"/>
  <c r="R23" i="22"/>
  <c r="S23" i="22"/>
  <c r="R24" i="22"/>
  <c r="S24" i="22"/>
  <c r="R25" i="22"/>
  <c r="S25" i="22"/>
  <c r="R26" i="22"/>
  <c r="S26" i="22"/>
  <c r="R27" i="22"/>
  <c r="S27" i="22"/>
  <c r="R28" i="22"/>
  <c r="S28" i="22"/>
  <c r="R29" i="22"/>
  <c r="S29" i="22"/>
  <c r="R30" i="22"/>
  <c r="S30" i="22"/>
  <c r="R31" i="22"/>
  <c r="S31" i="22"/>
  <c r="R32" i="22"/>
  <c r="S32" i="22"/>
  <c r="R33" i="22"/>
  <c r="S33" i="22"/>
  <c r="R35" i="22"/>
  <c r="S35" i="22"/>
  <c r="R36" i="22"/>
  <c r="S36" i="22"/>
  <c r="R37" i="22"/>
  <c r="S37" i="22"/>
  <c r="R38" i="22"/>
  <c r="S38" i="22"/>
  <c r="R39" i="22"/>
  <c r="S39" i="22"/>
  <c r="R40" i="22"/>
  <c r="S40" i="22"/>
  <c r="R41" i="22"/>
  <c r="R11" i="22"/>
  <c r="S11" i="22"/>
  <c r="N13" i="1"/>
  <c r="N11" i="1"/>
  <c r="N15" i="1"/>
  <c r="N14" i="1"/>
  <c r="N12" i="1"/>
  <c r="AE15" i="1" l="1"/>
  <c r="AD15" i="1" s="1"/>
  <c r="AA14" i="1"/>
  <c r="AC14" i="1" s="1"/>
  <c r="AE12" i="1"/>
  <c r="AD12" i="1" s="1"/>
  <c r="AA13" i="1"/>
  <c r="AC13" i="1" s="1"/>
  <c r="AA15" i="1"/>
  <c r="AB15" i="1" s="1"/>
  <c r="AE13" i="1"/>
  <c r="AD13" i="1" s="1"/>
  <c r="AA12" i="1"/>
  <c r="AB12" i="1" s="1"/>
  <c r="AE14" i="1"/>
  <c r="AD14" i="1" s="1"/>
  <c r="S42" i="22"/>
  <c r="S43" i="22" s="1"/>
  <c r="AF12" i="1" l="1"/>
  <c r="AF15" i="1"/>
  <c r="AB14" i="1"/>
  <c r="AF14" i="1" s="1"/>
  <c r="AB13" i="1"/>
  <c r="AF13" i="1" s="1"/>
  <c r="AC15" i="1"/>
  <c r="AC12" i="1"/>
  <c r="W68" i="1" l="1"/>
  <c r="T68" i="1"/>
  <c r="W67" i="1"/>
  <c r="T67" i="1"/>
  <c r="W66" i="1"/>
  <c r="T66" i="1"/>
  <c r="W65" i="1"/>
  <c r="T65" i="1"/>
  <c r="W64" i="1"/>
  <c r="T64" i="1"/>
  <c r="W63" i="1"/>
  <c r="T63" i="1"/>
  <c r="W62" i="1"/>
  <c r="T62" i="1"/>
  <c r="W61" i="1"/>
  <c r="T61" i="1"/>
  <c r="W60" i="1"/>
  <c r="T60" i="1"/>
  <c r="W59" i="1"/>
  <c r="T59" i="1"/>
  <c r="W58" i="1"/>
  <c r="T58" i="1"/>
  <c r="W57" i="1"/>
  <c r="T57" i="1"/>
  <c r="W56" i="1"/>
  <c r="T56" i="1"/>
  <c r="W55" i="1"/>
  <c r="T55" i="1"/>
  <c r="W54" i="1"/>
  <c r="T54" i="1"/>
  <c r="W53" i="1"/>
  <c r="T53" i="1"/>
  <c r="W52" i="1"/>
  <c r="T52" i="1"/>
  <c r="W51" i="1"/>
  <c r="T51" i="1"/>
  <c r="W50" i="1"/>
  <c r="T50" i="1"/>
  <c r="W49" i="1"/>
  <c r="T49" i="1"/>
  <c r="W48" i="1"/>
  <c r="T48" i="1"/>
  <c r="W47" i="1"/>
  <c r="T47" i="1"/>
  <c r="W46" i="1"/>
  <c r="T46" i="1"/>
  <c r="W45" i="1"/>
  <c r="T45" i="1"/>
  <c r="W44" i="1"/>
  <c r="T44" i="1"/>
  <c r="W43" i="1"/>
  <c r="T43" i="1"/>
  <c r="W42" i="1"/>
  <c r="T42" i="1"/>
  <c r="W41" i="1"/>
  <c r="T41" i="1"/>
  <c r="W40" i="1"/>
  <c r="T40" i="1"/>
  <c r="W39" i="1"/>
  <c r="T39" i="1"/>
  <c r="W38" i="1"/>
  <c r="T38" i="1"/>
  <c r="W37" i="1"/>
  <c r="T37" i="1"/>
  <c r="W36" i="1"/>
  <c r="T36" i="1"/>
  <c r="W35" i="1"/>
  <c r="T35" i="1"/>
  <c r="W34" i="1"/>
  <c r="W33" i="1"/>
  <c r="W32" i="1"/>
  <c r="T32" i="1"/>
  <c r="W31" i="1"/>
  <c r="T31" i="1"/>
  <c r="W30" i="1"/>
  <c r="T30" i="1"/>
  <c r="W29" i="1"/>
  <c r="T29" i="1"/>
  <c r="W28" i="1"/>
  <c r="T28" i="1"/>
  <c r="W27" i="1"/>
  <c r="T27" i="1"/>
  <c r="W26" i="1"/>
  <c r="T26" i="1"/>
  <c r="W25" i="1"/>
  <c r="T25" i="1"/>
  <c r="W24" i="1"/>
  <c r="T24" i="1"/>
  <c r="W23" i="1"/>
  <c r="T23" i="1"/>
  <c r="W22" i="1"/>
  <c r="T22" i="1"/>
  <c r="W21" i="1"/>
  <c r="T21" i="1"/>
  <c r="W20" i="1"/>
  <c r="T20" i="1"/>
  <c r="W19" i="1"/>
  <c r="T19" i="1"/>
  <c r="W18" i="1"/>
  <c r="T18" i="1"/>
  <c r="W17" i="1"/>
  <c r="T17" i="1"/>
  <c r="W16" i="1"/>
  <c r="T16" i="1"/>
  <c r="AE20" i="1" l="1"/>
  <c r="AD20" i="1" s="1"/>
  <c r="AE31" i="1"/>
  <c r="AD31" i="1" s="1"/>
  <c r="AE47" i="1"/>
  <c r="AD47" i="1" s="1"/>
  <c r="AE35" i="1"/>
  <c r="AD35" i="1" s="1"/>
  <c r="AE43" i="1"/>
  <c r="AD43" i="1" s="1"/>
  <c r="AE24" i="1"/>
  <c r="AD24" i="1" s="1"/>
  <c r="AE19" i="1"/>
  <c r="AD19" i="1" s="1"/>
  <c r="AE23" i="1"/>
  <c r="AD23" i="1" s="1"/>
  <c r="AE27" i="1"/>
  <c r="AD27" i="1" s="1"/>
  <c r="AE30" i="1"/>
  <c r="AD30" i="1" s="1"/>
  <c r="AE38" i="1"/>
  <c r="AD38" i="1" s="1"/>
  <c r="AE42" i="1"/>
  <c r="AD42" i="1" s="1"/>
  <c r="AE46" i="1"/>
  <c r="AD46" i="1" s="1"/>
  <c r="AE50" i="1"/>
  <c r="AD50" i="1" s="1"/>
  <c r="AE54" i="1"/>
  <c r="AD54" i="1" s="1"/>
  <c r="AE58" i="1"/>
  <c r="AD58" i="1" s="1"/>
  <c r="AE66" i="1"/>
  <c r="AD66" i="1" s="1"/>
  <c r="AE18" i="1"/>
  <c r="AD18" i="1" s="1"/>
  <c r="AE29" i="1"/>
  <c r="AD29" i="1" s="1"/>
  <c r="AE37" i="1"/>
  <c r="AD37" i="1" s="1"/>
  <c r="AE41" i="1"/>
  <c r="AD41" i="1" s="1"/>
  <c r="AE49" i="1"/>
  <c r="AD49" i="1" s="1"/>
  <c r="AE53" i="1"/>
  <c r="AD53" i="1" s="1"/>
  <c r="AE61" i="1"/>
  <c r="AD61" i="1" s="1"/>
  <c r="AE26" i="1"/>
  <c r="AD26" i="1" s="1"/>
  <c r="AE65" i="1"/>
  <c r="AD65" i="1" s="1"/>
  <c r="AE62" i="1"/>
  <c r="AD62" i="1" s="1"/>
  <c r="AE55" i="1"/>
  <c r="AD55" i="1" s="1"/>
  <c r="AE59" i="1"/>
  <c r="AD59" i="1" s="1"/>
  <c r="AE67" i="1"/>
  <c r="AD67" i="1" s="1"/>
  <c r="AE17" i="1"/>
  <c r="AD17" i="1" s="1"/>
  <c r="AE21" i="1"/>
  <c r="AD21" i="1" s="1"/>
  <c r="AE25" i="1"/>
  <c r="AD25" i="1" s="1"/>
  <c r="AE32" i="1"/>
  <c r="AD32" i="1" s="1"/>
  <c r="AE36" i="1"/>
  <c r="AD36" i="1" s="1"/>
  <c r="AE40" i="1"/>
  <c r="AD40" i="1" s="1"/>
  <c r="AE44" i="1"/>
  <c r="AD44" i="1" s="1"/>
  <c r="AE48" i="1"/>
  <c r="AD48" i="1" s="1"/>
  <c r="AE52" i="1"/>
  <c r="AD52" i="1" s="1"/>
  <c r="AE56" i="1"/>
  <c r="AD56" i="1" s="1"/>
  <c r="AE60" i="1"/>
  <c r="AD60" i="1" s="1"/>
  <c r="AE64" i="1"/>
  <c r="AD64" i="1" s="1"/>
  <c r="AE68" i="1"/>
  <c r="AD68" i="1" s="1"/>
  <c r="AA63" i="1"/>
  <c r="AA65" i="1"/>
  <c r="AA67" i="1"/>
  <c r="AE63" i="1"/>
  <c r="AD63" i="1" s="1"/>
  <c r="AA64" i="1"/>
  <c r="AA66" i="1"/>
  <c r="AA68" i="1"/>
  <c r="AA57" i="1"/>
  <c r="AA59" i="1"/>
  <c r="AA61" i="1"/>
  <c r="AE57" i="1"/>
  <c r="AD57" i="1" s="1"/>
  <c r="AA58" i="1"/>
  <c r="AA60" i="1"/>
  <c r="AA62" i="1"/>
  <c r="AA51" i="1"/>
  <c r="AA53" i="1"/>
  <c r="AA55" i="1"/>
  <c r="AE51" i="1"/>
  <c r="AD51" i="1" s="1"/>
  <c r="AA52" i="1"/>
  <c r="AA54" i="1"/>
  <c r="AA56" i="1"/>
  <c r="AA45" i="1"/>
  <c r="AA47" i="1"/>
  <c r="AA49" i="1"/>
  <c r="AE45" i="1"/>
  <c r="AD45" i="1" s="1"/>
  <c r="AA46" i="1"/>
  <c r="AA48" i="1"/>
  <c r="AA50" i="1"/>
  <c r="AA41" i="1"/>
  <c r="AA43" i="1"/>
  <c r="AA40" i="1"/>
  <c r="AA42" i="1"/>
  <c r="AA44" i="1"/>
  <c r="AA35" i="1"/>
  <c r="AA37" i="1"/>
  <c r="AA36" i="1"/>
  <c r="AA38" i="1"/>
  <c r="AA29" i="1"/>
  <c r="AA31" i="1"/>
  <c r="AA30" i="1"/>
  <c r="AA32" i="1"/>
  <c r="AA24" i="1"/>
  <c r="AA26" i="1"/>
  <c r="AA23" i="1"/>
  <c r="AA25" i="1"/>
  <c r="AA27" i="1"/>
  <c r="AA18" i="1"/>
  <c r="AA20" i="1"/>
  <c r="AA17" i="1"/>
  <c r="AA19" i="1"/>
  <c r="AA21" i="1"/>
  <c r="AC68" i="1" l="1"/>
  <c r="AB68" i="1"/>
  <c r="AF68" i="1" s="1"/>
  <c r="AC66" i="1"/>
  <c r="AB66" i="1"/>
  <c r="AF66" i="1" s="1"/>
  <c r="AC64" i="1"/>
  <c r="AB64" i="1"/>
  <c r="AF64" i="1" s="1"/>
  <c r="AC67" i="1"/>
  <c r="AB67" i="1"/>
  <c r="AF67" i="1" s="1"/>
  <c r="AC65" i="1"/>
  <c r="AB65" i="1"/>
  <c r="AF65" i="1" s="1"/>
  <c r="AC63" i="1"/>
  <c r="AB63" i="1"/>
  <c r="AF63" i="1" s="1"/>
  <c r="AC62" i="1"/>
  <c r="AB62" i="1"/>
  <c r="AF62" i="1" s="1"/>
  <c r="AC60" i="1"/>
  <c r="AB60" i="1"/>
  <c r="AF60" i="1" s="1"/>
  <c r="AC58" i="1"/>
  <c r="AB58" i="1"/>
  <c r="AF58" i="1" s="1"/>
  <c r="AC61" i="1"/>
  <c r="AB61" i="1"/>
  <c r="AF61" i="1" s="1"/>
  <c r="AC59" i="1"/>
  <c r="AB59" i="1"/>
  <c r="AF59" i="1" s="1"/>
  <c r="AC57" i="1"/>
  <c r="AB57" i="1"/>
  <c r="AF57" i="1" s="1"/>
  <c r="AC56" i="1"/>
  <c r="AB56" i="1"/>
  <c r="AF56" i="1" s="1"/>
  <c r="AC54" i="1"/>
  <c r="AB54" i="1"/>
  <c r="AF54" i="1" s="1"/>
  <c r="AC52" i="1"/>
  <c r="AB52" i="1"/>
  <c r="AF52" i="1" s="1"/>
  <c r="AC55" i="1"/>
  <c r="AB55" i="1"/>
  <c r="AF55" i="1" s="1"/>
  <c r="AC53" i="1"/>
  <c r="AB53" i="1"/>
  <c r="AF53" i="1" s="1"/>
  <c r="AC51" i="1"/>
  <c r="AB51" i="1"/>
  <c r="AF51" i="1" s="1"/>
  <c r="AC50" i="1"/>
  <c r="AB50" i="1"/>
  <c r="AF50" i="1" s="1"/>
  <c r="AC48" i="1"/>
  <c r="AB48" i="1"/>
  <c r="AF48" i="1" s="1"/>
  <c r="AC46" i="1"/>
  <c r="AB46" i="1"/>
  <c r="AF46" i="1" s="1"/>
  <c r="AC49" i="1"/>
  <c r="AB49" i="1"/>
  <c r="AF49" i="1" s="1"/>
  <c r="AC47" i="1"/>
  <c r="AB47" i="1"/>
  <c r="AF47" i="1" s="1"/>
  <c r="AC45" i="1"/>
  <c r="AB45" i="1"/>
  <c r="AF45" i="1" s="1"/>
  <c r="AC44" i="1"/>
  <c r="AB44" i="1"/>
  <c r="AF44" i="1" s="1"/>
  <c r="AC42" i="1"/>
  <c r="AB42" i="1"/>
  <c r="AF42" i="1" s="1"/>
  <c r="AC40" i="1"/>
  <c r="AB40" i="1"/>
  <c r="AF40" i="1" s="1"/>
  <c r="AC43" i="1"/>
  <c r="AB43" i="1"/>
  <c r="AF43" i="1" s="1"/>
  <c r="AC41" i="1"/>
  <c r="AB41" i="1"/>
  <c r="AF41" i="1" s="1"/>
  <c r="AC38" i="1"/>
  <c r="AB38" i="1"/>
  <c r="AF38" i="1" s="1"/>
  <c r="AC36" i="1"/>
  <c r="AB36" i="1"/>
  <c r="AF36" i="1" s="1"/>
  <c r="AB37" i="1"/>
  <c r="AF37" i="1" s="1"/>
  <c r="AC37" i="1"/>
  <c r="AB35" i="1"/>
  <c r="AF35" i="1" s="1"/>
  <c r="AC35" i="1"/>
  <c r="AC32" i="1"/>
  <c r="AB32" i="1"/>
  <c r="AF32" i="1" s="1"/>
  <c r="AC30" i="1"/>
  <c r="AB30" i="1"/>
  <c r="AF30" i="1" s="1"/>
  <c r="AC31" i="1"/>
  <c r="AB31" i="1"/>
  <c r="AF31" i="1" s="1"/>
  <c r="AC29" i="1"/>
  <c r="AB29" i="1"/>
  <c r="AF29" i="1" s="1"/>
  <c r="AC25" i="1"/>
  <c r="AB25" i="1"/>
  <c r="AF25" i="1" s="1"/>
  <c r="AC23" i="1"/>
  <c r="AB23" i="1"/>
  <c r="AF23" i="1" s="1"/>
  <c r="AC26" i="1"/>
  <c r="AB26" i="1"/>
  <c r="AF26" i="1" s="1"/>
  <c r="AC27" i="1"/>
  <c r="AB27" i="1"/>
  <c r="AF27" i="1" s="1"/>
  <c r="AC24" i="1"/>
  <c r="AB24" i="1"/>
  <c r="AF24" i="1" s="1"/>
  <c r="AC21" i="1"/>
  <c r="AB21" i="1"/>
  <c r="AF21" i="1" s="1"/>
  <c r="AC19" i="1"/>
  <c r="AB19" i="1"/>
  <c r="AF19" i="1" s="1"/>
  <c r="AC20" i="1"/>
  <c r="AB20" i="1"/>
  <c r="AF20" i="1" s="1"/>
  <c r="AC18" i="1"/>
  <c r="AB18" i="1"/>
  <c r="AF18" i="1" s="1"/>
  <c r="AC17" i="1"/>
  <c r="AB17" i="1"/>
  <c r="AF17" i="1" s="1"/>
  <c r="K22" i="1" l="1"/>
  <c r="L22" i="1" s="1"/>
  <c r="AA22" i="1" s="1"/>
  <c r="K28" i="1"/>
  <c r="K33" i="1"/>
  <c r="L33" i="1" s="1"/>
  <c r="AA33" i="1" s="1"/>
  <c r="K39" i="1"/>
  <c r="L39" i="1" s="1"/>
  <c r="AA39" i="1" s="1"/>
  <c r="K45" i="1"/>
  <c r="L45" i="1" s="1"/>
  <c r="K51" i="1"/>
  <c r="L51" i="1" s="1"/>
  <c r="K57" i="1"/>
  <c r="L57" i="1" s="1"/>
  <c r="K63" i="1"/>
  <c r="L63" i="1" s="1"/>
  <c r="N56" i="1"/>
  <c r="N62" i="1"/>
  <c r="N61" i="1"/>
  <c r="N40" i="1"/>
  <c r="N41" i="1"/>
  <c r="N38" i="1"/>
  <c r="N60" i="1"/>
  <c r="N49" i="1"/>
  <c r="N52" i="1"/>
  <c r="N50" i="1"/>
  <c r="N53" i="1"/>
  <c r="N58" i="1"/>
  <c r="N55" i="1"/>
  <c r="N68" i="1"/>
  <c r="N30" i="1"/>
  <c r="N42" i="1"/>
  <c r="N64" i="1"/>
  <c r="N54" i="1"/>
  <c r="N32" i="1"/>
  <c r="N48" i="1"/>
  <c r="N25" i="1"/>
  <c r="N24" i="1"/>
  <c r="N37" i="1"/>
  <c r="N59" i="1"/>
  <c r="N31" i="1"/>
  <c r="N27" i="1"/>
  <c r="N35" i="1"/>
  <c r="N23" i="1"/>
  <c r="N67" i="1"/>
  <c r="N43" i="1"/>
  <c r="N44" i="1"/>
  <c r="N36" i="1"/>
  <c r="N29" i="1"/>
  <c r="N26" i="1"/>
  <c r="N47" i="1"/>
  <c r="N65" i="1"/>
  <c r="N66" i="1"/>
  <c r="N34" i="1"/>
  <c r="O34" i="1" s="1"/>
  <c r="N46" i="1"/>
  <c r="P34" i="1" l="1"/>
  <c r="Q34" i="1"/>
  <c r="AC39" i="1"/>
  <c r="AB39" i="1"/>
  <c r="AC33" i="1"/>
  <c r="AA34" i="1" s="1"/>
  <c r="AB33" i="1"/>
  <c r="AC22" i="1"/>
  <c r="AB22" i="1"/>
  <c r="L28" i="1"/>
  <c r="AA28" i="1" s="1"/>
  <c r="AC34" i="1" l="1"/>
  <c r="AB34" i="1"/>
  <c r="AC28" i="1"/>
  <c r="AB28" i="1"/>
  <c r="F217" i="13"/>
  <c r="W10" i="1" l="1"/>
  <c r="T10" i="1"/>
  <c r="AE11" i="1" l="1"/>
  <c r="AD11" i="1" s="1"/>
  <c r="AA11" i="1"/>
  <c r="L10" i="1"/>
  <c r="N21" i="1"/>
  <c r="N18" i="1"/>
  <c r="N20" i="1"/>
  <c r="N19" i="1"/>
  <c r="N17" i="1"/>
  <c r="AB11" i="1" l="1"/>
  <c r="AF11" i="1" s="1"/>
  <c r="AC11" i="1"/>
  <c r="F221" i="13"/>
  <c r="F211" i="13"/>
  <c r="F212" i="13"/>
  <c r="F213" i="13"/>
  <c r="F214" i="13"/>
  <c r="F215" i="13"/>
  <c r="F216"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L16" i="1" l="1"/>
  <c r="AA16" i="1" s="1"/>
  <c r="AC16" i="1" l="1"/>
  <c r="AB1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0" i="1" l="1"/>
  <c r="AB10" i="1" s="1"/>
  <c r="AC10" i="1" l="1"/>
  <c r="V25" i="19" l="1"/>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H210" i="13" s="1"/>
  <c r="N22" i="1" l="1"/>
  <c r="O22" i="1" s="1"/>
  <c r="N28" i="1"/>
  <c r="O28" i="1" s="1"/>
  <c r="N33" i="1"/>
  <c r="O33" i="1" s="1"/>
  <c r="N39" i="1"/>
  <c r="O39" i="1" s="1"/>
  <c r="N45" i="1"/>
  <c r="O45" i="1" s="1"/>
  <c r="N51" i="1"/>
  <c r="O51" i="1" s="1"/>
  <c r="N57" i="1"/>
  <c r="O57" i="1" s="1"/>
  <c r="N63" i="1"/>
  <c r="O63" i="1" s="1"/>
  <c r="N16" i="1"/>
  <c r="O16" i="1" s="1"/>
  <c r="N10" i="1"/>
  <c r="O10" i="1" s="1"/>
  <c r="P38" i="18" l="1"/>
  <c r="J6" i="18"/>
  <c r="V6" i="18"/>
  <c r="J22" i="18"/>
  <c r="V22" i="18"/>
  <c r="AH6" i="18"/>
  <c r="P22" i="18"/>
  <c r="AH22" i="18"/>
  <c r="P6" i="18"/>
  <c r="P10" i="1"/>
  <c r="AE10"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6" i="1"/>
  <c r="R30" i="18"/>
  <c r="AD38" i="18"/>
  <c r="AD22" i="18"/>
  <c r="P16" i="1"/>
  <c r="AE16" i="1" s="1"/>
  <c r="AD16" i="1" s="1"/>
  <c r="AF16" i="1" s="1"/>
  <c r="L30" i="18"/>
  <c r="AJ14" i="18"/>
  <c r="L14" i="18"/>
  <c r="X38" i="18"/>
  <c r="L22" i="18"/>
  <c r="AD30" i="18"/>
  <c r="AJ22" i="18"/>
  <c r="X14" i="18"/>
  <c r="X6" i="18"/>
  <c r="R22" i="18"/>
  <c r="L6" i="18"/>
  <c r="X22" i="18"/>
  <c r="P63" i="1"/>
  <c r="Q63"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57" i="1"/>
  <c r="Q57"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51" i="1"/>
  <c r="P51"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45" i="1"/>
  <c r="Q45"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39" i="1"/>
  <c r="P39" i="1"/>
  <c r="AE39" i="1" s="1"/>
  <c r="AD39" i="1" s="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33" i="1"/>
  <c r="P33" i="1"/>
  <c r="AE33" i="1" s="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8" i="1"/>
  <c r="AE28" i="1" s="1"/>
  <c r="AD28" i="1" s="1"/>
  <c r="Q28"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22" i="1"/>
  <c r="AE22" i="1" s="1"/>
  <c r="AD22" i="1" s="1"/>
  <c r="Q22"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33" i="1" l="1"/>
  <c r="J50" i="19" s="1"/>
  <c r="AE34" i="1"/>
  <c r="AD34" i="1" s="1"/>
  <c r="AF39" i="1"/>
  <c r="J11" i="19"/>
  <c r="J31" i="19"/>
  <c r="J21" i="19"/>
  <c r="V41" i="19"/>
  <c r="P51" i="19"/>
  <c r="J51" i="19"/>
  <c r="P11" i="19"/>
  <c r="V11" i="19"/>
  <c r="AB41" i="19"/>
  <c r="AB31" i="19"/>
  <c r="V31" i="19"/>
  <c r="V21" i="19"/>
  <c r="AH51" i="19"/>
  <c r="AB21" i="19"/>
  <c r="AH41" i="19"/>
  <c r="AB51" i="19"/>
  <c r="AH21" i="19"/>
  <c r="AH31" i="19"/>
  <c r="AH11" i="19"/>
  <c r="P31" i="19"/>
  <c r="P41" i="19"/>
  <c r="P21" i="19"/>
  <c r="AB11" i="19"/>
  <c r="V51" i="19"/>
  <c r="J41" i="19"/>
  <c r="AF28" i="1"/>
  <c r="AB9" i="19"/>
  <c r="AB49" i="19"/>
  <c r="AH19" i="19"/>
  <c r="J49" i="19"/>
  <c r="AH39" i="19"/>
  <c r="V39" i="19"/>
  <c r="AB29" i="19"/>
  <c r="AH29" i="19"/>
  <c r="AH9" i="19"/>
  <c r="J9" i="19"/>
  <c r="P9" i="19"/>
  <c r="V9" i="19"/>
  <c r="P49" i="19"/>
  <c r="AB19" i="19"/>
  <c r="J39" i="19"/>
  <c r="V19" i="19"/>
  <c r="AB39" i="19"/>
  <c r="J29" i="19"/>
  <c r="P19" i="19"/>
  <c r="P39" i="19"/>
  <c r="P29" i="19"/>
  <c r="AH49" i="19"/>
  <c r="J19" i="19"/>
  <c r="V49" i="19"/>
  <c r="V29" i="19"/>
  <c r="AF22" i="1"/>
  <c r="P38" i="19"/>
  <c r="P48" i="19"/>
  <c r="J8" i="19"/>
  <c r="AH48" i="19"/>
  <c r="V18" i="19"/>
  <c r="J38" i="19"/>
  <c r="AH28" i="19"/>
  <c r="AB48" i="19"/>
  <c r="J28" i="19"/>
  <c r="V28" i="19"/>
  <c r="P28" i="19"/>
  <c r="AB18" i="19"/>
  <c r="AH18" i="19"/>
  <c r="AB8" i="19"/>
  <c r="V48" i="19"/>
  <c r="V38" i="19"/>
  <c r="AB38" i="19"/>
  <c r="P8" i="19"/>
  <c r="J18" i="19"/>
  <c r="V8" i="19"/>
  <c r="J48" i="19"/>
  <c r="AH38" i="19"/>
  <c r="AH8" i="19"/>
  <c r="P18" i="19"/>
  <c r="AB28" i="19"/>
  <c r="AD10" i="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AB50" i="19" l="1"/>
  <c r="AB30" i="19"/>
  <c r="J20" i="19"/>
  <c r="V30" i="19"/>
  <c r="J30" i="19"/>
  <c r="P50" i="19"/>
  <c r="AH50" i="19"/>
  <c r="P20" i="19"/>
  <c r="V40" i="19"/>
  <c r="AB20" i="19"/>
  <c r="AF33" i="1"/>
  <c r="AB10" i="19"/>
  <c r="V20" i="19"/>
  <c r="P30" i="19"/>
  <c r="J10" i="19"/>
  <c r="P40" i="19"/>
  <c r="AH20" i="19"/>
  <c r="J40" i="19"/>
  <c r="V50" i="19"/>
  <c r="AB40" i="19"/>
  <c r="P10" i="19"/>
  <c r="AH30" i="19"/>
  <c r="AH40" i="19"/>
  <c r="V10" i="19"/>
  <c r="AH10" i="19"/>
  <c r="AF34" i="1"/>
  <c r="AC40" i="19"/>
  <c r="W20" i="19"/>
  <c r="W40" i="19"/>
  <c r="Q20" i="19"/>
  <c r="K20" i="19"/>
  <c r="W10" i="19"/>
  <c r="K10" i="19"/>
  <c r="AC50" i="19"/>
  <c r="Q40" i="19"/>
  <c r="AC10" i="19"/>
  <c r="K30" i="19"/>
  <c r="W50" i="19"/>
  <c r="Q10" i="19"/>
  <c r="AI10" i="19"/>
  <c r="AI30" i="19"/>
  <c r="Q30" i="19"/>
  <c r="AI50" i="19"/>
  <c r="AC20" i="19"/>
  <c r="AI20" i="19"/>
  <c r="W30" i="19"/>
  <c r="K40" i="19"/>
  <c r="K50" i="19"/>
  <c r="AC30" i="19"/>
  <c r="Q50" i="19"/>
  <c r="AI40" i="19"/>
  <c r="P26" i="19"/>
  <c r="V26" i="19"/>
  <c r="AH46" i="19"/>
  <c r="P6" i="19"/>
  <c r="J36" i="19"/>
  <c r="J6" i="19"/>
  <c r="V36" i="19"/>
  <c r="P46" i="19"/>
  <c r="J16" i="19"/>
  <c r="AH36" i="19"/>
  <c r="J46" i="19"/>
  <c r="AB16" i="19"/>
  <c r="J26" i="19"/>
  <c r="AB26" i="19"/>
  <c r="AB6" i="19"/>
  <c r="AB46" i="19"/>
  <c r="AF10" i="1"/>
  <c r="AH6" i="19"/>
  <c r="P16" i="19"/>
  <c r="AH16" i="19"/>
  <c r="AB36" i="19"/>
  <c r="AH26" i="19"/>
  <c r="V16" i="19"/>
  <c r="V46" i="19"/>
  <c r="V6" i="19"/>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HACIENDA</author>
  </authors>
  <commentList>
    <comment ref="E26" authorId="0" shapeId="0" xr:uid="{00000000-0006-0000-0300-000001000000}">
      <text>
        <r>
          <rPr>
            <b/>
            <sz val="9"/>
            <color indexed="81"/>
            <rFont val="Tahoma"/>
            <family val="2"/>
          </rPr>
          <t>HACIENDA:</t>
        </r>
        <r>
          <rPr>
            <sz val="9"/>
            <color indexed="81"/>
            <rFont val="Tahoma"/>
            <family val="2"/>
          </rPr>
          <t xml:space="preserve">
DO Y FA
acciones de control para el tratamiento de riesgos, por cuanto están atacando las causas (debilidades y amenazas)</t>
        </r>
      </text>
    </comment>
    <comment ref="E50" authorId="0" shapeId="0" xr:uid="{00000000-0006-0000-0300-000002000000}">
      <text>
        <r>
          <rPr>
            <b/>
            <sz val="9"/>
            <color indexed="81"/>
            <rFont val="Tahoma"/>
            <family val="2"/>
          </rPr>
          <t>HACIENDA:</t>
        </r>
        <r>
          <rPr>
            <sz val="9"/>
            <color indexed="81"/>
            <rFont val="Tahoma"/>
            <family val="2"/>
          </rPr>
          <t xml:space="preserve">
 DA
pueden servir para la formulación de acciones de contingencia para reestablecer la normatividad de manera inmediata al momento qque el riesgo se materialice.</t>
        </r>
      </text>
    </comment>
    <comment ref="G50" authorId="0" shapeId="0" xr:uid="{00000000-0006-0000-0300-000003000000}">
      <text>
        <r>
          <rPr>
            <b/>
            <sz val="9"/>
            <color indexed="81"/>
            <rFont val="Tahoma"/>
            <family val="2"/>
          </rPr>
          <t>HACIENDA:</t>
        </r>
        <r>
          <rPr>
            <sz val="9"/>
            <color indexed="81"/>
            <rFont val="Tahoma"/>
            <family val="2"/>
          </rPr>
          <t xml:space="preserve">
DO Y FA
acciones de control para el tratamiento de riesgos, por cuanto están atacando las causas (debilidades y amenazas)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HACIENDA</author>
  </authors>
  <commentList>
    <comment ref="B8" authorId="0" shapeId="0" xr:uid="{00000000-0006-0000-0400-000001000000}">
      <text>
        <r>
          <rPr>
            <b/>
            <sz val="9"/>
            <color indexed="81"/>
            <rFont val="Tahoma"/>
            <family val="2"/>
          </rPr>
          <t>HACIENDA:</t>
        </r>
        <r>
          <rPr>
            <sz val="9"/>
            <color indexed="81"/>
            <rFont val="Tahoma"/>
            <family val="2"/>
          </rPr>
          <t xml:space="preserve">
V5:las consecuencias que puede ocasionar a la organización la materialización del riesgo
</t>
        </r>
      </text>
    </comment>
    <comment ref="C8" authorId="0" shapeId="0" xr:uid="{00000000-0006-0000-0400-000002000000}">
      <text>
        <r>
          <rPr>
            <b/>
            <sz val="9"/>
            <color indexed="81"/>
            <rFont val="Tahoma"/>
            <family val="2"/>
          </rPr>
          <t>HACIENDA:</t>
        </r>
        <r>
          <rPr>
            <sz val="9"/>
            <color indexed="81"/>
            <rFont val="Tahoma"/>
            <family val="2"/>
          </rPr>
          <t xml:space="preserve">
justificacion del por que, complemento del impacto
V5: circunstancias o situaciones más evidentes sobre las cuales se presenta el riesgo, las mismas no constituyen la causa principal o base para que se presente el riesgo
/////////****////////***
PARA RIESGO FISCAL
</t>
        </r>
        <r>
          <rPr>
            <b/>
            <sz val="9"/>
            <color indexed="81"/>
            <rFont val="Tahoma"/>
            <family val="2"/>
          </rPr>
          <t>Puntos de Riesgo Fiscal</t>
        </r>
        <r>
          <rPr>
            <sz val="9"/>
            <color indexed="81"/>
            <rFont val="Tahoma"/>
            <family val="2"/>
          </rPr>
          <t xml:space="preserve">
Actividad en la que potencialmente se origina el riesgo fiscal
</t>
        </r>
      </text>
    </comment>
    <comment ref="D8" authorId="0" shapeId="0" xr:uid="{00000000-0006-0000-0400-000003000000}">
      <text>
        <r>
          <rPr>
            <b/>
            <sz val="9"/>
            <color indexed="81"/>
            <rFont val="Tahoma"/>
            <family val="2"/>
          </rPr>
          <t>HACIENDA:</t>
        </r>
        <r>
          <rPr>
            <sz val="9"/>
            <color indexed="81"/>
            <rFont val="Tahoma"/>
            <family val="2"/>
          </rPr>
          <t xml:space="preserve">
Riesgo q detectamos del objetivo
V5:es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
RIESGO FISCAL
Circunstancia Inmediata
Situación por la que se presenta el riesgo
</t>
        </r>
      </text>
    </comment>
    <comment ref="E8" authorId="0" shapeId="0" xr:uid="{00000000-0006-0000-0400-000004000000}">
      <text>
        <r>
          <rPr>
            <b/>
            <sz val="9"/>
            <color indexed="81"/>
            <rFont val="Tahoma"/>
            <family val="2"/>
          </rPr>
          <t>HACIENDA:</t>
        </r>
        <r>
          <rPr>
            <sz val="9"/>
            <color indexed="81"/>
            <rFont val="Tahoma"/>
            <family val="2"/>
          </rPr>
          <t xml:space="preserve">
causa base para el control….VER CONTEXTO  DELA OTRA VERSION. Es el ultimo por q de los 5 por que.</t>
        </r>
      </text>
    </comment>
    <comment ref="F8" authorId="0" shapeId="0" xr:uid="{00000000-0006-0000-0400-000005000000}">
      <text>
        <r>
          <rPr>
            <b/>
            <sz val="9"/>
            <color indexed="81"/>
            <rFont val="Tahoma"/>
            <family val="2"/>
          </rPr>
          <t>HACIENDA:</t>
        </r>
        <r>
          <rPr>
            <sz val="9"/>
            <color indexed="81"/>
            <rFont val="Tahoma"/>
            <family val="2"/>
          </rPr>
          <t xml:space="preserve">
este mapa es solo de gestión. 
POSIBILIDAD DE </t>
        </r>
        <r>
          <rPr>
            <b/>
            <sz val="9"/>
            <color indexed="81"/>
            <rFont val="Tahoma"/>
            <family val="2"/>
          </rPr>
          <t>(QUE:IMPACTO)+(COMO:CAUSA INMEDIATA)+(PORQUE:CAUSA RAIZ)</t>
        </r>
        <r>
          <rPr>
            <sz val="9"/>
            <color indexed="81"/>
            <rFont val="Tahoma"/>
            <family val="2"/>
          </rPr>
          <t xml:space="preserve">
</t>
        </r>
        <r>
          <rPr>
            <b/>
            <sz val="9"/>
            <color indexed="81"/>
            <rFont val="Tahoma"/>
            <family val="2"/>
          </rPr>
          <t xml:space="preserve">QUE + COMO= LO Q PUEDE OCURRIR
 </t>
        </r>
        <r>
          <rPr>
            <sz val="9"/>
            <color indexed="81"/>
            <rFont val="Tahoma"/>
            <family val="2"/>
          </rPr>
          <t xml:space="preserve">
</t>
        </r>
        <r>
          <rPr>
            <b/>
            <sz val="9"/>
            <color indexed="81"/>
            <rFont val="Tahoma"/>
            <family val="2"/>
          </rPr>
          <t>EJ V5</t>
        </r>
        <r>
          <rPr>
            <sz val="9"/>
            <color indexed="81"/>
            <rFont val="Tahoma"/>
            <family val="2"/>
          </rPr>
          <t xml:space="preserve">
Posibilidad de</t>
        </r>
        <r>
          <rPr>
            <b/>
            <sz val="9"/>
            <color indexed="81"/>
            <rFont val="Tahoma"/>
            <family val="2"/>
          </rPr>
          <t xml:space="preserve"> (¿Qué? :Impacto )</t>
        </r>
        <r>
          <rPr>
            <sz val="9"/>
            <color indexed="81"/>
            <rFont val="Tahoma"/>
            <family val="2"/>
          </rPr>
          <t>afectación económica-(</t>
        </r>
        <r>
          <rPr>
            <b/>
            <sz val="9"/>
            <color indexed="81"/>
            <rFont val="Tahoma"/>
            <family val="2"/>
          </rPr>
          <t xml:space="preserve">¿Cómo?Causa Inmediata) </t>
        </r>
        <r>
          <rPr>
            <sz val="9"/>
            <color indexed="81"/>
            <rFont val="Tahoma"/>
            <family val="2"/>
          </rPr>
          <t>por multa y sanción del ente regulador-</t>
        </r>
        <r>
          <rPr>
            <b/>
            <sz val="9"/>
            <color indexed="81"/>
            <rFont val="Tahoma"/>
            <family val="2"/>
          </rPr>
          <t>(¿Por qué? Causa Raíz)</t>
        </r>
        <r>
          <rPr>
            <sz val="9"/>
            <color indexed="81"/>
            <rFont val="Tahoma"/>
            <family val="2"/>
          </rPr>
          <t>debido a adquisición de bienes y servicios fuera de los requerimientos normativos
OJO  ...</t>
        </r>
        <r>
          <rPr>
            <b/>
            <sz val="9"/>
            <color indexed="81"/>
            <rFont val="Tahoma"/>
            <family val="2"/>
          </rPr>
          <t xml:space="preserve">.NOOOOO: </t>
        </r>
        <r>
          <rPr>
            <sz val="9"/>
            <color indexed="81"/>
            <rFont val="Tahoma"/>
            <family val="2"/>
          </rPr>
          <t xml:space="preserve">
No describir como riesgos omisiones ni desviaciones del control.
No describir causas como riesgos
No describir riesgos como la negación de un control
No existen riesgos transversales, lo que pueden existir son causas transversales.
 </t>
        </r>
      </text>
    </comment>
    <comment ref="I8" authorId="0" shapeId="0" xr:uid="{00000000-0006-0000-0400-000006000000}">
      <text>
        <r>
          <rPr>
            <b/>
            <sz val="9"/>
            <color indexed="81"/>
            <rFont val="Tahoma"/>
            <family val="2"/>
          </rPr>
          <t>HACIENDA:</t>
        </r>
        <r>
          <rPr>
            <sz val="9"/>
            <color indexed="81"/>
            <rFont val="Tahoma"/>
            <family val="2"/>
          </rPr>
          <t xml:space="preserve">
aplico el tipo de riesgo ver pag 38
</t>
        </r>
      </text>
    </comment>
    <comment ref="S8" authorId="0" shapeId="0" xr:uid="{00000000-0006-0000-0400-000007000000}">
      <text>
        <r>
          <rPr>
            <b/>
            <sz val="9"/>
            <color indexed="81"/>
            <rFont val="Tahoma"/>
            <family val="2"/>
          </rPr>
          <t>HACIENDA:</t>
        </r>
        <r>
          <rPr>
            <sz val="9"/>
            <color indexed="81"/>
            <rFont val="Tahoma"/>
            <family val="2"/>
          </rPr>
          <t xml:space="preserve">
</t>
        </r>
        <r>
          <rPr>
            <b/>
            <sz val="9"/>
            <color indexed="81"/>
            <rFont val="Tahoma"/>
            <family val="2"/>
          </rPr>
          <t>subcausa(sacada de la act del proceso-ojo revisar proceso), con los 6pasos para el control</t>
        </r>
        <r>
          <rPr>
            <sz val="9"/>
            <color indexed="81"/>
            <rFont val="Tahoma"/>
            <family val="2"/>
          </rPr>
          <t xml:space="preserve">
</t>
        </r>
        <r>
          <rPr>
            <b/>
            <sz val="9"/>
            <color indexed="81"/>
            <rFont val="Tahoma"/>
            <family val="2"/>
          </rPr>
          <t>V5:</t>
        </r>
        <r>
          <rPr>
            <sz val="9"/>
            <color indexed="81"/>
            <rFont val="Tahoma"/>
            <family val="2"/>
          </rPr>
          <t xml:space="preserve">  Estructura para la descripción del control: 
para una adecuada redacción del control se propone una estructura que facilitará más adelante entender su tipología y otros atributos para su valoración. La estructura es la siguiente:
</t>
        </r>
        <r>
          <rPr>
            <b/>
            <sz val="9"/>
            <color indexed="81"/>
            <rFont val="Tahoma"/>
            <family val="2"/>
          </rPr>
          <t xml:space="preserve">Responsable </t>
        </r>
        <r>
          <rPr>
            <sz val="9"/>
            <color indexed="81"/>
            <rFont val="Tahoma"/>
            <family val="2"/>
          </rPr>
          <t xml:space="preserve">de ejecutar el control: identifica el cargo del servidor que ejecuta el control, en caso de que sean controles automáticos se identificará el sistema que realiza la activ idad.
Acción: se determina mediante verbos que indican la acción que deben realizar como parte del control.
</t>
        </r>
        <r>
          <rPr>
            <b/>
            <sz val="9"/>
            <color indexed="81"/>
            <rFont val="Tahoma"/>
            <family val="2"/>
          </rPr>
          <t>Complemento: c</t>
        </r>
        <r>
          <rPr>
            <sz val="9"/>
            <color indexed="81"/>
            <rFont val="Tahoma"/>
            <family val="2"/>
          </rPr>
          <t xml:space="preserve">orresponde a los detalles que permiten identificar claramente el objeto del control.
EJ:
</t>
        </r>
        <r>
          <rPr>
            <b/>
            <sz val="9"/>
            <color indexed="81"/>
            <rFont val="Tahoma"/>
            <family val="2"/>
          </rPr>
          <t>(Responsable)E</t>
        </r>
        <r>
          <rPr>
            <sz val="9"/>
            <color indexed="81"/>
            <rFont val="Tahoma"/>
            <family val="2"/>
          </rPr>
          <t>l profesional de Contratación</t>
        </r>
        <r>
          <rPr>
            <b/>
            <sz val="9"/>
            <color indexed="81"/>
            <rFont val="Tahoma"/>
            <family val="2"/>
          </rPr>
          <t xml:space="preserve"> + ( Acción)</t>
        </r>
        <r>
          <rPr>
            <sz val="9"/>
            <color indexed="81"/>
            <rFont val="Tahoma"/>
            <family val="2"/>
          </rPr>
          <t xml:space="preserve"> verifica que la información suministrada por el proveedor corresponda con los requisitos establecidos acorde con el tipo de contratación,+</t>
        </r>
        <r>
          <rPr>
            <b/>
            <sz val="9"/>
            <color indexed="81"/>
            <rFont val="Tahoma"/>
            <family val="2"/>
          </rPr>
          <t xml:space="preserve"> (COMPLEMENTO) </t>
        </r>
        <r>
          <rPr>
            <sz val="9"/>
            <color indexed="81"/>
            <rFont val="Tahoma"/>
            <family val="2"/>
          </rPr>
          <t xml:space="preserve">a través de una lista de chequeo donde están los requisitos de información y la revisa con la información física suministrada por el proveedor, los contratos que cumplen son registrados en el sistema de información de contratación.
 </t>
        </r>
      </text>
    </comment>
    <comment ref="U8" authorId="0" shapeId="0" xr:uid="{00000000-0006-0000-0400-000008000000}">
      <text>
        <r>
          <rPr>
            <b/>
            <sz val="9"/>
            <color indexed="81"/>
            <rFont val="Tahoma"/>
            <family val="2"/>
          </rPr>
          <t>HACIENDA:</t>
        </r>
        <r>
          <rPr>
            <sz val="9"/>
            <color indexed="81"/>
            <rFont val="Tahoma"/>
            <family val="2"/>
          </rPr>
          <t xml:space="preserve">
ver en el proceso en donde esta el riesgo: entreda(preventivo) proceso(detectivo) o salida(correctivo)</t>
        </r>
      </text>
    </comment>
    <comment ref="AH8" authorId="0" shapeId="0" xr:uid="{00000000-0006-0000-0400-000009000000}">
      <text>
        <r>
          <rPr>
            <b/>
            <sz val="9"/>
            <color indexed="81"/>
            <rFont val="Tahoma"/>
            <family val="2"/>
          </rPr>
          <t>HACIENDA:</t>
        </r>
        <r>
          <rPr>
            <sz val="9"/>
            <color indexed="81"/>
            <rFont val="Tahoma"/>
            <family val="2"/>
          </rPr>
          <t xml:space="preserve">
COMPLEMENTA APOYA 
 LA ACCION CONTROL
Esta casilla dependerá del tratamiento establecido, si es</t>
        </r>
        <r>
          <rPr>
            <b/>
            <sz val="9"/>
            <color indexed="81"/>
            <rFont val="Tahoma"/>
            <family val="2"/>
          </rPr>
          <t xml:space="preserve"> Acepta</t>
        </r>
        <r>
          <rPr>
            <sz val="9"/>
            <color indexed="81"/>
            <rFont val="Tahoma"/>
            <family val="2"/>
          </rPr>
          <t xml:space="preserve">r no se requieren acciones adicionales, en caso de escoger </t>
        </r>
        <r>
          <rPr>
            <b/>
            <sz val="9"/>
            <color indexed="81"/>
            <rFont val="Tahoma"/>
            <family val="2"/>
          </rPr>
          <t xml:space="preserve">Reducir (mitigar) </t>
        </r>
        <r>
          <rPr>
            <sz val="9"/>
            <color indexed="81"/>
            <rFont val="Tahoma"/>
            <family val="2"/>
          </rPr>
          <t>se deben diligenciar las acciones que se adelantarán como complemento a los controles establecidos, no necesariamente son controles adicionales. Para</t>
        </r>
        <r>
          <rPr>
            <sz val="9"/>
            <color indexed="81"/>
            <rFont val="Tahoma"/>
            <family val="2"/>
          </rPr>
          <t xml:space="preserve">, es viable diligenciar la acción que deriva de esta (ejemplo póliza seguros, terceración), indicando información relevante. </t>
        </r>
      </text>
    </comment>
    <comment ref="H9" authorId="0" shapeId="0" xr:uid="{00000000-0006-0000-0400-00000A000000}">
      <text>
        <r>
          <rPr>
            <b/>
            <sz val="9"/>
            <color indexed="81"/>
            <rFont val="Tahoma"/>
            <family val="2"/>
          </rPr>
          <t>HACIENDA:</t>
        </r>
        <r>
          <rPr>
            <sz val="9"/>
            <color indexed="81"/>
            <rFont val="Tahoma"/>
            <family val="2"/>
          </rPr>
          <t xml:space="preserve">
GENERADORA DEL RIESGO. VER EL PROCESO Y TRAERLA. AGREGAR EL No del procedimiento.</t>
        </r>
      </text>
    </comment>
    <comment ref="J10" authorId="0" shapeId="0" xr:uid="{00000000-0006-0000-0400-00000B000000}">
      <text>
        <r>
          <rPr>
            <b/>
            <sz val="9"/>
            <color indexed="81"/>
            <rFont val="Tahoma"/>
            <family val="2"/>
          </rPr>
          <t>HACIENDA:</t>
        </r>
        <r>
          <rPr>
            <sz val="9"/>
            <color indexed="81"/>
            <rFont val="Tahoma"/>
            <family val="2"/>
          </rPr>
          <t xml:space="preserve">
11 reportes de ejecución y 3 a la alata gerencia (trimestral)</t>
        </r>
      </text>
    </comment>
    <comment ref="J22" authorId="0" shapeId="0" xr:uid="{00000000-0006-0000-0400-00000C000000}">
      <text>
        <r>
          <rPr>
            <b/>
            <sz val="9"/>
            <color indexed="81"/>
            <rFont val="Tahoma"/>
            <family val="2"/>
          </rPr>
          <t>HACIENDA:</t>
        </r>
        <r>
          <rPr>
            <sz val="9"/>
            <color indexed="81"/>
            <rFont val="Tahoma"/>
            <family val="2"/>
          </rPr>
          <t xml:space="preserve">
Revisión de documentos 1 vez al año y normograma trimestral (4 veces en el año)</t>
        </r>
      </text>
    </comment>
    <comment ref="J33" authorId="0" shapeId="0" xr:uid="{00000000-0006-0000-0400-00000D000000}">
      <text>
        <r>
          <rPr>
            <b/>
            <sz val="9"/>
            <color indexed="81"/>
            <rFont val="Tahoma"/>
            <family val="2"/>
          </rPr>
          <t>HACIENDA:</t>
        </r>
        <r>
          <rPr>
            <sz val="9"/>
            <color indexed="81"/>
            <rFont val="Tahoma"/>
            <family val="2"/>
          </rPr>
          <t xml:space="preserve">
DATOS DIRESSION DE RENTAS...DE LOS 258,000 PREDIOS FACTURADOS DEL IPU LA PROBABILIDAD DE EMISION DE LOS CLDO POR AÑO ES DE 5,000 SEGÚN PROYECCION DE PLAN DE ACCION DE RENTAS
------
ID#AAABTLYZ7rk
PILAR CUEVAS    (2024-09-13 15:36:06)
la actividad que conlleva el riesgo se ejecuta aproximadamente 100 veces al año</t>
        </r>
      </text>
    </comment>
    <comment ref="J34" authorId="0" shapeId="0" xr:uid="{4C5CE5E3-CDB0-4FD7-A78B-EAC29480FA81}">
      <text>
        <r>
          <rPr>
            <b/>
            <sz val="9"/>
            <color indexed="81"/>
            <rFont val="Tahoma"/>
            <family val="2"/>
          </rPr>
          <t>HACIENDA:</t>
        </r>
        <r>
          <rPr>
            <sz val="9"/>
            <color indexed="81"/>
            <rFont val="Tahoma"/>
            <family val="2"/>
          </rPr>
          <t xml:space="preserve">
promedio con riedgo de prescripcion anual cartera prescrita 2023-300,000,000
</t>
        </r>
      </text>
    </comment>
  </commentList>
</comments>
</file>

<file path=xl/sharedStrings.xml><?xml version="1.0" encoding="utf-8"?>
<sst xmlns="http://schemas.openxmlformats.org/spreadsheetml/2006/main" count="791" uniqueCount="481">
  <si>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</si>
  <si>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</si>
  <si>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</si>
  <si>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</si>
  <si>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</si>
  <si>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</si>
  <si>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</si>
  <si>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</si>
  <si>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</si>
  <si>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</si>
  <si>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</si>
  <si>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</si>
  <si>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</si>
  <si>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</si>
  <si>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</si>
  <si>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</si>
  <si>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</si>
  <si>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</si>
  <si>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</si>
  <si>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</si>
  <si>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</si>
  <si>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</si>
  <si>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</si>
  <si>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</si>
  <si>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</si>
  <si>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</si>
  <si>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</si>
  <si>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</si>
  <si>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</si>
  <si>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</si>
  <si>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</si>
  <si>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</si>
  <si>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</si>
  <si>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</si>
  <si>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</si>
  <si>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</si>
  <si>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</si>
  <si>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</si>
  <si>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</si>
  <si>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</si>
  <si>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</si>
  <si>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</si>
  <si>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</si>
  <si>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</si>
  <si>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</si>
  <si>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</si>
  <si>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</si>
  <si>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</si>
  <si>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</si>
  <si>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</si>
  <si>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</si>
  <si>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</si>
  <si>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</si>
  <si>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</si>
  <si>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</si>
  <si>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</si>
  <si>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</si>
  <si>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</si>
  <si>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</si>
  <si>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</si>
  <si>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</si>
  <si>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</si>
  <si>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</si>
  <si>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</si>
  <si>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</si>
  <si>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</si>
  <si>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</si>
  <si>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</si>
  <si>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</si>
  <si>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</si>
  <si>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</si>
  <si>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</si>
  <si>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</si>
  <si>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</si>
  <si>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</si>
  <si>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</si>
  <si>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</si>
  <si>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</si>
  <si>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</si>
  <si>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</si>
  <si>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</si>
  <si>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</si>
  <si>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</si>
  <si>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</si>
  <si>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</si>
  <si>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</si>
  <si>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</si>
  <si>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</si>
  <si>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</si>
  <si>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</si>
  <si>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</si>
  <si>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</si>
  <si>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</si>
  <si>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</si>
  <si>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</si>
  <si>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</si>
  <si>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</si>
  <si>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</si>
  <si>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</si>
  <si>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</si>
  <si>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</si>
  <si>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</si>
  <si>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</si>
  <si>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</si>
  <si>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</si>
  <si>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</si>
  <si>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</si>
  <si>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</si>
  <si>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</si>
  <si>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</si>
  <si>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</si>
  <si>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</si>
  <si>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</si>
  <si>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</si>
  <si>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</si>
  <si>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</si>
  <si>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</si>
  <si>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</si>
  <si>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</si>
  <si>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</si>
  <si>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</si>
  <si>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</si>
  <si>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</si>
  <si>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</si>
  <si>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</si>
  <si>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</si>
  <si>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</si>
  <si>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</si>
  <si>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</si>
  <si>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</si>
  <si>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</si>
  <si>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</si>
  <si>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</si>
  <si>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</si>
  <si>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</si>
  <si>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</si>
  <si>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</si>
  <si>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</si>
  <si>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</si>
  <si>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</si>
  <si>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</si>
  <si>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</si>
  <si>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</si>
  <si>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</si>
  <si>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</si>
  <si>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</si>
  <si>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</si>
  <si>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</si>
  <si>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</si>
  <si>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</si>
  <si>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</si>
  <si>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</si>
  <si>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</si>
  <si>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</si>
  <si>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</si>
  <si>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</si>
  <si>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</si>
  <si>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</si>
  <si>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</si>
  <si>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</si>
  <si>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</si>
  <si>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</si>
  <si>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</si>
  <si>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</si>
  <si>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</si>
  <si>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</si>
  <si>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</si>
  <si>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</si>
  <si>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</si>
  <si>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</si>
  <si>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</si>
  <si>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</si>
  <si>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</si>
  <si>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</si>
  <si>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</si>
  <si>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</si>
  <si>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</si>
  <si>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</si>
  <si>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</si>
  <si>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</si>
  <si>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</si>
  <si>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</si>
  <si>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</si>
  <si>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</si>
  <si>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</si>
  <si>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</si>
  <si>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</si>
  <si>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</si>
  <si>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</si>
  <si>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</si>
  <si>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</si>
  <si>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</si>
  <si>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</si>
  <si>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</si>
  <si>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</si>
  <si>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</si>
  <si>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</si>
  <si>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</si>
  <si>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</si>
  <si>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</si>
  <si>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</si>
  <si>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</si>
  <si>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</si>
  <si>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</si>
  <si>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</si>
  <si>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</si>
  <si>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</si>
  <si>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</si>
  <si>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</si>
  <si>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</si>
  <si>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</si>
  <si>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</si>
  <si>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</si>
  <si>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</si>
  <si>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</si>
  <si>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</si>
  <si>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</si>
  <si>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</si>
  <si>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</si>
  <si>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</si>
  <si>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</si>
  <si>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POLÍTICOS</t>
  </si>
  <si>
    <t>TECNOLÓGICOS</t>
  </si>
  <si>
    <t>AMBIENTALES</t>
  </si>
  <si>
    <t>OTROS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</si>
  <si>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</si>
  <si>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</si>
  <si>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</si>
  <si>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</si>
  <si>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</si>
  <si>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</si>
  <si>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</si>
  <si>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</si>
  <si>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</si>
  <si>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</si>
  <si>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</si>
  <si>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</si>
  <si>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</si>
  <si>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</si>
  <si>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</si>
  <si>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</si>
  <si>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</si>
  <si>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</si>
  <si>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</si>
  <si>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</si>
  <si>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</si>
  <si>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</si>
  <si>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</si>
  <si>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</si>
  <si>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</si>
  <si>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</si>
  <si>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</si>
  <si>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</si>
  <si>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</si>
  <si>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</si>
  <si>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</si>
  <si>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</si>
  <si>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</si>
  <si>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</si>
  <si>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</si>
  <si>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t>Codigo:FOR-029-PRO-SIG-01</t>
  </si>
  <si>
    <t>Versión: 01</t>
  </si>
  <si>
    <t>Fecha: 21/02/2024</t>
  </si>
  <si>
    <t>Pagina:  1 de 1</t>
  </si>
  <si>
    <t>Fecha:21/02/2024</t>
  </si>
  <si>
    <t>1. Alta rotación de personal  afectando la continuidad en los procesos.</t>
  </si>
  <si>
    <t>2. Falta  de inducción y capacitación para conocer adecuadamente las actividades propias del proceso</t>
  </si>
  <si>
    <t xml:space="preserve">3. Falta de ética profesional y compromiso en el desarrollo de las actividades del procesos </t>
  </si>
  <si>
    <t>4. Baja capacidad de liderazgo</t>
  </si>
  <si>
    <t>5. Falta de integralidad en los módulos en los sistemas de información</t>
  </si>
  <si>
    <t>6. Deficiencia en la comunicación interna de la alta dirección con la parte operativa y viceversa.</t>
  </si>
  <si>
    <t>7.Falta de personal de planta para asumir las responsabilidades en la operación y continuidad de los procesos.</t>
  </si>
  <si>
    <t>8. Declataroria de la Urgencia manifiesta, ambiental, economica y Social por Pandemias o catastrófes nacionales</t>
  </si>
  <si>
    <t>9. Falta de seguimiento y gestión al proceso de peticiones, quejas y reclamos y/o tramites de gestión de Hacienda Pública.</t>
  </si>
  <si>
    <t>10. Falta de controles de la gestión de trámites</t>
  </si>
  <si>
    <t>11. Falta de digitalización de la totalidad de los expedientes que reposan en las diferentes direcciones.</t>
  </si>
  <si>
    <t xml:space="preserve">1. Módulo de predial, autoliquidador de industria y comercio, Módulo de constituciónde titulo, Módulo central de cuentas, Modulo de contabilidad, Módulo de Tesoreria, Módulo de deuda pública. </t>
  </si>
  <si>
    <t>2. constante actualizacion y socializacion  de los cambios normativos (normograma)</t>
  </si>
  <si>
    <t xml:space="preserve">3. Plan de Acción secretaria de Hacienda </t>
  </si>
  <si>
    <t>4. Actos administrativos a nivel territorial para el périodo de la urgencia manifiesta por decreto Presidencial 491 y 461 del 2020 y resolución 0069 del 2020 Por medio de la cual se amplía la suspensión de términos ordenada en las Resoluciones No. 0062 de 2 de abril de 2020 y No 0063 de 13 de abril de 2020. decreto 249  Por medio del cual se modifica el numeral cuatro del Decreto 1000-0227 del 2020 y se amplía la suspensión de términos en los procesos administrativos contravenciones, disciplinarios y demás acuaciones administrativas que adelanta el municipio de Ibagué</t>
  </si>
  <si>
    <t xml:space="preserve">5. Recepción, trámite y pago de contratos en el periodo de confinamiento. </t>
  </si>
  <si>
    <t>6. Apoyo técnico por parte de la Dirección del Grupo de Informática</t>
  </si>
  <si>
    <t>7) Se cuenta con una política integral desarrollada en el  Sistema Integrado de Gestión de la Alcaldía municipal de Ibagué -SIGAMI</t>
  </si>
  <si>
    <t xml:space="preserve">8) contamos con un plan institucional de Capacitación PIC </t>
  </si>
  <si>
    <t>9) programa de inducción y reinducción</t>
  </si>
  <si>
    <t>1) Lineamientos nacionales, departamentales y municipales de hacienda publica que incentivan el pago de impuesto,  según decreto 678 del 20 de mayo 2020</t>
  </si>
  <si>
    <t xml:space="preserve">2) Apoyo técnico en las herramientas de las TICS </t>
  </si>
  <si>
    <t xml:space="preserve">3) Contamos con 4 certificaciones de sistema de Gestión en la Alcaldía </t>
  </si>
  <si>
    <t xml:space="preserve">4) Modelo Integrado de Planeación y Gestión - MIPG </t>
  </si>
  <si>
    <t>5) Normatividad Constitucional y Legal Colombiana.</t>
  </si>
  <si>
    <t>6)  Acciones para implementar en la Administracion publica las medidas establecidas en el protocolo general de bioseguridad adoptado en la Resolución 666 del 24 abril del 2020 del Ministerio de salud y Protección social.</t>
  </si>
  <si>
    <t xml:space="preserve">7) Código de Integridad y Buen Gobierno </t>
  </si>
  <si>
    <t xml:space="preserve">8)  Reorganización administrativa basada en estudios técnicos </t>
  </si>
  <si>
    <t xml:space="preserve">D5. O2 La secretaria de Hacienda convocará a mesas de trabajo a  las TICS junto al comité de Riesgos, para definir un plan de integralidad en la operación de los modulos del proceso de Gestión de Hacienda pública. </t>
  </si>
  <si>
    <t>D8. O1 Cumplir con los lineamientos nacionales se adoptará las medidas necesarias para darle aplicabilidad al decreto 678 del 20 de mayo 2020 de acuerdo a la declataroria de la Urgencia manifiesta, ambiental, economica y Social por Pandemias o catastrófes nacionales y acogiendonos a los lineamientos nacionales, departamentales y municipales de hacienda publica que incentivan el pago de impuesto.</t>
  </si>
  <si>
    <t>D6. O4 Incentivar en la secretaria de Hacienda la realización de los comites técnicos de forma periodica que faciliten la comunicación del nivel directivo y el nivel operativo y viceversa</t>
  </si>
  <si>
    <t xml:space="preserve">D8. O6 Implementar acciones como el confinamiento preventivo y trabajo en casa, en respuesta de los lineamientos nacionales para controlar la urgencia manifiesta ambiental, economica declarada en todo el país. Estar atentos a tomar acciones de control en respuesta a los protocolos de bioseguridad que nos proponga la Alcaldia para el desarrollo de Gestión de Hacienda Pública. </t>
  </si>
  <si>
    <t>D3, O7 Sensibilización a los funcionarios en principios,ética y valores Institucionales Aplicación del Código de Integridad y buen Gobierno, para la satisfacción de clientes y grupos de valor.</t>
  </si>
  <si>
    <t>D 1,2,4 O3,4,5  Capacitación continua para reconocer y aplicar las caracteristicas y requisitos dados por la ley, los Acuerdos Municipales, sentencias judiciales, según la naturaleza del asunto, para asegurar eficacia, eficiencia y transparencia en el desarrollo de los tramites. (Facturacion Impuesto Predial Unificado, Excencion del impuesto de Industria y comercio, Certificados de paz y salvo )</t>
  </si>
  <si>
    <t xml:space="preserve">D7 O8 Solicitar personal de planta para la secretaria con el fin de garantizar la continuidad de los procesos. </t>
  </si>
  <si>
    <t xml:space="preserve">D1,2,4,6, O3,4,5 Cada Director de la secretaria de Hacienda convoca mensualmente a su equipo de trabajo para revisar y hacer seguimiento a los planes de acción y demás planes estratégicos, Revisando las metas proyectas y su ejecución.
(DECRETO 1210 DE DICIEMBRE 19 DE 2023
DESCRIPCION DE FUNCIONES COMUNES AL NIVEL JERÁRQUICO NUMERAL 6)
</t>
  </si>
  <si>
    <t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(PROCESO: SISTEMA
INTEGRADO DE GESTION: FOR-14-PRO-SIG-03 "INFORME GERENCIAL"
DECRETO 1000-0612 DEL 24 DE NOVIEMBRE DE 2020 "CODIGO DE IINTEGRIDAD Y BUEN GOBIERNO DE LA ALCALDIA DE IBAGUE)
</t>
  </si>
  <si>
    <t>D 1,2,4,6,7,8 O 1,2,3,4,6,7 El director de Rentas y Tesorería anualmente actualizará los trámites , teniendo en cuenta la normatividad vigente y los requisitos requeridos.
( PRO-SIG-001: "CONTROL DE DOCUMENTOS DEL SIGAMI")</t>
  </si>
  <si>
    <t>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t>
  </si>
  <si>
    <t>D1,A3, El director (a) de Rentas,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PRO-GHP-05 FACTURACION  I.P.U para la actividad No. 11-12 y 13 (C.L.D.O)</t>
  </si>
  <si>
    <t xml:space="preserve">F1. O2 Solicitar apoyo técnico a la secretaria de las TICS para la integradilidad de los diferentes Modulos de la secretaria de Hacienda, como lo son: el Módulo de predial, autoliquidador de industria y comercio, Módulo de constituciónde titulo, Módulo central de cuentas, Modulo de contabilidad, Módulo de Tesoreria, Módulo de deuda pública. 2) Apoyo técnico en las herramientas de las TICS </t>
  </si>
  <si>
    <t>F2. O5 Realizar una constante actualizacion y socializacion  de los cambios normativos (normograma) de la secretaria de Hacienda para su correcta aplicabilidad.</t>
  </si>
  <si>
    <t>F5.O6 Dar cumplimiento a las acciones establecidas según los Actos administrativos a nivel territorial para el périodo de la urgencia manifiesta por decreto Presidencial 491 y 461 del 2020 y resolución 0069 del 2020 Por medio de la cual se amplía la suspensión de términos ordenada en las Resoluciones No. 0062 de 2 de abril de 2020 y No 0063 de 13 de abril de 2020. decreto 249  Por medio del cual se modifica el numeral cuatro del Decreto 1000-0227 del 2020 y se amplía la suspensión de términos en los procesos administrativos contravenciones, disciplinarios y demás actuaciones administrativas que adelanta el municipio de Ibagué.</t>
  </si>
  <si>
    <t xml:space="preserve">F.8 O4 Se cuenta con una política integral desarrollada en el  Sistema Integrado de Gestión de la Alcaldía municipal de Ibagué -SIGAMI. 4) Modelo Integrado de Planeación y Gestión - MIPG </t>
  </si>
  <si>
    <t xml:space="preserve">Cambios de Gobierno </t>
  </si>
  <si>
    <t>Cambios legislativos de orden nacional, departamental y local</t>
  </si>
  <si>
    <t>Ataques ciberneticos a los sistemas de informacion por personas externas.</t>
  </si>
  <si>
    <t>Avances tecnologicos</t>
  </si>
  <si>
    <t>Disminucion de los ingresos de la poblacion qué afecta el recaudo.</t>
  </si>
  <si>
    <t xml:space="preserve">Falta de información clara y debilidad en canales de acceso a la publicidad de las condiciones del trámite. </t>
  </si>
  <si>
    <t xml:space="preserve">Falta de controles de la gestión de trámites </t>
  </si>
  <si>
    <t>Alta rotación de personal  afectando la continuidad en los procesos.</t>
  </si>
  <si>
    <t>Falta  de inducción y capacitación para conocer adecuadamente las actividades propias del proceso</t>
  </si>
  <si>
    <t xml:space="preserve">Falta de ética profesional y compromiso en el desarrollo de las actividades del procesos </t>
  </si>
  <si>
    <t>Falta de digitalización de la totalidad de los expedientes que reposan en las diferentes direcciones.</t>
  </si>
  <si>
    <t>Baja capacidad de liderazgo</t>
  </si>
  <si>
    <t xml:space="preserve">Dificultad en el trabajo en equipo </t>
  </si>
  <si>
    <t>Dificultad en el acceso a las diferentes plataformas tecnologicas para nuestro desempeño en los procesos.</t>
  </si>
  <si>
    <t>Falta de integralidad en los modulos en los sistemas de información</t>
  </si>
  <si>
    <t>Falta de recursos para cumplir las metas de la entidad.</t>
  </si>
  <si>
    <t xml:space="preserve">Deficiencia en la comunicación interna de la alta dirección con la parte operativa y viceversa. </t>
  </si>
  <si>
    <t>Falta de personal de planta para asumir las responsabilidades en la operación y continuidad de los procesos.</t>
  </si>
  <si>
    <t>Falta de seguimiento y gestión al proceso de peticiones, quejas y reclamos y/o tramites de gestión de Hacienda Pública.</t>
  </si>
  <si>
    <t xml:space="preserve">Desconocimiento del objetivo de los procesos que origina extralimitación de funciones. </t>
  </si>
  <si>
    <t>Aplicación inadecuada de las políticas de operación y carencia de controles en los procedimientos</t>
  </si>
  <si>
    <t>Deficiencia en la comunicación de los lineamientos emitidos de la secretaria para la aplicación en los procesos.</t>
  </si>
  <si>
    <t>Demoras en los Reporte de la información</t>
  </si>
  <si>
    <t>CAUSA</t>
  </si>
  <si>
    <t>EXTER</t>
  </si>
  <si>
    <t>INTERNA</t>
  </si>
  <si>
    <t>PROCESO</t>
  </si>
  <si>
    <t>INTERACCION CON OTROS PROCESOS</t>
  </si>
  <si>
    <t>Deficiente seguimiento por parte de los ordenadores del gasto  en la ejecución presupuestal</t>
  </si>
  <si>
    <t>subcausa</t>
  </si>
  <si>
    <t>RESPONSABLES DEL PROCESO</t>
  </si>
  <si>
    <t>Falta de aplicación de las políticas del proceso de gestión docuemntal en el control y préstamo de la documentación.</t>
  </si>
  <si>
    <t>ESTRATEGICO</t>
  </si>
  <si>
    <t>1, Retraso en la entrega de información relacionada con actualización y/o conservación catastral por parte del Gestor catastral.  Notificación indebida y/o extemporanea</t>
  </si>
  <si>
    <t>PROCEDIMIENTOS ASOCIADOS</t>
  </si>
  <si>
    <r>
      <t xml:space="preserve"> </t>
    </r>
    <r>
      <rPr>
        <sz val="11"/>
        <color rgb="FFFF0000"/>
        <rFont val="Arial"/>
        <family val="2"/>
      </rPr>
      <t>falta de actualización de los documentos de los procesos de gestión de la Secretaría de Hacienda.</t>
    </r>
  </si>
  <si>
    <r>
      <rPr>
        <sz val="11"/>
        <color rgb="FFFF0000"/>
        <rFont val="Arial"/>
        <family val="2"/>
      </rPr>
      <t>1. Inconsistencia en los cruces entre bancos y las certificacion</t>
    </r>
    <r>
      <rPr>
        <sz val="11"/>
        <color theme="1"/>
        <rFont val="Arial"/>
        <family val="2"/>
      </rPr>
      <t>es</t>
    </r>
  </si>
  <si>
    <t>LEGALES Y REGLAMENTARIOS</t>
  </si>
  <si>
    <t>ECONÓMICOS Y FINANCIEROS</t>
  </si>
  <si>
    <t>Declataroria de la Urgencia manifiesta, ambiental, economica y Social por Pandemias o catastófes nacionales</t>
  </si>
  <si>
    <t>PERSONAL DE LA ENTIDAD (Capacidad del personal, políticas de manejo del talento humano, idoneidad)</t>
  </si>
  <si>
    <t>PROCESOS OPERATIVOS</t>
  </si>
  <si>
    <t>ESTRATÉGICOS</t>
  </si>
  <si>
    <t>TECNOLOGÍA (integridad de datos, disponibilidad de datos y sistemas, desarrollo, producción, mantenimiento de sistemas de información)</t>
  </si>
  <si>
    <t>FINANCIEROS</t>
  </si>
  <si>
    <t>COMMUNICACIÓN INTERNA</t>
  </si>
  <si>
    <t>Incumplimiento en la gestión del CLDO del Impuesto predial unificado dentro de los términos establecidos en el procedimiento PRO-GHP-05 FACTURACION  I.P.U para la actividad No. 11-12 y 13 (C.L.D.O)</t>
  </si>
  <si>
    <t>INTERACCIÓN CON LOS PROCESOS</t>
  </si>
  <si>
    <t>PROCEDIMIENTOS DEL PROCESO</t>
  </si>
  <si>
    <t>COMUNICACIÓN ENTRE LOS PROCESOS</t>
  </si>
  <si>
    <t>SECRETARIA DE HACIENDA PUBLICA MUNICIPAL</t>
  </si>
  <si>
    <t xml:space="preserve">ADMINISTRAR LAS FINANZAS PUBLICAS DEL MUNICIPIO DE IBAGUE, DE MANERA CONTINUA MEDIANTE EL RECAUDO, EJECUCIÓN, REGISTRO Y CONTROL PRESUPUESTAL, CONTABLE Y FINANCIERO PARA COADYUVAR EN LA PROMOCION DEL DESARROLLO ECONOMICO, CULTURAL, SOCIAL Y AMBIENTAL DE LA COMUNIDAD EN GENERAL, ASEGURANDO UN BUEN MANEJO DE LOS RECURSOS PUBLICOS CON TRANSPARENCIA Y EFECTIVIDAD. </t>
  </si>
  <si>
    <t>INICIA CON LA PLANEACIÓN DEL PROCESO PARA EL CUATRENIO, TENIENDO EN CUENTA EL MARCO FISCAL A MEDIANO PLAZO (MFMP) Y EL PLAN DE DESARROLLO MUNICIPAL, HASTA EL SEGUIMIENTO Y EVALUACIÓN DEL PROCESO. POSTERIORMENTE REALIZA EL TRÁMITE DE RECURSOS EN LA APROPIACIÓN Y ARMONIZACIÓN DE LA EJECUCIÓN DEL PRESUPUESTO MUNICIPAL, PASANDO POR LA RECEPCIÓN, CAUSACION Y REALIZACIÓN DE PAGOS DE COMPROMISOS ADQUIRIDOS POR EL MUNICIPIO, LLEVANDO LOS REGISTROS DE INGRESOS, COORDINANDO EL SEGUIMIENTO, CONTROL Y COBRO DE LA CARTERA MUNICIPAL. A SU VEZ REALIZA EL RECAUDO Y FISCALIZACIÓN DE LAS RENTAS, FINALIZANDO CON EL ANÁLISIS Y REALIZACIÓN DE LOS ESTADOS DE ACTIVIDAD FINANCIERA, ECONÓMICA Y SOCIAL DEL MUNICIPIO DE IBAGUÉ.</t>
  </si>
  <si>
    <t>Baja ejecución presupuestal de gastos de inversión del Municipio de parte de las Secretarias Ejecutor</t>
  </si>
  <si>
    <t>Gestión</t>
  </si>
  <si>
    <t>Ejecución y administración del presupuesto de las Secretarías Ejecutoras</t>
  </si>
  <si>
    <r>
      <rPr>
        <b/>
        <sz val="11"/>
        <color theme="1"/>
        <rFont val="Arial"/>
        <family val="2"/>
      </rPr>
      <t>DO Y FA</t>
    </r>
    <r>
      <rPr>
        <sz val="11"/>
        <color theme="1"/>
        <rFont val="Arial"/>
        <family val="2"/>
      </rPr>
      <t xml:space="preserve">
acciones de control para el tratamiento de riesgos, por cuanto están atacando las causas (debilidades y amenazas)</t>
    </r>
  </si>
  <si>
    <r>
      <rPr>
        <b/>
        <sz val="11"/>
        <color theme="1"/>
        <rFont val="Arial"/>
        <family val="2"/>
      </rPr>
      <t xml:space="preserve"> DA</t>
    </r>
    <r>
      <rPr>
        <sz val="11"/>
        <color theme="1"/>
        <rFont val="Arial"/>
        <family val="2"/>
      </rPr>
      <t xml:space="preserve">
pueden servir para la formulación de acciones de contingencia para reestablecer la normatividad de manera inmediata al momento qque el riesgo se materialice.</t>
    </r>
  </si>
  <si>
    <t>Pérdida de memoria institucional y sanciones disciplinarias, fiscales y administrativa</t>
  </si>
  <si>
    <t>Custodia del archivo físico y digital de los expedientes de Gestión de Hacienda Pública</t>
  </si>
  <si>
    <t>Falta de apliacación de las políticas del proceso de gestión docuemntal en el control y préstamo de la documentación.</t>
  </si>
  <si>
    <t>12, Falta de seguimiento y control en la entrega y devolución de expedientes que reposan en el Archivo Físico</t>
  </si>
  <si>
    <t>sanciones disciplinarias  y administrativas</t>
  </si>
  <si>
    <t>Deficiencia en la aplicación de los cambios normativos para entidades del gobiern</t>
  </si>
  <si>
    <t xml:space="preserve"> falta de actualización de los documentos de los procesos de gestión de la Secretaría de Haciend</t>
  </si>
  <si>
    <t>actualización de los documentos y normograma</t>
  </si>
  <si>
    <t>1. Falta de información clara y debilidad en canales de acceso a la publicidad de las condiciones del trámite.</t>
  </si>
  <si>
    <t>D1,2,3,4,6,7,8 A1  Al Iniciar la investigación disciplinaria, fiscal o remitir a las instancias correspondientes para el proceso penal</t>
  </si>
  <si>
    <t>F3,4,6,7 - A1 Solicitar a la Dirección de Informática la actualización continua del desarrollo de los trámites actuales de la plataforma de la Alcaldía.</t>
  </si>
  <si>
    <t>2. Declataroria de la Urgencia manifiesta, ambiental, economica y Social por Pandemias o catastrófes nacionales</t>
  </si>
  <si>
    <t xml:space="preserve">D4,6,8. A2 Activar los lineamientos establecidos por el Ministerio de Salud  y Proteccion Social de Colombia, para remitir a las instancias correspondientes. </t>
  </si>
  <si>
    <t>F3,4,5,6 - A2. Activiar los prótocolos generales de bioseguridad, para mitigar, controlar y realizar el adecuado manejo de la pandemia del COVID-19 emitida por el Ministerio de Salud y Protección Social de Colombia.</t>
  </si>
  <si>
    <t>3, Falta de aplicación de las actividades del procedimiento PRO-GHP-05 FACTURACION  I.P.U para la actividad No. 11-12 y 13 (C.L.D.O)</t>
  </si>
  <si>
    <t>D1.A3. Solictar personal de planta para la Secretaría de Hacienda para dar aplicación  al procedimiento ,  PRO-GHP-05 FACTURACION  I.P.U para la actividad No. 11-12 y 13 (C.L.D.O)</t>
  </si>
  <si>
    <r>
      <t xml:space="preserve">D1, D3, D12, O4, O7, F7 </t>
    </r>
    <r>
      <rPr>
        <b/>
        <sz val="10"/>
        <color rgb="FFFF0000"/>
        <rFont val="Arial"/>
        <family val="2"/>
      </rPr>
      <t xml:space="preserve">El Profesional Universitado y/o técnico Operativo </t>
    </r>
    <r>
      <rPr>
        <b/>
        <sz val="10"/>
        <color rgb="FF00B050"/>
        <rFont val="Arial"/>
        <family val="2"/>
      </rPr>
      <t xml:space="preserve">cada vez que se requiera </t>
    </r>
    <r>
      <rPr>
        <b/>
        <sz val="10"/>
        <color rgb="FF0070C0"/>
        <rFont val="Arial"/>
        <family val="2"/>
      </rPr>
      <t>controla el prestamo y devolución de expedientes   deacuerdo a los lineamientos establecidos por Gestión Documental</t>
    </r>
    <r>
      <rPr>
        <b/>
        <sz val="10"/>
        <rFont val="Arial"/>
        <family val="2"/>
      </rPr>
      <t xml:space="preserve">, </t>
    </r>
    <r>
      <rPr>
        <b/>
        <sz val="10"/>
        <color rgb="FFC00000"/>
        <rFont val="Arial"/>
        <family val="2"/>
      </rPr>
      <t>dejando como Evidencia Planillas de control.
(GESTION DOCUMENTAL: FORMATO CONTROL PRESTAMO: PRO-GD-03)</t>
    </r>
  </si>
  <si>
    <t xml:space="preserve">SECRETARIO DE HACIENDA 
Y/O 
DIRECTORES </t>
  </si>
  <si>
    <t>sanciones disciplinarias  y/o administrativas</t>
  </si>
  <si>
    <t xml:space="preserve"> Inconsistencia en los cruces entre bancos y las certificaciones</t>
  </si>
  <si>
    <t>Certificaciones superavit y de cuentas bancarias</t>
  </si>
  <si>
    <t xml:space="preserve">9) Cambios políticos que afectan positivamente. </t>
  </si>
  <si>
    <t>13,Dificultad del trabajo en equipo</t>
  </si>
  <si>
    <t xml:space="preserve">14, Desconocimiento del proceso y procedimientos  por parte del personal de planta y contrato. </t>
  </si>
  <si>
    <t>10)Conocimiento,  experiencia, habilidades y compromiso por parte de  líderes del proceso</t>
  </si>
  <si>
    <t xml:space="preserve">11)Profesionales y técnicos con experiencia y conocimiento en el área de comunicaciones y protocolo. </t>
  </si>
  <si>
    <t xml:space="preserve">4, Baja efectividad de los flujos de informacion (demora en los tiempos de respuesta) </t>
  </si>
  <si>
    <r>
      <t xml:space="preserve">D 13, D14. O10, F11 , A4. </t>
    </r>
    <r>
      <rPr>
        <b/>
        <sz val="10"/>
        <color rgb="FFFF0000"/>
        <rFont val="Arial"/>
        <family val="2"/>
      </rPr>
      <t>El Director de Tesoreria</t>
    </r>
    <r>
      <rPr>
        <b/>
        <sz val="10"/>
        <rFont val="Arial"/>
        <family val="2"/>
      </rPr>
      <t xml:space="preserve"> ,</t>
    </r>
    <r>
      <rPr>
        <b/>
        <sz val="10"/>
        <color rgb="FF00B050"/>
        <rFont val="Arial"/>
        <family val="2"/>
      </rPr>
      <t xml:space="preserve"> anualmente, emitirá</t>
    </r>
    <r>
      <rPr>
        <b/>
        <sz val="10"/>
        <rFont val="Arial"/>
        <family val="2"/>
      </rPr>
      <t xml:space="preserve"> </t>
    </r>
    <r>
      <rPr>
        <b/>
        <sz val="10"/>
        <color theme="3" tint="0.39997558519241921"/>
        <rFont val="Arial"/>
        <family val="2"/>
      </rPr>
      <t>Certificado de superávit o déficit fiscal</t>
    </r>
    <r>
      <rPr>
        <b/>
        <sz val="10"/>
        <rFont val="Arial"/>
        <family val="2"/>
      </rPr>
      <t xml:space="preserve">, </t>
    </r>
    <r>
      <rPr>
        <b/>
        <sz val="10"/>
        <color rgb="FFC00000"/>
        <rFont val="Arial"/>
        <family val="2"/>
      </rPr>
      <t>dejando como evidencia dicha certificación. 
(PRO-GHP-010: PROCEDIMIENTO: CIERRE DEL EJERCICIO FISCAL)</t>
    </r>
  </si>
  <si>
    <t>DIRECTOR DE TESORERIA</t>
  </si>
  <si>
    <t>Constitución y trámite Tributario establecido para los TÍTULOS EJECUTIVOS a Cobro Coactivo – Cartera. Concepto: Impuesto Predial Unificado evidenciado en la matriz del plan de accion de gestion de la vigencia y los memorandos de remision de expedientes de la cartera a cobro coactivo.</t>
  </si>
  <si>
    <t>DIRECTOR DE RENTAS</t>
  </si>
  <si>
    <t>10) Mejoramiento de los procesos de comunicación interna dentro de la entidad.</t>
  </si>
  <si>
    <t xml:space="preserve">Pagos efectuados a contratistas </t>
  </si>
  <si>
    <t xml:space="preserve">Inadecuada deducción de impuestos, tasas o contribuciones al contratista </t>
  </si>
  <si>
    <t>Inadecuada deducción de impuestos, tasas o contribuciones al contratista</t>
  </si>
  <si>
    <t>FISCAL</t>
  </si>
  <si>
    <r>
      <t xml:space="preserve">6, </t>
    </r>
    <r>
      <rPr>
        <sz val="11"/>
        <color rgb="FFFF0000"/>
        <rFont val="Arial Narrow"/>
        <family val="2"/>
      </rPr>
      <t xml:space="preserve">Posibilidad de perdida reputacional y economica </t>
    </r>
    <r>
      <rPr>
        <b/>
        <sz val="11"/>
        <color theme="9" tint="-0.249977111117893"/>
        <rFont val="Arial Narrow"/>
        <family val="2"/>
      </rPr>
      <t xml:space="preserve">por </t>
    </r>
    <r>
      <rPr>
        <b/>
        <sz val="11"/>
        <color rgb="FF0070C0"/>
        <rFont val="Arial Narrow"/>
        <family val="2"/>
      </rPr>
      <t xml:space="preserve">Pagos efectuados a contratistas </t>
    </r>
    <r>
      <rPr>
        <sz val="11"/>
        <color theme="9" tint="-0.249977111117893"/>
        <rFont val="Arial Narrow"/>
        <family val="2"/>
      </rPr>
      <t xml:space="preserve">debido a </t>
    </r>
    <r>
      <rPr>
        <b/>
        <sz val="11"/>
        <color rgb="FF00B050"/>
        <rFont val="Arial Narrow"/>
        <family val="2"/>
      </rPr>
      <t xml:space="preserve">Inadecuada deducción de impuestos, tasas o contribuciones al contratista </t>
    </r>
  </si>
  <si>
    <t xml:space="preserve">HACIENDA:
subcausa(sacada de la act del proceso-ojo revisar proceso), con los 6pasos para el control
V5:  Estructura para la descripción del control: 
para una adecuada redacción del control se propone una estructura que facilitará más adelante entender su tipología y otros atributos para su valoración. La estructura es la siguiente:
Responsable de ejecutar el control: identifica el cargo del servidor que ejecuta el control, en caso de que sean controles automáticos se identificará el sistema que realiza la activ idad.
Acción: se determina mediante verbos que indican la acción que deben realizar como parte del control.
Complemento: corresponde a los detalles que permiten identificar claramente el objeto del control.
EJ:
(Responsable)El profesional de Contratación + ( Acción) verifica que la información suministrada por el proveedor corresponda con los requisitos establecidos acorde con el tipo de contratación,+ (COMPLEMENTO) a través de una lista de chequeo donde están los requisitos de información y la revisa con la información física suministrada por el proveedor, los contratos que cumplen son registrados en el sistema de información de contratación.
 </t>
  </si>
  <si>
    <r>
      <rPr>
        <b/>
        <sz val="10"/>
        <color rgb="FFFF0000"/>
        <rFont val="Arial"/>
        <family val="2"/>
      </rPr>
      <t>El técnico, los profesionales y el Grupo de Apoyo</t>
    </r>
    <r>
      <rPr>
        <sz val="10"/>
        <color rgb="FF00B050"/>
        <rFont val="Arial"/>
        <family val="2"/>
      </rPr>
      <t xml:space="preserve"> cada vez que llegue al correo documentos y órdenes de pago para tramite</t>
    </r>
    <r>
      <rPr>
        <sz val="10"/>
        <rFont val="Arial"/>
        <family val="2"/>
      </rPr>
      <t xml:space="preserve"> revisaran y compararan que los documentos que se requieren para la generación de una Orden de Pago de Prestación de Servicios Profesionales y de Apoyo a la Gestión y los soportes que acompañan la Orden de Pago de Otras Tipologías Contractuales son los requeridos y definidos como anexos en las condiciones generales y verificaran que los cálculos de las deducciones correspondan a los conceptos del hecho económico a pagar, bases gravables y tarifas estipuladas por la normatividad que les dio origen y que se encuentre vigente.
 dejando como evidencia Correos Institucionales para manejo de documentos de órdenes de pago
</t>
    </r>
    <r>
      <rPr>
        <b/>
        <sz val="10"/>
        <color rgb="FF00B050"/>
        <rFont val="Arial"/>
        <family val="2"/>
      </rPr>
      <t>PROCEDIMIENTO: ÓRDENES DE PAGO Código: PRO-GHP-008</t>
    </r>
  </si>
  <si>
    <t>Aplicación del procedimiento PRO-GHP-05 FACTURACION  Impuesto Predial Unificado.</t>
  </si>
  <si>
    <t xml:space="preserve">Deudas a favor de la entidad </t>
  </si>
  <si>
    <t xml:space="preserve">Vencimiento de plazos para la labor de cobro directo (persuasivo o coactivo) o judicial </t>
  </si>
  <si>
    <t>DIRECTOR DE PRESUPUESTO</t>
  </si>
  <si>
    <r>
      <rPr>
        <sz val="11"/>
        <color rgb="FFFF0000"/>
        <rFont val="Arial"/>
        <family val="2"/>
      </rPr>
      <t>Inconsistencia en los cruces entre bancos y las certificacion</t>
    </r>
    <r>
      <rPr>
        <sz val="11"/>
        <color theme="1"/>
        <rFont val="Arial"/>
        <family val="2"/>
      </rPr>
      <t>es</t>
    </r>
  </si>
  <si>
    <t>Retraso en la entrega de información relacionada con actualización y/o conservación catastral por parte del Gestor catastral.  Notificación indebida y/o extemporanea</t>
  </si>
  <si>
    <t>Al inicio de los procesos coactivos de la cartera del municipio</t>
  </si>
  <si>
    <r>
      <rPr>
        <b/>
        <sz val="10"/>
        <color rgb="FFFF0000"/>
        <rFont val="Arial"/>
        <family val="2"/>
      </rPr>
      <t>F10, A4, D5, O10  El director (a) de Rentas</t>
    </r>
    <r>
      <rPr>
        <sz val="10"/>
        <rFont val="Arial"/>
        <family val="2"/>
      </rPr>
      <t xml:space="preserve">,el Profesional Especializado </t>
    </r>
    <r>
      <rPr>
        <b/>
        <sz val="10"/>
        <rFont val="Arial"/>
        <family val="2"/>
      </rPr>
      <t xml:space="preserve">encargado de Causar el impuesto predial Unificado, </t>
    </r>
    <r>
      <rPr>
        <b/>
        <sz val="10"/>
        <color rgb="FFFF0000"/>
        <rFont val="Arial"/>
        <family val="2"/>
      </rPr>
      <t>con su equipo de trabajo</t>
    </r>
    <r>
      <rPr>
        <b/>
        <sz val="10"/>
        <color theme="3" tint="0.39997558519241921"/>
        <rFont val="Arial"/>
        <family val="2"/>
      </rPr>
      <t xml:space="preserve">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t>
    </r>
    <r>
      <rPr>
        <b/>
        <sz val="10"/>
        <color rgb="FFFF0000"/>
        <rFont val="Arial"/>
        <family val="2"/>
      </rPr>
      <t>. dejando como evidencia los avances presentados en el plan de accion de gestion trimestral de la direccion de rentas. 
 PRO-GHP-05 FACTURACION  Impuesto Predial Unificado.</t>
    </r>
  </si>
  <si>
    <t>El Profesional Especializado, profesional Universitario y/o técnico Operativo responsable de las áreas de impulso Transito, Predial e ICA, y otras multas, deberán presentar trimestralmente al Director de Tesorería un informe donde se determinen los mandamientos de pago efectuados y el trámite de las notificaciones de los mismos y de igual forma los embargos efectuados y el valor de los mismos.</t>
  </si>
  <si>
    <t>El director de presupuesto solicitará trimestralmente a los profesionales del Grupo Central de Cuentas un informe de las causales de devolución reportadas por las areas que intervienen posteriormente en el procedimiento de revisión de documentos y ordenes de pago, identificando el tipo de causal, el numero de veces y el nombre de quien generó la devolución.  De este trabajo decidirá si es necesario reforzar el conocimiento del grupo de apoyo identificando los temas necesarios a fortalecer.</t>
  </si>
  <si>
    <t>Baja calificación en los indicadores de desempeño fiscal, pérdida de confianza de los ciudadanos hacia la administración y posible reducción en las asignaciones de recursos del Sistema General de Participacion - SGP</t>
  </si>
  <si>
    <t>PROCESO:  SECRETARIA DE HACIENDA PUBLICA MUNICIPAL</t>
  </si>
  <si>
    <t xml:space="preserve">OBJETIVO:  ADMINISTRAR LAS FINANZAS PUBLICAS DEL MUNICIPIO DE IBAGUE, DE MANERA CONTINUA MEDIANTE EL RECAUDO, EJECUCIÓN, REGISTRO Y CONTROL PRESUPUESTAL, CONTABLE Y FINANCIERO PARA COADYUVAR EN LA PROMOCION DEL DESARROLLO ECONOMICO, CULTURAL, SOCIAL Y AMBIENTAL DE LA COMUNIDAD EN GENERAL, ASEGURANDO UN BUEN MANEJO DE LOS RECURSOS PUBLICOS CON TRANSPARENCIA Y EFECTIVIDAD. 
</t>
  </si>
  <si>
    <r>
      <rPr>
        <b/>
        <sz val="10"/>
        <color rgb="FFFF0000"/>
        <rFont val="Arial Narrow"/>
        <family val="2"/>
      </rPr>
      <t>1. Posibilidad de pérdida reputacional y económia</t>
    </r>
    <r>
      <rPr>
        <b/>
        <sz val="10"/>
        <rFont val="Arial Narrow"/>
        <family val="2"/>
      </rPr>
      <t xml:space="preserve"> </t>
    </r>
    <r>
      <rPr>
        <b/>
        <sz val="10"/>
        <color rgb="FFFF9900"/>
        <rFont val="Arial Narrow"/>
        <family val="2"/>
      </rPr>
      <t>por</t>
    </r>
    <r>
      <rPr>
        <b/>
        <sz val="10"/>
        <rFont val="Arial Narrow"/>
        <family val="2"/>
      </rPr>
      <t xml:space="preserve">  </t>
    </r>
    <r>
      <rPr>
        <b/>
        <sz val="10"/>
        <color rgb="FF0070C0"/>
        <rFont val="Arial Narrow"/>
        <family val="2"/>
      </rPr>
      <t>baja calificación en los indicadores de desempeño fiscal, pérdida de confianza de los ciudadanos hacia la administración y posible reducción en las asignaciones de recursos del Sistema General de Participacion - SGP,</t>
    </r>
    <r>
      <rPr>
        <b/>
        <sz val="10"/>
        <rFont val="Arial Narrow"/>
        <family val="2"/>
      </rPr>
      <t xml:space="preserve">  </t>
    </r>
    <r>
      <rPr>
        <b/>
        <sz val="10"/>
        <color rgb="FFFF9900"/>
        <rFont val="Arial Narrow"/>
        <family val="2"/>
      </rPr>
      <t xml:space="preserve"> debido a </t>
    </r>
    <r>
      <rPr>
        <b/>
        <sz val="10"/>
        <color rgb="FF00B050"/>
        <rFont val="Arial Narrow"/>
        <family val="2"/>
      </rPr>
      <t>baja ejecución presupuestal de gastos de inversión del Municipio de parte de las Secretarias Ejecutora</t>
    </r>
  </si>
  <si>
    <r>
      <t>Se enviará</t>
    </r>
    <r>
      <rPr>
        <b/>
        <sz val="10"/>
        <color rgb="FF00B050"/>
        <rFont val="Arial Narrow"/>
        <family val="2"/>
      </rPr>
      <t xml:space="preserve"> circular mensualmente</t>
    </r>
    <r>
      <rPr>
        <sz val="10"/>
        <color theme="1"/>
        <rFont val="Arial Narrow"/>
        <family val="2"/>
      </rPr>
      <t xml:space="preserve"> a las Secretaría Ejecutoras que tengan saldos pendientes por ejecutar para que liberen los saldos o los ejecuten y se remitirá  trimestralmente el INFORME EJECUTIVO  DE LA EJECUCIÓN PRESUPUESTAL DE GASTOS  al Secretario de Hacienda, para presentarlo ante la Alta Dirección en el  Comite de Coordinación de Control Interno.</t>
    </r>
  </si>
  <si>
    <r>
      <t xml:space="preserve">
</t>
    </r>
    <r>
      <rPr>
        <b/>
        <sz val="10"/>
        <color rgb="FF00B050"/>
        <rFont val="Arial Narrow"/>
        <family val="2"/>
      </rPr>
      <t xml:space="preserve"> Pérdida de información en los expedientes de los procesos de Gestión de Hacienda pública</t>
    </r>
  </si>
  <si>
    <r>
      <rPr>
        <b/>
        <sz val="10"/>
        <color rgb="FFFF0000"/>
        <rFont val="Arial Narrow"/>
        <family val="2"/>
      </rPr>
      <t>2. Posibilidad de pérdida económica y reputacional</t>
    </r>
    <r>
      <rPr>
        <b/>
        <sz val="10"/>
        <rFont val="Arial Narrow"/>
        <family val="2"/>
      </rPr>
      <t xml:space="preserve"> </t>
    </r>
    <r>
      <rPr>
        <b/>
        <sz val="10"/>
        <color rgb="FFFF9900"/>
        <rFont val="Arial Narrow"/>
        <family val="2"/>
      </rPr>
      <t xml:space="preserve">por  </t>
    </r>
    <r>
      <rPr>
        <b/>
        <sz val="10"/>
        <color rgb="FF0070C0"/>
        <rFont val="Arial Narrow"/>
        <family val="2"/>
      </rPr>
      <t xml:space="preserve">pérdida de memoria institucional y sanciones disciplinarias, fiscales y administrativas </t>
    </r>
    <r>
      <rPr>
        <b/>
        <sz val="10"/>
        <color rgb="FFFF9900"/>
        <rFont val="Arial Narrow"/>
        <family val="2"/>
      </rPr>
      <t>debido a</t>
    </r>
    <r>
      <rPr>
        <b/>
        <sz val="10"/>
        <color rgb="FF00B050"/>
        <rFont val="Arial Narrow"/>
        <family val="2"/>
      </rPr>
      <t xml:space="preserve"> la  Pérdida de información en los expedientes de los procesos de Gestión de Hacienda pública</t>
    </r>
  </si>
  <si>
    <r>
      <t xml:space="preserve">El Profesional Universitado y/o técnico Operativo responsable de los archivos de Gestión Documental: Carteras de Transito, Predial, ICA y Otras Multas, deberan presentar </t>
    </r>
    <r>
      <rPr>
        <b/>
        <sz val="10"/>
        <color theme="1"/>
        <rFont val="Arial Narrow"/>
        <family val="2"/>
      </rPr>
      <t xml:space="preserve">mensualmente </t>
    </r>
    <r>
      <rPr>
        <sz val="10"/>
        <color theme="1"/>
        <rFont val="Arial Narrow"/>
        <family val="2"/>
      </rPr>
      <t xml:space="preserve">al Director de Tesorería un informe de, control de prestamo y devolución de Expedientes. 
Este Informe debe contener la trazabilidad del control realizado a los expedientes que superen el plazo máximo de Devolución. </t>
    </r>
  </si>
  <si>
    <r>
      <rPr>
        <b/>
        <sz val="10"/>
        <color rgb="FFFF0000"/>
        <rFont val="Arial Narrow"/>
        <family val="2"/>
      </rPr>
      <t>3. Posibilidad de pérdida reputacional</t>
    </r>
    <r>
      <rPr>
        <b/>
        <sz val="10"/>
        <rFont val="Arial Narrow"/>
        <family val="2"/>
      </rPr>
      <t xml:space="preserve"> </t>
    </r>
    <r>
      <rPr>
        <b/>
        <sz val="10"/>
        <color rgb="FFFF9900"/>
        <rFont val="Arial Narrow"/>
        <family val="2"/>
      </rPr>
      <t>por</t>
    </r>
    <r>
      <rPr>
        <b/>
        <sz val="10"/>
        <rFont val="Arial Narrow"/>
        <family val="2"/>
      </rPr>
      <t xml:space="preserve"> </t>
    </r>
    <r>
      <rPr>
        <b/>
        <sz val="10"/>
        <color rgb="FF002060"/>
        <rFont val="Arial Narrow"/>
        <family val="2"/>
      </rPr>
      <t>sanciones disciplinarias  y administrativas</t>
    </r>
    <r>
      <rPr>
        <b/>
        <sz val="10"/>
        <rFont val="Arial Narrow"/>
        <family val="2"/>
      </rPr>
      <t xml:space="preserve">  </t>
    </r>
    <r>
      <rPr>
        <b/>
        <sz val="10"/>
        <color rgb="FFFF9900"/>
        <rFont val="Arial Narrow"/>
        <family val="2"/>
      </rPr>
      <t xml:space="preserve">debido a </t>
    </r>
    <r>
      <rPr>
        <b/>
        <sz val="10"/>
        <rFont val="Arial Narrow"/>
        <family val="2"/>
      </rPr>
      <t xml:space="preserve"> </t>
    </r>
    <r>
      <rPr>
        <b/>
        <sz val="10"/>
        <color rgb="FF00B050"/>
        <rFont val="Arial Narrow"/>
        <family val="2"/>
      </rPr>
      <t>deficiencia en la aplicación de los cambios normativos para entidades del gobierno</t>
    </r>
  </si>
  <si>
    <r>
      <t>Cada Director o de maneja conjunta,  socializarán a su equipo de trabajo</t>
    </r>
    <r>
      <rPr>
        <b/>
        <sz val="10"/>
        <color theme="1"/>
        <rFont val="Arial Narrow"/>
        <family val="2"/>
      </rPr>
      <t xml:space="preserve"> los documentos actualizados </t>
    </r>
    <r>
      <rPr>
        <sz val="10"/>
        <color theme="1"/>
        <rFont val="Arial Narrow"/>
        <family val="2"/>
      </rPr>
      <t xml:space="preserve">que hacen parte de su actividad diaria para promover el mejoramiento continuo de su proceso, dejando como evidencias </t>
    </r>
    <r>
      <rPr>
        <b/>
        <sz val="10"/>
        <color theme="1"/>
        <rFont val="Arial Narrow"/>
        <family val="2"/>
      </rPr>
      <t>actas o circulares.</t>
    </r>
  </si>
  <si>
    <r>
      <rPr>
        <b/>
        <sz val="10"/>
        <color rgb="FF00B050"/>
        <rFont val="Arial Narrow"/>
        <family val="2"/>
      </rPr>
      <t>falta de incorporación de recursos que no pudiesen ser incorporados como supe</t>
    </r>
    <r>
      <rPr>
        <sz val="10"/>
        <color theme="1"/>
        <rFont val="Arial Narrow"/>
        <family val="2"/>
      </rPr>
      <t>ravit.</t>
    </r>
  </si>
  <si>
    <r>
      <rPr>
        <b/>
        <sz val="10"/>
        <color rgb="FFFF0000"/>
        <rFont val="Arial Narrow"/>
        <family val="2"/>
      </rPr>
      <t>4. Posibilidad de perdida reputacional</t>
    </r>
    <r>
      <rPr>
        <b/>
        <sz val="10"/>
        <rFont val="Arial Narrow"/>
        <family val="2"/>
      </rPr>
      <t xml:space="preserve"> </t>
    </r>
    <r>
      <rPr>
        <b/>
        <sz val="10"/>
        <color rgb="FFFF9900"/>
        <rFont val="Arial Narrow"/>
        <family val="2"/>
      </rPr>
      <t>por</t>
    </r>
    <r>
      <rPr>
        <b/>
        <sz val="10"/>
        <rFont val="Arial Narrow"/>
        <family val="2"/>
      </rPr>
      <t xml:space="preserve"> s</t>
    </r>
    <r>
      <rPr>
        <b/>
        <sz val="10"/>
        <color rgb="FF0070C0"/>
        <rFont val="Arial Narrow"/>
        <family val="2"/>
      </rPr>
      <t>anciones disciplinarias y administrativas</t>
    </r>
    <r>
      <rPr>
        <b/>
        <sz val="10"/>
        <rFont val="Arial Narrow"/>
        <family val="2"/>
      </rPr>
      <t xml:space="preserve"> </t>
    </r>
    <r>
      <rPr>
        <b/>
        <sz val="10"/>
        <color rgb="FFFF9900"/>
        <rFont val="Arial Narrow"/>
        <family val="2"/>
      </rPr>
      <t>debido a</t>
    </r>
    <r>
      <rPr>
        <b/>
        <sz val="10"/>
        <color rgb="FF00B050"/>
        <rFont val="Arial Narrow"/>
        <family val="2"/>
      </rPr>
      <t xml:space="preserve"> la falta de incorporación de recursos que no pudiesen ser incorporados como superavit</t>
    </r>
  </si>
  <si>
    <r>
      <t xml:space="preserve">El Director de tesoreria citará a mesa de trabajo en el </t>
    </r>
    <r>
      <rPr>
        <b/>
        <sz val="10"/>
        <color theme="1"/>
        <rFont val="Arial Narrow"/>
        <family val="2"/>
      </rPr>
      <t xml:space="preserve">mes de Febrero de la vigencia inmediatamente siguiente al cierre fiscal, </t>
    </r>
    <r>
      <rPr>
        <sz val="10"/>
        <color theme="1"/>
        <rFont val="Arial Narrow"/>
        <family val="2"/>
      </rPr>
      <t>a las Direcciones de Presupuesto y  Contabilidad, con el fin de revisar  y programar el cierre fiscal de la vigencia, dejando como evidencia una</t>
    </r>
    <r>
      <rPr>
        <b/>
        <sz val="10"/>
        <color theme="1"/>
        <rFont val="Arial Narrow"/>
        <family val="2"/>
      </rPr>
      <t xml:space="preserve"> (1) acta anual.</t>
    </r>
  </si>
  <si>
    <r>
      <rPr>
        <b/>
        <sz val="10"/>
        <color rgb="FFFF0000"/>
        <rFont val="Arial Narrow"/>
        <family val="2"/>
      </rPr>
      <t>5, Posibilidad de perdida reputacional y economica</t>
    </r>
    <r>
      <rPr>
        <b/>
        <sz val="10"/>
        <color rgb="FF0070C0"/>
        <rFont val="Arial Narrow"/>
        <family val="2"/>
      </rPr>
      <t xml:space="preserve"> </t>
    </r>
    <r>
      <rPr>
        <b/>
        <sz val="10"/>
        <color theme="9" tint="-0.249977111117893"/>
        <rFont val="Arial Narrow"/>
        <family val="2"/>
      </rPr>
      <t>por</t>
    </r>
    <r>
      <rPr>
        <b/>
        <sz val="10"/>
        <color rgb="FF0070C0"/>
        <rFont val="Arial Narrow"/>
        <family val="2"/>
      </rPr>
      <t xml:space="preserve"> Deudas a favor de la entidad </t>
    </r>
    <r>
      <rPr>
        <b/>
        <sz val="10"/>
        <rFont val="Arial Narrow"/>
        <family val="2"/>
      </rPr>
      <t xml:space="preserve"> </t>
    </r>
    <r>
      <rPr>
        <b/>
        <sz val="10"/>
        <color rgb="FFFF9900"/>
        <rFont val="Arial Narrow"/>
        <family val="2"/>
      </rPr>
      <t>de</t>
    </r>
    <r>
      <rPr>
        <b/>
        <sz val="10"/>
        <color rgb="FFFFC000"/>
        <rFont val="Arial Narrow"/>
        <family val="2"/>
      </rPr>
      <t>bido a</t>
    </r>
    <r>
      <rPr>
        <b/>
        <sz val="10"/>
        <rFont val="Arial Narrow"/>
        <family val="2"/>
      </rPr>
      <t xml:space="preserve"> </t>
    </r>
    <r>
      <rPr>
        <b/>
        <sz val="10"/>
        <color rgb="FF00B050"/>
        <rFont val="Arial Narrow"/>
        <family val="2"/>
      </rPr>
      <t>Vencimiento de plazos para la labor de cobro directo (persuasivo o coactivo) o judicial</t>
    </r>
  </si>
  <si>
    <r>
      <t xml:space="preserve">Debilidad de la Dirección de Tesorería-grupo Cobro Coactivo para efectuar el </t>
    </r>
    <r>
      <rPr>
        <b/>
        <sz val="10"/>
        <color theme="1"/>
        <rFont val="Arial Narrow"/>
        <family val="2"/>
      </rPr>
      <t>control</t>
    </r>
    <r>
      <rPr>
        <sz val="10"/>
        <color theme="1"/>
        <rFont val="Arial Narrow"/>
        <family val="2"/>
      </rPr>
      <t xml:space="preserve"> de  los impulsos procesales de la cartera de cobro.  </t>
    </r>
  </si>
  <si>
    <r>
      <t xml:space="preserve">Revisar documentos soportes y deducciones de Ordenes de Prestación de Servicios Profesionales y de Apoyo a la Gestión y Órdenes de Pago de otras tipologías contractuales. </t>
    </r>
    <r>
      <rPr>
        <b/>
        <sz val="10"/>
        <rFont val="Arial Narrow"/>
        <family val="2"/>
      </rPr>
      <t>PRO-GHP-008</t>
    </r>
    <r>
      <rPr>
        <sz val="10"/>
        <rFont val="Arial Narrow"/>
        <family val="2"/>
      </rPr>
      <t xml:space="preserve">
</t>
    </r>
  </si>
  <si>
    <r>
      <t>D3, O4-El</t>
    </r>
    <r>
      <rPr>
        <b/>
        <sz val="10"/>
        <color rgb="FFFF0000"/>
        <rFont val="Arial"/>
        <family val="2"/>
      </rPr>
      <t xml:space="preserve"> director (a) de Presupuesto por medio de su equipo de trabajo, </t>
    </r>
    <r>
      <rPr>
        <b/>
        <sz val="10"/>
        <color rgb="FF0070C0"/>
        <rFont val="Arial"/>
        <family val="2"/>
      </rPr>
      <t xml:space="preserve">realizará seguimiento a la ejecución presupuestal elaborando y presentando de manera </t>
    </r>
    <r>
      <rPr>
        <b/>
        <sz val="10"/>
        <color rgb="FF00B050"/>
        <rFont val="Arial"/>
        <family val="2"/>
      </rPr>
      <t xml:space="preserve">mensual </t>
    </r>
    <r>
      <rPr>
        <b/>
        <sz val="10"/>
        <color rgb="FF0070C0"/>
        <rFont val="Arial"/>
        <family val="2"/>
      </rPr>
      <t>un INFORME EJECUTIVO  DE LA EJECUCIÓN PRESUPUESTAL DE GASTOS, que resume las principales líneas de la ejecución oficial de gastos con el fin de generar las alertas  tempranas que procuren un incremento en la ejecución del gasto público por parte de las secretarias del despacho municipal,</t>
    </r>
    <r>
      <rPr>
        <b/>
        <sz val="10"/>
        <rFont val="Arial"/>
        <family val="2"/>
      </rPr>
      <t xml:space="preserve">
</t>
    </r>
    <r>
      <rPr>
        <b/>
        <sz val="10"/>
        <color theme="9" tint="-0.499984740745262"/>
        <rFont val="Arial"/>
        <family val="2"/>
      </rPr>
      <t>Dejando como evidencia los correos electrónicos institucionales. (MANUAL  PRESUPUESTO: MAN-GHP-01- E</t>
    </r>
    <r>
      <rPr>
        <b/>
        <sz val="9"/>
        <color theme="9" tint="-0.499984740745262"/>
        <rFont val="Arial"/>
        <family val="2"/>
      </rPr>
      <t>LABORACIÓN DEL INFORME EJECUTIVO DE EJECUCIÓN PRESUPUESTAL DE GASTOS</t>
    </r>
    <r>
      <rPr>
        <b/>
        <sz val="10"/>
        <color theme="9" tint="-0.499984740745262"/>
        <rFont val="Arial"/>
        <family val="2"/>
      </rPr>
      <t xml:space="preserve"> //CARACTERIZACION DEL PROCESO: CAR-GHP-001 )</t>
    </r>
  </si>
  <si>
    <r>
      <rPr>
        <b/>
        <sz val="10"/>
        <color theme="9" tint="-0.249977111117893"/>
        <rFont val="Arial"/>
        <family val="2"/>
      </rPr>
      <t>F10, A4, D5, O10 , El director de Tesorería trimestralmente</t>
    </r>
    <r>
      <rPr>
        <b/>
        <sz val="10"/>
        <rFont val="Arial"/>
        <family val="2"/>
      </rPr>
      <t xml:space="preserve">, solicitará un informe a los coordinadores de las diferentes áreas de impulso, donde se especifique los mandamientos de pago efectuados y el trámite de las notificaciones de los mismos y de igual forma los embargos efectuados y el valor de los mismos para llevar el control de los vencimientos de plazos para la labor de cobro.  
</t>
    </r>
    <r>
      <rPr>
        <b/>
        <sz val="10"/>
        <color theme="9" tint="-0.249977111117893"/>
        <rFont val="Arial"/>
        <family val="2"/>
      </rPr>
      <t xml:space="preserve">dejando como evidencia los informes trimestrales presentados al Director de Tesoreria
</t>
    </r>
    <r>
      <rPr>
        <sz val="10"/>
        <color theme="9" tint="-0.499984740745262"/>
        <rFont val="Arial"/>
        <family val="2"/>
      </rPr>
      <t xml:space="preserve">
</t>
    </r>
    <r>
      <rPr>
        <sz val="11"/>
        <color theme="9" tint="-0.499984740745262"/>
        <rFont val="Arial"/>
        <family val="2"/>
      </rPr>
      <t>MANUAL ESPECÍFICO DE FUNCIONES Y COMPETENCIAS
LABORALES (MAN-GHS-003) (</t>
    </r>
    <r>
      <rPr>
        <sz val="10"/>
        <color theme="9" tint="-0.499984740745262"/>
        <rFont val="Arial"/>
        <family val="2"/>
      </rPr>
      <t xml:space="preserve"> </t>
    </r>
    <r>
      <rPr>
        <sz val="8"/>
        <color theme="9" tint="-0.499984740745262"/>
        <rFont val="Arial"/>
        <family val="2"/>
      </rPr>
      <t>DESCRIPCION DE FUNCIONES ESENCIALES</t>
    </r>
    <r>
      <rPr>
        <sz val="10"/>
        <color theme="9" tint="-0.499984740745262"/>
        <rFont val="Arial"/>
        <family val="2"/>
      </rPr>
      <t xml:space="preserve"> y Página: 491 de 731)</t>
    </r>
  </si>
  <si>
    <r>
      <t xml:space="preserve">D2, D6,  F2, O5 </t>
    </r>
    <r>
      <rPr>
        <b/>
        <sz val="10"/>
        <color rgb="FFFF0000"/>
        <rFont val="Arial"/>
        <family val="2"/>
      </rPr>
      <t xml:space="preserve">Los Directores  </t>
    </r>
    <r>
      <rPr>
        <b/>
        <sz val="10"/>
        <color rgb="FF002060"/>
        <rFont val="Arial"/>
        <family val="2"/>
      </rPr>
      <t>por medio de su equipo de trabajo revisarán los documentos del proceso de gestión de Hacienda Pública</t>
    </r>
    <r>
      <rPr>
        <b/>
        <sz val="10"/>
        <rFont val="Arial"/>
        <family val="2"/>
      </rPr>
      <t xml:space="preserve">  </t>
    </r>
    <r>
      <rPr>
        <b/>
        <sz val="10"/>
        <color rgb="FF00B050"/>
        <rFont val="Arial"/>
        <family val="2"/>
      </rPr>
      <t>y actualizará si se requiere  anualmente</t>
    </r>
    <r>
      <rPr>
        <b/>
        <sz val="10"/>
        <rFont val="Arial"/>
        <family val="2"/>
      </rPr>
      <t xml:space="preserve"> los documentos, </t>
    </r>
    <r>
      <rPr>
        <b/>
        <sz val="10"/>
        <color theme="9" tint="-0.499984740745262"/>
        <rFont val="Arial"/>
        <family val="2"/>
      </rPr>
      <t>dejando como evidencia el correo electrónico con el envío de los docuementos a actualizar a la Dirección de Fortalecimiento Institucional.
(GESTION DOCUMENTAL: POLITICA GESTION DOCUMENTAL: POL-GD-001-PRO-SIG-001 CONTROL DE DOCUMENTOS DEL SIGAMI)</t>
    </r>
  </si>
  <si>
    <t>OBSERVACIONES
BIMESTRE 01 2024</t>
  </si>
  <si>
    <t>OBSERVACIONES- MAPA ACTUALIZADO PARA B02-2024
BIMESTRE 02 2024</t>
  </si>
  <si>
    <t>OBSERVACIONES-
BIMESTRE 03 2024</t>
  </si>
  <si>
    <t>OBSERVACIONES-
BIMESTRE 04 2024</t>
  </si>
  <si>
    <t>OBSERVACIONES-
BIMESTRE 05 2024</t>
  </si>
  <si>
    <r>
      <rPr>
        <b/>
        <sz val="9"/>
        <color theme="1"/>
        <rFont val="Arial Narrow"/>
        <family val="2"/>
      </rPr>
      <t xml:space="preserve">PRESUPUESTO:  </t>
    </r>
    <r>
      <rPr>
        <sz val="9"/>
        <color theme="1"/>
        <rFont val="Arial Narrow"/>
        <family val="2"/>
      </rPr>
      <t xml:space="preserve">
1.1.  Correos 04/01/2024 Circular 0001 Presupuesto de Gastos 2024    Enero 04 2024.   
1.2.  Correos 29/01/2024 Envio Ejecución Gastos 31 de diciembre 2023 e Informe Ejecutivo de la Ejecución Presupuestal de Gasto, Reserva y Pasivos Exigibles 31 diciembre 2023. 
1.3.  Correos 31/01/2024 Circular 0003  Información Obligaciones Pendientes Enero 31 2024. 
1.4   Correos 14/02/2024 Ejecución Gastos 31 de enero 2024.    </t>
    </r>
  </si>
  <si>
    <r>
      <rPr>
        <b/>
        <sz val="9"/>
        <color theme="1"/>
        <rFont val="Arial Narrow"/>
        <family val="2"/>
      </rPr>
      <t xml:space="preserve">PRESUPUESTO:  </t>
    </r>
    <r>
      <rPr>
        <sz val="9"/>
        <color theme="1"/>
        <rFont val="Arial Narrow"/>
        <family val="2"/>
      </rPr>
      <t xml:space="preserve">
</t>
    </r>
    <r>
      <rPr>
        <b/>
        <sz val="9"/>
        <color theme="1"/>
        <rFont val="Arial Narrow"/>
        <family val="2"/>
      </rPr>
      <t xml:space="preserve">  Informe Seguimiento Ejecucion Presupuestal. 
</t>
    </r>
    <r>
      <rPr>
        <sz val="9"/>
        <color theme="1"/>
        <rFont val="Arial Narrow"/>
        <family val="2"/>
      </rPr>
      <t xml:space="preserve">Circulares:   0008 Marzo 04 2024, 0009 Abril 04 2024, 00011 Abril 18 2024.  </t>
    </r>
    <r>
      <rPr>
        <b/>
        <sz val="9"/>
        <color theme="1"/>
        <rFont val="Arial Narrow"/>
        <family val="2"/>
      </rPr>
      <t xml:space="preserve">Informe ejecución vigencia reserva presupuestal. 
</t>
    </r>
    <r>
      <rPr>
        <sz val="9"/>
        <color theme="1"/>
        <rFont val="Arial Narrow"/>
        <family val="2"/>
      </rPr>
      <t>Circulares: 00010 Abril 11 2024, 00012 Abril 18 2024.  
Ejecución Gastos 29 de Febrero 2024 - Correo del día 06-marzo 2024 y  del 31 de marzo 2024 - correo del día 03-abril 2024.</t>
    </r>
    <r>
      <rPr>
        <b/>
        <sz val="9"/>
        <color theme="1"/>
        <rFont val="Arial Narrow"/>
        <family val="2"/>
      </rPr>
      <t xml:space="preserve">  
Informe Ejecutivo de la Ejecución Presupuestal de Gastos y Reserva Febrero 2024 </t>
    </r>
    <r>
      <rPr>
        <sz val="9"/>
        <color theme="1"/>
        <rFont val="Arial Narrow"/>
        <family val="2"/>
      </rPr>
      <t xml:space="preserve">- Correo del día 08-marzo-2024 y del 08-abril-2024.
</t>
    </r>
    <r>
      <rPr>
        <b/>
        <sz val="9"/>
        <color theme="1"/>
        <rFont val="Arial Narrow"/>
        <family val="2"/>
      </rPr>
      <t xml:space="preserve">Memorando 015146 Abril 18 2024 a la Oficina de Control Interno </t>
    </r>
    <r>
      <rPr>
        <sz val="9"/>
        <color theme="1"/>
        <rFont val="Arial Narrow"/>
        <family val="2"/>
      </rPr>
      <t xml:space="preserve">solicitando agendar al Secretario de Hacienda para la presentación del Informe Ejecutivo en el Comité de Coordinación de Control Interno. </t>
    </r>
  </si>
  <si>
    <r>
      <rPr>
        <b/>
        <sz val="9"/>
        <color theme="1"/>
        <rFont val="Arial Narrow"/>
        <family val="2"/>
      </rPr>
      <t>PRESUPUESTO:</t>
    </r>
    <r>
      <rPr>
        <u/>
        <sz val="9"/>
        <color theme="1"/>
        <rFont val="Arial Narrow"/>
        <family val="2"/>
      </rPr>
      <t xml:space="preserve"> 
 Informe Seguimiento Ejecucion Presupuestal. </t>
    </r>
    <r>
      <rPr>
        <sz val="9"/>
        <color theme="1"/>
        <rFont val="Arial Narrow"/>
        <family val="2"/>
      </rPr>
      <t xml:space="preserve"> Circulares:   000013 Mayo 03 2024, 000017 Mayo 16 2024, 000020 Junio 05 2024 y 000025 Junio 17 2024.
  I</t>
    </r>
    <r>
      <rPr>
        <u/>
        <sz val="9"/>
        <color theme="1"/>
        <rFont val="Arial Narrow"/>
        <family val="2"/>
      </rPr>
      <t xml:space="preserve">nforme ejecución vigencia reserva presupuestal. </t>
    </r>
    <r>
      <rPr>
        <sz val="9"/>
        <color theme="1"/>
        <rFont val="Arial Narrow"/>
        <family val="2"/>
      </rPr>
      <t xml:space="preserve">
 Circulares: 000014 Mayo 03 2024, 00018 Mayo 16 2024, 000021 Junio 05 2024 y 000026 Junio 17 2024. 
</t>
    </r>
    <r>
      <rPr>
        <u/>
        <sz val="9"/>
        <color theme="1"/>
        <rFont val="Arial Narrow"/>
        <family val="2"/>
      </rPr>
      <t xml:space="preserve"> Ejecución Gastos y reserva:  mes de abril 2024 </t>
    </r>
    <r>
      <rPr>
        <sz val="9"/>
        <color theme="1"/>
        <rFont val="Arial Narrow"/>
        <family val="2"/>
      </rPr>
      <t xml:space="preserve">-Correo del día 08-mayo 2024 y mes de mayo 2024 -Correo del día 17-junio 2024. 
 </t>
    </r>
    <r>
      <rPr>
        <u/>
        <sz val="9"/>
        <color theme="1"/>
        <rFont val="Arial Narrow"/>
        <family val="2"/>
      </rPr>
      <t>Informe ejecutivo de la Ejecución Presupuestal de Gastos y Reserva:</t>
    </r>
    <r>
      <rPr>
        <sz val="9"/>
        <color theme="1"/>
        <rFont val="Arial Narrow"/>
        <family val="2"/>
      </rPr>
      <t xml:space="preserve"> mes Abril 2024 - Correo del día 09-mayo-2024 y mes  Mayo 2024 - Correo del día 17-junio-2024. </t>
    </r>
  </si>
  <si>
    <r>
      <rPr>
        <b/>
        <sz val="9"/>
        <color theme="1"/>
        <rFont val="Arial Narrow"/>
        <family val="2"/>
      </rPr>
      <t xml:space="preserve">PRESUPUESTO: </t>
    </r>
    <r>
      <rPr>
        <sz val="9"/>
        <color theme="1"/>
        <rFont val="Arial Narrow"/>
        <family val="2"/>
      </rPr>
      <t xml:space="preserve">
 Informe Seguimiento Ejecucion Presupuestal.  Circulares:   Circulares 000028 Julio 04 2024, 000031 Julio 19 2024, 000034 Agosto 01 2024
 Informe ejecución vigencia reserva presupuestal. Circulares: circulares 000029 Julio 04 2024, 000030 Julio 19 2024, 000032 Julio 19 2024, 000035 Agosto 01 2024.
Ejecución Gastos y reserva  mes Junio 2024 - correo del 2-julio/2024, Ejecución Gastos mes de julio 2024 - correo del 9-agosto/2024. 
Informe ejecutivo de la Ejecución Presupuestal de Gastos y Reserva: mes junio - correo del 4-jul/2024 y del mes de julio correo del 13-agosto/2024.</t>
    </r>
  </si>
  <si>
    <r>
      <rPr>
        <b/>
        <sz val="9"/>
        <color theme="1"/>
        <rFont val="Arial Narrow"/>
        <family val="2"/>
      </rPr>
      <t xml:space="preserve">DIRECCION DE PRESUPUESTO: </t>
    </r>
    <r>
      <rPr>
        <sz val="9"/>
        <color theme="1"/>
        <rFont val="Arial Narrow"/>
        <family val="2"/>
      </rPr>
      <t xml:space="preserve">
 Informe Seguimiento Ejecucion Presupuestal.  Circulares:   000036 agosto 20/2024, 000038 septiembre 03/2024, 000040 septiembre 16/2024, 000047 octubre 18/2024.                                   
 Informe ejecución vigencia reserva presupuestal. Circulares: 000037 agosto 20/2024, 000039 septiembre 03/2024, 000041 septiembre 16/2024, 000048 octubre 18/2024.                                                                            
                                                                                                                                                                                                                                                                                                                                                         Ejecución Gastos y reserva  mes agosto 2024 - correo del 3 septiembre/2024, Ejecución Gastos y reserva mes de septiembre 2024 - correo del 8 octubre/2024. 
Informe ejecutivo de la Ejecución Presupuestal de Gastos y Reserva: mes agosto - correo del 10 septiembre/2024 y del mes de septiembre - correo del 23 octubre/2024.</t>
    </r>
  </si>
  <si>
    <r>
      <t xml:space="preserve">RENTAS:
</t>
    </r>
    <r>
      <rPr>
        <sz val="9"/>
        <color theme="1"/>
        <rFont val="Arial Narrow"/>
        <family val="2"/>
      </rPr>
      <t xml:space="preserve">la dirección de rentas en los meses de enero y febrero no ha realizado prestamos de expedientes, toda vez que los expedientes se trasladan directamente a la dirección de tesoreria por memorando, para darle continuidad al proceso de cobro.
</t>
    </r>
    <r>
      <rPr>
        <b/>
        <sz val="9"/>
        <color theme="1"/>
        <rFont val="Arial Narrow"/>
        <family val="2"/>
      </rPr>
      <t xml:space="preserve">TESORERIA: 
</t>
    </r>
    <r>
      <rPr>
        <sz val="9"/>
        <color theme="1"/>
        <rFont val="Arial Narrow"/>
        <family val="2"/>
      </rPr>
      <t xml:space="preserve">Se adjunta como evidencia las planillas de control de prestamo y devolucion de expedientes de los meses de enero y febrero del año 2024, de las areas de PREDIAL, ICA y TRANSITO.                                                                            
No se solicita capacitación dando espera a la contratación del personal del area de gestión documental de cobro coactivo, pero las funcionarias Amparo Diaz y Gina Acevedo (cordinadoras del area de gestion documental) asisten a capacitación convocada por la directora de recursos fisicos de la Alcaldia de Ibagué mediante circular 0013 del 20 de febrero de 2024. (la cual se adjunta como evidencia) 
</t>
    </r>
  </si>
  <si>
    <r>
      <t xml:space="preserve">TESORERIA: Se adjuntan dos informes de prestamo y devolución de los expedientes el primero de (predial e ica) y el segundo de (transito) con sus respectivas planillas. Lo anterior correspondiente a los meses de marzo y abril de 2024. 
</t>
    </r>
    <r>
      <rPr>
        <sz val="9"/>
        <color theme="1"/>
        <rFont val="Arial Narrow"/>
        <family val="2"/>
      </rPr>
      <t xml:space="preserve">
</t>
    </r>
  </si>
  <si>
    <r>
      <t xml:space="preserve">TESORERIA: Se </t>
    </r>
    <r>
      <rPr>
        <sz val="9"/>
        <color theme="1"/>
        <rFont val="Arial Narrow"/>
        <family val="2"/>
      </rPr>
      <t xml:space="preserve">adjuntan dos informes de prestamo y devolución de los expedientes el primero de (predial e ica) y el segundo de (transito) con sus respectivas planillas. Lo anterior correspondiente a los meses de MAYO y JUNIO de 2024. . </t>
    </r>
  </si>
  <si>
    <r>
      <t xml:space="preserve">TESORERIA: </t>
    </r>
    <r>
      <rPr>
        <sz val="9"/>
        <color theme="1"/>
        <rFont val="Arial Narrow"/>
        <family val="2"/>
      </rPr>
      <t>Se adjuntan dos informes de prestamo y devolución de los expedientes el primero de (predial e ica) y el segundo de (transito) con sus respectivas planillas. Lo anterior correspondiente a los meses de julio y agosto de 2024</t>
    </r>
    <r>
      <rPr>
        <b/>
        <sz val="9"/>
        <color theme="1"/>
        <rFont val="Arial Narrow"/>
        <family val="2"/>
      </rPr>
      <t xml:space="preserve">. </t>
    </r>
  </si>
  <si>
    <r>
      <t xml:space="preserve">DIRECCION DE TESORERIA: 
</t>
    </r>
    <r>
      <rPr>
        <sz val="9"/>
        <color theme="1"/>
        <rFont val="Arial Narrow"/>
        <family val="2"/>
      </rPr>
      <t xml:space="preserve">Se adjuntan tres informes de prestamo y devolución de los expedientes el primero de (predial e ica), el segundo de (transito) y el tercero de Secretaria predial. con sus respectivas planillas. Lo anterior correspondiente a los meses de septiembre y octubre de 2024. </t>
    </r>
  </si>
  <si>
    <r>
      <t xml:space="preserve">RENTAS: 
</t>
    </r>
    <r>
      <rPr>
        <sz val="9"/>
        <color theme="1"/>
        <rFont val="Arial Narrow"/>
        <family val="2"/>
      </rPr>
      <t xml:space="preserve">ACTA 02 28 DE FEBRERO DE 2024. se socializa el procedimiento del impuesto de industria y comercio con sus ajustes realizados.
</t>
    </r>
    <r>
      <rPr>
        <b/>
        <sz val="9"/>
        <color theme="1"/>
        <rFont val="Arial Narrow"/>
        <family val="2"/>
      </rPr>
      <t xml:space="preserve">TESORERIA: </t>
    </r>
    <r>
      <rPr>
        <sz val="9"/>
        <color theme="1"/>
        <rFont val="Arial Narrow"/>
        <family val="2"/>
      </rPr>
      <t xml:space="preserve">
Mediante memorando No 006364 del 20 de febrero de 2024, se solicita apoyo a la Dirección de fortalecimiento institucional, para revision y actualización de los tramites de paz y salvo y estampillas electronicas correspondientes a la Direccion de Tesoreria Municipal. 
Se evidencia mediante acta de reunión No 01 del dia 19 de enero de 2024, la socializacion a los funcionarios de los manuales, procesos, instructivos, guias y demas formatos de la Secretaria de Hacienda - Dirección de Tesoreria.                                                                                                                                                                                          
</t>
    </r>
    <r>
      <rPr>
        <b/>
        <sz val="9"/>
        <color theme="1"/>
        <rFont val="Arial Narrow"/>
        <family val="2"/>
      </rPr>
      <t xml:space="preserve">PRESUPUESTO:
</t>
    </r>
    <r>
      <rPr>
        <sz val="9"/>
        <color theme="1"/>
        <rFont val="Arial Narrow"/>
        <family val="2"/>
      </rPr>
      <t xml:space="preserve"> El 17/02/2024 iniciamos la revisión del Procedimiento de Ordenes de Pago PRO-GHP-008 Versión 6, donde intervienen tres (3) direcciones de la Secretaría de Hacienda (Presupuesto, contabilidad y Tesorería).  Acta de reunión interna N.1  del 17/02/2024 con listado de asistencia.
</t>
    </r>
    <r>
      <rPr>
        <b/>
        <sz val="9"/>
        <color theme="1"/>
        <rFont val="Arial Narrow"/>
        <family val="2"/>
      </rPr>
      <t xml:space="preserve">
CONTABILIDAD: 
</t>
    </r>
    <r>
      <rPr>
        <sz val="9"/>
        <color theme="1"/>
        <rFont val="Arial Narrow"/>
        <family val="2"/>
      </rPr>
      <t xml:space="preserve">A la fecha no se ha realizado la actualizacion de los documentos del proceso de gestion de hacienda publica de la Direccion de Contabilidad. </t>
    </r>
    <r>
      <rPr>
        <b/>
        <sz val="9"/>
        <color theme="1"/>
        <rFont val="Arial Narrow"/>
        <family val="2"/>
      </rPr>
      <t xml:space="preserve">
</t>
    </r>
  </si>
  <si>
    <t xml:space="preserve">RENTAS:
ACTA 03  DEL 22 DE MARZO DE 2024. se socializa los ajustes realizados al procedimiento del Impuesto predial unificado, para su respectiva presentacion para autorizacion y aprobacion.
ACTA 04  DEL 29 DE ABRIL DE 2024. se socializa los ajustes realizados al procedimiento del Impuesto predial unificado, para su respectiva presentacion para autorizacion y aprobacion.
TESORERIA: Se proyecta la circular No 000003 del dia 29 de abril de 2024, en donde se socializa la creacion de un instructivo: 
NS-GHP-044 LEGALIZACIÓN DEL IMPUESTO PREDIAL UNIFICADO - IPU. 
Y la modificacion de otro: 
INS-GHP-019 LEGALIZACIÓN Y CONTABILIZACIÓN DEL RECAUDO DE RENTAS EXCEPTO - IPU.  
Los dos debidamente cargados en SIGAMI.
PRESUPUESTO:  Acta N.004  25/04/2024 Reunión operativa.   En el punto de Disposiciones varias, el director de presupuesto y el Grupo Central de Cuentas informan sobre las actividades adelantadas en la actualización del procedimiento "ordenes de pago" del proceso de Gestión de Hacienda Pública, en lo relacionado a la deducción del valor de estampilla en el primer pago que se efectúe a todos aquellos que celebren contratos con la Alcaldía de Ibagué a partir del 1 de abril del 2024. 
CONTABILIDAD: A la fecha no se ha requerido la actualizacion de los documentos del proceso de gestion de hacienda publica de la Direccion de Contabilidad. 
</t>
  </si>
  <si>
    <r>
      <t xml:space="preserve">
PRESUPUESTO:  </t>
    </r>
    <r>
      <rPr>
        <sz val="9"/>
        <color theme="1"/>
        <rFont val="Arial Narrow"/>
        <family val="2"/>
      </rPr>
      <t xml:space="preserve">Acta N.005 29/05/2024 Reunión operativa.   En el punto 3 Disposiciones varias, el director de presupuesto y el Grupo Central de Cuentas informan sobre actividades ejecutadas para la actualización del procedimiento "ordenes de pago" especialmente en la adaptación de los Sistemas de Información  de los módulos central de cuentas, contabilidad y tesoreria a la aplicación de los nuevos actos administrativos relacionados con las estampillas.  </t>
    </r>
    <r>
      <rPr>
        <b/>
        <sz val="9"/>
        <color theme="1"/>
        <rFont val="Arial Narrow"/>
        <family val="2"/>
      </rPr>
      <t xml:space="preserve">
RENTAS: 
</t>
    </r>
    <r>
      <rPr>
        <sz val="9"/>
        <color theme="1"/>
        <rFont val="Arial Narrow"/>
        <family val="2"/>
      </rPr>
      <t>ACTA 05 del 29 mayo de 2024, revisión y seguimiento a planes y programas año 2024. Socializacion de los documentos actualizados de la direccion de rentas.
ACTA 06 del 27 junio de 2024, revisión y seguimiento a planes y programas año 2024. Socializacion de los documentos actualizados de la direccion de rentas.</t>
    </r>
    <r>
      <rPr>
        <b/>
        <sz val="9"/>
        <color theme="1"/>
        <rFont val="Arial Narrow"/>
        <family val="2"/>
      </rPr>
      <t xml:space="preserve">
CONTABILIDAD: </t>
    </r>
    <r>
      <rPr>
        <sz val="9"/>
        <color theme="1"/>
        <rFont val="Arial Narrow"/>
        <family val="2"/>
      </rPr>
      <t xml:space="preserve">A la fecha no se ha requerido la actualizacion de los documentos del proceso de gestion de hacienda publica de la Direccion de Contabilidad. </t>
    </r>
  </si>
  <si>
    <r>
      <t xml:space="preserve">RENTAS: 
</t>
    </r>
    <r>
      <rPr>
        <sz val="9"/>
        <color theme="1"/>
        <rFont val="Arial Narrow"/>
        <family val="2"/>
      </rPr>
      <t xml:space="preserve">ACTA 07 del 29 julio de 2024, revisión y seguimiento a planes y programas año 2024. Socializacion de los documentos actualizados de la direccion de rentas.
ACTA 08 del 28 agosto de 2024, revisión y seguimiento a planes y programas año 2024. Socializacion de los documentos actualizados de la direccion de rentas.
</t>
    </r>
    <r>
      <rPr>
        <b/>
        <sz val="9"/>
        <color theme="1"/>
        <rFont val="Arial Narrow"/>
        <family val="2"/>
      </rPr>
      <t>PRESUPUESTO:
En el Acta N.00007 30/07/2024</t>
    </r>
    <r>
      <rPr>
        <sz val="9"/>
        <color theme="1"/>
        <rFont val="Arial Narrow"/>
        <family val="2"/>
      </rPr>
      <t xml:space="preserve"> Reunión operativa, en el </t>
    </r>
    <r>
      <rPr>
        <b/>
        <sz val="9"/>
        <color theme="1"/>
        <rFont val="Arial Narrow"/>
        <family val="2"/>
      </rPr>
      <t>punto 3</t>
    </r>
    <r>
      <rPr>
        <sz val="9"/>
        <color theme="1"/>
        <rFont val="Arial Narrow"/>
        <family val="2"/>
      </rPr>
      <t xml:space="preserve"> Disposiciones varias la profesional Luz Elina Patiño informan sobre actividades ejecutadas para la actualización del procedimiento "ordenes de pago" especialmente en la adaptación de los Sistemas de Información  de los módulos central de cuentas, contabilidad y tesoreria a la aplicación de los nuevos actos administrativos relacionados con las estampillas.   Evidencia Acta N.0007 30/07/2024 Punto N. 3 con planilla de asistencia.                                                                       
</t>
    </r>
    <r>
      <rPr>
        <b/>
        <sz val="9"/>
        <color theme="1"/>
        <rFont val="Arial Narrow"/>
        <family val="2"/>
      </rPr>
      <t xml:space="preserve">
En el Acta N.00008 30/08/2024</t>
    </r>
    <r>
      <rPr>
        <sz val="9"/>
        <color theme="1"/>
        <rFont val="Arial Narrow"/>
        <family val="2"/>
      </rPr>
      <t xml:space="preserve"> Reunión operativa, en el </t>
    </r>
    <r>
      <rPr>
        <b/>
        <sz val="9"/>
        <color theme="1"/>
        <rFont val="Arial Narrow"/>
        <family val="2"/>
      </rPr>
      <t>punto 3</t>
    </r>
    <r>
      <rPr>
        <sz val="9"/>
        <color theme="1"/>
        <rFont val="Arial Narrow"/>
        <family val="2"/>
      </rPr>
      <t xml:space="preserve"> Disposiciones varias el Ing.Hanner Machado, contratista de la Dirección de Presupuesto y comenta que como resultado de la ultima auditoria interna realizada a la Secretaria de Hacienda el 16 de agosto del año en curso, se hace necesario revisar los procedimientos, manuales, guías, formatos de la Dirección de Presupuesto donde algunos de ellos requieren actualizaciones de fondo y otros simplemente de forma en observancia al nuevo Manual de Identidad Visual.  Se concluye que dentro de esta Dirección esta en proceso de actualizació el procedimiento de "Ordenes de Pago" y se iniciará la revisión del Manual de Presupuesto. </t>
    </r>
    <r>
      <rPr>
        <b/>
        <sz val="9"/>
        <color theme="1"/>
        <rFont val="Arial Narrow"/>
        <family val="2"/>
      </rPr>
      <t xml:space="preserve"> Evidencia Acta 008 30/08/2024 punto N.4</t>
    </r>
    <r>
      <rPr>
        <sz val="9"/>
        <color theme="1"/>
        <rFont val="Arial Narrow"/>
        <family val="2"/>
      </rPr>
      <t xml:space="preserve"> acompañada de planilla de asistencia.
</t>
    </r>
  </si>
  <si>
    <r>
      <t xml:space="preserve">DIRECCION DE RENTAS:
</t>
    </r>
    <r>
      <rPr>
        <sz val="9"/>
        <color theme="1"/>
        <rFont val="Arial Narrow"/>
        <family val="2"/>
      </rPr>
      <t xml:space="preserve">ACTA 09 del 27 septiembre de 2024, revisión y seguimiento a planes y programas año 2024. Socializacion de los documentos actualizados de la direccion de rentas.
ACTA 10 del 29 octubre de 2024, revisión y seguimiento a planes y programas año 2024. Socializacion de los documentos </t>
    </r>
    <r>
      <rPr>
        <b/>
        <sz val="9"/>
        <color theme="1"/>
        <rFont val="Arial Narrow"/>
        <family val="2"/>
      </rPr>
      <t xml:space="preserve">actualizados de la direccion de rentas.
DIRECCION DE PRESUPUESTO:
</t>
    </r>
    <r>
      <rPr>
        <sz val="9"/>
        <color theme="1"/>
        <rFont val="Arial Narrow"/>
        <family val="2"/>
      </rPr>
      <t xml:space="preserve">En el </t>
    </r>
    <r>
      <rPr>
        <b/>
        <sz val="9"/>
        <color theme="1"/>
        <rFont val="Arial Narrow"/>
        <family val="2"/>
      </rPr>
      <t xml:space="preserve">Acta N.00010 31/10/2024 </t>
    </r>
    <r>
      <rPr>
        <sz val="9"/>
        <color theme="1"/>
        <rFont val="Arial Narrow"/>
        <family val="2"/>
      </rPr>
      <t>Reunión operativa, en e</t>
    </r>
    <r>
      <rPr>
        <b/>
        <sz val="9"/>
        <color theme="1"/>
        <rFont val="Arial Narrow"/>
        <family val="2"/>
      </rPr>
      <t>l punto 4</t>
    </r>
    <r>
      <rPr>
        <sz val="9"/>
        <color theme="1"/>
        <rFont val="Arial Narrow"/>
        <family val="2"/>
      </rPr>
      <t xml:space="preserve"> Proposiciones y varios el Grupo Central de Cuentas informa el inconveniente en la actualización del procedimiento incluyendo el aplicativo del Pre-registro, debido a la no respuesta de la Secretaría de las TIC a la solicitud reiterativa del cronograma para el desarrollo del mismo.  Como evidencia se anexa</t>
    </r>
    <r>
      <rPr>
        <b/>
        <sz val="9"/>
        <color theme="1"/>
        <rFont val="Arial Narrow"/>
        <family val="2"/>
      </rPr>
      <t xml:space="preserve"> memorando 1310 44945 30/09/2024.     
CONTABILIDAD: 
</t>
    </r>
    <r>
      <rPr>
        <sz val="9"/>
        <color theme="1"/>
        <rFont val="Arial Narrow"/>
        <family val="2"/>
      </rPr>
      <t xml:space="preserve">A la fecha no se ha requerido la actualizacion de los documentos del proceso de gestion de hacienda publica de la Direccion de Contabilidad.               </t>
    </r>
    <r>
      <rPr>
        <b/>
        <sz val="9"/>
        <color theme="1"/>
        <rFont val="Arial Narrow"/>
        <family val="2"/>
      </rPr>
      <t xml:space="preserve">             </t>
    </r>
    <r>
      <rPr>
        <sz val="9"/>
        <color theme="1"/>
        <rFont val="Arial Narrow"/>
        <family val="2"/>
      </rPr>
      <t xml:space="preserve">
</t>
    </r>
  </si>
  <si>
    <r>
      <rPr>
        <b/>
        <sz val="9"/>
        <color theme="1"/>
        <rFont val="Arial Narrow"/>
        <family val="2"/>
      </rPr>
      <t xml:space="preserve">TESORERIA: 
</t>
    </r>
    <r>
      <rPr>
        <sz val="9"/>
        <color theme="1"/>
        <rFont val="Arial Narrow"/>
        <family val="2"/>
      </rPr>
      <t xml:space="preserve">Se adjunta como evidencia el memorando 8143 del 29 de febrero de 2024 el cual funge como certificacion anual del superavit con corte a 31 de diciembre de 2023,  
No se programó para el presente bimestre la socialización anual, se tiene programada para el mes de noviembre de 2024, 
</t>
    </r>
  </si>
  <si>
    <r>
      <rPr>
        <b/>
        <sz val="9"/>
        <color theme="1"/>
        <rFont val="Arial Narrow"/>
        <family val="2"/>
      </rPr>
      <t xml:space="preserve">TESORERIA:
TESORERIA: No se requiere para este Bimestre. </t>
    </r>
    <r>
      <rPr>
        <sz val="9"/>
        <color theme="1"/>
        <rFont val="Arial Narrow"/>
        <family val="2"/>
      </rPr>
      <t xml:space="preserve">
</t>
    </r>
  </si>
  <si>
    <r>
      <rPr>
        <b/>
        <sz val="9"/>
        <color theme="1"/>
        <rFont val="Arial Narrow"/>
        <family val="2"/>
      </rPr>
      <t>TESORERIA:</t>
    </r>
    <r>
      <rPr>
        <sz val="9"/>
        <color theme="1"/>
        <rFont val="Arial Narrow"/>
        <family val="2"/>
      </rPr>
      <t xml:space="preserve"> No se requiere para este Bimestre. </t>
    </r>
  </si>
  <si>
    <r>
      <rPr>
        <b/>
        <sz val="9"/>
        <color theme="1"/>
        <rFont val="Arial Narrow"/>
        <family val="2"/>
      </rPr>
      <t>TESORERIA:</t>
    </r>
    <r>
      <rPr>
        <sz val="9"/>
        <color theme="1"/>
        <rFont val="Arial Narrow"/>
        <family val="2"/>
      </rPr>
      <t xml:space="preserve"> Acción cumplida. </t>
    </r>
  </si>
  <si>
    <r>
      <rPr>
        <b/>
        <sz val="9"/>
        <color theme="1"/>
        <rFont val="Arial Narrow"/>
        <family val="2"/>
      </rPr>
      <t xml:space="preserve">TESORERIA: </t>
    </r>
    <r>
      <rPr>
        <sz val="9"/>
        <color theme="1"/>
        <rFont val="Arial Narrow"/>
        <family val="2"/>
      </rPr>
      <t xml:space="preserve">Acción cumplida. </t>
    </r>
  </si>
  <si>
    <t>SEGUIMIENTO DESPACHO SECRETARIA DE HACIENDA BIMESTRE 01 2024
Resolución 0152 de 12 de Abril de 2019 con Resolución modificatoria No. 0389 de 26 octubre de 2021.
ACTA 01 DE FEBRERO DE 2024 ,  DE REUNION DE COMITÉ DE EVALUACION, SEGUIMIENTO, MANEJO DE RIESGOS EN LOS PROCESOS DE LA SECRETARIA DE HACIENDA:
TEMAS:
ORDEN DEL DIA
1.	Saludo inicial
2.	Verificación del quórum
3.	ARTICULO 2º: Conformación del Comité para la vigencia 2024
4.	Programación de monitoreos por Dirección.
5.	Planeación envío primer bimestre vigencia 2024, evidencias e indicadores a la Secretaría de Planeación Municipal.
6.	Definir procedimiento a seguir para nueva actualización de mapa y plan de tratamiento de riesgos, por proceso, gestión de Hacienda 2024. Según puntos de control en los procesos de la Secretaría de Hacienda
7.	Socialización procedimiento y estado Planes de mejoramiento y mapas de riesgos (Carolina Rodríguez Ángel)
8.	Socialización sistema Integrado de Gestión de la Alcaldía de Ibagué-SIGAMI (Jeimmy Elizabeth Medina Barrera)
9.	Socialización Política Antisoborno (Pilar Cuevas G)
10.	Compromisos y tareas
MONITOREOS PROGRAMADOS  SEGUN COMITE DE RIESGOS:
MESAS DE TRABAJO O REUNIONES  DE ACOMPAÑAMIENTO
PLANILLAS DE ASISTENCIA MONITOREO 
29/02/2024 DIRECCION DE CONTABILIDAD
29/02/2024 DIRECCION DE PRESUPUESTO 
29/02/2024 DIRECCION DE TESORERIA
ACTA 02 FEBRERO 29 DE 2024,  DE REUNION DE COMITÉ DE EVALUACION, SEGUIMIENTO, MANEJO DE RIESGOS EN LOS PROCESOS DE LA SECRETARIA DE HACIENDA:
TEMAS:
ORDEN DEL DIA
1.	Saludo inicial
2.	Verificación del quórum
3.	Socialización proyecto Actualización Mapas de Riesgos de Gestión y Corrupción
4.	Aprobación de la Actualización mapas de riesgos de gestión y corrupción de la Secretaría de Hacienda 2024
5.	Compromisos y tareas
VARIOS
ACTUALIZACION MAPAS DE RIESGOS DE GESTION Y DE CORRUPCION -APROBADOS EN COMITE.  ENVÍO A PLANEACIÓN-
Sugerencias a reportes presentados por parte de cada Dirección, correcciones  y conciliación de información para reporte bimestral a la Secretaría de Planeación Municipal.
Comunicación continua para el desarrollo  efectivo de las actividades de mejoramiento.
ENTREGA DE MONITOREO 01 BIMESTRE 2024 A SECRETARIA DE PLANEACION:   
correo electronico sigami@ibague.gov.co MARZO 01 de 2024</t>
  </si>
  <si>
    <t>SEGUIMIENTO DESPACHO SECRETARIA DE HACIENDA BIMESTRE 02 2024
Resolución 0152 de 12 de Abril de 2019 con Resolución modificatoria No. 0389 de 26 octubre de 2021.
ACTA 03 DE ABRIL DE 2024 ,  DE REUNION DE COMITÉ DE EVALUACION, SEGUIMIENTO, MANEJO DE RIESGOS EN LOS PROCESOS DE LA SECRETARIA DE HACIENDA:
TEMAS:
ORDEN DEL DIA
1.	Saludo inicial
2.	Verificación del Cuórum
3.	Programación de monitoreo por Dirección.
4.	Planeación envío segundo bimestre vigencia 2024, evidencias e indicadores a la Secretaría de Planeación Municipal.
5.	Planeación envío primer cuatrimestre vigencia 2024, evidencias e indicadores la Oficina de Control Interno. 
6.	Planeación entrega avance planes de mejoramiento a oficina de control interno ( CGR-CMI)
7.	Citación actualización - proceso SGP 17 de abril de 2024
8.	Compromisos y tareas
MONITOREOS PROGRAMADOS  SEGUN COMITE DE RIESGOS:
MESAS DE TRABAJO O REUNIONES  DE ACOMPAÑAMIENTO
PLANILLAS DE ASISTENCIA MONITOREO 
26/04/2024 DIRECCION DE CONTABILIDAD
26/04/2024DIRECCION DE PRESUPUESTO 
26/04/2024DIRECCION DE TESORERIA
Sugerencias a reportes presentados por parte de cada Dirección, correcciones  y conciliación de información para reporte bimestral a la Secretaría de Planeación Municipal.
Comunicación continua para el desarrollo  efectivo de las actividades de mejoramiento.
ENTREGA DE MONITOREO 02 BIMESTRE 2024 A SECRETARIA DE PLANEACION:   
correo electronico sigami@ibague.gov.co MAYO 02 de 2024</t>
  </si>
  <si>
    <r>
      <t xml:space="preserve">SEGUIMIENTO DESPACHO SECRETARIA DE HACIENDA BIMESTRE 03 2024
Resolución 0152 de 12 de Abril de 2019 con Resolución modificatoria No. 0389 de 26 octubre de 2021.
ACTA 04 DE 28 DE JUNIO DE 2024 ,  DE REUNION DE COMITÉ DE EVALUACION, SEGUIMIENTO, MANEJO DE RIESGOS EN LOS PROCESOS DE LA SECRETARIA DE HACIENDA:
TEMAS:
ORDEN DEL DIA
</t>
    </r>
    <r>
      <rPr>
        <sz val="9"/>
        <color theme="1"/>
        <rFont val="Calibri"/>
        <family val="2"/>
        <scheme val="minor"/>
      </rPr>
      <t xml:space="preserve">
1.	Saludo inicial
2.	Verificación del Cuórum
3.	Programación de monitoreo por Dirección.
4.	Reporte de la matriz de gestión de eventos
5.	Planeación envío tercer bimestre vigencia 2024, evidencias e indicadores a la Secretaría de Planeación Municipal.
6.	Planeación entrega avance planes de mejoramiento a oficina de control interno ( CGR-CMI), a 30 de junio 2024
7.	Programación actualización - proceso SGP 2024-DIRECCION DE PRESUPUESTO,  TESORERIA Y CONTABILIDAD
8.	Compromisos y tareas</t>
    </r>
    <r>
      <rPr>
        <b/>
        <sz val="9"/>
        <color theme="1"/>
        <rFont val="Calibri"/>
        <family val="2"/>
        <scheme val="minor"/>
      </rPr>
      <t xml:space="preserve">
MONITOREOS PROGRAMADOS  SEGUN COMITE DE RIESGOS:
MESAS DE TRABAJO O REUNIONES  DE ACOMPAÑAMIENTO
</t>
    </r>
    <r>
      <rPr>
        <sz val="9"/>
        <color theme="1"/>
        <rFont val="Calibri"/>
        <family val="2"/>
        <scheme val="minor"/>
      </rPr>
      <t xml:space="preserve">Sugerencias a reportes presentados por parte de cada Dirección, correcciones  y conciliación de información para reporte bimestral a la Secretaría de Planeación Municipal.
Comunicación continua para el desarrollo  efectivo de las actividades de mejoramiento.
</t>
    </r>
    <r>
      <rPr>
        <b/>
        <sz val="9"/>
        <color theme="1"/>
        <rFont val="Calibri"/>
        <family val="2"/>
        <scheme val="minor"/>
      </rPr>
      <t xml:space="preserve">
ENTREGA DE MONITOREO 03 BIMESTRE 2024 A SECRETARIA DE PLANEACION:   </t>
    </r>
    <r>
      <rPr>
        <sz val="9"/>
        <color theme="1"/>
        <rFont val="Calibri"/>
        <family val="2"/>
        <scheme val="minor"/>
      </rPr>
      <t xml:space="preserve">
correo electronico sigami@ibague.gov.co JULIO 05 de 2024</t>
    </r>
  </si>
  <si>
    <r>
      <t xml:space="preserve">SEGUIMIENTO DESPACHO SECRETARIA DE HACIENDA BIMESTRE 04 2024
Resolución 0152 de 12 de Abril de 2019 con Resolución modificatoria No. 0389 de 26 octubre de 2021.
ACTA 05 DE 28 DE AGOSTO DE 2024 ,  DE REUNION DE COMITÉ DE EVALUACION, SEGUIMIENTO, MANEJO DE RIESGOS EN LOS PROCESOS DE LA SECRETARIA DE HACIENDA:
TEMAS:
ORDEN DEL DIA
</t>
    </r>
    <r>
      <rPr>
        <sz val="9"/>
        <color theme="1"/>
        <rFont val="Calibri"/>
        <family val="2"/>
        <scheme val="minor"/>
      </rPr>
      <t xml:space="preserve">1.	Saludo inicial
2.	Verificación del Cuórum
3.	Programación de monitoreo por Dirección.
4.	Reporte de la matriz de gestión de eventos
5.	Planeación envío cuarto bimestre vigencia 2024, evidencias e indicadores a la Secretaría de Planeación Municipal.
6.	Planeación de envío, evidencias e indicadores a la oficina de control interno. Cuatrimestre 02  vigencia 2024
7.	Actualización mapas de riesgos de gestión y Fiscales,  mapa de Riesgos de corrupción de la Secretaría de Hacienda 2024 según nuevo formato Actualizado por SIGAMI y publicado en agosto 22 de 2024
8.	Planeación entrega avance planes de mejoramiento a oficina de control interno ( CGR-CMI), a 30 de agosto 2024
9.	Programación actualización - proceso SGP 2024-DIRECCION DE PRESUPUESTO, TESORERIA Y CONTABILIDAD
10.	Actualización Proceso, procedimientos, instructivos y formatos y demás documentos de la Gestión Secretaría de Hacienda
11.	Autorización reporte acciones correctivas proceso de auditoría interna gestión secretaria de hacienda
12.	Compromisos y tareas
</t>
    </r>
    <r>
      <rPr>
        <b/>
        <sz val="9"/>
        <color theme="1"/>
        <rFont val="Calibri"/>
        <family val="2"/>
        <scheme val="minor"/>
      </rPr>
      <t xml:space="preserve">
MONITOREOS PROGRAMADOS  SEGUN COMITE DE RIESGOS:
PLANILLAS DE ASISTENCIA MONITOREO 
</t>
    </r>
    <r>
      <rPr>
        <sz val="9"/>
        <color theme="1"/>
        <rFont val="Calibri"/>
        <family val="2"/>
        <scheme val="minor"/>
      </rPr>
      <t xml:space="preserve">
29/08/2024 DIRECCION DE CONTABILIDAD
29/08/2024DIRECCION DE PRESUPUESTO 
29/08/2024DIRECCION DE TESORERIA
29/08/2024DIRECCION DE RENTAS
</t>
    </r>
    <r>
      <rPr>
        <b/>
        <sz val="9"/>
        <color theme="1"/>
        <rFont val="Calibri"/>
        <family val="2"/>
        <scheme val="minor"/>
      </rPr>
      <t xml:space="preserve">
MESAS DE TRABAJO O REUNIONES  DE ACOMPAÑAMIENTO
</t>
    </r>
    <r>
      <rPr>
        <sz val="9"/>
        <color theme="1"/>
        <rFont val="Calibri"/>
        <family val="2"/>
        <scheme val="minor"/>
      </rPr>
      <t xml:space="preserve">
Sugerencias a reportes presentados por parte de cada Dirección, correcciones  y conciliación de información para reporte bimestral a la Secretaría de Planeación Municipal.
Comunicación continua para el desarrollo  efectivo de las actividades de mejoramiento.</t>
    </r>
    <r>
      <rPr>
        <b/>
        <sz val="9"/>
        <color theme="1"/>
        <rFont val="Calibri"/>
        <family val="2"/>
        <scheme val="minor"/>
      </rPr>
      <t xml:space="preserve">
ENTREGA DE MONITOREO 04 BIMESTRE 2024 A SECRETARIA DE PLANEACION:   </t>
    </r>
    <r>
      <rPr>
        <sz val="9"/>
        <color theme="1"/>
        <rFont val="Calibri"/>
        <family val="2"/>
        <scheme val="minor"/>
      </rPr>
      <t xml:space="preserve">
correo electronico sigami@ibague.gov.co SEPTIEMBRE 03  de 2024</t>
    </r>
  </si>
  <si>
    <r>
      <t xml:space="preserve">SEGUIMIENTO DESPACHO SECRETARIA DE HACIENDA BIMESTRE 05 2024
Resolución 0152 de 12 de Abril de 2019 con Resolución modificatoria No. 0389 de 26 octubre de 2021.
ACTA 06 DE 28 DE OCTUBRE DE 2024 ,  DE REUNION DE COMITÉ DE EVALUACION, SEGUIMIENTO, MANEJO DE RIESGOS EN LOS PROCESOS DE LA SECRETARIA DE HACIENDA:
TEMAS:
ORDEN DEL DIA
</t>
    </r>
    <r>
      <rPr>
        <sz val="9"/>
        <color theme="1"/>
        <rFont val="Calibri"/>
        <family val="2"/>
        <scheme val="minor"/>
      </rPr>
      <t xml:space="preserve">11.	Saludo inicial
2.	Verificación del Cuórum
3.	Programación de monitoreo por Dirección.
4.	Reporte de la matriz de gestión de eventos
5.	Planeación envío Quinto bimestre vigencia 2024, evidencias e indicadores a la Secretaría de Planeación Municipal. Mapas de  Riesgos de Gestión y Corrupción
6.	Autorización Actualización mapas de riesgos de gestión y Fiscales,  mapa de Riesgos de corrupción de la Secretaría de Hacienda 2024 según nuevo formato Actualizado por SIGAMI y publicado en agosto 22 de 2024
7.	Autorización Suscripción, Plan de mejoramiento Auditoría Prescripciones- Control Interno
8.	Solicitud avance actualización - proceso SGP 2024-DIRECCION DE PRESUPUESTO, TESORERIA Y CONTABILIDAD
9.	Solicitud Avance actualización Proceso, procedimientos, instructivos y formatos y demás documentos de la Gestión Secretaría de Hacienda
10.	Programación asistencia a invitación Plan de Acción y Plan Anticorrupción - Personería municipal. VAGP 2256 ( nov 07 2024)
11.	Memorando 1300-2024- -049585 , Ibagué, octubre 23 de 2024-controversia ente de control consolida despacho hacienda.- informe preliminar- actuación  especial de fiscalización-cmi-rs-2024-00003244
12.	Formalización de responsabilidad delegada por parte de los directores para la entrega de informes digitales en todas las plataformas y diversos reportes a entes de control
</t>
    </r>
    <r>
      <rPr>
        <b/>
        <sz val="9"/>
        <color theme="1"/>
        <rFont val="Calibri"/>
        <family val="2"/>
        <scheme val="minor"/>
      </rPr>
      <t xml:space="preserve">
MONITOREOS PROGRAMADOS  SEGUN COMITE DE RIESGOS:
PLANILLAS DE ASISTENCIA MONITOREO 
</t>
    </r>
    <r>
      <rPr>
        <sz val="9"/>
        <color theme="1"/>
        <rFont val="Calibri"/>
        <family val="2"/>
        <scheme val="minor"/>
      </rPr>
      <t>30/10/2024 DIRECCION DE CONTABILIDAD
30/10/2024 DIRECCION DE PRESUPUESTO 
30/10/2024 DIRECCION DE TESORERIA
30/10/2024 DIRECCION DE RENTA</t>
    </r>
    <r>
      <rPr>
        <b/>
        <sz val="9"/>
        <color theme="1"/>
        <rFont val="Calibri"/>
        <family val="2"/>
        <scheme val="minor"/>
      </rPr>
      <t xml:space="preserve">S
REPORTE CONSOLIDADO  MATRIZ GESTION DE EVENTOS A OCTUBRE 31 2024
MESAS DE TRABAJO O REUNIONES  DE ACOMPAÑAMIENTO
</t>
    </r>
    <r>
      <rPr>
        <sz val="9"/>
        <color theme="1"/>
        <rFont val="Calibri"/>
        <family val="2"/>
        <scheme val="minor"/>
      </rPr>
      <t>Sugerencias a reportes presentados por parte de cada Dirección, correcciones  y conciliación de información para reporte bimestral a la Secretaría de Planeación Municipal.
Comunicación continua para el desarrollo  efectivo de las actividades de mejoramiento.</t>
    </r>
    <r>
      <rPr>
        <b/>
        <sz val="9"/>
        <color theme="1"/>
        <rFont val="Calibri"/>
        <family val="2"/>
        <scheme val="minor"/>
      </rPr>
      <t xml:space="preserve">
ENTREGA DE MONITOREO 05 BIMESTRE 2024 A SECRETARIA DE PLANEACION:   
</t>
    </r>
    <r>
      <rPr>
        <sz val="9"/>
        <color theme="1"/>
        <rFont val="Calibri"/>
        <family val="2"/>
        <scheme val="minor"/>
      </rPr>
      <t>correo electronico sigami@ibague.gov.co noviembre 06  de 2024</t>
    </r>
  </si>
  <si>
    <t>RENTAS: 
ACTA 02 DEL 28 DE FEBRERO DE 2024, seguimiento a las actividades del plan de accion de gestion  y la actividad No 2 correspondiente a la constitucion y tramite tributario establecido para los TITULOS EJECUTIVOS a cobro coactivo-cartera concepto impuesto predial Unificado vigencias anteriores y 2022 y 2023.</t>
  </si>
  <si>
    <t>RENTAS: 
ACTA 03  DEL 22 DE MARZO DE 2024. se socializa los avances de las metas del plan de accion de gestion del año 2024,
ACTA 04  DEL 29 DE ABRIL DE 2024 . se socializa los avances de las metas del plan de accion de gestion del año 202</t>
  </si>
  <si>
    <t>RENTAS: 
ACTA 05 del 29 mayo de 2024, revisión y seguimiento a planes y programas año 2024.
ACTA 06 del 27 junio de 2024, revisión y seguimiento a planes y programas año 2024. Socializacion de los documentos actualizados de la direccion de rentas.
Memorando 1340-022866 del 31 de mayo de 2024, solicitud de entrega formal avance meta plan de acción de gestión sobre los TITULOS EJECUTIVOS a cobro coactivo.</t>
  </si>
  <si>
    <t>RENTAS: 
ACTA 07 del 28 julio de 2024, revisión y seguimiento a planes y programas año 2024. Socializacion de los documentos actualizados de la direccion de rentas.
ACTA 08 del 28 agosto de 2024, revisión y seguimiento a planes y programas año 2024. Socializacion de los documentos actualizados de la direccion de rentas.
Memorando 1340-022866 del 31 de mayo de 2024, solicitud de entrega formal avance meta plan de acción de gestión sobre los TITULOS EJECUTIVOS a cobro coactivo.
Certificacion del 03 de julio de 2024, Se enviaron 30.914 LIQUIDACIÓN DE DETERMINACIÓN OFICIAL para su respectiva notificación del impuesto predial unificado.</t>
  </si>
  <si>
    <t>DIRECCION DERENTAS:
ACTA 09 del 27 septiembre de 2024, revisión y seguimiento a planes y programas año 2024. Socializacion de los documentos actualizados de la direccion de rentas.
ACTA 10 del 29 octubre de 2024, revisión y seguimiento a planes y programas año 2024. Socializacion de los documentos actualizados de la direccion de rentas.
certificacion del 01 de octubre de 2024, de remision de C.L.D.O espectiva notificacion del IMPUESTO PREDIAL UNIFICADO.
Certificacion del 31 de octubre de 2024, de remsion de la cartera del C.L.D.O a la direccion de Tesoreria oficina de cobro coactivo. 
Memorando 051517 de fecha 31 de octubre entrega expedientes CLDO, cartera impuesto predial vigencias 0221-2022-2023 a Dirección de Tesorería</t>
  </si>
  <si>
    <t>N/A</t>
  </si>
  <si>
    <t>OBSERVACIONES
(MAPA ACTUALIZADO B6)
BIMESTRE06   NOVIEMBRE- DICIEMBRE -CIERRE 2024</t>
  </si>
  <si>
    <r>
      <rPr>
        <b/>
        <sz val="9"/>
        <color theme="1"/>
        <rFont val="Arial Narrow"/>
        <family val="2"/>
      </rPr>
      <t>DIRECCION DE RENTAS</t>
    </r>
    <r>
      <rPr>
        <sz val="9"/>
        <color theme="1"/>
        <rFont val="Arial Narrow"/>
        <family val="2"/>
      </rPr>
      <t xml:space="preserve">
Memorando No 054794 del 20 de noviembre de 2024, confirmación de receptcion de 2,143 expedientes -cartera predial entregados a Cobro coactivo de la Direccion de Tesosreria.</t>
    </r>
  </si>
  <si>
    <t xml:space="preserve">TESORERIA: Para el sexto bimestre se adjuntan tres informes de prestamo y devolución de los expedientes el primero de (predial e ica), el segundo de (transito) y el tercero de Secretaria predial. con sus respectivas planillas. Lo anterior correspondiente a los meses de noviembre y diciembre de 2024. </t>
  </si>
  <si>
    <r>
      <rPr>
        <b/>
        <sz val="9"/>
        <color theme="1"/>
        <rFont val="Arial Narrow"/>
        <family val="2"/>
      </rPr>
      <t>TESORERIA:</t>
    </r>
    <r>
      <rPr>
        <sz val="9"/>
        <color theme="1"/>
        <rFont val="Arial Narrow"/>
        <family val="2"/>
      </rPr>
      <t xml:space="preserve"> Para el sexto bimestre se adjunta el informe No 1 de diciembre de 2024, en donde se determinan los mandamientos de pago efectuados y el trámite de las notificaciones de los mismos y de igual forma los embargos efectuados y el valor de los mismos.</t>
    </r>
  </si>
  <si>
    <r>
      <rPr>
        <b/>
        <sz val="9"/>
        <color theme="1"/>
        <rFont val="Arial Narrow"/>
        <family val="2"/>
      </rPr>
      <t xml:space="preserve">PRESUPUESTO:  </t>
    </r>
    <r>
      <rPr>
        <sz val="9"/>
        <color theme="1"/>
        <rFont val="Arial Narrow"/>
        <family val="2"/>
      </rPr>
      <t xml:space="preserve">Acta interna Grupo Central de Cuentas N.001 03/12/2024 Monitoreo Riesgo Fiscal. Evidencia:  Registro fotográfico y listado </t>
    </r>
  </si>
  <si>
    <t xml:space="preserve">TESORERIA: Acción cumplida. </t>
  </si>
  <si>
    <t>SEGUIMIENTO DESPACHO SECRETARIA DE HACIENDA BIMESTRE 06 2024
Resolución 0152 de 12 de Abril de 2019 con Resolución modificatoria No. 0389 de 26 octubre de 2021.
ACTA 07 DE 18 DE DICIEMBRE DE 2024 ,  DE REUNION DE COMITÉ DE EVALUACION, SEGUIMIENTO, MANEJO DE RIESGOS EN LOS PROCESOS DE LA SECRETARIA DE HACIENDA:
TEMAS:
ORDEN DEL DIA
1.	SALUDO INICIAL
2.	VERIFICACIÓN DEL CUÓRUM
3.	PLANEACIÓN ENVÍO BIMESTRE 06 VIGENCIA 2024, EVIDENCIAS E INDICADORES A LA SECRETARÍA DE PLANEACIÓN MUNICIPAL.  “For-13-Pro-Sig-05 Mapa De Riesgo de Corrupción” “For-029-Pro-Sig-01 Mapa De Riesgos De Gestión Y fiscales”
a.	Programación de monitoreo por Dirección.
b.	Reporte de la matriz de gestión de eventos
c.	Planeación envío sexto bimestre vigencia 2024, evidencias e indicadores a la Secretaría de Planeación Municipal. Mapas de Riesgos de Gestión, fiscalización y Corrupción
d.	Planeación envío tercer cuatrimestre vigencia 2024, evidencias e indicadores a la Oficina de Control Interno. Mapas de Riesgos de Gestión, fiscalización y Corrupción
4.	PLANEACIÓN CIERRE PLANES DE MEJORAMIENTO CMI-CGR-CI
a.	Elaboración y aprobación plan de mejoramiento Auditoría Desempeño Contraloría Municipal Consolida Control Interno Hoy antes de mediodía.
b.	Auditoría De Cumplimiento 2022 SGP- Agua Potable Y Saneamiento Básico Municipio De Ibagué Vig 2022
c.	Auditoría Financiera Y De Gestión, Administración Central Del Municipio De Ibagué, Vigencia, 2023.
d.	Actuación Especial De Fiscalización Administración Central Municipal De Ibagué – Secretaría De Hacienda 
e.	Auditoría De Cumplimiento-Dirección De Tesorería Grupo Cobro oactivo/Dirección De Rentas (Procedimiento Prescripciones Pro-Ghp-009 Versión 03-Man-GHP-003 Versión 03)
5.	SOLICITUD Y APROBACIÓN DE LA ACTUALIZACIÓN - PROCESO SGP 2024-DIRECCION DE PRESUPUESTO, TESORERIA Y CONTABILIDAD
6.	SOLICITUD Y APROBACIÓN DE LA ACTUALIZACIÓN PROCESO, PROCEDIMIENTOS, INSTRUCTIVOS Y FORMATOS Y DEMÁS DOCUMENTOS DE LA GESTIÓN SECRETARÍA DE HACIENDA
7.	CUMPLIMIENTO COMPROMISOS DEL ACTA ANTERIOR.
8.	COMPROMISOS Y TAREAS
MONITOREOS PROGRAMADOS  SEGUN COMITE DE RIESGOS:
PLANILLAS DE ASISTENCIA MONITOREO 
20/12/2024 DIRECCION DE CONTABILIDAD
23/12/2024 DIRECCION DE PRESUPUESTO 
23/12/2024 DIRECCION DE TESORERIA
27/12/2024 DIRECCION DE RENTAS
REPORTE CONSOLIDADO  MATRIZ GESTION DE EVENTOS A DICIEMBRE 31 2024
MESAS DE TRABAJO O REUNIONES  DE ACOMPAÑAMIENTO
Sugerencias a reportes presentados por parte de cada Dirección, correcciones  y conciliación de información para reporte bimestral a la Secretaría de Planeación Municipal.
Comunicación continua para el desarrollo  efectivo de las actividades de mejoramiento.
ENTREGA DE MONITOREO 06 BIMESTRE 2024 A SECRETARIA DE PLANEACION:   
correo electronico sigami@ibague.gov.co ENERO 03  de 2025</t>
  </si>
  <si>
    <r>
      <rPr>
        <b/>
        <sz val="9"/>
        <color theme="1"/>
        <rFont val="Arial Narrow"/>
        <family val="2"/>
      </rPr>
      <t>PRESUPUESTO</t>
    </r>
    <r>
      <rPr>
        <sz val="9"/>
        <color theme="1"/>
        <rFont val="Arial Narrow"/>
        <family val="2"/>
      </rPr>
      <t>: 
 Informe Seguimiento Ejecucion Presupuestal.  Circulares:   000050 noviembr 14 2024, 000052 noviembre 19 2024, 000054 diciembre 02 2024, 000056 diciembre 18 2024.                                                                                   
 Informe ejecución vigencia reserva presupuestal. Circulares: 000051 noviembre 14 2024, 000055 diciembre 02 2024, 000057 diciembre 18 2024.                                                                           
                                                                                                                                                                                                                                                                                                                                                         Ejecución Gastos y reserva  mes octubre 2024 - correo del 7 noviembre 2024, Ejecución Gastos y reserva mes de noviembre 2024 - correo del 27 diciembre 2024. 
Informe ejecutivo de la Ejecución Presupuestal de Gastos, Reserva y Pasivos Exigibles: mes octubre - correo del 13 noviembre 2024.   Informe ejecutivo de la Ejecución Presupuestal de Gastos, Reserva y Pasivos Exigibles: mes noviembre - correo del 27 diciembre 202</t>
    </r>
  </si>
  <si>
    <r>
      <t>DIRECCION DE RENTAS
ACTA 11 del 26 novembre de 2024, revisión y seguimiento a planes y programas año 2024. Socializacion de los documentos actualizados de la direccion de rentas.
TESORERIA: 
-Mediante memorando No 057088 del 2 de diciembre de 2024, se envia la lista de manuales, procedimientos e instructivos de la direccion de Tesoreria y se solicita a los funcionarios de la misma, la revisión de cada uno para determinar si es necesario actualizar. 
-Mediante memorando 58804 del dia 13 de diciembre de 2024, se envia a la dirección de Presupuesto el procedimiento de ordenes de pago con las actualizaciones requeridas por parte de la dirección de tesoreria, para lo pertinente. 
-Mediante memorando 58998 de dia 16 de diciembre de 2024, se envia a la Dirección de fortalecimiento institucional (cuatro) instructivos para la debida actualizacion en la pagina de la Alcaldia de Ibagué. 
PRESUPUESTO:</t>
    </r>
    <r>
      <rPr>
        <sz val="9"/>
        <color theme="1"/>
        <rFont val="Arial Narrow"/>
        <family val="2"/>
      </rPr>
      <t xml:space="preserve">
A través del memorando 1330 058804 13/12/2024 se recibieron los ultimos aportes de Tesorería para la actualización del procedimiento PRO-GHP-008 Ordenes de Pago.  Estos se incluirán en el mismo y se proyecta reunión definitiva con el nivel directivo y representantes Sigami para finiquitar el mismo en enero 17 de 2025.  Se reitera a las TIC a través de memorando 1310 57412 04/12/2024 la solicitud del cronograma para el modulo del pre-registro.  Como evidencia se anexan memorandos 1310 57412 04/12/2024 y Memorando 1330 058804 13/12/2024.    
</t>
    </r>
    <r>
      <rPr>
        <b/>
        <sz val="9"/>
        <color theme="1"/>
        <rFont val="Arial Narrow"/>
        <family val="2"/>
      </rPr>
      <t>DIRECCION DE CONTABILIDAD:</t>
    </r>
    <r>
      <rPr>
        <sz val="9"/>
        <color theme="1"/>
        <rFont val="Arial Narrow"/>
        <family val="2"/>
      </rPr>
      <t xml:space="preserve"> 
Se adjunta memorando No. 1320-2024-060856 y correo electronico con el envio de los documentos a actualizar a la Direccion de Fortalecimiento Institucional (SIGAMI), de fecha 27 de diciembre de 2024, para su respectiva aprobacion,actualizacion y publicacion del instructivo INS-GHP-036 DEPURACION Y SANEAMIENTO CONTABLE PERMANENTE Y SOSTENIBLE
                        </t>
    </r>
  </si>
  <si>
    <t>PROCESO: SISTEMA INTEGRADO DE GESTIÓN Y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</si>
</sst>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0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0"/>
      <name val="Arial"/>
      <family val="2"/>
    </font>
    <font>
      <sz val="11"/>
      <color rgb="FFFF0000"/>
      <name val="Arial"/>
      <family val="2"/>
    </font>
    <font>
      <sz val="9"/>
      <color indexed="81"/>
      <name val="Tahoma"/>
      <family val="2"/>
    </font>
    <font>
      <b/>
      <sz val="9"/>
      <color indexed="81"/>
      <name val="Tahoma"/>
      <family val="2"/>
    </font>
    <font>
      <sz val="8"/>
      <color rgb="FF000000"/>
      <name val="Segoe UI"/>
      <family val="2"/>
    </font>
    <font>
      <b/>
      <sz val="10"/>
      <color rgb="FF0070C0"/>
      <name val="Arial"/>
      <family val="2"/>
    </font>
    <font>
      <b/>
      <sz val="10"/>
      <color rgb="FF00B050"/>
      <name val="Arial"/>
      <family val="2"/>
    </font>
    <font>
      <b/>
      <sz val="10"/>
      <color rgb="FFFF0000"/>
      <name val="Arial"/>
      <family val="2"/>
    </font>
    <font>
      <b/>
      <sz val="10"/>
      <color theme="9" tint="-0.499984740745262"/>
      <name val="Arial"/>
      <family val="2"/>
    </font>
    <font>
      <b/>
      <sz val="11"/>
      <color rgb="FF0070C0"/>
      <name val="Arial Narrow"/>
      <family val="2"/>
    </font>
    <font>
      <b/>
      <sz val="11"/>
      <color rgb="FF00B050"/>
      <name val="Arial Narrow"/>
      <family val="2"/>
    </font>
    <font>
      <b/>
      <sz val="10"/>
      <color rgb="FFC00000"/>
      <name val="Arial"/>
      <family val="2"/>
    </font>
    <font>
      <b/>
      <sz val="10"/>
      <color rgb="FF002060"/>
      <name val="Arial"/>
      <family val="2"/>
    </font>
    <font>
      <b/>
      <sz val="10"/>
      <color theme="3" tint="0.39997558519241921"/>
      <name val="Arial"/>
      <family val="2"/>
    </font>
    <font>
      <sz val="11"/>
      <color rgb="FFFF0000"/>
      <name val="Arial Narrow"/>
      <family val="2"/>
    </font>
    <font>
      <sz val="11"/>
      <color theme="9" tint="-0.249977111117893"/>
      <name val="Arial Narrow"/>
      <family val="2"/>
    </font>
    <font>
      <sz val="10"/>
      <color rgb="FF00B050"/>
      <name val="Arial"/>
      <family val="2"/>
    </font>
    <font>
      <b/>
      <sz val="10"/>
      <color theme="9" tint="-0.249977111117893"/>
      <name val="Arial"/>
      <family val="2"/>
    </font>
    <font>
      <b/>
      <sz val="10"/>
      <color rgb="FF002060"/>
      <name val="Arial Narrow"/>
      <family val="2"/>
    </font>
    <font>
      <b/>
      <sz val="10"/>
      <color rgb="FF00B050"/>
      <name val="Arial Narrow"/>
      <family val="2"/>
    </font>
    <font>
      <b/>
      <sz val="10"/>
      <color theme="1"/>
      <name val="Arial Narrow"/>
      <family val="2"/>
    </font>
    <font>
      <b/>
      <sz val="10"/>
      <color rgb="FFFF0000"/>
      <name val="Arial Narrow"/>
      <family val="2"/>
    </font>
    <font>
      <b/>
      <sz val="10"/>
      <color rgb="FFFF9900"/>
      <name val="Arial Narrow"/>
      <family val="2"/>
    </font>
    <font>
      <b/>
      <sz val="10"/>
      <color rgb="FF0070C0"/>
      <name val="Arial Narrow"/>
      <family val="2"/>
    </font>
    <font>
      <b/>
      <sz val="10"/>
      <color rgb="FF00B0F0"/>
      <name val="Arial Narrow"/>
      <family val="2"/>
    </font>
    <font>
      <b/>
      <sz val="10"/>
      <color rgb="FFFFC000"/>
      <name val="Arial Narrow"/>
      <family val="2"/>
    </font>
    <font>
      <b/>
      <sz val="9"/>
      <color theme="9" tint="-0.499984740745262"/>
      <name val="Arial"/>
      <family val="2"/>
    </font>
    <font>
      <sz val="10"/>
      <color theme="9" tint="-0.499984740745262"/>
      <name val="Arial"/>
      <family val="2"/>
    </font>
    <font>
      <sz val="11"/>
      <color theme="9" tint="-0.499984740745262"/>
      <name val="Arial"/>
      <family val="2"/>
    </font>
    <font>
      <sz val="8"/>
      <color theme="9" tint="-0.499984740745262"/>
      <name val="Arial"/>
      <family val="2"/>
    </font>
    <font>
      <sz val="9"/>
      <color theme="1"/>
      <name val="Arial Narrow"/>
      <family val="2"/>
    </font>
    <font>
      <b/>
      <sz val="9"/>
      <color theme="0"/>
      <name val="Arial Narrow"/>
      <family val="2"/>
    </font>
    <font>
      <u/>
      <sz val="9"/>
      <color theme="1"/>
      <name val="Arial Narrow"/>
      <family val="2"/>
    </font>
    <font>
      <sz val="9"/>
      <color theme="1"/>
      <name val="Calibri"/>
      <family val="2"/>
      <scheme val="minor"/>
    </font>
  </fonts>
  <fills count="3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9C8C5E"/>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7" tint="0.79998168889431442"/>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style="dashed">
        <color theme="9" tint="-0.24994659260841701"/>
      </right>
      <top style="dashed">
        <color theme="9" tint="-0.24994659260841701"/>
      </top>
      <bottom/>
      <diagonal/>
    </border>
    <border>
      <left style="dashed">
        <color theme="9" tint="-0.249977111117893"/>
      </left>
      <right style="dashed">
        <color theme="9" tint="-0.24994659260841701"/>
      </right>
      <top/>
      <bottom/>
      <diagonal/>
    </border>
    <border>
      <left style="dashed">
        <color theme="9" tint="-0.249977111117893"/>
      </left>
      <right style="dashed">
        <color theme="9" tint="-0.24994659260841701"/>
      </right>
      <top/>
      <bottom style="dashed">
        <color theme="9" tint="-0.24994659260841701"/>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diagonal/>
    </border>
    <border>
      <left style="dashed">
        <color theme="9" tint="-0.24994659260841701"/>
      </left>
      <right style="dashed">
        <color theme="9" tint="-0.249977111117893"/>
      </right>
      <top/>
      <bottom style="dashed">
        <color theme="9" tint="-0.24994659260841701"/>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ashed">
        <color theme="9" tint="-0.24994659260841701"/>
      </right>
      <top/>
      <bottom/>
      <diagonal/>
    </border>
    <border>
      <left style="medium">
        <color indexed="64"/>
      </left>
      <right style="dashed">
        <color theme="9" tint="-0.24994659260841701"/>
      </right>
      <top/>
      <bottom style="dashed">
        <color theme="9" tint="-0.24994659260841701"/>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897">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77" xfId="0" applyFont="1" applyFill="1" applyBorder="1" applyAlignment="1">
      <alignment vertical="center" wrapText="1"/>
    </xf>
    <xf numFmtId="0" fontId="61" fillId="18" borderId="78" xfId="0" applyFont="1" applyFill="1" applyBorder="1" applyAlignment="1">
      <alignment vertical="center" wrapText="1"/>
    </xf>
    <xf numFmtId="0" fontId="61" fillId="18" borderId="37" xfId="0" applyFont="1" applyFill="1" applyBorder="1" applyAlignment="1">
      <alignment vertical="center" wrapText="1"/>
    </xf>
    <xf numFmtId="0" fontId="61" fillId="18" borderId="33" xfId="0" applyFont="1" applyFill="1" applyBorder="1" applyAlignment="1">
      <alignment vertical="center" wrapText="1"/>
    </xf>
    <xf numFmtId="0" fontId="61" fillId="18" borderId="39" xfId="0" applyFont="1" applyFill="1" applyBorder="1" applyAlignment="1">
      <alignment vertical="center" wrapText="1"/>
    </xf>
    <xf numFmtId="0" fontId="61" fillId="18" borderId="40" xfId="0" applyFont="1" applyFill="1" applyBorder="1" applyAlignment="1">
      <alignmen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166" fontId="61" fillId="0" borderId="92" xfId="0" applyNumberFormat="1" applyFont="1" applyBorder="1" applyAlignment="1">
      <alignment horizontal="center" vertical="center"/>
    </xf>
    <xf numFmtId="0" fontId="0" fillId="0" borderId="93" xfId="0" applyBorder="1" applyAlignment="1" applyProtection="1">
      <alignment horizontal="center" vertical="top"/>
      <protection locked="0"/>
    </xf>
    <xf numFmtId="0" fontId="61" fillId="0" borderId="94" xfId="0" applyFont="1" applyBorder="1" applyAlignment="1" applyProtection="1">
      <alignment horizontal="center" vertical="center"/>
      <protection locked="0"/>
    </xf>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8" fillId="3" borderId="0" xfId="0" applyFont="1" applyFill="1" applyAlignment="1">
      <alignment horizontal="left"/>
    </xf>
    <xf numFmtId="0" fontId="0" fillId="22" borderId="33" xfId="0" applyFill="1" applyBorder="1"/>
    <xf numFmtId="0" fontId="0" fillId="21" borderId="33" xfId="0" applyFill="1" applyBorder="1"/>
    <xf numFmtId="0" fontId="0" fillId="23" borderId="33" xfId="0" applyFill="1" applyBorder="1"/>
    <xf numFmtId="0" fontId="61" fillId="22" borderId="78" xfId="0" applyFont="1" applyFill="1" applyBorder="1" applyAlignment="1">
      <alignment horizontal="left" vertical="center" wrapText="1"/>
    </xf>
    <xf numFmtId="0" fontId="61" fillId="22" borderId="33" xfId="0" applyFont="1" applyFill="1" applyBorder="1" applyAlignment="1">
      <alignment horizontal="left" vertical="center" wrapText="1"/>
    </xf>
    <xf numFmtId="0" fontId="61" fillId="22" borderId="33" xfId="0" applyFont="1" applyFill="1" applyBorder="1" applyAlignment="1">
      <alignment horizontal="left" vertical="center"/>
    </xf>
    <xf numFmtId="0" fontId="61" fillId="22" borderId="40" xfId="0" applyFont="1" applyFill="1" applyBorder="1" applyAlignment="1">
      <alignment horizontal="left" vertical="center" wrapText="1"/>
    </xf>
    <xf numFmtId="0" fontId="61" fillId="24" borderId="78" xfId="0" applyFont="1" applyFill="1" applyBorder="1" applyAlignment="1">
      <alignment horizontal="left" vertical="center" wrapText="1"/>
    </xf>
    <xf numFmtId="0" fontId="61" fillId="24" borderId="33" xfId="0" applyFont="1" applyFill="1" applyBorder="1" applyAlignment="1">
      <alignment horizontal="left" vertical="center" wrapText="1"/>
    </xf>
    <xf numFmtId="0" fontId="65" fillId="24" borderId="33" xfId="0" applyFont="1" applyFill="1" applyBorder="1" applyAlignment="1">
      <alignment horizontal="left" vertical="center" wrapText="1"/>
    </xf>
    <xf numFmtId="0" fontId="65" fillId="24" borderId="40" xfId="0" applyFont="1" applyFill="1" applyBorder="1" applyAlignment="1">
      <alignment horizontal="left" vertical="center" wrapText="1"/>
    </xf>
    <xf numFmtId="0" fontId="61" fillId="25" borderId="38" xfId="0" applyFont="1" applyFill="1" applyBorder="1" applyAlignment="1">
      <alignment horizontal="left" vertical="center" wrapText="1"/>
    </xf>
    <xf numFmtId="0" fontId="61" fillId="25" borderId="41" xfId="0" applyFont="1" applyFill="1" applyBorder="1" applyAlignment="1">
      <alignment horizontal="left" vertical="center" wrapText="1"/>
    </xf>
    <xf numFmtId="0" fontId="61" fillId="0" borderId="0" xfId="0" applyFont="1" applyAlignment="1">
      <alignment horizontal="justify" vertical="top"/>
    </xf>
    <xf numFmtId="0" fontId="74" fillId="25" borderId="79" xfId="0" applyFont="1" applyFill="1" applyBorder="1" applyAlignment="1">
      <alignment horizontal="left" vertical="center" wrapText="1"/>
    </xf>
    <xf numFmtId="0" fontId="74" fillId="25" borderId="38" xfId="0" applyFont="1" applyFill="1" applyBorder="1" applyAlignment="1">
      <alignment horizontal="left" vertical="center" wrapText="1"/>
    </xf>
    <xf numFmtId="0" fontId="72" fillId="19" borderId="33" xfId="0" applyFont="1" applyFill="1" applyBorder="1" applyAlignment="1">
      <alignment horizontal="center" vertical="center" textRotation="255"/>
    </xf>
    <xf numFmtId="0" fontId="61" fillId="13" borderId="105" xfId="0" applyFont="1" applyFill="1" applyBorder="1" applyAlignment="1">
      <alignment wrapText="1"/>
    </xf>
    <xf numFmtId="0" fontId="61" fillId="26" borderId="105" xfId="0" applyFont="1" applyFill="1" applyBorder="1" applyAlignment="1">
      <alignment vertical="top" wrapText="1"/>
    </xf>
    <xf numFmtId="0" fontId="61" fillId="0" borderId="0" xfId="0" applyFont="1" applyAlignment="1">
      <alignment vertical="top"/>
    </xf>
    <xf numFmtId="0" fontId="1" fillId="3" borderId="0" xfId="0" applyFont="1" applyFill="1" applyAlignment="1">
      <alignment horizontal="left"/>
    </xf>
    <xf numFmtId="0" fontId="1" fillId="0" borderId="0" xfId="0" applyFont="1" applyAlignment="1">
      <alignment horizontal="left"/>
    </xf>
    <xf numFmtId="0" fontId="1" fillId="0" borderId="75" xfId="0" applyFont="1" applyBorder="1" applyAlignment="1" applyProtection="1">
      <alignment horizontal="left" vertical="top" wrapText="1"/>
      <protection locked="0"/>
    </xf>
    <xf numFmtId="0" fontId="1" fillId="0" borderId="0" xfId="0" applyFont="1" applyAlignment="1">
      <alignment horizontal="left" vertical="center"/>
    </xf>
    <xf numFmtId="0" fontId="65" fillId="24" borderId="106" xfId="0" applyFont="1" applyFill="1" applyBorder="1" applyAlignment="1">
      <alignment horizontal="left" vertical="center" wrapText="1"/>
    </xf>
    <xf numFmtId="0" fontId="1" fillId="0" borderId="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3" borderId="0" xfId="0" applyFont="1" applyFill="1" applyAlignment="1">
      <alignment horizontal="left" vertical="top"/>
    </xf>
    <xf numFmtId="0" fontId="1" fillId="0" borderId="0" xfId="0" applyFont="1" applyAlignment="1">
      <alignment horizontal="left" vertical="top"/>
    </xf>
    <xf numFmtId="0" fontId="1" fillId="3" borderId="0" xfId="0" applyFont="1" applyFill="1" applyAlignment="1">
      <alignment textRotation="180"/>
    </xf>
    <xf numFmtId="0" fontId="1" fillId="0" borderId="0" xfId="0" applyFont="1" applyAlignment="1">
      <alignment textRotation="180"/>
    </xf>
    <xf numFmtId="0" fontId="4" fillId="2" borderId="8" xfId="0" applyFont="1" applyFill="1" applyBorder="1" applyAlignment="1">
      <alignment horizontal="center" vertical="center" textRotation="180"/>
    </xf>
    <xf numFmtId="14" fontId="1" fillId="0" borderId="2" xfId="0" applyNumberFormat="1" applyFont="1" applyBorder="1" applyAlignment="1" applyProtection="1">
      <alignment horizontal="center" vertical="top" textRotation="180"/>
      <protection locked="0"/>
    </xf>
    <xf numFmtId="0" fontId="93" fillId="3" borderId="75" xfId="0" applyFont="1" applyFill="1" applyBorder="1" applyAlignment="1">
      <alignment horizontal="justify" vertical="top" wrapText="1"/>
    </xf>
    <xf numFmtId="0" fontId="6" fillId="0" borderId="2" xfId="0" applyFont="1" applyBorder="1" applyAlignment="1">
      <alignment horizontal="justify" vertical="top"/>
    </xf>
    <xf numFmtId="0" fontId="6" fillId="0" borderId="2" xfId="0" applyFont="1" applyBorder="1" applyAlignment="1" applyProtection="1">
      <alignment horizontal="justify" vertical="top"/>
      <protection hidden="1"/>
    </xf>
    <xf numFmtId="0" fontId="6" fillId="0" borderId="2" xfId="0" applyFont="1" applyBorder="1" applyAlignment="1" applyProtection="1">
      <alignment horizontal="justify" vertical="top" textRotation="90"/>
      <protection locked="0"/>
    </xf>
    <xf numFmtId="9" fontId="6" fillId="0" borderId="2" xfId="0" applyNumberFormat="1" applyFont="1" applyBorder="1" applyAlignment="1" applyProtection="1">
      <alignment horizontal="justify" vertical="top"/>
      <protection hidden="1"/>
    </xf>
    <xf numFmtId="164" fontId="6" fillId="0" borderId="2" xfId="1" applyNumberFormat="1" applyFont="1" applyBorder="1" applyAlignment="1">
      <alignment horizontal="justify" vertical="top"/>
    </xf>
    <xf numFmtId="0" fontId="93" fillId="0" borderId="2" xfId="0" applyFont="1" applyBorder="1" applyAlignment="1" applyProtection="1">
      <alignment horizontal="justify" vertical="top" textRotation="90" wrapText="1"/>
      <protection hidden="1"/>
    </xf>
    <xf numFmtId="9" fontId="6" fillId="0" borderId="4" xfId="0" applyNumberFormat="1" applyFont="1" applyBorder="1" applyAlignment="1" applyProtection="1">
      <alignment horizontal="justify" vertical="top"/>
      <protection hidden="1"/>
    </xf>
    <xf numFmtId="0" fontId="93" fillId="0" borderId="2" xfId="0" applyFont="1" applyBorder="1" applyAlignment="1" applyProtection="1">
      <alignment horizontal="justify" vertical="top" textRotation="90"/>
      <protection hidden="1"/>
    </xf>
    <xf numFmtId="0" fontId="6" fillId="0" borderId="4" xfId="0" applyFont="1" applyBorder="1" applyAlignment="1" applyProtection="1">
      <alignment horizontal="justify" vertical="top" textRotation="90"/>
      <protection locked="0"/>
    </xf>
    <xf numFmtId="14" fontId="6" fillId="0" borderId="2" xfId="0" applyNumberFormat="1" applyFont="1" applyBorder="1" applyAlignment="1" applyProtection="1">
      <alignment horizontal="justify" vertical="top" textRotation="180"/>
      <protection locked="0"/>
    </xf>
    <xf numFmtId="14" fontId="6" fillId="0" borderId="2" xfId="0" applyNumberFormat="1" applyFont="1" applyBorder="1" applyAlignment="1" applyProtection="1">
      <alignment horizontal="justify" vertical="top"/>
      <protection locked="0"/>
    </xf>
    <xf numFmtId="0" fontId="6" fillId="0" borderId="2" xfId="0" applyFont="1" applyBorder="1" applyAlignment="1" applyProtection="1">
      <alignment horizontal="justify" vertical="top"/>
      <protection locked="0"/>
    </xf>
    <xf numFmtId="0" fontId="6" fillId="3" borderId="0" xfId="0" applyFont="1" applyFill="1" applyAlignment="1">
      <alignment horizontal="justify" vertical="top"/>
    </xf>
    <xf numFmtId="0" fontId="6" fillId="0" borderId="0" xfId="0" applyFont="1" applyAlignment="1">
      <alignment horizontal="justify" vertical="top"/>
    </xf>
    <xf numFmtId="0" fontId="6" fillId="0" borderId="75" xfId="0" applyFont="1" applyBorder="1" applyAlignment="1" applyProtection="1">
      <alignment horizontal="justify" vertical="top" wrapText="1"/>
      <protection locked="0"/>
    </xf>
    <xf numFmtId="0" fontId="40" fillId="0" borderId="75" xfId="0" applyFont="1" applyBorder="1" applyAlignment="1" applyProtection="1">
      <alignment horizontal="justify" vertical="top" wrapText="1"/>
      <protection locked="0"/>
    </xf>
    <xf numFmtId="0" fontId="6" fillId="0" borderId="4" xfId="0" applyFont="1" applyBorder="1" applyAlignment="1">
      <alignment vertical="top"/>
    </xf>
    <xf numFmtId="0" fontId="44" fillId="0" borderId="75" xfId="0" applyFont="1" applyBorder="1" applyAlignment="1" applyProtection="1">
      <alignment vertical="top" wrapText="1"/>
      <protection locked="0"/>
    </xf>
    <xf numFmtId="0" fontId="93" fillId="0" borderId="4" xfId="0" applyFont="1" applyBorder="1" applyAlignment="1" applyProtection="1">
      <alignment vertical="top" textRotation="180" wrapText="1"/>
      <protection hidden="1"/>
    </xf>
    <xf numFmtId="9" fontId="6" fillId="0" borderId="4" xfId="0" applyNumberFormat="1" applyFont="1" applyBorder="1" applyAlignment="1" applyProtection="1">
      <alignment vertical="top" wrapText="1"/>
      <protection hidden="1"/>
    </xf>
    <xf numFmtId="0" fontId="93" fillId="0" borderId="4" xfId="0" applyFont="1" applyBorder="1" applyAlignment="1" applyProtection="1">
      <alignment vertical="top" textRotation="180"/>
      <protection hidden="1"/>
    </xf>
    <xf numFmtId="0" fontId="6" fillId="0" borderId="8" xfId="0" applyFont="1" applyBorder="1" applyAlignment="1">
      <alignment vertical="top"/>
    </xf>
    <xf numFmtId="0" fontId="6" fillId="0" borderId="8" xfId="0" applyFont="1" applyBorder="1" applyAlignment="1" applyProtection="1">
      <alignment vertical="top" wrapText="1"/>
      <protection locked="0"/>
    </xf>
    <xf numFmtId="0" fontId="97" fillId="0" borderId="8"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40" fillId="0" borderId="97" xfId="0" applyFont="1" applyBorder="1" applyAlignment="1" applyProtection="1">
      <alignment vertical="top" textRotation="180" wrapText="1"/>
      <protection locked="0"/>
    </xf>
    <xf numFmtId="0" fontId="6" fillId="0" borderId="76" xfId="0" applyFont="1" applyBorder="1" applyAlignment="1" applyProtection="1">
      <alignment vertical="top" wrapText="1"/>
      <protection locked="0"/>
    </xf>
    <xf numFmtId="0" fontId="6" fillId="0" borderId="8" xfId="0" applyFont="1" applyBorder="1" applyAlignment="1" applyProtection="1">
      <alignment vertical="top"/>
      <protection locked="0"/>
    </xf>
    <xf numFmtId="0" fontId="93" fillId="0" borderId="8" xfId="0" applyFont="1" applyBorder="1" applyAlignment="1" applyProtection="1">
      <alignment vertical="top" textRotation="180" wrapText="1"/>
      <protection hidden="1"/>
    </xf>
    <xf numFmtId="9" fontId="6" fillId="0" borderId="8" xfId="0" applyNumberFormat="1" applyFont="1" applyBorder="1" applyAlignment="1" applyProtection="1">
      <alignment vertical="top" wrapText="1"/>
      <protection hidden="1"/>
    </xf>
    <xf numFmtId="9" fontId="6" fillId="0" borderId="8" xfId="0" applyNumberFormat="1" applyFont="1" applyBorder="1" applyAlignment="1" applyProtection="1">
      <alignment vertical="top" wrapText="1"/>
      <protection locked="0"/>
    </xf>
    <xf numFmtId="0" fontId="93" fillId="0" borderId="8" xfId="0" applyFont="1" applyBorder="1" applyAlignment="1" applyProtection="1">
      <alignment vertical="top" textRotation="180"/>
      <protection hidden="1"/>
    </xf>
    <xf numFmtId="0" fontId="6" fillId="0" borderId="5" xfId="0" applyFont="1" applyBorder="1" applyAlignment="1">
      <alignment vertical="top"/>
    </xf>
    <xf numFmtId="0" fontId="6" fillId="0" borderId="5" xfId="0" applyFont="1" applyBorder="1" applyAlignment="1" applyProtection="1">
      <alignment vertical="top" wrapText="1"/>
      <protection locked="0"/>
    </xf>
    <xf numFmtId="0" fontId="97" fillId="0" borderId="5"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40" fillId="0" borderId="98" xfId="0" applyFont="1" applyBorder="1" applyAlignment="1" applyProtection="1">
      <alignment vertical="top" textRotation="180" wrapText="1"/>
      <protection locked="0"/>
    </xf>
    <xf numFmtId="0" fontId="6" fillId="0" borderId="32" xfId="0" applyFont="1" applyBorder="1" applyAlignment="1" applyProtection="1">
      <alignment vertical="top" wrapText="1"/>
      <protection locked="0"/>
    </xf>
    <xf numFmtId="0" fontId="6" fillId="0" borderId="5" xfId="0" applyFont="1" applyBorder="1" applyAlignment="1" applyProtection="1">
      <alignment vertical="top"/>
      <protection locked="0"/>
    </xf>
    <xf numFmtId="0" fontId="93" fillId="0" borderId="5" xfId="0" applyFont="1" applyBorder="1" applyAlignment="1" applyProtection="1">
      <alignment vertical="top" textRotation="180" wrapText="1"/>
      <protection hidden="1"/>
    </xf>
    <xf numFmtId="9" fontId="6" fillId="0" borderId="5" xfId="0" applyNumberFormat="1" applyFont="1" applyBorder="1" applyAlignment="1" applyProtection="1">
      <alignment vertical="top" wrapText="1"/>
      <protection hidden="1"/>
    </xf>
    <xf numFmtId="9" fontId="6" fillId="0" borderId="5" xfId="0" applyNumberFormat="1" applyFont="1" applyBorder="1" applyAlignment="1" applyProtection="1">
      <alignment vertical="top" wrapText="1"/>
      <protection locked="0"/>
    </xf>
    <xf numFmtId="0" fontId="93" fillId="0" borderId="5" xfId="0" applyFont="1" applyBorder="1" applyAlignment="1" applyProtection="1">
      <alignment vertical="top" textRotation="180"/>
      <protection hidden="1"/>
    </xf>
    <xf numFmtId="0" fontId="93" fillId="0" borderId="4" xfId="0" applyFont="1" applyBorder="1" applyAlignment="1" applyProtection="1">
      <alignment horizontal="justify" vertical="top" textRotation="180" wrapText="1"/>
      <protection hidden="1"/>
    </xf>
    <xf numFmtId="0" fontId="93" fillId="0" borderId="4" xfId="0" applyFont="1" applyBorder="1" applyAlignment="1" applyProtection="1">
      <alignment horizontal="justify" vertical="top" textRotation="180"/>
      <protection hidden="1"/>
    </xf>
    <xf numFmtId="0" fontId="6" fillId="21" borderId="75" xfId="0" applyFont="1" applyFill="1" applyBorder="1" applyAlignment="1" applyProtection="1">
      <alignment horizontal="justify" vertical="top" wrapText="1"/>
      <protection locked="0"/>
    </xf>
    <xf numFmtId="0" fontId="40" fillId="21" borderId="75" xfId="0" applyFont="1" applyFill="1" applyBorder="1" applyAlignment="1" applyProtection="1">
      <alignment horizontal="justify" vertical="top" wrapText="1"/>
      <protection locked="0"/>
    </xf>
    <xf numFmtId="9" fontId="6" fillId="0" borderId="8" xfId="0" applyNumberFormat="1" applyFont="1" applyBorder="1" applyAlignment="1" applyProtection="1">
      <alignment horizontal="justify" vertical="top" wrapText="1"/>
      <protection locked="0"/>
    </xf>
    <xf numFmtId="0" fontId="6" fillId="0" borderId="8" xfId="0" applyFont="1" applyBorder="1" applyAlignment="1" applyProtection="1">
      <alignment horizontal="justify" vertical="top"/>
      <protection locked="0"/>
    </xf>
    <xf numFmtId="0" fontId="93" fillId="0" borderId="8" xfId="0" applyFont="1" applyBorder="1" applyAlignment="1" applyProtection="1">
      <alignment horizontal="justify" vertical="top" textRotation="180" wrapText="1"/>
      <protection hidden="1"/>
    </xf>
    <xf numFmtId="9" fontId="6" fillId="0" borderId="8" xfId="0" applyNumberFormat="1" applyFont="1" applyBorder="1" applyAlignment="1" applyProtection="1">
      <alignment horizontal="justify" vertical="top" wrapText="1"/>
      <protection hidden="1"/>
    </xf>
    <xf numFmtId="0" fontId="93" fillId="0" borderId="8" xfId="0" applyFont="1" applyBorder="1" applyAlignment="1" applyProtection="1">
      <alignment horizontal="justify" vertical="top" textRotation="180"/>
      <protection hidden="1"/>
    </xf>
    <xf numFmtId="0" fontId="6" fillId="0" borderId="5" xfId="0" applyFont="1" applyBorder="1" applyAlignment="1" applyProtection="1">
      <alignment horizontal="justify" vertical="top"/>
      <protection locked="0"/>
    </xf>
    <xf numFmtId="0" fontId="93" fillId="0" borderId="5" xfId="0" applyFont="1" applyBorder="1" applyAlignment="1" applyProtection="1">
      <alignment horizontal="justify" vertical="top" textRotation="180" wrapText="1"/>
      <protection hidden="1"/>
    </xf>
    <xf numFmtId="9" fontId="6" fillId="0" borderId="5" xfId="0" applyNumberFormat="1" applyFont="1" applyBorder="1" applyAlignment="1" applyProtection="1">
      <alignment horizontal="justify" vertical="top" wrapText="1"/>
      <protection hidden="1"/>
    </xf>
    <xf numFmtId="9" fontId="6" fillId="0" borderId="5" xfId="0" applyNumberFormat="1" applyFont="1" applyBorder="1" applyAlignment="1" applyProtection="1">
      <alignment horizontal="justify" vertical="top" wrapText="1"/>
      <protection locked="0"/>
    </xf>
    <xf numFmtId="0" fontId="93" fillId="0" borderId="5" xfId="0" applyFont="1" applyBorder="1" applyAlignment="1" applyProtection="1">
      <alignment horizontal="justify" vertical="top" textRotation="180"/>
      <protection hidden="1"/>
    </xf>
    <xf numFmtId="0" fontId="103" fillId="31" borderId="105" xfId="0" applyFont="1" applyFill="1" applyBorder="1" applyAlignment="1">
      <alignment horizontal="left" vertical="top" wrapText="1"/>
    </xf>
    <xf numFmtId="0" fontId="103" fillId="0" borderId="4" xfId="0" applyFont="1" applyBorder="1" applyAlignment="1">
      <alignment horizontal="left" vertical="top"/>
    </xf>
    <xf numFmtId="0" fontId="37" fillId="31" borderId="105" xfId="0" applyFont="1" applyFill="1" applyBorder="1" applyAlignment="1">
      <alignment horizontal="left" vertical="top" wrapText="1"/>
    </xf>
    <xf numFmtId="0" fontId="103" fillId="0" borderId="5" xfId="0" applyFont="1" applyBorder="1" applyAlignment="1">
      <alignment horizontal="left" vertical="top"/>
    </xf>
    <xf numFmtId="0" fontId="103" fillId="0" borderId="2" xfId="0" applyFont="1" applyBorder="1" applyAlignment="1">
      <alignment horizontal="left" vertical="top"/>
    </xf>
    <xf numFmtId="0" fontId="6" fillId="0" borderId="6" xfId="0" applyFont="1" applyBorder="1" applyAlignment="1" applyProtection="1">
      <alignment horizontal="justify" vertical="top"/>
      <protection locked="0"/>
    </xf>
    <xf numFmtId="0" fontId="103" fillId="0" borderId="33" xfId="0" applyFont="1" applyBorder="1" applyAlignment="1">
      <alignment horizontal="left" vertical="top"/>
    </xf>
    <xf numFmtId="0" fontId="37" fillId="31" borderId="33" xfId="0" applyFont="1" applyFill="1" applyBorder="1" applyAlignment="1">
      <alignment horizontal="left" vertical="top" wrapText="1"/>
    </xf>
    <xf numFmtId="0" fontId="103" fillId="31" borderId="33" xfId="0" applyFont="1" applyFill="1" applyBorder="1" applyAlignment="1">
      <alignment vertical="top" wrapText="1"/>
    </xf>
    <xf numFmtId="0" fontId="103" fillId="0" borderId="33" xfId="0" applyFont="1" applyBorder="1" applyAlignment="1">
      <alignment vertical="top"/>
    </xf>
    <xf numFmtId="0" fontId="6" fillId="3" borderId="33" xfId="0" applyFont="1" applyFill="1" applyBorder="1" applyAlignment="1">
      <alignment horizontal="justify" vertical="top"/>
    </xf>
    <xf numFmtId="0" fontId="103" fillId="31" borderId="109" xfId="0" applyFont="1" applyFill="1" applyBorder="1" applyAlignment="1">
      <alignment vertical="top" wrapText="1"/>
    </xf>
    <xf numFmtId="0" fontId="103" fillId="31" borderId="91" xfId="0" applyFont="1" applyFill="1" applyBorder="1" applyAlignment="1">
      <alignment vertical="top"/>
    </xf>
    <xf numFmtId="0" fontId="103" fillId="0" borderId="4" xfId="0" applyFont="1" applyBorder="1" applyAlignment="1">
      <alignment vertical="top"/>
    </xf>
    <xf numFmtId="0" fontId="103" fillId="0" borderId="8" xfId="0" applyFont="1" applyBorder="1" applyAlignment="1">
      <alignment vertical="top"/>
    </xf>
    <xf numFmtId="0" fontId="103" fillId="0" borderId="5" xfId="0" applyFont="1" applyBorder="1" applyAlignment="1">
      <alignment vertical="top"/>
    </xf>
    <xf numFmtId="0" fontId="103" fillId="31" borderId="110" xfId="0" applyFont="1" applyFill="1" applyBorder="1" applyAlignment="1">
      <alignment vertical="top" wrapText="1"/>
    </xf>
    <xf numFmtId="0" fontId="44" fillId="32" borderId="75" xfId="0" applyFont="1" applyFill="1" applyBorder="1" applyAlignment="1" applyProtection="1">
      <alignment vertical="top" wrapText="1"/>
      <protection locked="0"/>
    </xf>
    <xf numFmtId="0" fontId="6" fillId="32" borderId="4" xfId="0" applyFont="1" applyFill="1" applyBorder="1" applyAlignment="1" applyProtection="1">
      <alignment vertical="top" wrapText="1"/>
      <protection locked="0"/>
    </xf>
    <xf numFmtId="0" fontId="97" fillId="32" borderId="4" xfId="0" applyFont="1" applyFill="1" applyBorder="1" applyAlignment="1" applyProtection="1">
      <alignment vertical="top" wrapText="1"/>
      <protection locked="0"/>
    </xf>
    <xf numFmtId="0" fontId="6" fillId="32" borderId="28" xfId="0" applyFont="1" applyFill="1" applyBorder="1" applyAlignment="1" applyProtection="1">
      <alignment vertical="top" wrapText="1"/>
      <protection locked="0"/>
    </xf>
    <xf numFmtId="0" fontId="93" fillId="33" borderId="75" xfId="0" applyFont="1" applyFill="1" applyBorder="1" applyAlignment="1">
      <alignment horizontal="justify" vertical="top" wrapText="1"/>
    </xf>
    <xf numFmtId="0" fontId="6" fillId="33" borderId="2" xfId="0" applyFont="1" applyFill="1" applyBorder="1" applyAlignment="1" applyProtection="1">
      <alignment horizontal="justify" vertical="top" wrapText="1"/>
      <protection locked="0"/>
    </xf>
    <xf numFmtId="0" fontId="6" fillId="33" borderId="2" xfId="0" applyFont="1" applyFill="1" applyBorder="1" applyAlignment="1" applyProtection="1">
      <alignment horizontal="justify" vertical="top"/>
      <protection hidden="1"/>
    </xf>
    <xf numFmtId="0" fontId="6" fillId="33" borderId="2" xfId="0" applyFont="1" applyFill="1" applyBorder="1" applyAlignment="1" applyProtection="1">
      <alignment horizontal="justify" vertical="top" textRotation="90"/>
      <protection locked="0"/>
    </xf>
    <xf numFmtId="9" fontId="6" fillId="33" borderId="2" xfId="0" applyNumberFormat="1" applyFont="1" applyFill="1" applyBorder="1" applyAlignment="1" applyProtection="1">
      <alignment horizontal="justify" vertical="top"/>
      <protection hidden="1"/>
    </xf>
    <xf numFmtId="164" fontId="6" fillId="33" borderId="2" xfId="1" applyNumberFormat="1" applyFont="1" applyFill="1" applyBorder="1" applyAlignment="1">
      <alignment horizontal="justify" vertical="top"/>
    </xf>
    <xf numFmtId="9" fontId="6" fillId="33" borderId="4" xfId="0" applyNumberFormat="1" applyFont="1" applyFill="1" applyBorder="1" applyAlignment="1" applyProtection="1">
      <alignment horizontal="justify" vertical="top"/>
      <protection hidden="1"/>
    </xf>
    <xf numFmtId="0" fontId="6" fillId="33" borderId="4" xfId="0" applyFont="1" applyFill="1" applyBorder="1" applyAlignment="1" applyProtection="1">
      <alignment horizontal="justify" vertical="top" textRotation="90"/>
      <protection locked="0"/>
    </xf>
    <xf numFmtId="14" fontId="6" fillId="33" borderId="2" xfId="0" applyNumberFormat="1" applyFont="1" applyFill="1" applyBorder="1" applyAlignment="1" applyProtection="1">
      <alignment horizontal="justify" vertical="top" textRotation="180"/>
      <protection locked="0"/>
    </xf>
    <xf numFmtId="14" fontId="6" fillId="33" borderId="2" xfId="0" applyNumberFormat="1" applyFont="1" applyFill="1" applyBorder="1" applyAlignment="1" applyProtection="1">
      <alignment horizontal="justify" vertical="top"/>
      <protection locked="0"/>
    </xf>
    <xf numFmtId="0" fontId="6" fillId="33" borderId="6" xfId="0" applyFont="1" applyFill="1" applyBorder="1" applyAlignment="1" applyProtection="1">
      <alignment horizontal="justify" vertical="top"/>
      <protection locked="0"/>
    </xf>
    <xf numFmtId="0" fontId="6" fillId="2" borderId="2" xfId="0" applyFont="1" applyFill="1" applyBorder="1" applyAlignment="1">
      <alignment horizontal="justify" vertical="top"/>
    </xf>
    <xf numFmtId="0" fontId="6" fillId="2" borderId="2" xfId="0" applyFont="1" applyFill="1" applyBorder="1" applyAlignment="1" applyProtection="1">
      <alignment horizontal="justify" vertical="top" wrapText="1"/>
      <protection locked="0"/>
    </xf>
    <xf numFmtId="0" fontId="6" fillId="2" borderId="2" xfId="0" applyFont="1" applyFill="1" applyBorder="1" applyAlignment="1" applyProtection="1">
      <alignment horizontal="justify" vertical="top"/>
      <protection hidden="1"/>
    </xf>
    <xf numFmtId="0" fontId="6" fillId="2" borderId="2" xfId="0" applyFont="1" applyFill="1" applyBorder="1" applyAlignment="1" applyProtection="1">
      <alignment horizontal="justify" vertical="top" textRotation="90"/>
      <protection locked="0"/>
    </xf>
    <xf numFmtId="9" fontId="6" fillId="2" borderId="2" xfId="0" applyNumberFormat="1" applyFont="1" applyFill="1" applyBorder="1" applyAlignment="1" applyProtection="1">
      <alignment horizontal="justify" vertical="top"/>
      <protection hidden="1"/>
    </xf>
    <xf numFmtId="164" fontId="6" fillId="2" borderId="2" xfId="1" applyNumberFormat="1" applyFont="1" applyFill="1" applyBorder="1" applyAlignment="1">
      <alignment horizontal="justify" vertical="top"/>
    </xf>
    <xf numFmtId="9" fontId="6" fillId="2" borderId="4" xfId="0" applyNumberFormat="1" applyFont="1" applyFill="1" applyBorder="1" applyAlignment="1" applyProtection="1">
      <alignment horizontal="justify" vertical="top"/>
      <protection hidden="1"/>
    </xf>
    <xf numFmtId="0" fontId="6" fillId="2" borderId="4" xfId="0" applyFont="1" applyFill="1" applyBorder="1" applyAlignment="1" applyProtection="1">
      <alignment horizontal="justify" vertical="top" textRotation="90"/>
      <protection locked="0"/>
    </xf>
    <xf numFmtId="14" fontId="6" fillId="2" borderId="2" xfId="0" applyNumberFormat="1" applyFont="1" applyFill="1" applyBorder="1" applyAlignment="1" applyProtection="1">
      <alignment horizontal="justify" vertical="top" textRotation="180"/>
      <protection locked="0"/>
    </xf>
    <xf numFmtId="14" fontId="6" fillId="2" borderId="2" xfId="0" applyNumberFormat="1" applyFont="1" applyFill="1" applyBorder="1" applyAlignment="1" applyProtection="1">
      <alignment horizontal="justify" vertical="top"/>
      <protection locked="0"/>
    </xf>
    <xf numFmtId="0" fontId="6" fillId="2" borderId="2" xfId="0" applyFont="1" applyFill="1" applyBorder="1" applyAlignment="1" applyProtection="1">
      <alignment horizontal="justify" vertical="top"/>
      <protection locked="0"/>
    </xf>
    <xf numFmtId="0" fontId="93" fillId="2" borderId="2" xfId="0" applyFont="1" applyFill="1" applyBorder="1" applyAlignment="1" applyProtection="1">
      <alignment horizontal="justify" vertical="top" textRotation="90" wrapText="1"/>
      <protection hidden="1"/>
    </xf>
    <xf numFmtId="9" fontId="6" fillId="2" borderId="4" xfId="0" applyNumberFormat="1" applyFont="1" applyFill="1" applyBorder="1" applyAlignment="1" applyProtection="1">
      <alignment horizontal="justify" vertical="top" wrapText="1"/>
      <protection hidden="1"/>
    </xf>
    <xf numFmtId="9" fontId="6" fillId="2" borderId="8" xfId="0" applyNumberFormat="1" applyFont="1" applyFill="1" applyBorder="1" applyAlignment="1" applyProtection="1">
      <alignment horizontal="justify" vertical="top" wrapText="1"/>
      <protection locked="0"/>
    </xf>
    <xf numFmtId="0" fontId="6" fillId="2" borderId="4" xfId="0" applyFont="1" applyFill="1" applyBorder="1" applyAlignment="1" applyProtection="1">
      <alignment horizontal="justify" vertical="top"/>
      <protection locked="0"/>
    </xf>
    <xf numFmtId="0" fontId="6" fillId="33" borderId="2" xfId="0" applyFont="1" applyFill="1" applyBorder="1" applyAlignment="1" applyProtection="1">
      <alignment horizontal="justify" vertical="top"/>
      <protection locked="0"/>
    </xf>
    <xf numFmtId="0" fontId="6" fillId="33" borderId="2" xfId="0" applyFont="1" applyFill="1" applyBorder="1" applyAlignment="1">
      <alignment horizontal="justify" vertical="top"/>
    </xf>
    <xf numFmtId="0" fontId="40" fillId="33" borderId="75" xfId="0" applyFont="1" applyFill="1" applyBorder="1" applyAlignment="1" applyProtection="1">
      <alignment horizontal="justify" vertical="top" wrapText="1"/>
      <protection locked="0"/>
    </xf>
    <xf numFmtId="0" fontId="93" fillId="33" borderId="75" xfId="0" applyFont="1" applyFill="1" applyBorder="1" applyAlignment="1" applyProtection="1">
      <alignment horizontal="justify" vertical="top" wrapText="1"/>
      <protection locked="0"/>
    </xf>
    <xf numFmtId="0" fontId="6" fillId="34" borderId="4" xfId="0" applyFont="1" applyFill="1" applyBorder="1" applyAlignment="1" applyProtection="1">
      <alignment horizontal="justify" vertical="top" textRotation="90"/>
      <protection locked="0"/>
    </xf>
    <xf numFmtId="0" fontId="6" fillId="34" borderId="2" xfId="0" applyFont="1" applyFill="1" applyBorder="1" applyAlignment="1" applyProtection="1">
      <alignment horizontal="justify" vertical="top" wrapText="1"/>
      <protection locked="0"/>
    </xf>
    <xf numFmtId="0" fontId="6" fillId="34" borderId="2" xfId="0" applyFont="1" applyFill="1" applyBorder="1" applyAlignment="1" applyProtection="1">
      <alignment horizontal="justify" vertical="top"/>
      <protection locked="0"/>
    </xf>
    <xf numFmtId="14" fontId="6" fillId="34" borderId="2" xfId="0" applyNumberFormat="1" applyFont="1" applyFill="1" applyBorder="1" applyAlignment="1" applyProtection="1">
      <alignment horizontal="justify" vertical="top" textRotation="180"/>
      <protection locked="0"/>
    </xf>
    <xf numFmtId="14" fontId="6" fillId="34" borderId="2" xfId="0" applyNumberFormat="1" applyFont="1" applyFill="1" applyBorder="1" applyAlignment="1" applyProtection="1">
      <alignment horizontal="justify" vertical="top"/>
      <protection locked="0"/>
    </xf>
    <xf numFmtId="0" fontId="6" fillId="34" borderId="6" xfId="0" applyFont="1" applyFill="1" applyBorder="1" applyAlignment="1" applyProtection="1">
      <alignment horizontal="justify" vertical="top"/>
      <protection locked="0"/>
    </xf>
    <xf numFmtId="9" fontId="6" fillId="34" borderId="4" xfId="0" applyNumberFormat="1" applyFont="1" applyFill="1" applyBorder="1" applyAlignment="1" applyProtection="1">
      <alignment horizontal="justify" vertical="top"/>
      <protection hidden="1"/>
    </xf>
    <xf numFmtId="0" fontId="6" fillId="34" borderId="2" xfId="0" applyFont="1" applyFill="1" applyBorder="1" applyAlignment="1">
      <alignment horizontal="justify" vertical="top"/>
    </xf>
    <xf numFmtId="0" fontId="6" fillId="34" borderId="2" xfId="0" applyFont="1" applyFill="1" applyBorder="1" applyAlignment="1" applyProtection="1">
      <alignment horizontal="justify" vertical="top"/>
      <protection hidden="1"/>
    </xf>
    <xf numFmtId="0" fontId="6" fillId="34" borderId="2" xfId="0" applyFont="1" applyFill="1" applyBorder="1" applyAlignment="1" applyProtection="1">
      <alignment horizontal="justify" vertical="top" textRotation="90"/>
      <protection locked="0"/>
    </xf>
    <xf numFmtId="9" fontId="6" fillId="34" borderId="2" xfId="0" applyNumberFormat="1" applyFont="1" applyFill="1" applyBorder="1" applyAlignment="1" applyProtection="1">
      <alignment horizontal="justify" vertical="top"/>
      <protection hidden="1"/>
    </xf>
    <xf numFmtId="164" fontId="6" fillId="34" borderId="2" xfId="1" applyNumberFormat="1" applyFont="1" applyFill="1" applyBorder="1" applyAlignment="1">
      <alignment horizontal="justify" vertical="top"/>
    </xf>
    <xf numFmtId="9" fontId="6" fillId="34" borderId="4" xfId="0" applyNumberFormat="1" applyFont="1" applyFill="1" applyBorder="1" applyAlignment="1" applyProtection="1">
      <alignment horizontal="justify" vertical="top" wrapText="1"/>
      <protection hidden="1"/>
    </xf>
    <xf numFmtId="9" fontId="6" fillId="34" borderId="4" xfId="0" applyNumberFormat="1" applyFont="1" applyFill="1" applyBorder="1" applyAlignment="1" applyProtection="1">
      <alignment horizontal="justify" vertical="top" wrapText="1"/>
      <protection locked="0"/>
    </xf>
    <xf numFmtId="0" fontId="6" fillId="34" borderId="4" xfId="0" applyFont="1" applyFill="1" applyBorder="1" applyAlignment="1" applyProtection="1">
      <alignment horizontal="justify" vertical="top"/>
      <protection locked="0"/>
    </xf>
    <xf numFmtId="0" fontId="44" fillId="34" borderId="75" xfId="0" applyFont="1" applyFill="1" applyBorder="1" applyAlignment="1" applyProtection="1">
      <alignment horizontal="justify" vertical="top" wrapText="1"/>
      <protection locked="0"/>
    </xf>
    <xf numFmtId="0" fontId="93" fillId="34" borderId="75" xfId="0" applyFont="1" applyFill="1" applyBorder="1" applyAlignment="1" applyProtection="1">
      <alignment horizontal="justify" vertical="top" wrapText="1"/>
      <protection locked="0"/>
    </xf>
    <xf numFmtId="0" fontId="6" fillId="25" borderId="4" xfId="0" applyFont="1" applyFill="1" applyBorder="1" applyAlignment="1" applyProtection="1">
      <alignment horizontal="justify" vertical="top" textRotation="90"/>
      <protection locked="0"/>
    </xf>
    <xf numFmtId="0" fontId="6" fillId="25" borderId="2" xfId="0" applyFont="1" applyFill="1" applyBorder="1" applyAlignment="1" applyProtection="1">
      <alignment horizontal="justify" vertical="top" wrapText="1"/>
      <protection locked="0"/>
    </xf>
    <xf numFmtId="14" fontId="6" fillId="25" borderId="2" xfId="0" applyNumberFormat="1" applyFont="1" applyFill="1" applyBorder="1" applyAlignment="1" applyProtection="1">
      <alignment horizontal="justify" vertical="top" textRotation="180"/>
      <protection locked="0"/>
    </xf>
    <xf numFmtId="14" fontId="6" fillId="25" borderId="2" xfId="0" applyNumberFormat="1" applyFont="1" applyFill="1" applyBorder="1" applyAlignment="1" applyProtection="1">
      <alignment horizontal="justify" vertical="top"/>
      <protection locked="0"/>
    </xf>
    <xf numFmtId="0" fontId="6" fillId="25" borderId="6" xfId="0" applyFont="1" applyFill="1" applyBorder="1" applyAlignment="1" applyProtection="1">
      <alignment horizontal="justify" vertical="top"/>
      <protection locked="0"/>
    </xf>
    <xf numFmtId="9" fontId="6" fillId="25" borderId="4" xfId="0" applyNumberFormat="1" applyFont="1" applyFill="1" applyBorder="1" applyAlignment="1" applyProtection="1">
      <alignment horizontal="justify" vertical="top"/>
      <protection hidden="1"/>
    </xf>
    <xf numFmtId="164" fontId="6" fillId="25" borderId="2" xfId="1" applyNumberFormat="1" applyFont="1" applyFill="1" applyBorder="1" applyAlignment="1">
      <alignment horizontal="justify" vertical="top"/>
    </xf>
    <xf numFmtId="0" fontId="6" fillId="25" borderId="2" xfId="0" applyFont="1" applyFill="1" applyBorder="1" applyAlignment="1">
      <alignment horizontal="justify" vertical="top"/>
    </xf>
    <xf numFmtId="0" fontId="6" fillId="25" borderId="2" xfId="0" applyFont="1" applyFill="1" applyBorder="1" applyAlignment="1" applyProtection="1">
      <alignment horizontal="justify" vertical="top"/>
      <protection hidden="1"/>
    </xf>
    <xf numFmtId="0" fontId="6" fillId="25" borderId="2" xfId="0" applyFont="1" applyFill="1" applyBorder="1" applyAlignment="1" applyProtection="1">
      <alignment horizontal="justify" vertical="top" textRotation="90"/>
      <protection locked="0"/>
    </xf>
    <xf numFmtId="9" fontId="6" fillId="25" borderId="2" xfId="0" applyNumberFormat="1" applyFont="1" applyFill="1" applyBorder="1" applyAlignment="1" applyProtection="1">
      <alignment horizontal="justify" vertical="top"/>
      <protection hidden="1"/>
    </xf>
    <xf numFmtId="0" fontId="44" fillId="25" borderId="75" xfId="0" applyFont="1" applyFill="1" applyBorder="1" applyAlignment="1" applyProtection="1">
      <alignment horizontal="justify" vertical="top" wrapText="1"/>
      <protection locked="0"/>
    </xf>
    <xf numFmtId="0" fontId="40" fillId="25" borderId="75" xfId="0" applyFont="1" applyFill="1" applyBorder="1" applyAlignment="1" applyProtection="1">
      <alignment horizontal="justify" vertical="top" wrapText="1"/>
      <protection locked="0"/>
    </xf>
    <xf numFmtId="0" fontId="93" fillId="25" borderId="75" xfId="0" applyFont="1" applyFill="1" applyBorder="1" applyAlignment="1" applyProtection="1">
      <alignment horizontal="justify" vertical="top" wrapText="1"/>
      <protection locked="0"/>
    </xf>
    <xf numFmtId="0" fontId="6" fillId="24" borderId="4" xfId="0" applyFont="1" applyFill="1" applyBorder="1" applyAlignment="1" applyProtection="1">
      <alignment horizontal="justify" vertical="top" textRotation="90"/>
      <protection locked="0"/>
    </xf>
    <xf numFmtId="0" fontId="6" fillId="24" borderId="2" xfId="0" applyFont="1" applyFill="1" applyBorder="1" applyAlignment="1" applyProtection="1">
      <alignment horizontal="justify" vertical="top" wrapText="1"/>
      <protection locked="0"/>
    </xf>
    <xf numFmtId="14" fontId="6" fillId="24" borderId="2" xfId="0" applyNumberFormat="1" applyFont="1" applyFill="1" applyBorder="1" applyAlignment="1" applyProtection="1">
      <alignment horizontal="justify" vertical="top" textRotation="180"/>
      <protection locked="0"/>
    </xf>
    <xf numFmtId="14" fontId="6" fillId="24" borderId="2" xfId="0" applyNumberFormat="1" applyFont="1" applyFill="1" applyBorder="1" applyAlignment="1" applyProtection="1">
      <alignment horizontal="justify" vertical="top"/>
      <protection locked="0"/>
    </xf>
    <xf numFmtId="0" fontId="6" fillId="24" borderId="6" xfId="0" applyFont="1" applyFill="1" applyBorder="1" applyAlignment="1" applyProtection="1">
      <alignment horizontal="justify" vertical="top"/>
      <protection locked="0"/>
    </xf>
    <xf numFmtId="9" fontId="6" fillId="24" borderId="4" xfId="0" applyNumberFormat="1" applyFont="1" applyFill="1" applyBorder="1" applyAlignment="1" applyProtection="1">
      <alignment horizontal="justify" vertical="top"/>
      <protection hidden="1"/>
    </xf>
    <xf numFmtId="0" fontId="6" fillId="24" borderId="2" xfId="0" applyFont="1" applyFill="1" applyBorder="1" applyAlignment="1">
      <alignment horizontal="justify" vertical="top"/>
    </xf>
    <xf numFmtId="0" fontId="6" fillId="24" borderId="2" xfId="0" applyFont="1" applyFill="1" applyBorder="1" applyAlignment="1" applyProtection="1">
      <alignment horizontal="justify" vertical="top"/>
      <protection hidden="1"/>
    </xf>
    <xf numFmtId="0" fontId="6" fillId="24" borderId="2" xfId="0" applyFont="1" applyFill="1" applyBorder="1" applyAlignment="1" applyProtection="1">
      <alignment horizontal="justify" vertical="top" textRotation="90"/>
      <protection locked="0"/>
    </xf>
    <xf numFmtId="9" fontId="6" fillId="24" borderId="2" xfId="0" applyNumberFormat="1" applyFont="1" applyFill="1" applyBorder="1" applyAlignment="1" applyProtection="1">
      <alignment horizontal="justify" vertical="top"/>
      <protection hidden="1"/>
    </xf>
    <xf numFmtId="164" fontId="6" fillId="24" borderId="2" xfId="1" applyNumberFormat="1" applyFont="1" applyFill="1" applyBorder="1" applyAlignment="1">
      <alignment horizontal="justify" vertical="top"/>
    </xf>
    <xf numFmtId="0" fontId="44" fillId="24" borderId="75" xfId="0" applyFont="1" applyFill="1" applyBorder="1" applyAlignment="1" applyProtection="1">
      <alignment horizontal="justify" vertical="top" wrapText="1"/>
      <protection locked="0"/>
    </xf>
    <xf numFmtId="0" fontId="40" fillId="24" borderId="75" xfId="0" applyFont="1" applyFill="1" applyBorder="1" applyAlignment="1" applyProtection="1">
      <alignment horizontal="justify" vertical="top" wrapText="1"/>
      <protection locked="0"/>
    </xf>
    <xf numFmtId="0" fontId="93" fillId="24" borderId="75" xfId="0" applyFont="1" applyFill="1" applyBorder="1" applyAlignment="1" applyProtection="1">
      <alignment horizontal="justify" vertical="top" wrapText="1"/>
      <protection locked="0"/>
    </xf>
    <xf numFmtId="0" fontId="6" fillId="24" borderId="2" xfId="0" applyFont="1" applyFill="1" applyBorder="1" applyAlignment="1" applyProtection="1">
      <alignment horizontal="justify" vertical="top"/>
      <protection locked="0"/>
    </xf>
    <xf numFmtId="9" fontId="6" fillId="24" borderId="4" xfId="0" applyNumberFormat="1" applyFont="1" applyFill="1" applyBorder="1" applyAlignment="1" applyProtection="1">
      <alignment vertical="top" wrapText="1"/>
      <protection hidden="1"/>
    </xf>
    <xf numFmtId="9" fontId="6" fillId="24" borderId="4" xfId="0" applyNumberFormat="1" applyFont="1" applyFill="1" applyBorder="1" applyAlignment="1" applyProtection="1">
      <alignment vertical="top" wrapText="1"/>
      <protection locked="0"/>
    </xf>
    <xf numFmtId="0" fontId="40" fillId="24" borderId="96" xfId="0" applyFont="1" applyFill="1" applyBorder="1" applyAlignment="1" applyProtection="1">
      <alignment vertical="top" textRotation="180" wrapText="1"/>
      <protection locked="0"/>
    </xf>
    <xf numFmtId="0" fontId="6" fillId="24" borderId="30" xfId="0" applyFont="1" applyFill="1" applyBorder="1" applyAlignment="1" applyProtection="1">
      <alignment vertical="top" wrapText="1"/>
      <protection locked="0"/>
    </xf>
    <xf numFmtId="0" fontId="6" fillId="24" borderId="4" xfId="0" applyFont="1" applyFill="1" applyBorder="1" applyAlignment="1" applyProtection="1">
      <alignment vertical="top"/>
      <protection locked="0"/>
    </xf>
    <xf numFmtId="0" fontId="1" fillId="3" borderId="0" xfId="0" applyFont="1" applyFill="1" applyAlignment="1">
      <alignment horizontal="justify" vertical="top"/>
    </xf>
    <xf numFmtId="0" fontId="103" fillId="31" borderId="105" xfId="0" applyFont="1" applyFill="1" applyBorder="1" applyAlignment="1">
      <alignment horizontal="justify" vertical="top" wrapText="1"/>
    </xf>
    <xf numFmtId="0" fontId="37" fillId="31" borderId="33" xfId="0" applyFont="1" applyFill="1" applyBorder="1" applyAlignment="1">
      <alignment horizontal="justify" vertical="top" wrapText="1"/>
    </xf>
    <xf numFmtId="0" fontId="37" fillId="31" borderId="105" xfId="0" applyFont="1" applyFill="1" applyBorder="1" applyAlignment="1">
      <alignment horizontal="justify" vertical="top" wrapText="1"/>
    </xf>
    <xf numFmtId="0" fontId="103" fillId="31" borderId="109" xfId="0" applyFont="1" applyFill="1" applyBorder="1" applyAlignment="1">
      <alignment horizontal="justify" vertical="top" wrapText="1"/>
    </xf>
    <xf numFmtId="0" fontId="103" fillId="31" borderId="91" xfId="0" applyFont="1" applyFill="1" applyBorder="1" applyAlignment="1">
      <alignment horizontal="justify" vertical="top"/>
    </xf>
    <xf numFmtId="0" fontId="103" fillId="31" borderId="110" xfId="0" applyFont="1" applyFill="1" applyBorder="1" applyAlignment="1">
      <alignment horizontal="justify" vertical="top" wrapText="1"/>
    </xf>
    <xf numFmtId="0" fontId="103" fillId="31" borderId="33" xfId="0" applyFont="1" applyFill="1" applyBorder="1" applyAlignment="1">
      <alignment horizontal="justify" vertical="top" wrapText="1"/>
    </xf>
    <xf numFmtId="0" fontId="103" fillId="31" borderId="33" xfId="0" applyFont="1" applyFill="1" applyBorder="1" applyAlignment="1">
      <alignment horizontal="justify" vertical="top"/>
    </xf>
    <xf numFmtId="0" fontId="1" fillId="0" borderId="0" xfId="0" applyFont="1" applyAlignment="1">
      <alignment horizontal="justify" vertical="top"/>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59" fillId="0" borderId="0" xfId="0" applyFont="1" applyAlignment="1">
      <alignment horizontal="center" vertical="center" wrapText="1"/>
    </xf>
    <xf numFmtId="0" fontId="60" fillId="0" borderId="33" xfId="0" applyFont="1" applyBorder="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xf>
    <xf numFmtId="0" fontId="64"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58" fillId="14" borderId="33" xfId="0" applyFont="1" applyFill="1" applyBorder="1" applyAlignment="1">
      <alignment horizontal="center" vertical="center" wrapText="1"/>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69" xfId="0" applyBorder="1" applyAlignment="1">
      <alignment horizontal="center"/>
    </xf>
    <xf numFmtId="0" fontId="60" fillId="0" borderId="19"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0" xfId="0" applyFont="1" applyAlignment="1">
      <alignment horizontal="center" vertical="center" wrapText="1"/>
    </xf>
    <xf numFmtId="0" fontId="60" fillId="0" borderId="87" xfId="0" applyFont="1" applyBorder="1" applyAlignment="1">
      <alignment horizontal="center" vertical="center" wrapText="1"/>
    </xf>
    <xf numFmtId="0" fontId="61" fillId="0" borderId="107" xfId="0" applyFont="1" applyBorder="1" applyAlignment="1">
      <alignment horizontal="left" vertical="center" wrapText="1"/>
    </xf>
    <xf numFmtId="0" fontId="61" fillId="0" borderId="49" xfId="0" applyFont="1" applyBorder="1" applyAlignment="1">
      <alignment horizontal="left" vertical="center" wrapText="1"/>
    </xf>
    <xf numFmtId="0" fontId="61" fillId="0" borderId="50" xfId="0" applyFont="1" applyBorder="1" applyAlignment="1">
      <alignment horizontal="left" vertical="center" wrapText="1"/>
    </xf>
    <xf numFmtId="0" fontId="61" fillId="0" borderId="92" xfId="0" applyFont="1" applyBorder="1" applyAlignment="1">
      <alignment horizontal="left" vertical="center" wrapText="1"/>
    </xf>
    <xf numFmtId="0" fontId="61" fillId="0" borderId="81" xfId="0" applyFont="1" applyBorder="1" applyAlignment="1">
      <alignment horizontal="left" vertical="center" wrapText="1"/>
    </xf>
    <xf numFmtId="0" fontId="61" fillId="0" borderId="82" xfId="0" applyFont="1" applyBorder="1" applyAlignment="1">
      <alignment horizontal="left"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61" fillId="0" borderId="0" xfId="0" applyFont="1" applyAlignment="1">
      <alignment horizontal="center" vertical="top" wrapText="1"/>
    </xf>
    <xf numFmtId="0" fontId="38" fillId="3" borderId="33" xfId="0" applyFont="1" applyFill="1" applyBorder="1" applyAlignment="1" applyProtection="1">
      <alignment horizontal="left" vertical="center"/>
      <protection locked="0"/>
    </xf>
    <xf numFmtId="0" fontId="73" fillId="3" borderId="94" xfId="0" applyFont="1" applyFill="1" applyBorder="1" applyAlignment="1" applyProtection="1">
      <alignment horizontal="justify" vertical="top" wrapText="1"/>
      <protection locked="0"/>
    </xf>
    <xf numFmtId="0" fontId="38" fillId="3" borderId="94" xfId="0" applyFont="1" applyFill="1" applyBorder="1" applyAlignment="1" applyProtection="1">
      <alignment horizontal="justify" vertical="top"/>
      <protection locked="0"/>
    </xf>
    <xf numFmtId="0" fontId="38" fillId="3" borderId="94" xfId="0" applyFont="1" applyFill="1" applyBorder="1" applyAlignment="1" applyProtection="1">
      <alignment horizontal="left" vertical="center"/>
      <protection locked="0"/>
    </xf>
    <xf numFmtId="0" fontId="73" fillId="3" borderId="94" xfId="0" applyFont="1" applyFill="1" applyBorder="1" applyAlignment="1" applyProtection="1">
      <alignment horizontal="justify" vertical="top"/>
      <protection locked="0"/>
    </xf>
    <xf numFmtId="0" fontId="38" fillId="3" borderId="33"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left" vertical="center" wrapText="1"/>
      <protection locked="0"/>
    </xf>
    <xf numFmtId="0" fontId="38" fillId="3" borderId="95" xfId="0" applyFont="1" applyFill="1" applyBorder="1" applyAlignment="1" applyProtection="1">
      <alignment horizontal="left" vertical="center" wrapText="1"/>
      <protection locked="0"/>
    </xf>
    <xf numFmtId="0" fontId="73" fillId="3" borderId="92" xfId="0" applyFont="1" applyFill="1" applyBorder="1" applyAlignment="1" applyProtection="1">
      <alignment horizontal="left" vertical="center" wrapText="1"/>
      <protection locked="0"/>
    </xf>
    <xf numFmtId="0" fontId="73" fillId="3" borderId="95"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38" fillId="3" borderId="95" xfId="0" applyFont="1" applyFill="1" applyBorder="1" applyAlignment="1" applyProtection="1">
      <alignment horizontal="left" vertical="center"/>
      <protection locked="0"/>
    </xf>
    <xf numFmtId="0" fontId="61" fillId="0" borderId="0" xfId="0" applyFont="1" applyAlignment="1">
      <alignment horizontal="left" vertical="top" wrapText="1"/>
    </xf>
    <xf numFmtId="0" fontId="38" fillId="3" borderId="94" xfId="0" applyFont="1" applyFill="1" applyBorder="1" applyAlignment="1" applyProtection="1">
      <alignment horizontal="justify" vertical="top" wrapText="1"/>
      <protection locked="0"/>
    </xf>
    <xf numFmtId="0" fontId="60" fillId="0" borderId="12" xfId="0" applyFont="1" applyBorder="1" applyAlignment="1">
      <alignment horizontal="center" vertical="center" wrapText="1"/>
    </xf>
    <xf numFmtId="0" fontId="60" fillId="0" borderId="14" xfId="0" applyFont="1" applyBorder="1" applyAlignment="1">
      <alignment horizontal="center" vertical="center" wrapText="1"/>
    </xf>
    <xf numFmtId="0" fontId="60" fillId="0" borderId="68" xfId="0" applyFont="1" applyBorder="1" applyAlignment="1">
      <alignment horizontal="center" vertical="center" wrapText="1"/>
    </xf>
    <xf numFmtId="0" fontId="60" fillId="29" borderId="80" xfId="0" applyFont="1" applyFill="1" applyBorder="1" applyAlignment="1">
      <alignment horizontal="center" vertical="center" wrapText="1"/>
    </xf>
    <xf numFmtId="0" fontId="60" fillId="29" borderId="81" xfId="0" applyFont="1" applyFill="1" applyBorder="1" applyAlignment="1">
      <alignment horizontal="center" vertical="center" wrapText="1"/>
    </xf>
    <xf numFmtId="0" fontId="60" fillId="29" borderId="82" xfId="0" applyFont="1" applyFill="1" applyBorder="1" applyAlignment="1">
      <alignment horizontal="center" vertical="center" wrapText="1"/>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61" fillId="0" borderId="108" xfId="0" applyFont="1" applyBorder="1" applyAlignment="1">
      <alignment horizontal="center" vertical="center" wrapText="1"/>
    </xf>
    <xf numFmtId="0" fontId="61" fillId="0" borderId="13" xfId="0" applyFont="1" applyBorder="1" applyAlignment="1">
      <alignment horizontal="center" vertical="center" wrapText="1"/>
    </xf>
    <xf numFmtId="0" fontId="61" fillId="0" borderId="106"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90" xfId="0" applyFont="1" applyBorder="1" applyAlignment="1">
      <alignment horizontal="center" vertical="center" wrapText="1"/>
    </xf>
    <xf numFmtId="0" fontId="61" fillId="0" borderId="70" xfId="0" applyFont="1" applyBorder="1" applyAlignment="1">
      <alignment horizontal="center" vertical="center" wrapText="1"/>
    </xf>
    <xf numFmtId="0" fontId="71" fillId="19" borderId="33" xfId="0" applyFont="1" applyFill="1" applyBorder="1" applyAlignment="1">
      <alignment horizontal="center" vertical="center" wrapText="1"/>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5" xfId="0" applyFont="1" applyFill="1" applyBorder="1" applyAlignment="1">
      <alignment horizontal="center" vertical="center" wrapText="1"/>
    </xf>
    <xf numFmtId="0" fontId="72" fillId="19" borderId="33" xfId="0" applyFont="1" applyFill="1" applyBorder="1" applyAlignment="1">
      <alignment horizontal="center" vertical="center" wrapText="1"/>
    </xf>
    <xf numFmtId="0" fontId="72" fillId="19" borderId="33" xfId="0" applyFont="1" applyFill="1" applyBorder="1" applyAlignment="1">
      <alignment horizontal="center" vertical="center"/>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5" xfId="0" applyFont="1" applyFill="1" applyBorder="1" applyAlignment="1">
      <alignment horizontal="center"/>
    </xf>
    <xf numFmtId="0" fontId="38" fillId="0" borderId="92" xfId="0" applyFont="1" applyBorder="1" applyAlignment="1" applyProtection="1">
      <alignment horizontal="left" vertical="center" wrapText="1"/>
      <protection locked="0"/>
    </xf>
    <xf numFmtId="0" fontId="38" fillId="0" borderId="95"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protection locked="0"/>
    </xf>
    <xf numFmtId="0" fontId="38" fillId="0" borderId="81" xfId="0" applyFont="1" applyBorder="1" applyAlignment="1" applyProtection="1">
      <alignment horizontal="left" vertical="center" wrapText="1"/>
      <protection locked="0"/>
    </xf>
    <xf numFmtId="0" fontId="38" fillId="0" borderId="92" xfId="0" applyFont="1" applyBorder="1" applyAlignment="1" applyProtection="1">
      <alignment horizontal="left" vertical="center"/>
      <protection locked="0"/>
    </xf>
    <xf numFmtId="0" fontId="38" fillId="0" borderId="81" xfId="0" applyFont="1" applyBorder="1" applyAlignment="1" applyProtection="1">
      <alignment horizontal="left" vertical="center"/>
      <protection locked="0"/>
    </xf>
    <xf numFmtId="0" fontId="38" fillId="0" borderId="95" xfId="0" applyFont="1" applyBorder="1" applyAlignment="1" applyProtection="1">
      <alignment horizontal="left" vertical="center"/>
      <protection locked="0"/>
    </xf>
    <xf numFmtId="0" fontId="38" fillId="0" borderId="92" xfId="0" applyFont="1" applyBorder="1" applyAlignment="1" applyProtection="1">
      <alignment horizontal="center" vertical="center"/>
      <protection locked="0"/>
    </xf>
    <xf numFmtId="0" fontId="38" fillId="0" borderId="81" xfId="0" applyFont="1" applyBorder="1" applyAlignment="1" applyProtection="1">
      <alignment horizontal="center" vertical="center"/>
      <protection locked="0"/>
    </xf>
    <xf numFmtId="0" fontId="38" fillId="0" borderId="95" xfId="0" applyFont="1" applyBorder="1" applyAlignment="1" applyProtection="1">
      <alignment horizontal="center" vertical="center"/>
      <protection locked="0"/>
    </xf>
    <xf numFmtId="0" fontId="72" fillId="19" borderId="33" xfId="0" applyFont="1" applyFill="1" applyBorder="1" applyAlignment="1">
      <alignment horizontal="center" vertical="center" textRotation="255"/>
    </xf>
    <xf numFmtId="0" fontId="72" fillId="27" borderId="33" xfId="0" applyFont="1" applyFill="1" applyBorder="1" applyAlignment="1">
      <alignment horizontal="center" vertical="center" wrapText="1"/>
    </xf>
    <xf numFmtId="0" fontId="72" fillId="27" borderId="33" xfId="0" applyFont="1" applyFill="1" applyBorder="1" applyAlignment="1">
      <alignment horizontal="center" vertical="center"/>
    </xf>
    <xf numFmtId="0" fontId="72" fillId="19" borderId="81" xfId="0" applyFont="1" applyFill="1" applyBorder="1" applyAlignment="1">
      <alignment horizontal="center" vertical="center"/>
    </xf>
    <xf numFmtId="0" fontId="72" fillId="19" borderId="95" xfId="0" applyFont="1" applyFill="1" applyBorder="1" applyAlignment="1">
      <alignment horizontal="center" vertical="center"/>
    </xf>
    <xf numFmtId="0" fontId="38" fillId="3" borderId="81" xfId="0" applyFont="1" applyFill="1" applyBorder="1" applyAlignment="1" applyProtection="1">
      <alignment horizontal="left" vertical="center" wrapText="1"/>
      <protection locked="0"/>
    </xf>
    <xf numFmtId="0" fontId="73" fillId="3" borderId="81" xfId="0" applyFont="1" applyFill="1" applyBorder="1" applyAlignment="1" applyProtection="1">
      <alignment horizontal="left" vertical="center" wrapText="1"/>
      <protection locked="0"/>
    </xf>
    <xf numFmtId="0" fontId="72" fillId="19" borderId="33" xfId="0" applyFont="1" applyFill="1" applyBorder="1" applyAlignment="1">
      <alignment horizontal="center" vertical="top"/>
    </xf>
    <xf numFmtId="0" fontId="72" fillId="4" borderId="33" xfId="0" applyFont="1" applyFill="1" applyBorder="1" applyAlignment="1">
      <alignment horizontal="center" vertical="top" wrapText="1"/>
    </xf>
    <xf numFmtId="0" fontId="72" fillId="4" borderId="33" xfId="0" applyFont="1" applyFill="1" applyBorder="1" applyAlignment="1">
      <alignment horizontal="center" vertical="top"/>
    </xf>
    <xf numFmtId="0" fontId="72" fillId="27" borderId="92" xfId="0" applyFont="1" applyFill="1" applyBorder="1" applyAlignment="1">
      <alignment horizontal="center" vertical="top" wrapText="1"/>
    </xf>
    <xf numFmtId="0" fontId="72" fillId="27" borderId="81" xfId="0" applyFont="1" applyFill="1" applyBorder="1" applyAlignment="1">
      <alignment horizontal="center" vertical="top"/>
    </xf>
    <xf numFmtId="0" fontId="72" fillId="27" borderId="95" xfId="0" applyFont="1" applyFill="1" applyBorder="1" applyAlignment="1">
      <alignment horizontal="center" vertical="top"/>
    </xf>
    <xf numFmtId="0" fontId="38" fillId="3" borderId="92" xfId="0" applyFont="1" applyFill="1" applyBorder="1" applyAlignment="1" applyProtection="1">
      <alignment horizontal="justify" vertical="top" wrapText="1"/>
      <protection locked="0"/>
    </xf>
    <xf numFmtId="0" fontId="38" fillId="3" borderId="95" xfId="0" applyFont="1" applyFill="1" applyBorder="1" applyAlignment="1" applyProtection="1">
      <alignment horizontal="justify" vertical="top"/>
      <protection locked="0"/>
    </xf>
    <xf numFmtId="0" fontId="38" fillId="3" borderId="92" xfId="0" applyFont="1" applyFill="1" applyBorder="1" applyAlignment="1" applyProtection="1">
      <alignment horizontal="center" vertical="center"/>
      <protection locked="0"/>
    </xf>
    <xf numFmtId="0" fontId="38" fillId="3" borderId="95"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61" fillId="0" borderId="0" xfId="0" applyFont="1" applyAlignment="1">
      <alignment horizontal="center"/>
    </xf>
    <xf numFmtId="0" fontId="38" fillId="3" borderId="0" xfId="0" applyFont="1" applyFill="1" applyAlignment="1">
      <alignment horizontal="left"/>
    </xf>
    <xf numFmtId="0" fontId="70" fillId="31" borderId="109" xfId="0" applyFont="1" applyFill="1" applyBorder="1" applyAlignment="1">
      <alignment horizontal="left" vertical="top" wrapText="1"/>
    </xf>
    <xf numFmtId="0" fontId="106" fillId="31" borderId="110" xfId="0" applyFont="1" applyFill="1" applyBorder="1" applyAlignment="1">
      <alignment horizontal="left" vertical="top" wrapText="1"/>
    </xf>
    <xf numFmtId="0" fontId="70" fillId="31" borderId="109" xfId="0" applyFont="1" applyFill="1" applyBorder="1" applyAlignment="1">
      <alignment horizontal="justify" vertical="top" wrapText="1"/>
    </xf>
    <xf numFmtId="0" fontId="106" fillId="31" borderId="110" xfId="0" applyFont="1" applyFill="1" applyBorder="1" applyAlignment="1">
      <alignment horizontal="justify" vertical="top" wrapText="1"/>
    </xf>
    <xf numFmtId="0" fontId="103" fillId="0" borderId="111" xfId="0" applyFont="1" applyBorder="1" applyAlignment="1">
      <alignment horizontal="center" vertical="top"/>
    </xf>
    <xf numFmtId="0" fontId="103" fillId="0" borderId="112" xfId="0" applyFont="1" applyBorder="1" applyAlignment="1">
      <alignment horizontal="center" vertical="top"/>
    </xf>
    <xf numFmtId="0" fontId="104" fillId="30" borderId="33" xfId="0" applyFont="1" applyFill="1" applyBorder="1" applyAlignment="1">
      <alignment horizontal="justify" vertical="top" wrapText="1"/>
    </xf>
    <xf numFmtId="0" fontId="104" fillId="30" borderId="33" xfId="0" applyFont="1" applyFill="1" applyBorder="1" applyAlignment="1">
      <alignment horizontal="justify" vertical="top"/>
    </xf>
    <xf numFmtId="0" fontId="37" fillId="2" borderId="33" xfId="0" applyFont="1" applyFill="1" applyBorder="1" applyAlignment="1">
      <alignment horizontal="center" vertical="center" textRotation="90"/>
    </xf>
    <xf numFmtId="0" fontId="104" fillId="30" borderId="33" xfId="0" applyFont="1" applyFill="1" applyBorder="1" applyAlignment="1">
      <alignment horizontal="center" vertical="center" wrapText="1"/>
    </xf>
    <xf numFmtId="0" fontId="104" fillId="30" borderId="33" xfId="0" applyFont="1" applyFill="1" applyBorder="1" applyAlignment="1">
      <alignment horizontal="center" vertical="center"/>
    </xf>
    <xf numFmtId="0" fontId="40" fillId="24" borderId="96" xfId="0" applyFont="1" applyFill="1" applyBorder="1" applyAlignment="1" applyProtection="1">
      <alignment horizontal="justify" vertical="top" textRotation="180" wrapText="1"/>
      <protection locked="0"/>
    </xf>
    <xf numFmtId="0" fontId="40" fillId="24" borderId="97" xfId="0" applyFont="1" applyFill="1" applyBorder="1" applyAlignment="1" applyProtection="1">
      <alignment horizontal="justify" vertical="top" textRotation="180" wrapText="1"/>
      <protection locked="0"/>
    </xf>
    <xf numFmtId="0" fontId="40" fillId="24" borderId="98" xfId="0" applyFont="1" applyFill="1" applyBorder="1" applyAlignment="1" applyProtection="1">
      <alignment horizontal="justify" vertical="top" textRotation="180" wrapText="1"/>
      <protection locked="0"/>
    </xf>
    <xf numFmtId="0" fontId="40" fillId="25" borderId="96" xfId="0" applyFont="1" applyFill="1" applyBorder="1" applyAlignment="1" applyProtection="1">
      <alignment horizontal="justify" vertical="top" textRotation="180" wrapText="1"/>
      <protection locked="0"/>
    </xf>
    <xf numFmtId="0" fontId="40" fillId="25" borderId="97" xfId="0" applyFont="1" applyFill="1" applyBorder="1" applyAlignment="1" applyProtection="1">
      <alignment horizontal="justify" vertical="top" textRotation="180" wrapText="1"/>
      <protection locked="0"/>
    </xf>
    <xf numFmtId="0" fontId="40" fillId="25" borderId="98" xfId="0" applyFont="1" applyFill="1" applyBorder="1" applyAlignment="1" applyProtection="1">
      <alignment horizontal="justify" vertical="top" textRotation="180" wrapText="1"/>
      <protection locked="0"/>
    </xf>
    <xf numFmtId="0" fontId="44" fillId="28" borderId="96" xfId="0" applyFont="1" applyFill="1" applyBorder="1" applyAlignment="1" applyProtection="1">
      <alignment horizontal="justify" vertical="top" textRotation="180" wrapText="1"/>
      <protection locked="0"/>
    </xf>
    <xf numFmtId="0" fontId="44" fillId="28" borderId="97" xfId="0" applyFont="1" applyFill="1" applyBorder="1" applyAlignment="1" applyProtection="1">
      <alignment horizontal="justify" vertical="top" textRotation="180" wrapText="1"/>
      <protection locked="0"/>
    </xf>
    <xf numFmtId="0" fontId="44" fillId="28" borderId="98" xfId="0" applyFont="1" applyFill="1" applyBorder="1" applyAlignment="1" applyProtection="1">
      <alignment horizontal="justify" vertical="top" textRotation="180" wrapText="1"/>
      <protection locked="0"/>
    </xf>
    <xf numFmtId="0" fontId="50" fillId="33" borderId="96" xfId="0" applyFont="1" applyFill="1" applyBorder="1" applyAlignment="1" applyProtection="1">
      <alignment horizontal="center" vertical="top" textRotation="180" wrapText="1"/>
      <protection locked="0"/>
    </xf>
    <xf numFmtId="0" fontId="50" fillId="33" borderId="97" xfId="0" applyFont="1" applyFill="1" applyBorder="1" applyAlignment="1" applyProtection="1">
      <alignment horizontal="center" vertical="top" textRotation="180" wrapText="1"/>
      <protection locked="0"/>
    </xf>
    <xf numFmtId="0" fontId="50" fillId="33" borderId="98" xfId="0" applyFont="1" applyFill="1" applyBorder="1" applyAlignment="1" applyProtection="1">
      <alignment horizontal="center" vertical="top" textRotation="180" wrapText="1"/>
      <protection locked="0"/>
    </xf>
    <xf numFmtId="0" fontId="50" fillId="0" borderId="96" xfId="0" applyFont="1" applyBorder="1" applyAlignment="1" applyProtection="1">
      <alignment horizontal="center" vertical="top" textRotation="180" wrapText="1"/>
      <protection locked="0"/>
    </xf>
    <xf numFmtId="0" fontId="50" fillId="0" borderId="97" xfId="0" applyFont="1" applyBorder="1" applyAlignment="1" applyProtection="1">
      <alignment horizontal="center" vertical="top" textRotation="180" wrapText="1"/>
      <protection locked="0"/>
    </xf>
    <xf numFmtId="0" fontId="50" fillId="0" borderId="98" xfId="0" applyFont="1" applyBorder="1" applyAlignment="1" applyProtection="1">
      <alignment horizontal="center" vertical="top" textRotation="180" wrapText="1"/>
      <protection locked="0"/>
    </xf>
    <xf numFmtId="0" fontId="6" fillId="33" borderId="99" xfId="0" applyFont="1" applyFill="1" applyBorder="1" applyAlignment="1" applyProtection="1">
      <alignment horizontal="justify" vertical="top" wrapText="1"/>
      <protection locked="0"/>
    </xf>
    <xf numFmtId="0" fontId="6" fillId="33" borderId="100" xfId="0" applyFont="1" applyFill="1" applyBorder="1" applyAlignment="1" applyProtection="1">
      <alignment horizontal="justify" vertical="top" wrapText="1"/>
      <protection locked="0"/>
    </xf>
    <xf numFmtId="0" fontId="6" fillId="33" borderId="101" xfId="0" applyFont="1" applyFill="1" applyBorder="1" applyAlignment="1" applyProtection="1">
      <alignment horizontal="justify" vertical="top" wrapText="1"/>
      <protection locked="0"/>
    </xf>
    <xf numFmtId="0" fontId="4" fillId="2" borderId="2" xfId="0" applyFont="1" applyFill="1" applyBorder="1" applyAlignment="1">
      <alignment horizontal="center" vertical="center" wrapText="1"/>
    </xf>
    <xf numFmtId="0" fontId="6" fillId="33" borderId="4" xfId="0" applyFont="1" applyFill="1" applyBorder="1" applyAlignment="1" applyProtection="1">
      <alignment horizontal="justify" vertical="top"/>
      <protection locked="0"/>
    </xf>
    <xf numFmtId="0" fontId="6" fillId="33" borderId="8" xfId="0" applyFont="1" applyFill="1" applyBorder="1" applyAlignment="1" applyProtection="1">
      <alignment horizontal="justify" vertical="top"/>
      <protection locked="0"/>
    </xf>
    <xf numFmtId="0" fontId="6" fillId="33" borderId="5" xfId="0" applyFont="1" applyFill="1" applyBorder="1" applyAlignment="1" applyProtection="1">
      <alignment horizontal="justify" vertical="top"/>
      <protection locked="0"/>
    </xf>
    <xf numFmtId="0" fontId="93" fillId="0" borderId="4" xfId="0" applyFont="1" applyBorder="1" applyAlignment="1" applyProtection="1">
      <alignment horizontal="justify" vertical="top" textRotation="180" wrapText="1"/>
      <protection hidden="1"/>
    </xf>
    <xf numFmtId="0" fontId="93" fillId="0" borderId="8" xfId="0" applyFont="1" applyBorder="1" applyAlignment="1" applyProtection="1">
      <alignment horizontal="justify" vertical="top" textRotation="180" wrapText="1"/>
      <protection hidden="1"/>
    </xf>
    <xf numFmtId="0" fontId="93" fillId="0" borderId="5" xfId="0" applyFont="1" applyBorder="1" applyAlignment="1" applyProtection="1">
      <alignment horizontal="justify" vertical="top" textRotation="180" wrapText="1"/>
      <protection hidden="1"/>
    </xf>
    <xf numFmtId="0" fontId="6" fillId="0" borderId="4" xfId="0" applyFont="1" applyBorder="1" applyAlignment="1">
      <alignment horizontal="justify" vertical="top"/>
    </xf>
    <xf numFmtId="0" fontId="6" fillId="0" borderId="8" xfId="0" applyFont="1" applyBorder="1" applyAlignment="1">
      <alignment horizontal="justify" vertical="top"/>
    </xf>
    <xf numFmtId="0" fontId="6" fillId="0" borderId="5" xfId="0" applyFont="1" applyBorder="1" applyAlignment="1">
      <alignment horizontal="justify" vertical="top"/>
    </xf>
    <xf numFmtId="0" fontId="6" fillId="28" borderId="4" xfId="0" applyFont="1" applyFill="1" applyBorder="1" applyAlignment="1" applyProtection="1">
      <alignment horizontal="justify" vertical="top" wrapText="1"/>
      <protection locked="0"/>
    </xf>
    <xf numFmtId="0" fontId="6" fillId="28" borderId="8" xfId="0" applyFont="1" applyFill="1" applyBorder="1" applyAlignment="1" applyProtection="1">
      <alignment horizontal="justify" vertical="top" wrapText="1"/>
      <protection locked="0"/>
    </xf>
    <xf numFmtId="0" fontId="6" fillId="28" borderId="5" xfId="0" applyFont="1" applyFill="1" applyBorder="1" applyAlignment="1" applyProtection="1">
      <alignment horizontal="justify" vertical="top" wrapText="1"/>
      <protection locked="0"/>
    </xf>
    <xf numFmtId="0" fontId="91" fillId="28" borderId="4" xfId="0" applyFont="1" applyFill="1" applyBorder="1" applyAlignment="1" applyProtection="1">
      <alignment horizontal="justify" vertical="top" wrapText="1"/>
      <protection locked="0"/>
    </xf>
    <xf numFmtId="0" fontId="91" fillId="28" borderId="8" xfId="0" applyFont="1" applyFill="1" applyBorder="1" applyAlignment="1" applyProtection="1">
      <alignment horizontal="justify" vertical="top" wrapText="1"/>
      <protection locked="0"/>
    </xf>
    <xf numFmtId="0" fontId="91" fillId="28" borderId="5" xfId="0" applyFont="1" applyFill="1" applyBorder="1" applyAlignment="1" applyProtection="1">
      <alignment horizontal="justify" vertical="top" wrapText="1"/>
      <protection locked="0"/>
    </xf>
    <xf numFmtId="0" fontId="92" fillId="28" borderId="102" xfId="0" applyFont="1" applyFill="1" applyBorder="1" applyAlignment="1" applyProtection="1">
      <alignment horizontal="justify" vertical="top" wrapText="1"/>
      <protection locked="0"/>
    </xf>
    <xf numFmtId="0" fontId="92" fillId="28" borderId="103" xfId="0" applyFont="1" applyFill="1" applyBorder="1" applyAlignment="1" applyProtection="1">
      <alignment horizontal="justify" vertical="top" wrapText="1"/>
      <protection locked="0"/>
    </xf>
    <xf numFmtId="0" fontId="92" fillId="28" borderId="104" xfId="0" applyFont="1" applyFill="1" applyBorder="1" applyAlignment="1" applyProtection="1">
      <alignment horizontal="justify" vertical="top" wrapText="1"/>
      <protection locked="0"/>
    </xf>
    <xf numFmtId="0" fontId="44" fillId="28" borderId="96" xfId="0" applyFont="1" applyFill="1" applyBorder="1" applyAlignment="1" applyProtection="1">
      <alignment horizontal="justify" vertical="top" wrapText="1"/>
      <protection locked="0"/>
    </xf>
    <xf numFmtId="0" fontId="44" fillId="28" borderId="97" xfId="0" applyFont="1" applyFill="1" applyBorder="1" applyAlignment="1" applyProtection="1">
      <alignment horizontal="justify" vertical="top" wrapText="1"/>
      <protection locked="0"/>
    </xf>
    <xf numFmtId="0" fontId="44" fillId="28" borderId="98" xfId="0" applyFont="1" applyFill="1" applyBorder="1" applyAlignment="1" applyProtection="1">
      <alignment horizontal="justify" vertical="top" wrapText="1"/>
      <protection locked="0"/>
    </xf>
    <xf numFmtId="0" fontId="93" fillId="0" borderId="4" xfId="0" applyFont="1" applyBorder="1" applyAlignment="1" applyProtection="1">
      <alignment horizontal="justify" vertical="top" textRotation="180"/>
      <protection hidden="1"/>
    </xf>
    <xf numFmtId="0" fontId="93" fillId="0" borderId="8" xfId="0" applyFont="1" applyBorder="1" applyAlignment="1" applyProtection="1">
      <alignment horizontal="justify" vertical="top" textRotation="180"/>
      <protection hidden="1"/>
    </xf>
    <xf numFmtId="0" fontId="93" fillId="0" borderId="5" xfId="0" applyFont="1" applyBorder="1" applyAlignment="1" applyProtection="1">
      <alignment horizontal="justify" vertical="top" textRotation="180"/>
      <protection hidden="1"/>
    </xf>
    <xf numFmtId="9" fontId="6" fillId="33" borderId="4" xfId="0" applyNumberFormat="1" applyFont="1" applyFill="1" applyBorder="1" applyAlignment="1" applyProtection="1">
      <alignment horizontal="justify" vertical="top" wrapText="1"/>
      <protection hidden="1"/>
    </xf>
    <xf numFmtId="9" fontId="6" fillId="33" borderId="8" xfId="0" applyNumberFormat="1" applyFont="1" applyFill="1" applyBorder="1" applyAlignment="1" applyProtection="1">
      <alignment horizontal="justify" vertical="top" wrapText="1"/>
      <protection hidden="1"/>
    </xf>
    <xf numFmtId="9" fontId="6" fillId="33" borderId="5" xfId="0" applyNumberFormat="1" applyFont="1" applyFill="1" applyBorder="1" applyAlignment="1" applyProtection="1">
      <alignment horizontal="justify" vertical="top" wrapText="1"/>
      <protection hidden="1"/>
    </xf>
    <xf numFmtId="9" fontId="6" fillId="33" borderId="4" xfId="0" applyNumberFormat="1" applyFont="1" applyFill="1" applyBorder="1" applyAlignment="1" applyProtection="1">
      <alignment horizontal="justify" vertical="top" wrapText="1"/>
      <protection locked="0"/>
    </xf>
    <xf numFmtId="9" fontId="6" fillId="33" borderId="8" xfId="0" applyNumberFormat="1" applyFont="1" applyFill="1" applyBorder="1" applyAlignment="1" applyProtection="1">
      <alignment horizontal="justify" vertical="top" wrapText="1"/>
      <protection locked="0"/>
    </xf>
    <xf numFmtId="9" fontId="6" fillId="33" borderId="5" xfId="0" applyNumberFormat="1" applyFont="1" applyFill="1" applyBorder="1" applyAlignment="1" applyProtection="1">
      <alignment horizontal="justify" vertical="top" wrapText="1"/>
      <protection locked="0"/>
    </xf>
    <xf numFmtId="9" fontId="6" fillId="0" borderId="4" xfId="0" applyNumberFormat="1" applyFont="1" applyBorder="1" applyAlignment="1" applyProtection="1">
      <alignment horizontal="justify" vertical="top" wrapText="1"/>
      <protection hidden="1"/>
    </xf>
    <xf numFmtId="9" fontId="6" fillId="0" borderId="8" xfId="0" applyNumberFormat="1" applyFont="1" applyBorder="1" applyAlignment="1" applyProtection="1">
      <alignment horizontal="justify" vertical="top" wrapText="1"/>
      <protection hidden="1"/>
    </xf>
    <xf numFmtId="9" fontId="6" fillId="0" borderId="5" xfId="0" applyNumberFormat="1" applyFont="1" applyBorder="1" applyAlignment="1" applyProtection="1">
      <alignment horizontal="justify" vertical="top" wrapText="1"/>
      <protection hidden="1"/>
    </xf>
    <xf numFmtId="0" fontId="40" fillId="33" borderId="96" xfId="0" applyFont="1" applyFill="1" applyBorder="1" applyAlignment="1" applyProtection="1">
      <alignment horizontal="justify" vertical="top" wrapText="1"/>
      <protection locked="0"/>
    </xf>
    <xf numFmtId="0" fontId="40" fillId="33" borderId="97" xfId="0" applyFont="1" applyFill="1" applyBorder="1" applyAlignment="1" applyProtection="1">
      <alignment horizontal="justify" vertical="top" wrapText="1"/>
      <protection locked="0"/>
    </xf>
    <xf numFmtId="0" fontId="40" fillId="33" borderId="98" xfId="0" applyFont="1" applyFill="1" applyBorder="1" applyAlignment="1" applyProtection="1">
      <alignment horizontal="justify" vertical="top" wrapText="1"/>
      <protection locked="0"/>
    </xf>
    <xf numFmtId="0" fontId="40" fillId="33" borderId="96" xfId="0" applyFont="1" applyFill="1" applyBorder="1" applyAlignment="1" applyProtection="1">
      <alignment horizontal="justify" vertical="top" textRotation="180" wrapText="1"/>
      <protection locked="0"/>
    </xf>
    <xf numFmtId="0" fontId="40" fillId="33" borderId="97" xfId="0" applyFont="1" applyFill="1" applyBorder="1" applyAlignment="1" applyProtection="1">
      <alignment horizontal="justify" vertical="top" textRotation="180" wrapText="1"/>
      <protection locked="0"/>
    </xf>
    <xf numFmtId="0" fontId="40" fillId="33" borderId="98" xfId="0" applyFont="1" applyFill="1" applyBorder="1" applyAlignment="1" applyProtection="1">
      <alignment horizontal="justify" vertical="top" textRotation="180" wrapText="1"/>
      <protection locked="0"/>
    </xf>
    <xf numFmtId="0" fontId="4" fillId="2" borderId="8" xfId="0" applyFont="1" applyFill="1" applyBorder="1" applyAlignment="1">
      <alignment horizontal="center" vertical="center" textRotation="180" wrapText="1"/>
    </xf>
    <xf numFmtId="0" fontId="4" fillId="2" borderId="5" xfId="0" applyFont="1" applyFill="1" applyBorder="1" applyAlignment="1">
      <alignment horizontal="center" vertical="center" textRotation="180"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textRotation="180" wrapText="1"/>
    </xf>
    <xf numFmtId="0" fontId="4" fillId="2" borderId="3" xfId="0" applyFont="1" applyFill="1" applyBorder="1" applyAlignment="1">
      <alignment horizontal="center" vertical="center" textRotation="180"/>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textRotation="180"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9" fontId="6" fillId="24" borderId="4" xfId="0" applyNumberFormat="1" applyFont="1" applyFill="1" applyBorder="1" applyAlignment="1" applyProtection="1">
      <alignment horizontal="justify" vertical="top" wrapText="1"/>
      <protection hidden="1"/>
    </xf>
    <xf numFmtId="9" fontId="6" fillId="24" borderId="8" xfId="0" applyNumberFormat="1" applyFont="1" applyFill="1" applyBorder="1" applyAlignment="1" applyProtection="1">
      <alignment horizontal="justify" vertical="top" wrapText="1"/>
      <protection hidden="1"/>
    </xf>
    <xf numFmtId="9" fontId="6" fillId="24" borderId="5" xfId="0" applyNumberFormat="1" applyFont="1" applyFill="1" applyBorder="1" applyAlignment="1" applyProtection="1">
      <alignment horizontal="justify" vertical="top" wrapText="1"/>
      <protection hidden="1"/>
    </xf>
    <xf numFmtId="0" fontId="97" fillId="28" borderId="4" xfId="0" applyFont="1" applyFill="1" applyBorder="1" applyAlignment="1" applyProtection="1">
      <alignment horizontal="justify" vertical="top" wrapText="1"/>
      <protection locked="0"/>
    </xf>
    <xf numFmtId="0" fontId="97" fillId="28" borderId="8" xfId="0" applyFont="1" applyFill="1" applyBorder="1" applyAlignment="1" applyProtection="1">
      <alignment horizontal="justify" vertical="top" wrapText="1"/>
      <protection locked="0"/>
    </xf>
    <xf numFmtId="0" fontId="97" fillId="28" borderId="5" xfId="0" applyFont="1" applyFill="1" applyBorder="1" applyAlignment="1" applyProtection="1">
      <alignment horizontal="justify" vertical="top" wrapText="1"/>
      <protection locked="0"/>
    </xf>
    <xf numFmtId="0" fontId="92" fillId="28" borderId="28" xfId="0" applyFont="1" applyFill="1" applyBorder="1" applyAlignment="1" applyProtection="1">
      <alignment horizontal="justify" vertical="top" wrapText="1"/>
      <protection locked="0"/>
    </xf>
    <xf numFmtId="0" fontId="92" fillId="28" borderId="9" xfId="0" applyFont="1" applyFill="1" applyBorder="1" applyAlignment="1" applyProtection="1">
      <alignment horizontal="justify" vertical="top" wrapText="1"/>
      <protection locked="0"/>
    </xf>
    <xf numFmtId="0" fontId="92" fillId="28" borderId="3" xfId="0" applyFont="1" applyFill="1" applyBorder="1" applyAlignment="1" applyProtection="1">
      <alignment horizontal="justify" vertical="top" wrapText="1"/>
      <protection locked="0"/>
    </xf>
    <xf numFmtId="0" fontId="44" fillId="28" borderId="75" xfId="0" applyFont="1" applyFill="1" applyBorder="1" applyAlignment="1" applyProtection="1">
      <alignment horizontal="justify" vertical="top" wrapText="1"/>
      <protection locked="0"/>
    </xf>
    <xf numFmtId="0" fontId="6" fillId="25" borderId="30" xfId="0" applyFont="1" applyFill="1" applyBorder="1" applyAlignment="1" applyProtection="1">
      <alignment horizontal="justify" vertical="top" wrapText="1"/>
      <protection locked="0"/>
    </xf>
    <xf numFmtId="0" fontId="6" fillId="25" borderId="76" xfId="0" applyFont="1" applyFill="1" applyBorder="1" applyAlignment="1" applyProtection="1">
      <alignment horizontal="justify" vertical="top" wrapText="1"/>
      <protection locked="0"/>
    </xf>
    <xf numFmtId="0" fontId="6" fillId="25" borderId="32" xfId="0" applyFont="1" applyFill="1" applyBorder="1" applyAlignment="1" applyProtection="1">
      <alignment horizontal="justify" vertical="top" wrapText="1"/>
      <protection locked="0"/>
    </xf>
    <xf numFmtId="0" fontId="6" fillId="25" borderId="4" xfId="0" applyFont="1" applyFill="1" applyBorder="1" applyAlignment="1" applyProtection="1">
      <alignment horizontal="justify" vertical="top"/>
      <protection locked="0"/>
    </xf>
    <xf numFmtId="0" fontId="6" fillId="25" borderId="8" xfId="0" applyFont="1" applyFill="1" applyBorder="1" applyAlignment="1" applyProtection="1">
      <alignment horizontal="justify" vertical="top"/>
      <protection locked="0"/>
    </xf>
    <xf numFmtId="0" fontId="6" fillId="25" borderId="5" xfId="0" applyFont="1" applyFill="1" applyBorder="1" applyAlignment="1" applyProtection="1">
      <alignment horizontal="justify" vertical="top"/>
      <protection locked="0"/>
    </xf>
    <xf numFmtId="9" fontId="6" fillId="25" borderId="4" xfId="0" applyNumberFormat="1" applyFont="1" applyFill="1" applyBorder="1" applyAlignment="1" applyProtection="1">
      <alignment horizontal="justify" vertical="top" wrapText="1"/>
      <protection hidden="1"/>
    </xf>
    <xf numFmtId="9" fontId="6" fillId="25" borderId="8" xfId="0" applyNumberFormat="1" applyFont="1" applyFill="1" applyBorder="1" applyAlignment="1" applyProtection="1">
      <alignment horizontal="justify" vertical="top" wrapText="1"/>
      <protection hidden="1"/>
    </xf>
    <xf numFmtId="9" fontId="6" fillId="25" borderId="5" xfId="0" applyNumberFormat="1" applyFont="1" applyFill="1" applyBorder="1" applyAlignment="1" applyProtection="1">
      <alignment horizontal="justify" vertical="top" wrapText="1"/>
      <protection hidden="1"/>
    </xf>
    <xf numFmtId="9" fontId="6" fillId="25" borderId="4" xfId="0" applyNumberFormat="1" applyFont="1" applyFill="1" applyBorder="1" applyAlignment="1" applyProtection="1">
      <alignment horizontal="justify" vertical="top" wrapText="1"/>
      <protection locked="0"/>
    </xf>
    <xf numFmtId="9" fontId="6" fillId="25" borderId="8" xfId="0" applyNumberFormat="1" applyFont="1" applyFill="1" applyBorder="1" applyAlignment="1" applyProtection="1">
      <alignment horizontal="justify" vertical="top" wrapText="1"/>
      <protection locked="0"/>
    </xf>
    <xf numFmtId="9" fontId="6" fillId="25" borderId="5" xfId="0" applyNumberFormat="1" applyFont="1" applyFill="1" applyBorder="1" applyAlignment="1" applyProtection="1">
      <alignment horizontal="justify" vertical="top" wrapText="1"/>
      <protection locked="0"/>
    </xf>
    <xf numFmtId="0" fontId="6" fillId="24" borderId="30" xfId="0" applyFont="1" applyFill="1" applyBorder="1" applyAlignment="1" applyProtection="1">
      <alignment horizontal="justify" vertical="top" wrapText="1"/>
      <protection locked="0"/>
    </xf>
    <xf numFmtId="0" fontId="6" fillId="24" borderId="76" xfId="0" applyFont="1" applyFill="1" applyBorder="1" applyAlignment="1" applyProtection="1">
      <alignment horizontal="justify" vertical="top" wrapText="1"/>
      <protection locked="0"/>
    </xf>
    <xf numFmtId="0" fontId="6" fillId="24" borderId="32" xfId="0" applyFont="1" applyFill="1" applyBorder="1" applyAlignment="1" applyProtection="1">
      <alignment horizontal="justify" vertical="top" wrapText="1"/>
      <protection locked="0"/>
    </xf>
    <xf numFmtId="0" fontId="6" fillId="24" borderId="4" xfId="0" applyFont="1" applyFill="1" applyBorder="1" applyAlignment="1" applyProtection="1">
      <alignment horizontal="justify" vertical="top"/>
      <protection locked="0"/>
    </xf>
    <xf numFmtId="0" fontId="6" fillId="24" borderId="8" xfId="0" applyFont="1" applyFill="1" applyBorder="1" applyAlignment="1" applyProtection="1">
      <alignment horizontal="justify" vertical="top"/>
      <protection locked="0"/>
    </xf>
    <xf numFmtId="0" fontId="6" fillId="24" borderId="5" xfId="0" applyFont="1" applyFill="1" applyBorder="1" applyAlignment="1" applyProtection="1">
      <alignment horizontal="justify" vertical="top"/>
      <protection locked="0"/>
    </xf>
    <xf numFmtId="9" fontId="6" fillId="24" borderId="4" xfId="0" applyNumberFormat="1" applyFont="1" applyFill="1" applyBorder="1" applyAlignment="1" applyProtection="1">
      <alignment horizontal="justify" vertical="top" wrapText="1"/>
      <protection locked="0"/>
    </xf>
    <xf numFmtId="9" fontId="6" fillId="24" borderId="8" xfId="0" applyNumberFormat="1" applyFont="1" applyFill="1" applyBorder="1" applyAlignment="1" applyProtection="1">
      <alignment horizontal="justify" vertical="top" wrapText="1"/>
      <protection locked="0"/>
    </xf>
    <xf numFmtId="9" fontId="6" fillId="24" borderId="5" xfId="0" applyNumberFormat="1" applyFont="1" applyFill="1" applyBorder="1" applyAlignment="1" applyProtection="1">
      <alignment horizontal="justify" vertical="top" wrapText="1"/>
      <protection locked="0"/>
    </xf>
    <xf numFmtId="0" fontId="6" fillId="32" borderId="4" xfId="0" applyFont="1" applyFill="1" applyBorder="1" applyAlignment="1" applyProtection="1">
      <alignment horizontal="justify" vertical="top" wrapText="1"/>
      <protection locked="0"/>
    </xf>
    <xf numFmtId="0" fontId="6" fillId="32" borderId="8" xfId="0" applyFont="1" applyFill="1" applyBorder="1" applyAlignment="1" applyProtection="1">
      <alignment horizontal="justify" vertical="top" wrapText="1"/>
      <protection locked="0"/>
    </xf>
    <xf numFmtId="0" fontId="6" fillId="32" borderId="5" xfId="0" applyFont="1" applyFill="1" applyBorder="1" applyAlignment="1" applyProtection="1">
      <alignment horizontal="justify" vertical="top" wrapText="1"/>
      <protection locked="0"/>
    </xf>
    <xf numFmtId="0" fontId="96" fillId="32" borderId="4" xfId="0" applyFont="1" applyFill="1" applyBorder="1" applyAlignment="1" applyProtection="1">
      <alignment horizontal="justify" vertical="top" wrapText="1"/>
      <protection locked="0"/>
    </xf>
    <xf numFmtId="0" fontId="96" fillId="32" borderId="8" xfId="0" applyFont="1" applyFill="1" applyBorder="1" applyAlignment="1" applyProtection="1">
      <alignment horizontal="justify" vertical="top" wrapText="1"/>
      <protection locked="0"/>
    </xf>
    <xf numFmtId="0" fontId="96" fillId="32" borderId="5" xfId="0" applyFont="1" applyFill="1" applyBorder="1" applyAlignment="1" applyProtection="1">
      <alignment horizontal="justify" vertical="top" wrapText="1"/>
      <protection locked="0"/>
    </xf>
    <xf numFmtId="0" fontId="6" fillId="32" borderId="28" xfId="0" applyFont="1" applyFill="1" applyBorder="1" applyAlignment="1" applyProtection="1">
      <alignment horizontal="justify" vertical="top" wrapText="1"/>
      <protection locked="0"/>
    </xf>
    <xf numFmtId="0" fontId="6" fillId="32" borderId="9" xfId="0" applyFont="1" applyFill="1" applyBorder="1" applyAlignment="1" applyProtection="1">
      <alignment horizontal="justify" vertical="top" wrapText="1"/>
      <protection locked="0"/>
    </xf>
    <xf numFmtId="0" fontId="6" fillId="32" borderId="3" xfId="0" applyFont="1" applyFill="1" applyBorder="1" applyAlignment="1" applyProtection="1">
      <alignment horizontal="justify" vertical="top" wrapText="1"/>
      <protection locked="0"/>
    </xf>
    <xf numFmtId="0" fontId="44" fillId="32" borderId="75" xfId="0" applyFont="1" applyFill="1" applyBorder="1" applyAlignment="1" applyProtection="1">
      <alignment horizontal="justify"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textRotation="180" wrapText="1"/>
      <protection hidden="1"/>
    </xf>
    <xf numFmtId="0" fontId="4" fillId="0" borderId="8" xfId="0" applyFont="1" applyBorder="1" applyAlignment="1" applyProtection="1">
      <alignment horizontal="center" vertical="top" textRotation="180" wrapText="1"/>
      <protection hidden="1"/>
    </xf>
    <xf numFmtId="0" fontId="4" fillId="0" borderId="5" xfId="0" applyFont="1" applyBorder="1" applyAlignment="1" applyProtection="1">
      <alignment horizontal="center" vertical="top" textRotation="180" wrapText="1"/>
      <protection hidden="1"/>
    </xf>
    <xf numFmtId="0" fontId="6" fillId="28" borderId="30" xfId="0" applyFont="1" applyFill="1" applyBorder="1" applyAlignment="1" applyProtection="1">
      <alignment horizontal="justify" vertical="top" wrapText="1"/>
      <protection locked="0"/>
    </xf>
    <xf numFmtId="0" fontId="6" fillId="28" borderId="76" xfId="0" applyFont="1" applyFill="1" applyBorder="1" applyAlignment="1" applyProtection="1">
      <alignment horizontal="justify" vertical="top" wrapText="1"/>
      <protection locked="0"/>
    </xf>
    <xf numFmtId="0" fontId="6" fillId="28" borderId="32" xfId="0" applyFont="1" applyFill="1" applyBorder="1" applyAlignment="1" applyProtection="1">
      <alignment horizontal="justify" vertical="top" wrapText="1"/>
      <protection locked="0"/>
    </xf>
    <xf numFmtId="0" fontId="1" fillId="33" borderId="4" xfId="0" applyFont="1" applyFill="1" applyBorder="1" applyAlignment="1" applyProtection="1">
      <alignment horizontal="center" vertical="top"/>
      <protection locked="0"/>
    </xf>
    <xf numFmtId="0" fontId="1" fillId="33" borderId="8" xfId="0" applyFont="1" applyFill="1" applyBorder="1" applyAlignment="1" applyProtection="1">
      <alignment horizontal="center" vertical="top"/>
      <protection locked="0"/>
    </xf>
    <xf numFmtId="0" fontId="1" fillId="33" borderId="5" xfId="0" applyFont="1" applyFill="1" applyBorder="1" applyAlignment="1" applyProtection="1">
      <alignment horizontal="center" vertical="top"/>
      <protection locked="0"/>
    </xf>
    <xf numFmtId="9" fontId="1" fillId="33" borderId="4" xfId="0" applyNumberFormat="1" applyFont="1" applyFill="1" applyBorder="1" applyAlignment="1" applyProtection="1">
      <alignment horizontal="center" vertical="top" wrapText="1"/>
      <protection hidden="1"/>
    </xf>
    <xf numFmtId="9" fontId="1" fillId="33" borderId="8" xfId="0" applyNumberFormat="1" applyFont="1" applyFill="1" applyBorder="1" applyAlignment="1" applyProtection="1">
      <alignment horizontal="center" vertical="top" wrapText="1"/>
      <protection hidden="1"/>
    </xf>
    <xf numFmtId="9" fontId="1" fillId="33" borderId="5" xfId="0" applyNumberFormat="1" applyFont="1" applyFill="1" applyBorder="1" applyAlignment="1" applyProtection="1">
      <alignment horizontal="center" vertical="top" wrapText="1"/>
      <protection hidden="1"/>
    </xf>
    <xf numFmtId="0" fontId="1" fillId="0" borderId="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textRotation="180"/>
      <protection hidden="1"/>
    </xf>
    <xf numFmtId="0" fontId="4" fillId="0" borderId="8" xfId="0" applyFont="1" applyBorder="1" applyAlignment="1" applyProtection="1">
      <alignment horizontal="center" vertical="top" textRotation="180"/>
      <protection hidden="1"/>
    </xf>
    <xf numFmtId="0" fontId="4" fillId="0" borderId="5" xfId="0" applyFont="1" applyBorder="1" applyAlignment="1" applyProtection="1">
      <alignment horizontal="center" vertical="top" textRotation="180"/>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32" borderId="4" xfId="0" applyFont="1" applyFill="1" applyBorder="1" applyAlignment="1" applyProtection="1">
      <alignment horizontal="center" vertical="top" wrapText="1"/>
      <protection locked="0"/>
    </xf>
    <xf numFmtId="0" fontId="1" fillId="32" borderId="8" xfId="0" applyFont="1" applyFill="1" applyBorder="1" applyAlignment="1" applyProtection="1">
      <alignment horizontal="center" vertical="top" wrapText="1"/>
      <protection locked="0"/>
    </xf>
    <xf numFmtId="0" fontId="1" fillId="32" borderId="5" xfId="0" applyFont="1" applyFill="1" applyBorder="1" applyAlignment="1" applyProtection="1">
      <alignment horizontal="center" vertical="top" wrapText="1"/>
      <protection locked="0"/>
    </xf>
    <xf numFmtId="0" fontId="82" fillId="32" borderId="4" xfId="0" applyFont="1" applyFill="1" applyBorder="1" applyAlignment="1" applyProtection="1">
      <alignment horizontal="left" vertical="top" wrapText="1"/>
      <protection locked="0"/>
    </xf>
    <xf numFmtId="0" fontId="82" fillId="32" borderId="8" xfId="0" applyFont="1" applyFill="1" applyBorder="1" applyAlignment="1" applyProtection="1">
      <alignment horizontal="left" vertical="top" wrapText="1"/>
      <protection locked="0"/>
    </xf>
    <xf numFmtId="0" fontId="82" fillId="32" borderId="5" xfId="0" applyFont="1" applyFill="1" applyBorder="1" applyAlignment="1" applyProtection="1">
      <alignment horizontal="left" vertical="top" wrapText="1"/>
      <protection locked="0"/>
    </xf>
    <xf numFmtId="0" fontId="83" fillId="32" borderId="28" xfId="0" applyFont="1" applyFill="1" applyBorder="1" applyAlignment="1" applyProtection="1">
      <alignment horizontal="left" vertical="top" wrapText="1"/>
      <protection locked="0"/>
    </xf>
    <xf numFmtId="0" fontId="83" fillId="32" borderId="9" xfId="0" applyFont="1" applyFill="1" applyBorder="1" applyAlignment="1" applyProtection="1">
      <alignment horizontal="left" vertical="top" wrapText="1"/>
      <protection locked="0"/>
    </xf>
    <xf numFmtId="0" fontId="83" fillId="32" borderId="3" xfId="0" applyFont="1" applyFill="1" applyBorder="1" applyAlignment="1" applyProtection="1">
      <alignment horizontal="left" vertical="top" wrapText="1"/>
      <protection locked="0"/>
    </xf>
    <xf numFmtId="0" fontId="2" fillId="32" borderId="75" xfId="0" applyFont="1" applyFill="1" applyBorder="1" applyAlignment="1" applyProtection="1">
      <alignment horizontal="left" vertical="top" wrapText="1"/>
      <protection locked="0"/>
    </xf>
    <xf numFmtId="0" fontId="1" fillId="33" borderId="30" xfId="0" applyFont="1" applyFill="1" applyBorder="1" applyAlignment="1" applyProtection="1">
      <alignment horizontal="center" vertical="top" wrapText="1"/>
      <protection locked="0"/>
    </xf>
    <xf numFmtId="0" fontId="1" fillId="33" borderId="76" xfId="0" applyFont="1" applyFill="1" applyBorder="1" applyAlignment="1" applyProtection="1">
      <alignment horizontal="center" vertical="top" wrapText="1"/>
      <protection locked="0"/>
    </xf>
    <xf numFmtId="0" fontId="1" fillId="33" borderId="32" xfId="0" applyFont="1" applyFill="1" applyBorder="1" applyAlignment="1" applyProtection="1">
      <alignment horizontal="center" vertical="top" wrapText="1"/>
      <protection locked="0"/>
    </xf>
    <xf numFmtId="0" fontId="6" fillId="28" borderId="9" xfId="0" applyFont="1" applyFill="1" applyBorder="1" applyAlignment="1" applyProtection="1">
      <alignment horizontal="justify" vertical="top" wrapText="1"/>
      <protection locked="0"/>
    </xf>
    <xf numFmtId="0" fontId="6" fillId="28" borderId="3" xfId="0" applyFont="1" applyFill="1" applyBorder="1" applyAlignment="1" applyProtection="1">
      <alignment horizontal="justify" vertical="top" wrapText="1"/>
      <protection locked="0"/>
    </xf>
    <xf numFmtId="9" fontId="1" fillId="33" borderId="4" xfId="0" applyNumberFormat="1" applyFont="1" applyFill="1" applyBorder="1" applyAlignment="1" applyProtection="1">
      <alignment horizontal="center" vertical="top" wrapText="1"/>
      <protection locked="0"/>
    </xf>
    <xf numFmtId="9" fontId="1" fillId="33" borderId="8" xfId="0" applyNumberFormat="1" applyFont="1" applyFill="1" applyBorder="1" applyAlignment="1" applyProtection="1">
      <alignment horizontal="center" vertical="top" wrapText="1"/>
      <protection locked="0"/>
    </xf>
    <xf numFmtId="9" fontId="1" fillId="33" borderId="5" xfId="0" applyNumberFormat="1" applyFont="1" applyFill="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4"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9C8C5E"/>
      <color rgb="FFFFCC00"/>
      <color rgb="FFFF99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1249680</xdr:colOff>
      <xdr:row>3</xdr:row>
      <xdr:rowOff>146685</xdr:rowOff>
    </xdr:to>
    <xdr:pic>
      <xdr:nvPicPr>
        <xdr:cNvPr id="2" name="1 Imagen" descr="logocapitalmusic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241727</xdr:colOff>
      <xdr:row>0</xdr:row>
      <xdr:rowOff>36304</xdr:rowOff>
    </xdr:from>
    <xdr:to>
      <xdr:col>0</xdr:col>
      <xdr:colOff>1685365</xdr:colOff>
      <xdr:row>3</xdr:row>
      <xdr:rowOff>125926</xdr:rowOff>
    </xdr:to>
    <xdr:pic>
      <xdr:nvPicPr>
        <xdr:cNvPr id="3" name="Imagen 2">
          <a:extLst>
            <a:ext uri="{FF2B5EF4-FFF2-40B4-BE49-F238E27FC236}">
              <a16:creationId xmlns:a16="http://schemas.microsoft.com/office/drawing/2014/main" id="{0D58B6EC-5A8E-4B6D-91E0-B3F64ADFC005}"/>
            </a:ext>
          </a:extLst>
        </xdr:cNvPr>
        <xdr:cNvPicPr>
          <a:picLocks noChangeAspect="1"/>
        </xdr:cNvPicPr>
      </xdr:nvPicPr>
      <xdr:blipFill>
        <a:blip xmlns:r="http://schemas.openxmlformats.org/officeDocument/2006/relationships" r:embed="rId2"/>
        <a:stretch>
          <a:fillRect/>
        </a:stretch>
      </xdr:blipFill>
      <xdr:spPr>
        <a:xfrm>
          <a:off x="241727" y="36304"/>
          <a:ext cx="1443638" cy="654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40</xdr:row>
      <xdr:rowOff>288634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75831</xdr:colOff>
      <xdr:row>0</xdr:row>
      <xdr:rowOff>10886</xdr:rowOff>
    </xdr:from>
    <xdr:to>
      <xdr:col>18</xdr:col>
      <xdr:colOff>834193</xdr:colOff>
      <xdr:row>3</xdr:row>
      <xdr:rowOff>170593</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449917" y="10886"/>
          <a:ext cx="758362" cy="1063221"/>
        </a:xfrm>
        <a:prstGeom prst="rect">
          <a:avLst/>
        </a:prstGeom>
      </xdr:spPr>
    </xdr:pic>
    <xdr:clientData/>
  </xdr:twoCellAnchor>
  <xdr:twoCellAnchor>
    <xdr:from>
      <xdr:col>0</xdr:col>
      <xdr:colOff>0</xdr:colOff>
      <xdr:row>41</xdr:row>
      <xdr:rowOff>0</xdr:rowOff>
    </xdr:from>
    <xdr:to>
      <xdr:col>0</xdr:col>
      <xdr:colOff>2</xdr:colOff>
      <xdr:row>41</xdr:row>
      <xdr:rowOff>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487680</xdr:colOff>
          <xdr:row>10</xdr:row>
          <xdr:rowOff>160020</xdr:rowOff>
        </xdr:from>
        <xdr:to>
          <xdr:col>19</xdr:col>
          <xdr:colOff>876300</xdr:colOff>
          <xdr:row>10</xdr:row>
          <xdr:rowOff>381000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11</xdr:row>
          <xdr:rowOff>160020</xdr:rowOff>
        </xdr:from>
        <xdr:to>
          <xdr:col>19</xdr:col>
          <xdr:colOff>876300</xdr:colOff>
          <xdr:row>11</xdr:row>
          <xdr:rowOff>381000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12</xdr:row>
          <xdr:rowOff>160020</xdr:rowOff>
        </xdr:from>
        <xdr:to>
          <xdr:col>19</xdr:col>
          <xdr:colOff>876300</xdr:colOff>
          <xdr:row>12</xdr:row>
          <xdr:rowOff>381000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13</xdr:row>
          <xdr:rowOff>160020</xdr:rowOff>
        </xdr:from>
        <xdr:to>
          <xdr:col>19</xdr:col>
          <xdr:colOff>876300</xdr:colOff>
          <xdr:row>13</xdr:row>
          <xdr:rowOff>381000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14</xdr:row>
          <xdr:rowOff>160020</xdr:rowOff>
        </xdr:from>
        <xdr:to>
          <xdr:col>19</xdr:col>
          <xdr:colOff>876300</xdr:colOff>
          <xdr:row>14</xdr:row>
          <xdr:rowOff>381000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15</xdr:row>
          <xdr:rowOff>160020</xdr:rowOff>
        </xdr:from>
        <xdr:to>
          <xdr:col>19</xdr:col>
          <xdr:colOff>876300</xdr:colOff>
          <xdr:row>15</xdr:row>
          <xdr:rowOff>381000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16</xdr:row>
          <xdr:rowOff>160020</xdr:rowOff>
        </xdr:from>
        <xdr:to>
          <xdr:col>19</xdr:col>
          <xdr:colOff>876300</xdr:colOff>
          <xdr:row>16</xdr:row>
          <xdr:rowOff>381000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17</xdr:row>
          <xdr:rowOff>160020</xdr:rowOff>
        </xdr:from>
        <xdr:to>
          <xdr:col>19</xdr:col>
          <xdr:colOff>876300</xdr:colOff>
          <xdr:row>17</xdr:row>
          <xdr:rowOff>381000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18</xdr:row>
          <xdr:rowOff>160020</xdr:rowOff>
        </xdr:from>
        <xdr:to>
          <xdr:col>19</xdr:col>
          <xdr:colOff>876300</xdr:colOff>
          <xdr:row>18</xdr:row>
          <xdr:rowOff>381000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19</xdr:row>
          <xdr:rowOff>160020</xdr:rowOff>
        </xdr:from>
        <xdr:to>
          <xdr:col>19</xdr:col>
          <xdr:colOff>876300</xdr:colOff>
          <xdr:row>19</xdr:row>
          <xdr:rowOff>381000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20</xdr:row>
          <xdr:rowOff>160020</xdr:rowOff>
        </xdr:from>
        <xdr:to>
          <xdr:col>19</xdr:col>
          <xdr:colOff>876300</xdr:colOff>
          <xdr:row>20</xdr:row>
          <xdr:rowOff>381000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21</xdr:row>
          <xdr:rowOff>160020</xdr:rowOff>
        </xdr:from>
        <xdr:to>
          <xdr:col>19</xdr:col>
          <xdr:colOff>876300</xdr:colOff>
          <xdr:row>21</xdr:row>
          <xdr:rowOff>381000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22</xdr:row>
          <xdr:rowOff>160020</xdr:rowOff>
        </xdr:from>
        <xdr:to>
          <xdr:col>19</xdr:col>
          <xdr:colOff>876300</xdr:colOff>
          <xdr:row>22</xdr:row>
          <xdr:rowOff>381000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23</xdr:row>
          <xdr:rowOff>160020</xdr:rowOff>
        </xdr:from>
        <xdr:to>
          <xdr:col>19</xdr:col>
          <xdr:colOff>876300</xdr:colOff>
          <xdr:row>23</xdr:row>
          <xdr:rowOff>381000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24</xdr:row>
          <xdr:rowOff>160020</xdr:rowOff>
        </xdr:from>
        <xdr:to>
          <xdr:col>19</xdr:col>
          <xdr:colOff>876300</xdr:colOff>
          <xdr:row>24</xdr:row>
          <xdr:rowOff>381000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25</xdr:row>
          <xdr:rowOff>160020</xdr:rowOff>
        </xdr:from>
        <xdr:to>
          <xdr:col>19</xdr:col>
          <xdr:colOff>876300</xdr:colOff>
          <xdr:row>25</xdr:row>
          <xdr:rowOff>381000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26</xdr:row>
          <xdr:rowOff>160020</xdr:rowOff>
        </xdr:from>
        <xdr:to>
          <xdr:col>19</xdr:col>
          <xdr:colOff>876300</xdr:colOff>
          <xdr:row>26</xdr:row>
          <xdr:rowOff>381000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27</xdr:row>
          <xdr:rowOff>160020</xdr:rowOff>
        </xdr:from>
        <xdr:to>
          <xdr:col>19</xdr:col>
          <xdr:colOff>876300</xdr:colOff>
          <xdr:row>27</xdr:row>
          <xdr:rowOff>381000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28</xdr:row>
          <xdr:rowOff>160020</xdr:rowOff>
        </xdr:from>
        <xdr:to>
          <xdr:col>19</xdr:col>
          <xdr:colOff>876300</xdr:colOff>
          <xdr:row>28</xdr:row>
          <xdr:rowOff>381000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29</xdr:row>
          <xdr:rowOff>160020</xdr:rowOff>
        </xdr:from>
        <xdr:to>
          <xdr:col>19</xdr:col>
          <xdr:colOff>876300</xdr:colOff>
          <xdr:row>29</xdr:row>
          <xdr:rowOff>381000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30</xdr:row>
          <xdr:rowOff>160020</xdr:rowOff>
        </xdr:from>
        <xdr:to>
          <xdr:col>19</xdr:col>
          <xdr:colOff>876300</xdr:colOff>
          <xdr:row>30</xdr:row>
          <xdr:rowOff>381000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31</xdr:row>
          <xdr:rowOff>160020</xdr:rowOff>
        </xdr:from>
        <xdr:to>
          <xdr:col>19</xdr:col>
          <xdr:colOff>876300</xdr:colOff>
          <xdr:row>31</xdr:row>
          <xdr:rowOff>381000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32</xdr:row>
          <xdr:rowOff>160020</xdr:rowOff>
        </xdr:from>
        <xdr:to>
          <xdr:col>19</xdr:col>
          <xdr:colOff>876300</xdr:colOff>
          <xdr:row>32</xdr:row>
          <xdr:rowOff>381000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34</xdr:row>
          <xdr:rowOff>160020</xdr:rowOff>
        </xdr:from>
        <xdr:to>
          <xdr:col>19</xdr:col>
          <xdr:colOff>876300</xdr:colOff>
          <xdr:row>34</xdr:row>
          <xdr:rowOff>381000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35</xdr:row>
          <xdr:rowOff>160020</xdr:rowOff>
        </xdr:from>
        <xdr:to>
          <xdr:col>19</xdr:col>
          <xdr:colOff>876300</xdr:colOff>
          <xdr:row>35</xdr:row>
          <xdr:rowOff>381000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36</xdr:row>
          <xdr:rowOff>160020</xdr:rowOff>
        </xdr:from>
        <xdr:to>
          <xdr:col>19</xdr:col>
          <xdr:colOff>876300</xdr:colOff>
          <xdr:row>36</xdr:row>
          <xdr:rowOff>381000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37</xdr:row>
          <xdr:rowOff>160020</xdr:rowOff>
        </xdr:from>
        <xdr:to>
          <xdr:col>19</xdr:col>
          <xdr:colOff>876300</xdr:colOff>
          <xdr:row>37</xdr:row>
          <xdr:rowOff>381000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38</xdr:row>
          <xdr:rowOff>160020</xdr:rowOff>
        </xdr:from>
        <xdr:to>
          <xdr:col>19</xdr:col>
          <xdr:colOff>876300</xdr:colOff>
          <xdr:row>38</xdr:row>
          <xdr:rowOff>381000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39</xdr:row>
          <xdr:rowOff>160020</xdr:rowOff>
        </xdr:from>
        <xdr:to>
          <xdr:col>19</xdr:col>
          <xdr:colOff>876300</xdr:colOff>
          <xdr:row>39</xdr:row>
          <xdr:rowOff>381000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40</xdr:row>
          <xdr:rowOff>160020</xdr:rowOff>
        </xdr:from>
        <xdr:to>
          <xdr:col>19</xdr:col>
          <xdr:colOff>876300</xdr:colOff>
          <xdr:row>40</xdr:row>
          <xdr:rowOff>381000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33</xdr:row>
          <xdr:rowOff>160020</xdr:rowOff>
        </xdr:from>
        <xdr:to>
          <xdr:col>19</xdr:col>
          <xdr:colOff>876300</xdr:colOff>
          <xdr:row>33</xdr:row>
          <xdr:rowOff>381000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xdr:twoCellAnchor editAs="oneCell">
    <xdr:from>
      <xdr:col>0</xdr:col>
      <xdr:colOff>278863</xdr:colOff>
      <xdr:row>0</xdr:row>
      <xdr:rowOff>70586</xdr:rowOff>
    </xdr:from>
    <xdr:to>
      <xdr:col>1</xdr:col>
      <xdr:colOff>2122714</xdr:colOff>
      <xdr:row>3</xdr:row>
      <xdr:rowOff>92700</xdr:rowOff>
    </xdr:to>
    <xdr:pic>
      <xdr:nvPicPr>
        <xdr:cNvPr id="2" name="Imagen 1">
          <a:extLst>
            <a:ext uri="{FF2B5EF4-FFF2-40B4-BE49-F238E27FC236}">
              <a16:creationId xmlns:a16="http://schemas.microsoft.com/office/drawing/2014/main" id="{82BF6040-1532-4BA0-BFB5-53023B3BBEDD}"/>
            </a:ext>
          </a:extLst>
        </xdr:cNvPr>
        <xdr:cNvPicPr>
          <a:picLocks noChangeAspect="1"/>
        </xdr:cNvPicPr>
      </xdr:nvPicPr>
      <xdr:blipFill>
        <a:blip xmlns:r="http://schemas.openxmlformats.org/officeDocument/2006/relationships" r:embed="rId2"/>
        <a:stretch>
          <a:fillRect/>
        </a:stretch>
      </xdr:blipFill>
      <xdr:spPr>
        <a:xfrm>
          <a:off x="278863" y="70586"/>
          <a:ext cx="2192194" cy="925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2222499</xdr:colOff>
      <xdr:row>0</xdr:row>
      <xdr:rowOff>0</xdr:rowOff>
    </xdr:from>
    <xdr:to>
      <xdr:col>7</xdr:col>
      <xdr:colOff>3030680</xdr:colOff>
      <xdr:row>3</xdr:row>
      <xdr:rowOff>187614</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2195174" y="0"/>
          <a:ext cx="0" cy="10924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8</xdr:col>
      <xdr:colOff>572933</xdr:colOff>
      <xdr:row>0</xdr:row>
      <xdr:rowOff>0</xdr:rowOff>
    </xdr:from>
    <xdr:to>
      <xdr:col>9</xdr:col>
      <xdr:colOff>197133</xdr:colOff>
      <xdr:row>3</xdr:row>
      <xdr:rowOff>336901</xdr:rowOff>
    </xdr:to>
    <xdr:pic>
      <xdr:nvPicPr>
        <xdr:cNvPr id="13" name="1 Imagen" descr="logocapitalmusical">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26390" y="0"/>
          <a:ext cx="952258" cy="1218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192429</xdr:rowOff>
    </xdr:from>
    <xdr:to>
      <xdr:col>1</xdr:col>
      <xdr:colOff>1077686</xdr:colOff>
      <xdr:row>3</xdr:row>
      <xdr:rowOff>127340</xdr:rowOff>
    </xdr:to>
    <xdr:pic>
      <xdr:nvPicPr>
        <xdr:cNvPr id="2" name="Imagen 1">
          <a:extLst>
            <a:ext uri="{FF2B5EF4-FFF2-40B4-BE49-F238E27FC236}">
              <a16:creationId xmlns:a16="http://schemas.microsoft.com/office/drawing/2014/main" id="{E5B68028-1979-CFF8-3672-E5490D9C4ED9}"/>
            </a:ext>
          </a:extLst>
        </xdr:cNvPr>
        <xdr:cNvPicPr>
          <a:picLocks noChangeAspect="1"/>
        </xdr:cNvPicPr>
      </xdr:nvPicPr>
      <xdr:blipFill>
        <a:blip xmlns:r="http://schemas.openxmlformats.org/officeDocument/2006/relationships" r:embed="rId2"/>
        <a:stretch>
          <a:fillRect/>
        </a:stretch>
      </xdr:blipFill>
      <xdr:spPr>
        <a:xfrm>
          <a:off x="38100" y="192429"/>
          <a:ext cx="1801586" cy="816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CIENDA\Desktop\DSH2024\C%20RIESGOS%202024\BIMESTRE%2001%202024%20A%20PLANEACION\MR%20PARA%20ACTUALIZACION%202024\ENTREGA%20ACTUALIZ%202024%20A%20PLANEACION%20MAPAS%20RIES\2.%20B2-2024%20MRV4%20CORRP%20SEC%20HCDA%20ACT%202902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DOFA"/>
      <sheetName val="MAPA DE RIESGO ADMON"/>
      <sheetName val="PRIORIZ CAUSA R CORUP TRÁMITES"/>
      <sheetName val="DESCRIPCION del riesgo"/>
      <sheetName val="IDENTIFICACION DE RIESGOS"/>
      <sheetName val="PROBABILIDAD"/>
      <sheetName val=" IMPACTO RIESGOS CORRUPCION"/>
      <sheetName val="CONTROLES Y EVALUACIÓN"/>
      <sheetName val="EVALUACIÓN SOLIDEZ CONTROLES"/>
      <sheetName val="VALORACION RIESGOS INHERENTES"/>
      <sheetName val="Hoja3"/>
      <sheetName val="NOOO"/>
      <sheetName val="Hoja2"/>
      <sheetName val="VALORACIÓN RIESGOS RESIDUAL"/>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H45"/>
  <sheetViews>
    <sheetView topLeftCell="C1" zoomScale="62" zoomScaleNormal="62" workbookViewId="0">
      <selection activeCell="B7" sqref="B7:H7"/>
    </sheetView>
  </sheetViews>
  <sheetFormatPr baseColWidth="10" defaultColWidth="11.44140625" defaultRowHeight="14.4" x14ac:dyDescent="0.3"/>
  <cols>
    <col min="1" max="1" width="2.88671875" style="65" customWidth="1"/>
    <col min="2" max="3" width="24.6640625" style="65" customWidth="1"/>
    <col min="4" max="4" width="16" style="65" customWidth="1"/>
    <col min="5" max="5" width="24.6640625" style="65" customWidth="1"/>
    <col min="6" max="6" width="27.6640625" style="65" customWidth="1"/>
    <col min="7" max="8" width="24.6640625" style="65" customWidth="1"/>
    <col min="9" max="16384" width="11.44140625" style="65"/>
  </cols>
  <sheetData>
    <row r="1" spans="2:8" ht="15" thickBot="1" x14ac:dyDescent="0.35"/>
    <row r="2" spans="2:8" ht="18" x14ac:dyDescent="0.3">
      <c r="B2" s="388" t="s">
        <v>155</v>
      </c>
      <c r="C2" s="389"/>
      <c r="D2" s="389"/>
      <c r="E2" s="389"/>
      <c r="F2" s="389"/>
      <c r="G2" s="389"/>
      <c r="H2" s="390"/>
    </row>
    <row r="3" spans="2:8" x14ac:dyDescent="0.3">
      <c r="B3" s="66"/>
      <c r="C3" s="67"/>
      <c r="D3" s="67"/>
      <c r="E3" s="67"/>
      <c r="F3" s="67"/>
      <c r="G3" s="67"/>
      <c r="H3" s="68"/>
    </row>
    <row r="4" spans="2:8" ht="63" customHeight="1" x14ac:dyDescent="0.3">
      <c r="B4" s="391" t="s">
        <v>198</v>
      </c>
      <c r="C4" s="392"/>
      <c r="D4" s="392"/>
      <c r="E4" s="392"/>
      <c r="F4" s="392"/>
      <c r="G4" s="392"/>
      <c r="H4" s="393"/>
    </row>
    <row r="5" spans="2:8" ht="124.5" customHeight="1" x14ac:dyDescent="0.3">
      <c r="B5" s="394"/>
      <c r="C5" s="395"/>
      <c r="D5" s="395"/>
      <c r="E5" s="395"/>
      <c r="F5" s="395"/>
      <c r="G5" s="395"/>
      <c r="H5" s="396"/>
    </row>
    <row r="6" spans="2:8" x14ac:dyDescent="0.3">
      <c r="B6" s="397" t="s">
        <v>153</v>
      </c>
      <c r="C6" s="398"/>
      <c r="D6" s="398"/>
      <c r="E6" s="398"/>
      <c r="F6" s="398"/>
      <c r="G6" s="398"/>
      <c r="H6" s="399"/>
    </row>
    <row r="7" spans="2:8" ht="95.25" customHeight="1" x14ac:dyDescent="0.3">
      <c r="B7" s="407" t="s">
        <v>158</v>
      </c>
      <c r="C7" s="408"/>
      <c r="D7" s="408"/>
      <c r="E7" s="408"/>
      <c r="F7" s="408"/>
      <c r="G7" s="408"/>
      <c r="H7" s="409"/>
    </row>
    <row r="8" spans="2:8" x14ac:dyDescent="0.3">
      <c r="B8" s="100"/>
      <c r="C8" s="101"/>
      <c r="D8" s="101"/>
      <c r="E8" s="101"/>
      <c r="F8" s="101"/>
      <c r="G8" s="101"/>
      <c r="H8" s="102"/>
    </row>
    <row r="9" spans="2:8" ht="16.5" customHeight="1" x14ac:dyDescent="0.3">
      <c r="B9" s="400" t="s">
        <v>191</v>
      </c>
      <c r="C9" s="401"/>
      <c r="D9" s="401"/>
      <c r="E9" s="401"/>
      <c r="F9" s="401"/>
      <c r="G9" s="401"/>
      <c r="H9" s="402"/>
    </row>
    <row r="10" spans="2:8" ht="44.25" customHeight="1" x14ac:dyDescent="0.3">
      <c r="B10" s="400"/>
      <c r="C10" s="401"/>
      <c r="D10" s="401"/>
      <c r="E10" s="401"/>
      <c r="F10" s="401"/>
      <c r="G10" s="401"/>
      <c r="H10" s="402"/>
    </row>
    <row r="11" spans="2:8" ht="15" thickBot="1" x14ac:dyDescent="0.35">
      <c r="B11" s="89"/>
      <c r="C11" s="92"/>
      <c r="D11" s="97"/>
      <c r="E11" s="98"/>
      <c r="F11" s="98"/>
      <c r="G11" s="99"/>
      <c r="H11" s="93"/>
    </row>
    <row r="12" spans="2:8" ht="15" thickTop="1" x14ac:dyDescent="0.3">
      <c r="B12" s="89"/>
      <c r="C12" s="403" t="s">
        <v>154</v>
      </c>
      <c r="D12" s="404"/>
      <c r="E12" s="405" t="s">
        <v>192</v>
      </c>
      <c r="F12" s="406"/>
      <c r="G12" s="92"/>
      <c r="H12" s="93"/>
    </row>
    <row r="13" spans="2:8" ht="35.25" customHeight="1" x14ac:dyDescent="0.3">
      <c r="B13" s="89"/>
      <c r="C13" s="410" t="s">
        <v>185</v>
      </c>
      <c r="D13" s="411"/>
      <c r="E13" s="412" t="s">
        <v>190</v>
      </c>
      <c r="F13" s="413"/>
      <c r="G13" s="92"/>
      <c r="H13" s="93"/>
    </row>
    <row r="14" spans="2:8" ht="17.25" customHeight="1" x14ac:dyDescent="0.3">
      <c r="B14" s="89"/>
      <c r="C14" s="410" t="s">
        <v>186</v>
      </c>
      <c r="D14" s="411"/>
      <c r="E14" s="412" t="s">
        <v>188</v>
      </c>
      <c r="F14" s="413"/>
      <c r="G14" s="92"/>
      <c r="H14" s="93"/>
    </row>
    <row r="15" spans="2:8" ht="19.5" customHeight="1" x14ac:dyDescent="0.3">
      <c r="B15" s="89"/>
      <c r="C15" s="410" t="s">
        <v>187</v>
      </c>
      <c r="D15" s="411"/>
      <c r="E15" s="412" t="s">
        <v>189</v>
      </c>
      <c r="F15" s="413"/>
      <c r="G15" s="92"/>
      <c r="H15" s="93"/>
    </row>
    <row r="16" spans="2:8" ht="69.75" customHeight="1" x14ac:dyDescent="0.3">
      <c r="B16" s="89"/>
      <c r="C16" s="410" t="s">
        <v>156</v>
      </c>
      <c r="D16" s="411"/>
      <c r="E16" s="412" t="s">
        <v>157</v>
      </c>
      <c r="F16" s="413"/>
      <c r="G16" s="92"/>
      <c r="H16" s="93"/>
    </row>
    <row r="17" spans="2:8" ht="34.5" customHeight="1" x14ac:dyDescent="0.3">
      <c r="B17" s="89"/>
      <c r="C17" s="414" t="s">
        <v>2</v>
      </c>
      <c r="D17" s="415"/>
      <c r="E17" s="416" t="s">
        <v>199</v>
      </c>
      <c r="F17" s="417"/>
      <c r="G17" s="92"/>
      <c r="H17" s="93"/>
    </row>
    <row r="18" spans="2:8" ht="27.75" customHeight="1" x14ac:dyDescent="0.3">
      <c r="B18" s="89"/>
      <c r="C18" s="414" t="s">
        <v>3</v>
      </c>
      <c r="D18" s="415"/>
      <c r="E18" s="416" t="s">
        <v>200</v>
      </c>
      <c r="F18" s="417"/>
      <c r="G18" s="92"/>
      <c r="H18" s="93"/>
    </row>
    <row r="19" spans="2:8" ht="28.5" customHeight="1" x14ac:dyDescent="0.3">
      <c r="B19" s="89"/>
      <c r="C19" s="414" t="s">
        <v>42</v>
      </c>
      <c r="D19" s="415"/>
      <c r="E19" s="416" t="s">
        <v>201</v>
      </c>
      <c r="F19" s="417"/>
      <c r="G19" s="92"/>
      <c r="H19" s="93"/>
    </row>
    <row r="20" spans="2:8" ht="72.75" customHeight="1" x14ac:dyDescent="0.3">
      <c r="B20" s="89"/>
      <c r="C20" s="414" t="s">
        <v>1</v>
      </c>
      <c r="D20" s="415"/>
      <c r="E20" s="416" t="s">
        <v>202</v>
      </c>
      <c r="F20" s="417"/>
      <c r="G20" s="92"/>
      <c r="H20" s="93"/>
    </row>
    <row r="21" spans="2:8" ht="64.5" customHeight="1" x14ac:dyDescent="0.3">
      <c r="B21" s="89"/>
      <c r="C21" s="414" t="s">
        <v>50</v>
      </c>
      <c r="D21" s="415"/>
      <c r="E21" s="416" t="s">
        <v>160</v>
      </c>
      <c r="F21" s="417"/>
      <c r="G21" s="92"/>
      <c r="H21" s="93"/>
    </row>
    <row r="22" spans="2:8" ht="71.25" customHeight="1" x14ac:dyDescent="0.3">
      <c r="B22" s="89"/>
      <c r="C22" s="414" t="s">
        <v>159</v>
      </c>
      <c r="D22" s="415"/>
      <c r="E22" s="416" t="s">
        <v>161</v>
      </c>
      <c r="F22" s="417"/>
      <c r="G22" s="92"/>
      <c r="H22" s="93"/>
    </row>
    <row r="23" spans="2:8" ht="55.5" customHeight="1" x14ac:dyDescent="0.3">
      <c r="B23" s="89"/>
      <c r="C23" s="421" t="s">
        <v>162</v>
      </c>
      <c r="D23" s="422"/>
      <c r="E23" s="416" t="s">
        <v>163</v>
      </c>
      <c r="F23" s="417"/>
      <c r="G23" s="92"/>
      <c r="H23" s="93"/>
    </row>
    <row r="24" spans="2:8" ht="42" customHeight="1" x14ac:dyDescent="0.3">
      <c r="B24" s="89"/>
      <c r="C24" s="421" t="s">
        <v>48</v>
      </c>
      <c r="D24" s="422"/>
      <c r="E24" s="416" t="s">
        <v>164</v>
      </c>
      <c r="F24" s="417"/>
      <c r="G24" s="92"/>
      <c r="H24" s="93"/>
    </row>
    <row r="25" spans="2:8" ht="59.25" customHeight="1" x14ac:dyDescent="0.3">
      <c r="B25" s="89"/>
      <c r="C25" s="421" t="s">
        <v>152</v>
      </c>
      <c r="D25" s="422"/>
      <c r="E25" s="416" t="s">
        <v>165</v>
      </c>
      <c r="F25" s="417"/>
      <c r="G25" s="92"/>
      <c r="H25" s="93"/>
    </row>
    <row r="26" spans="2:8" ht="23.25" customHeight="1" x14ac:dyDescent="0.3">
      <c r="B26" s="89"/>
      <c r="C26" s="421" t="s">
        <v>12</v>
      </c>
      <c r="D26" s="422"/>
      <c r="E26" s="416" t="s">
        <v>166</v>
      </c>
      <c r="F26" s="417"/>
      <c r="G26" s="92"/>
      <c r="H26" s="93"/>
    </row>
    <row r="27" spans="2:8" ht="30.75" customHeight="1" x14ac:dyDescent="0.3">
      <c r="B27" s="89"/>
      <c r="C27" s="421" t="s">
        <v>170</v>
      </c>
      <c r="D27" s="422"/>
      <c r="E27" s="416" t="s">
        <v>167</v>
      </c>
      <c r="F27" s="417"/>
      <c r="G27" s="92"/>
      <c r="H27" s="93"/>
    </row>
    <row r="28" spans="2:8" ht="35.25" customHeight="1" x14ac:dyDescent="0.3">
      <c r="B28" s="89"/>
      <c r="C28" s="421" t="s">
        <v>171</v>
      </c>
      <c r="D28" s="422"/>
      <c r="E28" s="416" t="s">
        <v>168</v>
      </c>
      <c r="F28" s="417"/>
      <c r="G28" s="92"/>
      <c r="H28" s="93"/>
    </row>
    <row r="29" spans="2:8" ht="33" customHeight="1" x14ac:dyDescent="0.3">
      <c r="B29" s="89"/>
      <c r="C29" s="421" t="s">
        <v>171</v>
      </c>
      <c r="D29" s="422"/>
      <c r="E29" s="416" t="s">
        <v>168</v>
      </c>
      <c r="F29" s="417"/>
      <c r="G29" s="92"/>
      <c r="H29" s="93"/>
    </row>
    <row r="30" spans="2:8" ht="30" customHeight="1" x14ac:dyDescent="0.3">
      <c r="B30" s="89"/>
      <c r="C30" s="421" t="s">
        <v>172</v>
      </c>
      <c r="D30" s="422"/>
      <c r="E30" s="416" t="s">
        <v>169</v>
      </c>
      <c r="F30" s="417"/>
      <c r="G30" s="92"/>
      <c r="H30" s="93"/>
    </row>
    <row r="31" spans="2:8" ht="35.25" customHeight="1" x14ac:dyDescent="0.3">
      <c r="B31" s="89"/>
      <c r="C31" s="421" t="s">
        <v>173</v>
      </c>
      <c r="D31" s="422"/>
      <c r="E31" s="416" t="s">
        <v>174</v>
      </c>
      <c r="F31" s="417"/>
      <c r="G31" s="92"/>
      <c r="H31" s="93"/>
    </row>
    <row r="32" spans="2:8" ht="31.5" customHeight="1" x14ac:dyDescent="0.3">
      <c r="B32" s="89"/>
      <c r="C32" s="421" t="s">
        <v>175</v>
      </c>
      <c r="D32" s="422"/>
      <c r="E32" s="416" t="s">
        <v>176</v>
      </c>
      <c r="F32" s="417"/>
      <c r="G32" s="92"/>
      <c r="H32" s="93"/>
    </row>
    <row r="33" spans="2:8" ht="35.25" customHeight="1" x14ac:dyDescent="0.3">
      <c r="B33" s="89"/>
      <c r="C33" s="421" t="s">
        <v>177</v>
      </c>
      <c r="D33" s="422"/>
      <c r="E33" s="416" t="s">
        <v>178</v>
      </c>
      <c r="F33" s="417"/>
      <c r="G33" s="92"/>
      <c r="H33" s="93"/>
    </row>
    <row r="34" spans="2:8" ht="59.25" customHeight="1" x14ac:dyDescent="0.3">
      <c r="B34" s="89"/>
      <c r="C34" s="421" t="s">
        <v>179</v>
      </c>
      <c r="D34" s="422"/>
      <c r="E34" s="416" t="s">
        <v>180</v>
      </c>
      <c r="F34" s="417"/>
      <c r="G34" s="92"/>
      <c r="H34" s="93"/>
    </row>
    <row r="35" spans="2:8" ht="29.25" customHeight="1" x14ac:dyDescent="0.3">
      <c r="B35" s="89"/>
      <c r="C35" s="421" t="s">
        <v>29</v>
      </c>
      <c r="D35" s="422"/>
      <c r="E35" s="416" t="s">
        <v>181</v>
      </c>
      <c r="F35" s="417"/>
      <c r="G35" s="92"/>
      <c r="H35" s="93"/>
    </row>
    <row r="36" spans="2:8" ht="82.5" customHeight="1" x14ac:dyDescent="0.3">
      <c r="B36" s="89"/>
      <c r="C36" s="421" t="s">
        <v>183</v>
      </c>
      <c r="D36" s="422"/>
      <c r="E36" s="416" t="s">
        <v>182</v>
      </c>
      <c r="F36" s="417"/>
      <c r="G36" s="92"/>
      <c r="H36" s="93"/>
    </row>
    <row r="37" spans="2:8" ht="46.5" customHeight="1" x14ac:dyDescent="0.3">
      <c r="B37" s="89"/>
      <c r="C37" s="421" t="s">
        <v>39</v>
      </c>
      <c r="D37" s="422"/>
      <c r="E37" s="416" t="s">
        <v>184</v>
      </c>
      <c r="F37" s="417"/>
      <c r="G37" s="92"/>
      <c r="H37" s="93"/>
    </row>
    <row r="38" spans="2:8" ht="6.75" customHeight="1" thickBot="1" x14ac:dyDescent="0.35">
      <c r="B38" s="89"/>
      <c r="C38" s="423"/>
      <c r="D38" s="424"/>
      <c r="E38" s="425"/>
      <c r="F38" s="426"/>
      <c r="G38" s="92"/>
      <c r="H38" s="93"/>
    </row>
    <row r="39" spans="2:8" ht="15" thickTop="1" x14ac:dyDescent="0.3">
      <c r="B39" s="89"/>
      <c r="C39" s="90"/>
      <c r="D39" s="90"/>
      <c r="E39" s="91"/>
      <c r="F39" s="91"/>
      <c r="G39" s="92"/>
      <c r="H39" s="93"/>
    </row>
    <row r="40" spans="2:8" ht="21" customHeight="1" x14ac:dyDescent="0.3">
      <c r="B40" s="418" t="s">
        <v>193</v>
      </c>
      <c r="C40" s="419"/>
      <c r="D40" s="419"/>
      <c r="E40" s="419"/>
      <c r="F40" s="419"/>
      <c r="G40" s="419"/>
      <c r="H40" s="420"/>
    </row>
    <row r="41" spans="2:8" ht="20.25" customHeight="1" x14ac:dyDescent="0.3">
      <c r="B41" s="418" t="s">
        <v>194</v>
      </c>
      <c r="C41" s="419"/>
      <c r="D41" s="419"/>
      <c r="E41" s="419"/>
      <c r="F41" s="419"/>
      <c r="G41" s="419"/>
      <c r="H41" s="420"/>
    </row>
    <row r="42" spans="2:8" ht="20.25" customHeight="1" x14ac:dyDescent="0.3">
      <c r="B42" s="418" t="s">
        <v>195</v>
      </c>
      <c r="C42" s="419"/>
      <c r="D42" s="419"/>
      <c r="E42" s="419"/>
      <c r="F42" s="419"/>
      <c r="G42" s="419"/>
      <c r="H42" s="420"/>
    </row>
    <row r="43" spans="2:8" ht="20.25" customHeight="1" x14ac:dyDescent="0.3">
      <c r="B43" s="418" t="s">
        <v>196</v>
      </c>
      <c r="C43" s="419"/>
      <c r="D43" s="419"/>
      <c r="E43" s="419"/>
      <c r="F43" s="419"/>
      <c r="G43" s="419"/>
      <c r="H43" s="420"/>
    </row>
    <row r="44" spans="2:8" x14ac:dyDescent="0.3">
      <c r="B44" s="418" t="s">
        <v>197</v>
      </c>
      <c r="C44" s="419"/>
      <c r="D44" s="419"/>
      <c r="E44" s="419"/>
      <c r="F44" s="419"/>
      <c r="G44" s="419"/>
      <c r="H44" s="420"/>
    </row>
    <row r="45" spans="2:8" ht="15" thickBot="1" x14ac:dyDescent="0.35">
      <c r="B45" s="94"/>
      <c r="C45" s="95"/>
      <c r="D45" s="95"/>
      <c r="E45" s="95"/>
      <c r="F45" s="95"/>
      <c r="G45" s="95"/>
      <c r="H45" s="9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J53"/>
  <sheetViews>
    <sheetView zoomScale="85" zoomScaleNormal="85" workbookViewId="0">
      <selection activeCell="I8" sqref="I8"/>
    </sheetView>
  </sheetViews>
  <sheetFormatPr baseColWidth="10" defaultColWidth="11.44140625" defaultRowHeight="13.8" x14ac:dyDescent="0.25"/>
  <cols>
    <col min="1" max="1" width="29.44140625" style="141" customWidth="1"/>
    <col min="2" max="2" width="29.109375" style="141" customWidth="1"/>
    <col min="3" max="3" width="30.33203125" style="141" customWidth="1"/>
    <col min="4" max="4" width="31.88671875" style="141" customWidth="1"/>
    <col min="5" max="5" width="32.5546875" style="141" customWidth="1"/>
    <col min="6" max="6" width="32" style="141" customWidth="1"/>
    <col min="7" max="7" width="4" style="141" customWidth="1"/>
    <col min="8" max="8" width="18.33203125" style="141" customWidth="1"/>
    <col min="9" max="16384" width="11.44140625" style="141"/>
  </cols>
  <sheetData>
    <row r="1" spans="1:10" ht="15" customHeight="1" x14ac:dyDescent="0.25">
      <c r="A1" s="442"/>
      <c r="B1" s="444" t="s">
        <v>480</v>
      </c>
      <c r="C1" s="444"/>
      <c r="D1" s="444"/>
      <c r="E1" s="139" t="s">
        <v>260</v>
      </c>
      <c r="F1" s="445"/>
      <c r="G1" s="140"/>
      <c r="J1" s="427"/>
    </row>
    <row r="2" spans="1:10" ht="15" customHeight="1" x14ac:dyDescent="0.25">
      <c r="A2" s="443"/>
      <c r="B2" s="428"/>
      <c r="C2" s="428"/>
      <c r="D2" s="428"/>
      <c r="E2" s="143" t="s">
        <v>261</v>
      </c>
      <c r="F2" s="446"/>
      <c r="G2" s="140"/>
      <c r="J2" s="427"/>
    </row>
    <row r="3" spans="1:10" ht="15" customHeight="1" x14ac:dyDescent="0.25">
      <c r="A3" s="443"/>
      <c r="B3" s="428" t="s">
        <v>215</v>
      </c>
      <c r="C3" s="428"/>
      <c r="D3" s="428"/>
      <c r="E3" s="143" t="s">
        <v>262</v>
      </c>
      <c r="F3" s="446"/>
      <c r="G3" s="140"/>
      <c r="J3" s="427"/>
    </row>
    <row r="4" spans="1:10" ht="15.75" customHeight="1" x14ac:dyDescent="0.25">
      <c r="A4" s="443"/>
      <c r="B4" s="428"/>
      <c r="C4" s="428"/>
      <c r="D4" s="428"/>
      <c r="E4" s="143" t="s">
        <v>263</v>
      </c>
      <c r="F4" s="446"/>
      <c r="G4" s="140"/>
      <c r="J4" s="427"/>
    </row>
    <row r="5" spans="1:10" ht="15.75" customHeight="1" x14ac:dyDescent="0.25">
      <c r="A5" s="429"/>
      <c r="B5" s="430"/>
      <c r="C5" s="430"/>
      <c r="D5" s="430"/>
      <c r="E5" s="430"/>
      <c r="F5" s="431"/>
      <c r="G5" s="140"/>
      <c r="J5" s="142"/>
    </row>
    <row r="6" spans="1:10" ht="15" customHeight="1" x14ac:dyDescent="0.25">
      <c r="A6" s="432" t="s">
        <v>216</v>
      </c>
      <c r="B6" s="433"/>
      <c r="C6" s="433"/>
      <c r="D6" s="433"/>
      <c r="E6" s="433"/>
      <c r="F6" s="434"/>
    </row>
    <row r="7" spans="1:10" ht="15.75" customHeight="1" x14ac:dyDescent="0.25">
      <c r="A7" s="432"/>
      <c r="B7" s="433"/>
      <c r="C7" s="433"/>
      <c r="D7" s="433"/>
      <c r="E7" s="433"/>
      <c r="F7" s="434"/>
    </row>
    <row r="8" spans="1:10" ht="27" customHeight="1" x14ac:dyDescent="0.25">
      <c r="A8" s="435" t="s">
        <v>417</v>
      </c>
      <c r="B8" s="436"/>
      <c r="C8" s="436"/>
      <c r="D8" s="436"/>
      <c r="E8" s="436"/>
      <c r="F8" s="437"/>
    </row>
    <row r="9" spans="1:10" ht="77.25" customHeight="1" thickBot="1" x14ac:dyDescent="0.3">
      <c r="A9" s="438" t="s">
        <v>418</v>
      </c>
      <c r="B9" s="439"/>
      <c r="C9" s="439"/>
      <c r="D9" s="439"/>
      <c r="E9" s="439"/>
      <c r="F9" s="440"/>
    </row>
    <row r="10" spans="1:10" ht="18.75" customHeight="1" thickBot="1" x14ac:dyDescent="0.3">
      <c r="A10" s="441"/>
      <c r="B10" s="441"/>
      <c r="C10" s="441"/>
      <c r="D10" s="441"/>
      <c r="E10" s="441"/>
      <c r="F10" s="441"/>
      <c r="H10" s="141" t="s">
        <v>338</v>
      </c>
    </row>
    <row r="11" spans="1:10" ht="22.5" customHeight="1" thickBot="1" x14ac:dyDescent="0.3">
      <c r="A11" s="144" t="s">
        <v>217</v>
      </c>
      <c r="B11" s="145" t="s">
        <v>218</v>
      </c>
      <c r="C11" s="145" t="s">
        <v>219</v>
      </c>
      <c r="D11" s="145" t="s">
        <v>218</v>
      </c>
      <c r="E11" s="145" t="s">
        <v>220</v>
      </c>
      <c r="F11" s="146" t="s">
        <v>218</v>
      </c>
    </row>
    <row r="12" spans="1:10" ht="231" customHeight="1" x14ac:dyDescent="0.25">
      <c r="A12" s="147" t="s">
        <v>221</v>
      </c>
      <c r="B12" s="187" t="s">
        <v>309</v>
      </c>
      <c r="C12" s="148" t="s">
        <v>341</v>
      </c>
      <c r="D12" s="191" t="s">
        <v>344</v>
      </c>
      <c r="E12" s="148" t="s">
        <v>336</v>
      </c>
      <c r="F12" s="198" t="s">
        <v>337</v>
      </c>
      <c r="H12" s="197"/>
    </row>
    <row r="13" spans="1:10" ht="60" customHeight="1" thickBot="1" x14ac:dyDescent="0.3">
      <c r="A13" s="149" t="s">
        <v>346</v>
      </c>
      <c r="B13" s="188" t="s">
        <v>310</v>
      </c>
      <c r="C13" s="150" t="s">
        <v>341</v>
      </c>
      <c r="D13" s="192" t="s">
        <v>345</v>
      </c>
      <c r="E13" s="150" t="s">
        <v>339</v>
      </c>
      <c r="F13" s="199" t="s">
        <v>340</v>
      </c>
    </row>
    <row r="14" spans="1:10" ht="113.25" customHeight="1" x14ac:dyDescent="0.25">
      <c r="A14" s="149" t="s">
        <v>222</v>
      </c>
      <c r="B14" s="188" t="s">
        <v>311</v>
      </c>
      <c r="C14" s="148" t="s">
        <v>349</v>
      </c>
      <c r="D14" s="192" t="s">
        <v>316</v>
      </c>
      <c r="E14" s="150" t="s">
        <v>343</v>
      </c>
      <c r="F14" s="199" t="s">
        <v>342</v>
      </c>
    </row>
    <row r="15" spans="1:10" ht="73.5" customHeight="1" x14ac:dyDescent="0.25">
      <c r="A15" s="149" t="s">
        <v>222</v>
      </c>
      <c r="B15" s="189" t="s">
        <v>312</v>
      </c>
      <c r="C15" s="150" t="s">
        <v>349</v>
      </c>
      <c r="D15" s="192" t="s">
        <v>317</v>
      </c>
      <c r="E15" s="150" t="s">
        <v>356</v>
      </c>
      <c r="F15" s="195" t="s">
        <v>328</v>
      </c>
    </row>
    <row r="16" spans="1:10" ht="59.25" customHeight="1" x14ac:dyDescent="0.25">
      <c r="A16" s="149" t="s">
        <v>347</v>
      </c>
      <c r="B16" s="188" t="s">
        <v>313</v>
      </c>
      <c r="C16" s="150" t="s">
        <v>349</v>
      </c>
      <c r="D16" s="192" t="s">
        <v>318</v>
      </c>
      <c r="E16" s="150" t="s">
        <v>357</v>
      </c>
      <c r="F16" s="195" t="s">
        <v>329</v>
      </c>
    </row>
    <row r="17" spans="1:6" ht="69.75" customHeight="1" x14ac:dyDescent="0.25">
      <c r="A17" s="149" t="s">
        <v>223</v>
      </c>
      <c r="B17" s="188" t="s">
        <v>348</v>
      </c>
      <c r="C17" s="150" t="s">
        <v>350</v>
      </c>
      <c r="D17" s="192" t="s">
        <v>319</v>
      </c>
      <c r="E17" s="150" t="s">
        <v>358</v>
      </c>
      <c r="F17" s="195" t="s">
        <v>330</v>
      </c>
    </row>
    <row r="18" spans="1:6" ht="66.75" customHeight="1" x14ac:dyDescent="0.25">
      <c r="A18" s="149" t="s">
        <v>224</v>
      </c>
      <c r="B18" s="188" t="s">
        <v>314</v>
      </c>
      <c r="C18" s="150" t="s">
        <v>351</v>
      </c>
      <c r="D18" s="192" t="s">
        <v>320</v>
      </c>
      <c r="E18" s="150" t="s">
        <v>356</v>
      </c>
      <c r="F18" s="195" t="s">
        <v>331</v>
      </c>
    </row>
    <row r="19" spans="1:6" ht="73.5" customHeight="1" x14ac:dyDescent="0.25">
      <c r="A19" s="149" t="s">
        <v>224</v>
      </c>
      <c r="B19" s="188" t="s">
        <v>315</v>
      </c>
      <c r="C19" s="150" t="s">
        <v>351</v>
      </c>
      <c r="D19" s="192" t="s">
        <v>321</v>
      </c>
      <c r="E19" s="150"/>
      <c r="F19" s="195"/>
    </row>
    <row r="20" spans="1:6" ht="65.25" customHeight="1" x14ac:dyDescent="0.25">
      <c r="A20" s="149"/>
      <c r="B20" s="188"/>
      <c r="C20" s="150" t="s">
        <v>352</v>
      </c>
      <c r="D20" s="193" t="s">
        <v>322</v>
      </c>
      <c r="E20" s="150"/>
      <c r="F20" s="195"/>
    </row>
    <row r="21" spans="1:6" ht="66.75" customHeight="1" x14ac:dyDescent="0.25">
      <c r="A21" s="149"/>
      <c r="B21" s="188"/>
      <c r="C21" s="150" t="s">
        <v>352</v>
      </c>
      <c r="D21" s="193" t="s">
        <v>323</v>
      </c>
      <c r="E21" s="150"/>
      <c r="F21" s="195"/>
    </row>
    <row r="22" spans="1:6" ht="69" customHeight="1" x14ac:dyDescent="0.25">
      <c r="A22" s="149"/>
      <c r="B22" s="188"/>
      <c r="C22" s="150" t="s">
        <v>353</v>
      </c>
      <c r="D22" s="193" t="s">
        <v>324</v>
      </c>
      <c r="E22" s="150"/>
      <c r="F22" s="195"/>
    </row>
    <row r="23" spans="1:6" ht="61.5" customHeight="1" x14ac:dyDescent="0.25">
      <c r="A23" s="149"/>
      <c r="B23" s="188"/>
      <c r="C23" s="150" t="s">
        <v>354</v>
      </c>
      <c r="D23" s="193" t="s">
        <v>325</v>
      </c>
      <c r="E23" s="150"/>
      <c r="F23" s="195"/>
    </row>
    <row r="24" spans="1:6" ht="57.75" customHeight="1" x14ac:dyDescent="0.25">
      <c r="A24" s="149"/>
      <c r="B24" s="188"/>
      <c r="C24" s="150" t="s">
        <v>349</v>
      </c>
      <c r="D24" s="193" t="s">
        <v>326</v>
      </c>
      <c r="E24" s="150"/>
      <c r="F24" s="195"/>
    </row>
    <row r="25" spans="1:6" ht="62.25" customHeight="1" x14ac:dyDescent="0.25">
      <c r="A25" s="149"/>
      <c r="B25" s="188"/>
      <c r="C25" s="150" t="s">
        <v>349</v>
      </c>
      <c r="D25" s="193" t="s">
        <v>327</v>
      </c>
      <c r="E25" s="150"/>
      <c r="F25" s="195"/>
    </row>
    <row r="26" spans="1:6" ht="56.25" customHeight="1" thickBot="1" x14ac:dyDescent="0.3">
      <c r="A26" s="151"/>
      <c r="B26" s="190"/>
      <c r="C26" s="150" t="s">
        <v>350</v>
      </c>
      <c r="D26" s="194" t="s">
        <v>355</v>
      </c>
      <c r="E26" s="152"/>
      <c r="F26" s="196"/>
    </row>
    <row r="27" spans="1:6" ht="65.25" customHeight="1" thickBot="1" x14ac:dyDescent="0.3">
      <c r="A27" s="151"/>
      <c r="B27" s="190"/>
      <c r="C27" s="150" t="s">
        <v>349</v>
      </c>
      <c r="D27" s="194" t="s">
        <v>401</v>
      </c>
      <c r="E27" s="152"/>
      <c r="F27" s="196"/>
    </row>
    <row r="28" spans="1:6" ht="62.25" customHeight="1" x14ac:dyDescent="0.25">
      <c r="A28" s="153"/>
      <c r="B28" s="154"/>
      <c r="C28" s="153"/>
      <c r="D28" s="155"/>
      <c r="E28" s="153"/>
      <c r="F28" s="155"/>
    </row>
    <row r="29" spans="1:6" ht="63" customHeight="1" x14ac:dyDescent="0.25">
      <c r="A29" s="153"/>
      <c r="B29" s="154"/>
      <c r="C29" s="153"/>
      <c r="D29" s="155"/>
      <c r="E29" s="153"/>
      <c r="F29" s="154"/>
    </row>
    <row r="30" spans="1:6" ht="51.75" customHeight="1" x14ac:dyDescent="0.25">
      <c r="A30" s="153"/>
      <c r="B30" s="154"/>
      <c r="C30" s="153"/>
      <c r="D30" s="155"/>
      <c r="E30" s="153"/>
      <c r="F30" s="154"/>
    </row>
    <row r="31" spans="1:6" ht="52.5" customHeight="1" x14ac:dyDescent="0.25">
      <c r="A31" s="153"/>
      <c r="B31" s="155"/>
      <c r="C31" s="153"/>
      <c r="D31" s="155"/>
      <c r="E31" s="153"/>
      <c r="F31" s="155"/>
    </row>
    <row r="32" spans="1:6" ht="63.75" customHeight="1" x14ac:dyDescent="0.25">
      <c r="A32" s="153"/>
      <c r="B32" s="155"/>
      <c r="C32" s="153"/>
      <c r="D32" s="155"/>
      <c r="E32" s="153"/>
      <c r="F32" s="155"/>
    </row>
    <row r="33" spans="1:6" ht="66" customHeight="1" x14ac:dyDescent="0.25">
      <c r="A33" s="153"/>
      <c r="B33" s="156"/>
      <c r="C33" s="153"/>
      <c r="D33" s="157"/>
      <c r="E33" s="153"/>
      <c r="F33" s="156"/>
    </row>
    <row r="34" spans="1:6" ht="55.5" customHeight="1" x14ac:dyDescent="0.25">
      <c r="A34" s="153"/>
      <c r="B34" s="156"/>
      <c r="C34" s="153"/>
      <c r="D34" s="157"/>
      <c r="E34" s="153"/>
      <c r="F34" s="158"/>
    </row>
    <row r="35" spans="1:6" ht="51.75" customHeight="1" x14ac:dyDescent="0.25">
      <c r="A35" s="153"/>
      <c r="B35" s="158"/>
      <c r="C35" s="153"/>
      <c r="D35" s="159"/>
      <c r="E35" s="153"/>
      <c r="F35" s="158"/>
    </row>
    <row r="36" spans="1:6" ht="55.5" customHeight="1" x14ac:dyDescent="0.25">
      <c r="A36" s="153"/>
      <c r="B36" s="158"/>
      <c r="C36" s="153"/>
      <c r="D36" s="158"/>
      <c r="E36" s="153"/>
      <c r="F36" s="158"/>
    </row>
    <row r="37" spans="1:6" ht="55.5" customHeight="1" x14ac:dyDescent="0.25">
      <c r="A37" s="153"/>
      <c r="B37" s="158"/>
      <c r="C37" s="153"/>
      <c r="D37" s="158"/>
      <c r="E37" s="153"/>
      <c r="F37" s="158"/>
    </row>
    <row r="38" spans="1:6" ht="54.75" customHeight="1" x14ac:dyDescent="0.25">
      <c r="A38" s="153"/>
      <c r="B38" s="158"/>
      <c r="C38" s="153"/>
      <c r="D38" s="158"/>
      <c r="E38" s="153"/>
      <c r="F38" s="158"/>
    </row>
    <row r="39" spans="1:6" ht="56.25" customHeight="1" x14ac:dyDescent="0.25">
      <c r="A39" s="153"/>
      <c r="B39" s="158"/>
      <c r="C39" s="153"/>
      <c r="D39" s="158"/>
      <c r="E39" s="153"/>
      <c r="F39" s="158"/>
    </row>
    <row r="40" spans="1:6" ht="54.75" customHeight="1" x14ac:dyDescent="0.25">
      <c r="A40" s="153"/>
      <c r="B40" s="156"/>
      <c r="C40" s="153"/>
      <c r="D40" s="157"/>
      <c r="E40" s="153"/>
      <c r="F40" s="156"/>
    </row>
    <row r="41" spans="1:6" ht="55.5" customHeight="1" x14ac:dyDescent="0.25">
      <c r="A41" s="153"/>
      <c r="B41" s="156"/>
      <c r="C41" s="153"/>
      <c r="D41" s="157"/>
      <c r="E41" s="153"/>
      <c r="F41" s="158"/>
    </row>
    <row r="42" spans="1:6" ht="54.75" customHeight="1" x14ac:dyDescent="0.25">
      <c r="A42" s="153"/>
      <c r="B42" s="158"/>
      <c r="C42" s="153"/>
      <c r="D42" s="159"/>
      <c r="E42" s="153"/>
      <c r="F42" s="158"/>
    </row>
    <row r="43" spans="1:6" ht="55.5" customHeight="1" x14ac:dyDescent="0.25">
      <c r="A43" s="153"/>
      <c r="B43" s="158"/>
      <c r="C43" s="153"/>
      <c r="D43" s="158"/>
      <c r="E43" s="153"/>
      <c r="F43" s="158"/>
    </row>
    <row r="44" spans="1:6" ht="56.25" customHeight="1" x14ac:dyDescent="0.25">
      <c r="A44" s="153"/>
      <c r="B44" s="158"/>
      <c r="C44" s="153"/>
      <c r="D44" s="158"/>
      <c r="E44" s="153"/>
      <c r="F44" s="158"/>
    </row>
    <row r="45" spans="1:6" ht="59.25" customHeight="1" x14ac:dyDescent="0.25">
      <c r="A45" s="153"/>
      <c r="B45" s="158"/>
      <c r="C45" s="153"/>
      <c r="D45" s="158"/>
      <c r="E45" s="153"/>
      <c r="F45" s="158"/>
    </row>
    <row r="46" spans="1:6" ht="55.5" customHeight="1" x14ac:dyDescent="0.25">
      <c r="A46" s="153"/>
      <c r="B46" s="158"/>
      <c r="C46" s="153"/>
      <c r="D46" s="158"/>
      <c r="E46" s="153"/>
      <c r="F46" s="158"/>
    </row>
    <row r="47" spans="1:6" ht="55.5" customHeight="1" x14ac:dyDescent="0.25">
      <c r="A47" s="153"/>
      <c r="B47" s="156"/>
      <c r="C47" s="153"/>
      <c r="D47" s="157"/>
      <c r="E47" s="153"/>
      <c r="F47" s="156"/>
    </row>
    <row r="48" spans="1:6" ht="56.25" customHeight="1" x14ac:dyDescent="0.25">
      <c r="A48" s="153"/>
      <c r="B48" s="156"/>
      <c r="C48" s="153"/>
      <c r="D48" s="157"/>
      <c r="E48" s="153"/>
      <c r="F48" s="158"/>
    </row>
    <row r="49" spans="1:6" ht="54" customHeight="1" x14ac:dyDescent="0.25">
      <c r="A49" s="153"/>
      <c r="B49" s="158"/>
      <c r="C49" s="153"/>
      <c r="D49" s="159"/>
      <c r="E49" s="153"/>
      <c r="F49" s="158"/>
    </row>
    <row r="50" spans="1:6" ht="56.25" customHeight="1" x14ac:dyDescent="0.25">
      <c r="A50" s="153"/>
      <c r="B50" s="158"/>
      <c r="C50" s="153"/>
      <c r="D50" s="158"/>
      <c r="E50" s="153"/>
      <c r="F50" s="158"/>
    </row>
    <row r="51" spans="1:6" ht="59.25" customHeight="1" x14ac:dyDescent="0.25">
      <c r="A51" s="153"/>
      <c r="B51" s="158"/>
      <c r="C51" s="153"/>
      <c r="D51" s="158"/>
      <c r="E51" s="153"/>
      <c r="F51" s="158"/>
    </row>
    <row r="52" spans="1:6" ht="54.75" customHeight="1" x14ac:dyDescent="0.25">
      <c r="A52" s="153"/>
      <c r="B52" s="158"/>
      <c r="C52" s="153"/>
      <c r="D52" s="158"/>
      <c r="E52" s="153"/>
      <c r="F52" s="158"/>
    </row>
    <row r="53" spans="1:6" ht="55.5" customHeight="1" x14ac:dyDescent="0.25">
      <c r="A53" s="153"/>
      <c r="B53" s="158"/>
      <c r="C53" s="153"/>
      <c r="D53" s="158"/>
      <c r="E53" s="153"/>
      <c r="F53" s="158"/>
    </row>
  </sheetData>
  <mergeCells count="10">
    <mergeCell ref="A9:F9"/>
    <mergeCell ref="A10:F10"/>
    <mergeCell ref="A1:A4"/>
    <mergeCell ref="B1:D2"/>
    <mergeCell ref="F1:F4"/>
    <mergeCell ref="J1:J4"/>
    <mergeCell ref="B3:D4"/>
    <mergeCell ref="A5:F5"/>
    <mergeCell ref="A6:F7"/>
    <mergeCell ref="A8:F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'C:\Users\HACIENDA\Desktop\DSH2024\C RIESGOS 2024\BIMESTRE 01 2024 A PLANEACION\MR PARA ACTUALIZACION 2024\ENTREGA ACTUALIZ 2024 A PLANEACION MAPAS RIES\[2. B2-2024 MRV4 CORRP SEC HCDA ACT 29022024.xlsx]LISTAS CONTEXTO'!#REF!</xm:f>
          </x14:formula1>
          <xm:sqref>A12:A19 C14:C27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AA43"/>
  <sheetViews>
    <sheetView zoomScale="70" zoomScaleNormal="70" workbookViewId="0">
      <selection activeCell="Z7" sqref="Z7"/>
    </sheetView>
  </sheetViews>
  <sheetFormatPr baseColWidth="10" defaultColWidth="11.44140625" defaultRowHeight="14.4" x14ac:dyDescent="0.3"/>
  <cols>
    <col min="1" max="1" width="5.109375" style="180" customWidth="1"/>
    <col min="2" max="2" width="40.44140625" style="181" customWidth="1"/>
    <col min="3" max="17" width="6.44140625" style="181" customWidth="1"/>
    <col min="18" max="18" width="8.109375" style="181" customWidth="1"/>
    <col min="19" max="19" width="13" style="182" customWidth="1"/>
    <col min="20" max="20" width="19.6640625" customWidth="1"/>
    <col min="21" max="23" width="11.44140625" hidden="1" customWidth="1"/>
  </cols>
  <sheetData>
    <row r="1" spans="1:27" ht="30.75" customHeight="1" x14ac:dyDescent="0.3">
      <c r="A1" s="451"/>
      <c r="B1" s="451"/>
      <c r="C1" s="428" t="s">
        <v>480</v>
      </c>
      <c r="D1" s="428"/>
      <c r="E1" s="428"/>
      <c r="F1" s="428"/>
      <c r="G1" s="428"/>
      <c r="H1" s="428"/>
      <c r="I1" s="428"/>
      <c r="J1" s="428"/>
      <c r="K1" s="428"/>
      <c r="L1" s="428"/>
      <c r="M1" s="428"/>
      <c r="N1" s="428"/>
      <c r="O1" s="428"/>
      <c r="P1" s="428"/>
      <c r="Q1" s="428"/>
      <c r="R1" s="428"/>
      <c r="S1" s="428"/>
      <c r="T1" s="455" t="s">
        <v>260</v>
      </c>
      <c r="U1" s="456"/>
      <c r="V1" s="456"/>
      <c r="W1" s="457"/>
    </row>
    <row r="2" spans="1:27" ht="25.5" customHeight="1" x14ac:dyDescent="0.3">
      <c r="A2" s="453"/>
      <c r="B2" s="453"/>
      <c r="C2" s="428"/>
      <c r="D2" s="428"/>
      <c r="E2" s="428"/>
      <c r="F2" s="428"/>
      <c r="G2" s="428"/>
      <c r="H2" s="428"/>
      <c r="I2" s="428"/>
      <c r="J2" s="428"/>
      <c r="K2" s="428"/>
      <c r="L2" s="428"/>
      <c r="M2" s="428"/>
      <c r="N2" s="428"/>
      <c r="O2" s="428"/>
      <c r="P2" s="428"/>
      <c r="Q2" s="428"/>
      <c r="R2" s="428"/>
      <c r="S2" s="428"/>
      <c r="T2" s="458" t="s">
        <v>261</v>
      </c>
      <c r="U2" s="459"/>
      <c r="V2" s="459"/>
      <c r="W2" s="460"/>
    </row>
    <row r="3" spans="1:27" ht="15" customHeight="1" x14ac:dyDescent="0.3">
      <c r="A3" s="453"/>
      <c r="B3" s="453"/>
      <c r="C3" s="428" t="s">
        <v>225</v>
      </c>
      <c r="D3" s="428"/>
      <c r="E3" s="428"/>
      <c r="F3" s="428"/>
      <c r="G3" s="428"/>
      <c r="H3" s="428"/>
      <c r="I3" s="428"/>
      <c r="J3" s="428"/>
      <c r="K3" s="428"/>
      <c r="L3" s="428"/>
      <c r="M3" s="428"/>
      <c r="N3" s="428"/>
      <c r="O3" s="428"/>
      <c r="P3" s="428"/>
      <c r="Q3" s="428"/>
      <c r="R3" s="428"/>
      <c r="S3" s="428"/>
      <c r="T3" s="458" t="s">
        <v>264</v>
      </c>
      <c r="U3" s="459"/>
      <c r="V3" s="459"/>
      <c r="W3" s="460"/>
    </row>
    <row r="4" spans="1:27" ht="15.75" customHeight="1" x14ac:dyDescent="0.3">
      <c r="A4" s="461"/>
      <c r="B4" s="461"/>
      <c r="C4" s="428"/>
      <c r="D4" s="428"/>
      <c r="E4" s="428"/>
      <c r="F4" s="428"/>
      <c r="G4" s="428"/>
      <c r="H4" s="428"/>
      <c r="I4" s="428"/>
      <c r="J4" s="428"/>
      <c r="K4" s="428"/>
      <c r="L4" s="428"/>
      <c r="M4" s="428"/>
      <c r="N4" s="428"/>
      <c r="O4" s="428"/>
      <c r="P4" s="428"/>
      <c r="Q4" s="428"/>
      <c r="R4" s="428"/>
      <c r="S4" s="428"/>
      <c r="T4" s="458" t="s">
        <v>263</v>
      </c>
      <c r="U4" s="459"/>
      <c r="V4" s="459"/>
      <c r="W4" s="460"/>
    </row>
    <row r="5" spans="1:27" ht="15.75" customHeight="1" x14ac:dyDescent="0.3">
      <c r="A5" s="450"/>
      <c r="B5" s="450"/>
      <c r="C5" s="450"/>
      <c r="D5" s="450"/>
      <c r="E5" s="450"/>
      <c r="F5" s="450"/>
      <c r="G5" s="450"/>
      <c r="H5" s="450"/>
      <c r="I5" s="450"/>
      <c r="J5" s="450"/>
      <c r="K5" s="450"/>
      <c r="L5" s="450"/>
      <c r="M5" s="450"/>
      <c r="N5" s="450"/>
      <c r="O5" s="450"/>
      <c r="P5" s="450"/>
      <c r="Q5" s="450"/>
      <c r="R5" s="450"/>
      <c r="S5" s="450"/>
      <c r="T5" s="463"/>
      <c r="U5" s="154"/>
      <c r="V5" s="154"/>
      <c r="W5" s="160"/>
    </row>
    <row r="6" spans="1:27" s="141" customFormat="1" ht="27" customHeight="1" x14ac:dyDescent="0.25">
      <c r="A6" s="464" t="str">
        <f>Contexto!A8</f>
        <v>PROCESO:  SECRETARIA DE HACIENDA PUBLICA MUNICIPAL</v>
      </c>
      <c r="B6" s="464"/>
      <c r="C6" s="464"/>
      <c r="D6" s="464"/>
      <c r="E6" s="464"/>
      <c r="F6" s="464"/>
      <c r="G6" s="464"/>
      <c r="H6" s="464"/>
      <c r="I6" s="464"/>
      <c r="J6" s="464"/>
      <c r="K6" s="464"/>
      <c r="L6" s="464"/>
      <c r="M6" s="464"/>
      <c r="N6" s="464"/>
      <c r="O6" s="464"/>
      <c r="P6" s="464"/>
      <c r="Q6" s="464"/>
      <c r="R6" s="464"/>
      <c r="S6" s="464"/>
      <c r="T6" s="464"/>
      <c r="W6" s="161"/>
    </row>
    <row r="7" spans="1:27" s="141" customFormat="1" ht="81" customHeight="1" thickBot="1" x14ac:dyDescent="0.3">
      <c r="A7" s="465" t="str">
        <f>Contexto!A9</f>
        <v xml:space="preserve">OBJETIVO:  ADMINISTRAR LAS FINANZAS PUBLICAS DEL MUNICIPIO DE IBAGUE, DE MANERA CONTINUA MEDIANTE EL RECAUDO, EJECUCIÓN, REGISTRO Y CONTROL PRESUPUESTAL, CONTABLE Y FINANCIERO PARA COADYUVAR EN LA PROMOCION DEL DESARROLLO ECONOMICO, CULTURAL, SOCIAL Y AMBIENTAL DE LA COMUNIDAD EN GENERAL, ASEGURANDO UN BUEN MANEJO DE LOS RECURSOS PUBLICOS CON TRANSPARENCIA Y EFECTIVIDAD. 
</v>
      </c>
      <c r="B7" s="465"/>
      <c r="C7" s="465"/>
      <c r="D7" s="465"/>
      <c r="E7" s="465"/>
      <c r="F7" s="465"/>
      <c r="G7" s="465"/>
      <c r="H7" s="465"/>
      <c r="I7" s="465"/>
      <c r="J7" s="465"/>
      <c r="K7" s="465"/>
      <c r="L7" s="465"/>
      <c r="M7" s="465"/>
      <c r="N7" s="465"/>
      <c r="O7" s="465"/>
      <c r="P7" s="465"/>
      <c r="Q7" s="465"/>
      <c r="R7" s="465"/>
      <c r="S7" s="465"/>
      <c r="T7" s="465"/>
      <c r="U7" s="162"/>
      <c r="V7" s="162"/>
      <c r="W7" s="163"/>
    </row>
    <row r="8" spans="1:27" s="141" customFormat="1" ht="26.25" customHeight="1" thickBot="1" x14ac:dyDescent="0.3">
      <c r="A8" s="164"/>
      <c r="B8" s="164"/>
      <c r="C8" s="164"/>
      <c r="D8" s="164"/>
      <c r="E8" s="164"/>
      <c r="F8" s="164"/>
      <c r="G8" s="164"/>
      <c r="H8" s="164"/>
      <c r="I8" s="164"/>
      <c r="J8" s="164"/>
      <c r="K8" s="164"/>
      <c r="L8" s="164"/>
      <c r="M8" s="164"/>
      <c r="N8" s="164"/>
      <c r="O8" s="164"/>
      <c r="P8" s="164"/>
      <c r="Q8" s="164"/>
      <c r="R8" s="164"/>
      <c r="S8" s="164"/>
      <c r="T8" s="165"/>
      <c r="X8" s="166"/>
    </row>
    <row r="9" spans="1:27" s="141" customFormat="1" ht="39.75" customHeight="1" thickBot="1" x14ac:dyDescent="0.3">
      <c r="A9" s="466"/>
      <c r="B9" s="466"/>
      <c r="C9" s="466" t="b">
        <v>0</v>
      </c>
      <c r="D9" s="466"/>
      <c r="E9" s="466"/>
      <c r="F9" s="466"/>
      <c r="G9" s="466"/>
      <c r="H9" s="466"/>
      <c r="I9" s="466"/>
      <c r="J9" s="466"/>
      <c r="K9" s="466"/>
      <c r="L9" s="466"/>
      <c r="M9" s="466"/>
      <c r="N9" s="466"/>
      <c r="O9" s="466"/>
      <c r="P9" s="466"/>
      <c r="Q9" s="466"/>
      <c r="R9" s="466"/>
      <c r="S9" s="466"/>
      <c r="T9" s="467"/>
    </row>
    <row r="10" spans="1:27" s="172" customFormat="1" ht="39.6" customHeight="1" thickBot="1" x14ac:dyDescent="0.35">
      <c r="A10" s="167" t="s">
        <v>226</v>
      </c>
      <c r="B10" s="168" t="s">
        <v>227</v>
      </c>
      <c r="C10" s="168" t="s">
        <v>228</v>
      </c>
      <c r="D10" s="168" t="s">
        <v>229</v>
      </c>
      <c r="E10" s="168" t="s">
        <v>230</v>
      </c>
      <c r="F10" s="168" t="s">
        <v>231</v>
      </c>
      <c r="G10" s="168" t="s">
        <v>232</v>
      </c>
      <c r="H10" s="168" t="s">
        <v>233</v>
      </c>
      <c r="I10" s="168" t="s">
        <v>234</v>
      </c>
      <c r="J10" s="168" t="s">
        <v>235</v>
      </c>
      <c r="K10" s="168" t="s">
        <v>236</v>
      </c>
      <c r="L10" s="168" t="s">
        <v>237</v>
      </c>
      <c r="M10" s="168" t="s">
        <v>238</v>
      </c>
      <c r="N10" s="168" t="s">
        <v>239</v>
      </c>
      <c r="O10" s="168" t="s">
        <v>240</v>
      </c>
      <c r="P10" s="168" t="s">
        <v>241</v>
      </c>
      <c r="Q10" s="168" t="s">
        <v>242</v>
      </c>
      <c r="R10" s="169" t="s">
        <v>243</v>
      </c>
      <c r="S10" s="170" t="s">
        <v>244</v>
      </c>
      <c r="T10" s="171" t="s">
        <v>245</v>
      </c>
      <c r="Y10" s="447" t="s">
        <v>332</v>
      </c>
      <c r="Z10" s="447"/>
      <c r="AA10" s="447"/>
    </row>
    <row r="11" spans="1:27" ht="39.75" customHeight="1" thickBot="1" x14ac:dyDescent="0.35">
      <c r="A11" s="173">
        <v>1</v>
      </c>
      <c r="B11" s="187" t="s">
        <v>309</v>
      </c>
      <c r="C11" s="174">
        <v>4</v>
      </c>
      <c r="D11" s="174">
        <v>4</v>
      </c>
      <c r="E11" s="174">
        <v>4</v>
      </c>
      <c r="F11" s="174">
        <v>3</v>
      </c>
      <c r="G11" s="174">
        <v>4</v>
      </c>
      <c r="H11" s="174"/>
      <c r="I11" s="174"/>
      <c r="J11" s="174"/>
      <c r="K11" s="174"/>
      <c r="L11" s="174"/>
      <c r="M11" s="174"/>
      <c r="N11" s="174"/>
      <c r="O11" s="174"/>
      <c r="P11" s="174"/>
      <c r="Q11" s="174"/>
      <c r="R11" s="173">
        <f>SUM(C11:Q11)</f>
        <v>19</v>
      </c>
      <c r="S11" s="175">
        <f>IF(ISERROR(AVERAGE(C11:Q11)),0,AVERAGE(C11:Q11))</f>
        <v>3.8</v>
      </c>
      <c r="T11" s="176"/>
      <c r="Y11" s="184" t="s">
        <v>333</v>
      </c>
      <c r="Z11" s="185" t="s">
        <v>334</v>
      </c>
      <c r="AA11" s="186" t="s">
        <v>335</v>
      </c>
    </row>
    <row r="12" spans="1:27" ht="45.75" customHeight="1" thickBot="1" x14ac:dyDescent="0.35">
      <c r="A12" s="173">
        <v>2</v>
      </c>
      <c r="B12" s="188" t="s">
        <v>310</v>
      </c>
      <c r="C12" s="174">
        <v>3</v>
      </c>
      <c r="D12" s="174">
        <v>4</v>
      </c>
      <c r="E12" s="174">
        <v>5</v>
      </c>
      <c r="F12" s="174">
        <v>4</v>
      </c>
      <c r="G12" s="174">
        <v>4</v>
      </c>
      <c r="H12" s="174"/>
      <c r="I12" s="174"/>
      <c r="J12" s="174"/>
      <c r="K12" s="174"/>
      <c r="L12" s="174"/>
      <c r="M12" s="174"/>
      <c r="N12" s="174"/>
      <c r="O12" s="174"/>
      <c r="P12" s="174"/>
      <c r="Q12" s="174"/>
      <c r="R12" s="173">
        <f t="shared" ref="R12:R41" si="0">SUM(C12:Q12)</f>
        <v>20</v>
      </c>
      <c r="S12" s="175">
        <f t="shared" ref="S12:S40" si="1">IF(ISERROR(AVERAGE(C12:Q12)),0,AVERAGE(C12:Q12))</f>
        <v>4</v>
      </c>
      <c r="T12" s="176"/>
    </row>
    <row r="13" spans="1:27" ht="65.25" customHeight="1" thickBot="1" x14ac:dyDescent="0.35">
      <c r="A13" s="173">
        <v>3</v>
      </c>
      <c r="B13" s="188" t="s">
        <v>311</v>
      </c>
      <c r="C13" s="174">
        <v>4</v>
      </c>
      <c r="D13" s="174">
        <v>4</v>
      </c>
      <c r="E13" s="174">
        <v>3</v>
      </c>
      <c r="F13" s="174">
        <v>3</v>
      </c>
      <c r="G13" s="174">
        <v>4</v>
      </c>
      <c r="H13" s="174"/>
      <c r="I13" s="174"/>
      <c r="J13" s="174"/>
      <c r="K13" s="174"/>
      <c r="L13" s="174"/>
      <c r="M13" s="174"/>
      <c r="N13" s="174"/>
      <c r="O13" s="174"/>
      <c r="P13" s="174"/>
      <c r="Q13" s="174"/>
      <c r="R13" s="173">
        <f t="shared" si="0"/>
        <v>18</v>
      </c>
      <c r="S13" s="175">
        <f t="shared" si="1"/>
        <v>3.6</v>
      </c>
      <c r="T13" s="176"/>
    </row>
    <row r="14" spans="1:27" ht="39.75" customHeight="1" thickBot="1" x14ac:dyDescent="0.35">
      <c r="A14" s="173">
        <v>4</v>
      </c>
      <c r="B14" s="189" t="s">
        <v>312</v>
      </c>
      <c r="C14" s="174">
        <v>3</v>
      </c>
      <c r="D14" s="174">
        <v>4</v>
      </c>
      <c r="E14" s="174">
        <v>4</v>
      </c>
      <c r="F14" s="174">
        <v>5</v>
      </c>
      <c r="G14" s="174">
        <v>4</v>
      </c>
      <c r="H14" s="174"/>
      <c r="I14" s="174"/>
      <c r="J14" s="174"/>
      <c r="K14" s="174"/>
      <c r="L14" s="174"/>
      <c r="M14" s="174"/>
      <c r="N14" s="174"/>
      <c r="O14" s="174"/>
      <c r="P14" s="174"/>
      <c r="Q14" s="174"/>
      <c r="R14" s="173">
        <f t="shared" si="0"/>
        <v>20</v>
      </c>
      <c r="S14" s="175">
        <f t="shared" si="1"/>
        <v>4</v>
      </c>
      <c r="T14" s="176"/>
    </row>
    <row r="15" spans="1:27" ht="39.75" customHeight="1" thickBot="1" x14ac:dyDescent="0.35">
      <c r="A15" s="173">
        <v>5</v>
      </c>
      <c r="B15" s="188" t="s">
        <v>313</v>
      </c>
      <c r="C15" s="174">
        <v>4</v>
      </c>
      <c r="D15" s="174">
        <v>2</v>
      </c>
      <c r="E15" s="174">
        <v>5</v>
      </c>
      <c r="F15" s="174">
        <v>3</v>
      </c>
      <c r="G15" s="174">
        <v>3</v>
      </c>
      <c r="H15" s="174"/>
      <c r="I15" s="174"/>
      <c r="J15" s="174"/>
      <c r="K15" s="174"/>
      <c r="L15" s="174"/>
      <c r="M15" s="174"/>
      <c r="N15" s="174"/>
      <c r="O15" s="174"/>
      <c r="P15" s="174"/>
      <c r="Q15" s="174"/>
      <c r="R15" s="173">
        <f t="shared" si="0"/>
        <v>17</v>
      </c>
      <c r="S15" s="175">
        <f t="shared" si="1"/>
        <v>3.4</v>
      </c>
      <c r="T15" s="176"/>
    </row>
    <row r="16" spans="1:27" ht="39.75" customHeight="1" thickBot="1" x14ac:dyDescent="0.35">
      <c r="A16" s="173">
        <v>6</v>
      </c>
      <c r="B16" s="188" t="s">
        <v>348</v>
      </c>
      <c r="C16" s="174">
        <v>4</v>
      </c>
      <c r="D16" s="174">
        <v>4</v>
      </c>
      <c r="E16" s="174">
        <v>4</v>
      </c>
      <c r="F16" s="174">
        <v>5</v>
      </c>
      <c r="G16" s="174">
        <v>3</v>
      </c>
      <c r="H16" s="174"/>
      <c r="I16" s="174"/>
      <c r="J16" s="174"/>
      <c r="K16" s="174"/>
      <c r="L16" s="174"/>
      <c r="M16" s="174"/>
      <c r="N16" s="174"/>
      <c r="O16" s="174"/>
      <c r="P16" s="174"/>
      <c r="Q16" s="174"/>
      <c r="R16" s="173">
        <f t="shared" si="0"/>
        <v>20</v>
      </c>
      <c r="S16" s="175">
        <f t="shared" si="1"/>
        <v>4</v>
      </c>
      <c r="T16" s="176"/>
    </row>
    <row r="17" spans="1:20" ht="39.75" customHeight="1" thickBot="1" x14ac:dyDescent="0.35">
      <c r="A17" s="173">
        <v>7</v>
      </c>
      <c r="B17" s="188" t="s">
        <v>314</v>
      </c>
      <c r="C17" s="174">
        <v>4</v>
      </c>
      <c r="D17" s="174">
        <v>4</v>
      </c>
      <c r="E17" s="174">
        <v>4</v>
      </c>
      <c r="F17" s="174">
        <v>4</v>
      </c>
      <c r="G17" s="174">
        <v>5</v>
      </c>
      <c r="H17" s="174"/>
      <c r="I17" s="174"/>
      <c r="J17" s="174"/>
      <c r="K17" s="174"/>
      <c r="L17" s="174"/>
      <c r="M17" s="174"/>
      <c r="N17" s="174"/>
      <c r="O17" s="174"/>
      <c r="P17" s="174"/>
      <c r="Q17" s="174"/>
      <c r="R17" s="173">
        <f t="shared" si="0"/>
        <v>21</v>
      </c>
      <c r="S17" s="175">
        <f t="shared" si="1"/>
        <v>4.2</v>
      </c>
      <c r="T17" s="176"/>
    </row>
    <row r="18" spans="1:20" ht="46.5" customHeight="1" thickBot="1" x14ac:dyDescent="0.35">
      <c r="A18" s="173">
        <v>8</v>
      </c>
      <c r="B18" s="188" t="s">
        <v>315</v>
      </c>
      <c r="C18" s="174">
        <v>4</v>
      </c>
      <c r="D18" s="174">
        <v>4</v>
      </c>
      <c r="E18" s="174">
        <v>4</v>
      </c>
      <c r="F18" s="174">
        <v>4</v>
      </c>
      <c r="G18" s="174">
        <v>5</v>
      </c>
      <c r="H18" s="174"/>
      <c r="I18" s="174"/>
      <c r="J18" s="174"/>
      <c r="K18" s="174"/>
      <c r="L18" s="174"/>
      <c r="M18" s="174"/>
      <c r="N18" s="174"/>
      <c r="O18" s="174"/>
      <c r="P18" s="174"/>
      <c r="Q18" s="174"/>
      <c r="R18" s="173">
        <f t="shared" si="0"/>
        <v>21</v>
      </c>
      <c r="S18" s="175">
        <f t="shared" si="1"/>
        <v>4.2</v>
      </c>
      <c r="T18" s="176"/>
    </row>
    <row r="19" spans="1:20" ht="47.25" customHeight="1" thickBot="1" x14ac:dyDescent="0.35">
      <c r="A19" s="173">
        <v>9</v>
      </c>
      <c r="B19" s="191" t="s">
        <v>344</v>
      </c>
      <c r="C19" s="174">
        <v>4</v>
      </c>
      <c r="D19" s="174">
        <v>5</v>
      </c>
      <c r="E19" s="174">
        <v>5</v>
      </c>
      <c r="F19" s="174">
        <v>5</v>
      </c>
      <c r="G19" s="174">
        <v>5</v>
      </c>
      <c r="H19" s="174"/>
      <c r="I19" s="174"/>
      <c r="J19" s="174"/>
      <c r="K19" s="174"/>
      <c r="L19" s="174"/>
      <c r="M19" s="174"/>
      <c r="N19" s="174"/>
      <c r="O19" s="174"/>
      <c r="P19" s="174"/>
      <c r="Q19" s="174"/>
      <c r="R19" s="173">
        <f t="shared" si="0"/>
        <v>24</v>
      </c>
      <c r="S19" s="175">
        <f t="shared" si="1"/>
        <v>4.8</v>
      </c>
      <c r="T19" s="176"/>
    </row>
    <row r="20" spans="1:20" ht="39.75" customHeight="1" thickBot="1" x14ac:dyDescent="0.35">
      <c r="A20" s="173">
        <v>10</v>
      </c>
      <c r="B20" s="192" t="s">
        <v>410</v>
      </c>
      <c r="C20" s="174">
        <v>4</v>
      </c>
      <c r="D20" s="174">
        <v>5</v>
      </c>
      <c r="E20" s="174">
        <v>5</v>
      </c>
      <c r="F20" s="174">
        <v>5</v>
      </c>
      <c r="G20" s="174">
        <v>5</v>
      </c>
      <c r="H20" s="174"/>
      <c r="I20" s="174"/>
      <c r="J20" s="174"/>
      <c r="K20" s="174"/>
      <c r="L20" s="174"/>
      <c r="M20" s="174"/>
      <c r="N20" s="174"/>
      <c r="O20" s="174"/>
      <c r="P20" s="174"/>
      <c r="Q20" s="174"/>
      <c r="R20" s="173">
        <f t="shared" si="0"/>
        <v>24</v>
      </c>
      <c r="S20" s="175">
        <f t="shared" si="1"/>
        <v>4.8</v>
      </c>
      <c r="T20" s="176"/>
    </row>
    <row r="21" spans="1:20" ht="39.75" customHeight="1" thickBot="1" x14ac:dyDescent="0.35">
      <c r="A21" s="173">
        <v>11</v>
      </c>
      <c r="B21" s="192" t="s">
        <v>316</v>
      </c>
      <c r="C21" s="174">
        <v>5</v>
      </c>
      <c r="D21" s="174">
        <v>5</v>
      </c>
      <c r="E21" s="174">
        <v>4</v>
      </c>
      <c r="F21" s="174">
        <v>5</v>
      </c>
      <c r="G21" s="174">
        <v>4</v>
      </c>
      <c r="H21" s="174"/>
      <c r="I21" s="174"/>
      <c r="J21" s="174"/>
      <c r="K21" s="174"/>
      <c r="L21" s="174"/>
      <c r="M21" s="174"/>
      <c r="N21" s="174"/>
      <c r="O21" s="174"/>
      <c r="P21" s="174"/>
      <c r="Q21" s="174"/>
      <c r="R21" s="173">
        <f t="shared" si="0"/>
        <v>23</v>
      </c>
      <c r="S21" s="175">
        <f t="shared" si="1"/>
        <v>4.5999999999999996</v>
      </c>
      <c r="T21" s="176"/>
    </row>
    <row r="22" spans="1:20" ht="45.75" customHeight="1" thickBot="1" x14ac:dyDescent="0.35">
      <c r="A22" s="173">
        <v>12</v>
      </c>
      <c r="B22" s="192" t="s">
        <v>317</v>
      </c>
      <c r="C22" s="174">
        <v>3</v>
      </c>
      <c r="D22" s="174">
        <v>5</v>
      </c>
      <c r="E22" s="174">
        <v>5</v>
      </c>
      <c r="F22" s="174">
        <v>4</v>
      </c>
      <c r="G22" s="174">
        <v>4</v>
      </c>
      <c r="H22" s="174"/>
      <c r="I22" s="174"/>
      <c r="J22" s="174"/>
      <c r="K22" s="174"/>
      <c r="L22" s="174"/>
      <c r="M22" s="174"/>
      <c r="N22" s="174"/>
      <c r="O22" s="174"/>
      <c r="P22" s="174"/>
      <c r="Q22" s="174"/>
      <c r="R22" s="173">
        <f t="shared" si="0"/>
        <v>21</v>
      </c>
      <c r="S22" s="175">
        <f t="shared" si="1"/>
        <v>4.2</v>
      </c>
      <c r="T22" s="176"/>
    </row>
    <row r="23" spans="1:20" ht="49.5" customHeight="1" thickBot="1" x14ac:dyDescent="0.35">
      <c r="A23" s="173">
        <v>13</v>
      </c>
      <c r="B23" s="192" t="s">
        <v>318</v>
      </c>
      <c r="C23" s="174">
        <v>5</v>
      </c>
      <c r="D23" s="174">
        <v>4</v>
      </c>
      <c r="E23" s="174">
        <v>5</v>
      </c>
      <c r="F23" s="174">
        <v>5</v>
      </c>
      <c r="G23" s="174">
        <v>4</v>
      </c>
      <c r="H23" s="174"/>
      <c r="I23" s="174"/>
      <c r="J23" s="174"/>
      <c r="K23" s="174"/>
      <c r="L23" s="174"/>
      <c r="M23" s="174"/>
      <c r="N23" s="174"/>
      <c r="O23" s="174"/>
      <c r="P23" s="174"/>
      <c r="Q23" s="174"/>
      <c r="R23" s="173">
        <f t="shared" si="0"/>
        <v>23</v>
      </c>
      <c r="S23" s="175">
        <f t="shared" si="1"/>
        <v>4.5999999999999996</v>
      </c>
      <c r="T23" s="176"/>
    </row>
    <row r="24" spans="1:20" ht="39.75" customHeight="1" thickBot="1" x14ac:dyDescent="0.35">
      <c r="A24" s="173">
        <v>14</v>
      </c>
      <c r="B24" s="192" t="s">
        <v>319</v>
      </c>
      <c r="C24" s="174">
        <v>4</v>
      </c>
      <c r="D24" s="174">
        <v>4</v>
      </c>
      <c r="E24" s="174">
        <v>4</v>
      </c>
      <c r="F24" s="174">
        <v>4</v>
      </c>
      <c r="G24" s="174">
        <v>4</v>
      </c>
      <c r="H24" s="174"/>
      <c r="I24" s="174"/>
      <c r="J24" s="174"/>
      <c r="K24" s="174"/>
      <c r="L24" s="174"/>
      <c r="M24" s="174"/>
      <c r="N24" s="174"/>
      <c r="O24" s="174"/>
      <c r="P24" s="174"/>
      <c r="Q24" s="174"/>
      <c r="R24" s="173">
        <f t="shared" si="0"/>
        <v>20</v>
      </c>
      <c r="S24" s="175">
        <f t="shared" si="1"/>
        <v>4</v>
      </c>
      <c r="T24" s="176"/>
    </row>
    <row r="25" spans="1:20" ht="39.75" customHeight="1" thickBot="1" x14ac:dyDescent="0.35">
      <c r="A25" s="173">
        <v>15</v>
      </c>
      <c r="B25" s="192" t="s">
        <v>320</v>
      </c>
      <c r="C25" s="174">
        <v>3</v>
      </c>
      <c r="D25" s="174">
        <v>3</v>
      </c>
      <c r="E25" s="174">
        <v>5</v>
      </c>
      <c r="F25" s="174">
        <v>2</v>
      </c>
      <c r="G25" s="174">
        <v>4</v>
      </c>
      <c r="H25" s="174"/>
      <c r="I25" s="174"/>
      <c r="J25" s="174"/>
      <c r="K25" s="174"/>
      <c r="L25" s="174"/>
      <c r="M25" s="174"/>
      <c r="N25" s="174"/>
      <c r="O25" s="174"/>
      <c r="P25" s="174"/>
      <c r="Q25" s="174"/>
      <c r="R25" s="173">
        <f t="shared" si="0"/>
        <v>17</v>
      </c>
      <c r="S25" s="175">
        <f t="shared" si="1"/>
        <v>3.4</v>
      </c>
      <c r="T25" s="176"/>
    </row>
    <row r="26" spans="1:20" ht="48.75" customHeight="1" thickBot="1" x14ac:dyDescent="0.35">
      <c r="A26" s="173">
        <v>16</v>
      </c>
      <c r="B26" s="192" t="s">
        <v>321</v>
      </c>
      <c r="C26" s="174">
        <v>4</v>
      </c>
      <c r="D26" s="174">
        <v>5</v>
      </c>
      <c r="E26" s="174">
        <v>3</v>
      </c>
      <c r="F26" s="174">
        <v>5</v>
      </c>
      <c r="G26" s="174">
        <v>5</v>
      </c>
      <c r="H26" s="174"/>
      <c r="I26" s="174"/>
      <c r="J26" s="174"/>
      <c r="K26" s="174"/>
      <c r="L26" s="174"/>
      <c r="M26" s="174"/>
      <c r="N26" s="174"/>
      <c r="O26" s="174"/>
      <c r="P26" s="174"/>
      <c r="Q26" s="174"/>
      <c r="R26" s="173">
        <f t="shared" si="0"/>
        <v>22</v>
      </c>
      <c r="S26" s="175">
        <f t="shared" si="1"/>
        <v>4.4000000000000004</v>
      </c>
      <c r="T26" s="176"/>
    </row>
    <row r="27" spans="1:20" ht="39.75" customHeight="1" thickBot="1" x14ac:dyDescent="0.35">
      <c r="A27" s="173">
        <v>17</v>
      </c>
      <c r="B27" s="193" t="s">
        <v>322</v>
      </c>
      <c r="C27" s="174">
        <v>4</v>
      </c>
      <c r="D27" s="174">
        <v>4</v>
      </c>
      <c r="E27" s="174">
        <v>4</v>
      </c>
      <c r="F27" s="174">
        <v>3</v>
      </c>
      <c r="G27" s="174">
        <v>4</v>
      </c>
      <c r="H27" s="174"/>
      <c r="I27" s="174"/>
      <c r="J27" s="174"/>
      <c r="K27" s="174"/>
      <c r="L27" s="174"/>
      <c r="M27" s="174"/>
      <c r="N27" s="174"/>
      <c r="O27" s="174"/>
      <c r="P27" s="174"/>
      <c r="Q27" s="174"/>
      <c r="R27" s="173">
        <f t="shared" si="0"/>
        <v>19</v>
      </c>
      <c r="S27" s="175">
        <f t="shared" si="1"/>
        <v>3.8</v>
      </c>
      <c r="T27" s="176"/>
    </row>
    <row r="28" spans="1:20" ht="39.75" customHeight="1" thickBot="1" x14ac:dyDescent="0.35">
      <c r="A28" s="173">
        <v>18</v>
      </c>
      <c r="B28" s="193" t="s">
        <v>323</v>
      </c>
      <c r="C28" s="174">
        <v>4</v>
      </c>
      <c r="D28" s="174">
        <v>5</v>
      </c>
      <c r="E28" s="174">
        <v>5</v>
      </c>
      <c r="F28" s="174">
        <v>4</v>
      </c>
      <c r="G28" s="174">
        <v>4</v>
      </c>
      <c r="H28" s="174"/>
      <c r="I28" s="174"/>
      <c r="J28" s="174"/>
      <c r="K28" s="174"/>
      <c r="L28" s="174"/>
      <c r="M28" s="174"/>
      <c r="N28" s="174"/>
      <c r="O28" s="174"/>
      <c r="P28" s="174"/>
      <c r="Q28" s="174"/>
      <c r="R28" s="173">
        <f t="shared" si="0"/>
        <v>22</v>
      </c>
      <c r="S28" s="175">
        <f t="shared" si="1"/>
        <v>4.4000000000000004</v>
      </c>
      <c r="T28" s="176"/>
    </row>
    <row r="29" spans="1:20" ht="48" customHeight="1" thickBot="1" x14ac:dyDescent="0.35">
      <c r="A29" s="173">
        <v>19</v>
      </c>
      <c r="B29" s="193" t="s">
        <v>324</v>
      </c>
      <c r="C29" s="174">
        <v>4</v>
      </c>
      <c r="D29" s="174">
        <v>4</v>
      </c>
      <c r="E29" s="174">
        <v>5</v>
      </c>
      <c r="F29" s="174">
        <v>5</v>
      </c>
      <c r="G29" s="174">
        <v>5</v>
      </c>
      <c r="H29" s="174"/>
      <c r="I29" s="174"/>
      <c r="J29" s="174"/>
      <c r="K29" s="174"/>
      <c r="L29" s="174"/>
      <c r="M29" s="174"/>
      <c r="N29" s="174"/>
      <c r="O29" s="174"/>
      <c r="P29" s="174"/>
      <c r="Q29" s="174"/>
      <c r="R29" s="173">
        <f t="shared" si="0"/>
        <v>23</v>
      </c>
      <c r="S29" s="175">
        <f t="shared" si="1"/>
        <v>4.5999999999999996</v>
      </c>
      <c r="T29" s="176"/>
    </row>
    <row r="30" spans="1:20" ht="39.75" customHeight="1" thickBot="1" x14ac:dyDescent="0.35">
      <c r="A30" s="173">
        <v>20</v>
      </c>
      <c r="B30" s="193" t="s">
        <v>325</v>
      </c>
      <c r="C30" s="174">
        <v>4</v>
      </c>
      <c r="D30" s="174">
        <v>4</v>
      </c>
      <c r="E30" s="174">
        <v>5</v>
      </c>
      <c r="F30" s="174">
        <v>5</v>
      </c>
      <c r="G30" s="174">
        <v>5</v>
      </c>
      <c r="H30" s="174"/>
      <c r="I30" s="174"/>
      <c r="J30" s="174"/>
      <c r="K30" s="174"/>
      <c r="L30" s="174"/>
      <c r="M30" s="174"/>
      <c r="N30" s="174"/>
      <c r="O30" s="174"/>
      <c r="P30" s="174"/>
      <c r="Q30" s="174"/>
      <c r="R30" s="173">
        <f t="shared" si="0"/>
        <v>23</v>
      </c>
      <c r="S30" s="175">
        <f t="shared" si="1"/>
        <v>4.5999999999999996</v>
      </c>
      <c r="T30" s="176"/>
    </row>
    <row r="31" spans="1:20" ht="49.5" customHeight="1" thickBot="1" x14ac:dyDescent="0.35">
      <c r="A31" s="173">
        <v>21</v>
      </c>
      <c r="B31" s="193" t="s">
        <v>326</v>
      </c>
      <c r="C31" s="174">
        <v>4</v>
      </c>
      <c r="D31" s="174">
        <v>4</v>
      </c>
      <c r="E31" s="174">
        <v>5</v>
      </c>
      <c r="F31" s="174">
        <v>5</v>
      </c>
      <c r="G31" s="174">
        <v>5</v>
      </c>
      <c r="H31" s="174"/>
      <c r="I31" s="174"/>
      <c r="J31" s="174"/>
      <c r="K31" s="174"/>
      <c r="L31" s="174"/>
      <c r="M31" s="174"/>
      <c r="N31" s="174"/>
      <c r="O31" s="174"/>
      <c r="P31" s="174"/>
      <c r="Q31" s="174"/>
      <c r="R31" s="173">
        <f t="shared" si="0"/>
        <v>23</v>
      </c>
      <c r="S31" s="175">
        <f t="shared" si="1"/>
        <v>4.5999999999999996</v>
      </c>
      <c r="T31" s="176"/>
    </row>
    <row r="32" spans="1:20" ht="42" customHeight="1" thickBot="1" x14ac:dyDescent="0.35">
      <c r="A32" s="173">
        <v>22</v>
      </c>
      <c r="B32" s="193" t="s">
        <v>327</v>
      </c>
      <c r="C32" s="174">
        <v>4</v>
      </c>
      <c r="D32" s="174">
        <v>3</v>
      </c>
      <c r="E32" s="174">
        <v>3</v>
      </c>
      <c r="F32" s="174">
        <v>3</v>
      </c>
      <c r="G32" s="174">
        <v>4</v>
      </c>
      <c r="H32" s="174"/>
      <c r="I32" s="174"/>
      <c r="J32" s="174"/>
      <c r="K32" s="174"/>
      <c r="L32" s="174"/>
      <c r="M32" s="174"/>
      <c r="N32" s="174"/>
      <c r="O32" s="174"/>
      <c r="P32" s="174"/>
      <c r="Q32" s="174"/>
      <c r="R32" s="173">
        <f t="shared" si="0"/>
        <v>17</v>
      </c>
      <c r="S32" s="175">
        <f t="shared" si="1"/>
        <v>3.4</v>
      </c>
      <c r="T32" s="176"/>
    </row>
    <row r="33" spans="1:20" ht="67.5" customHeight="1" thickBot="1" x14ac:dyDescent="0.35">
      <c r="A33" s="173">
        <v>23</v>
      </c>
      <c r="B33" s="194" t="s">
        <v>355</v>
      </c>
      <c r="C33" s="174">
        <v>4</v>
      </c>
      <c r="D33" s="174">
        <v>3</v>
      </c>
      <c r="E33" s="174">
        <v>5</v>
      </c>
      <c r="F33" s="174">
        <v>5</v>
      </c>
      <c r="G33" s="174">
        <v>5</v>
      </c>
      <c r="H33" s="174"/>
      <c r="I33" s="174"/>
      <c r="J33" s="174"/>
      <c r="K33" s="174"/>
      <c r="L33" s="174"/>
      <c r="M33" s="174"/>
      <c r="N33" s="174"/>
      <c r="O33" s="174"/>
      <c r="P33" s="174"/>
      <c r="Q33" s="174"/>
      <c r="R33" s="173">
        <f t="shared" si="0"/>
        <v>22</v>
      </c>
      <c r="S33" s="175">
        <f t="shared" si="1"/>
        <v>4.4000000000000004</v>
      </c>
      <c r="T33" s="176"/>
    </row>
    <row r="34" spans="1:20" ht="48" customHeight="1" thickBot="1" x14ac:dyDescent="0.35">
      <c r="A34" s="173">
        <v>24</v>
      </c>
      <c r="B34" s="208" t="s">
        <v>401</v>
      </c>
      <c r="C34" s="174">
        <v>4</v>
      </c>
      <c r="D34" s="174">
        <v>5</v>
      </c>
      <c r="E34" s="174">
        <v>5</v>
      </c>
      <c r="F34" s="174">
        <v>5</v>
      </c>
      <c r="G34" s="174">
        <v>5</v>
      </c>
      <c r="H34" s="174"/>
      <c r="I34" s="174"/>
      <c r="J34" s="174"/>
      <c r="K34" s="174"/>
      <c r="L34" s="174"/>
      <c r="M34" s="174"/>
      <c r="N34" s="174"/>
      <c r="O34" s="174"/>
      <c r="P34" s="174"/>
      <c r="Q34" s="174"/>
      <c r="R34" s="173">
        <f>SUM(C34:Q34)</f>
        <v>24</v>
      </c>
      <c r="S34" s="175">
        <f>IF(ISERROR(AVERAGE(C34:Q34)),0,AVERAGE(C34:Q34))</f>
        <v>4.8</v>
      </c>
      <c r="T34" s="176"/>
    </row>
    <row r="35" spans="1:20" ht="46.5" customHeight="1" thickBot="1" x14ac:dyDescent="0.35">
      <c r="A35" s="173">
        <v>25</v>
      </c>
      <c r="B35" s="198" t="s">
        <v>337</v>
      </c>
      <c r="C35" s="174">
        <v>4</v>
      </c>
      <c r="D35" s="174">
        <v>5</v>
      </c>
      <c r="E35" s="174">
        <v>5</v>
      </c>
      <c r="F35" s="174">
        <v>5</v>
      </c>
      <c r="G35" s="174">
        <v>5</v>
      </c>
      <c r="H35" s="174"/>
      <c r="I35" s="174"/>
      <c r="J35" s="174"/>
      <c r="K35" s="174"/>
      <c r="L35" s="174"/>
      <c r="M35" s="174"/>
      <c r="N35" s="174"/>
      <c r="O35" s="174"/>
      <c r="P35" s="174"/>
      <c r="Q35" s="174"/>
      <c r="R35" s="173">
        <f t="shared" si="0"/>
        <v>24</v>
      </c>
      <c r="S35" s="175">
        <f t="shared" si="1"/>
        <v>4.8</v>
      </c>
      <c r="T35" s="176"/>
    </row>
    <row r="36" spans="1:20" ht="44.25" customHeight="1" thickBot="1" x14ac:dyDescent="0.35">
      <c r="A36" s="173">
        <v>26</v>
      </c>
      <c r="B36" s="199" t="s">
        <v>340</v>
      </c>
      <c r="C36" s="174">
        <v>4</v>
      </c>
      <c r="D36" s="174">
        <v>5</v>
      </c>
      <c r="E36" s="174">
        <v>5</v>
      </c>
      <c r="F36" s="174">
        <v>5</v>
      </c>
      <c r="G36" s="174">
        <v>5</v>
      </c>
      <c r="H36" s="174"/>
      <c r="I36" s="174"/>
      <c r="J36" s="174"/>
      <c r="K36" s="174"/>
      <c r="L36" s="174"/>
      <c r="M36" s="174"/>
      <c r="N36" s="174"/>
      <c r="O36" s="174"/>
      <c r="P36" s="174"/>
      <c r="Q36" s="174"/>
      <c r="R36" s="173">
        <f t="shared" si="0"/>
        <v>24</v>
      </c>
      <c r="S36" s="175">
        <f t="shared" si="1"/>
        <v>4.8</v>
      </c>
      <c r="T36" s="176"/>
    </row>
    <row r="37" spans="1:20" ht="42.75" customHeight="1" thickBot="1" x14ac:dyDescent="0.35">
      <c r="A37" s="173">
        <v>27</v>
      </c>
      <c r="B37" s="199" t="s">
        <v>342</v>
      </c>
      <c r="C37" s="174">
        <v>4</v>
      </c>
      <c r="D37" s="174">
        <v>5</v>
      </c>
      <c r="E37" s="174">
        <v>5</v>
      </c>
      <c r="F37" s="174">
        <v>5</v>
      </c>
      <c r="G37" s="174">
        <v>5</v>
      </c>
      <c r="H37" s="174"/>
      <c r="I37" s="174"/>
      <c r="J37" s="174"/>
      <c r="K37" s="174"/>
      <c r="L37" s="174"/>
      <c r="M37" s="174"/>
      <c r="N37" s="174"/>
      <c r="O37" s="174"/>
      <c r="P37" s="174"/>
      <c r="Q37" s="174"/>
      <c r="R37" s="173">
        <f t="shared" si="0"/>
        <v>24</v>
      </c>
      <c r="S37" s="175">
        <f t="shared" si="1"/>
        <v>4.8</v>
      </c>
      <c r="T37" s="176"/>
    </row>
    <row r="38" spans="1:20" ht="42" customHeight="1" thickBot="1" x14ac:dyDescent="0.35">
      <c r="A38" s="173">
        <v>28</v>
      </c>
      <c r="B38" s="195" t="s">
        <v>328</v>
      </c>
      <c r="C38" s="174">
        <v>3</v>
      </c>
      <c r="D38" s="174">
        <v>5</v>
      </c>
      <c r="E38" s="174">
        <v>3</v>
      </c>
      <c r="F38" s="174">
        <v>2</v>
      </c>
      <c r="G38" s="174">
        <v>4</v>
      </c>
      <c r="H38" s="174"/>
      <c r="I38" s="174"/>
      <c r="J38" s="174"/>
      <c r="K38" s="174"/>
      <c r="L38" s="174"/>
      <c r="M38" s="174"/>
      <c r="N38" s="174"/>
      <c r="O38" s="174"/>
      <c r="P38" s="174"/>
      <c r="Q38" s="174"/>
      <c r="R38" s="173">
        <f t="shared" si="0"/>
        <v>17</v>
      </c>
      <c r="S38" s="175">
        <f t="shared" si="1"/>
        <v>3.4</v>
      </c>
      <c r="T38" s="176"/>
    </row>
    <row r="39" spans="1:20" ht="42.75" customHeight="1" thickBot="1" x14ac:dyDescent="0.35">
      <c r="A39" s="173">
        <v>29</v>
      </c>
      <c r="B39" s="195" t="s">
        <v>329</v>
      </c>
      <c r="C39" s="174">
        <v>3</v>
      </c>
      <c r="D39" s="174">
        <v>5</v>
      </c>
      <c r="E39" s="174">
        <v>3</v>
      </c>
      <c r="F39" s="174">
        <v>2</v>
      </c>
      <c r="G39" s="174">
        <v>4</v>
      </c>
      <c r="H39" s="174"/>
      <c r="I39" s="174"/>
      <c r="J39" s="174"/>
      <c r="K39" s="174"/>
      <c r="L39" s="174"/>
      <c r="M39" s="174"/>
      <c r="N39" s="174"/>
      <c r="O39" s="174"/>
      <c r="P39" s="174"/>
      <c r="Q39" s="174"/>
      <c r="R39" s="173">
        <f t="shared" si="0"/>
        <v>17</v>
      </c>
      <c r="S39" s="175">
        <f t="shared" si="1"/>
        <v>3.4</v>
      </c>
      <c r="T39" s="176"/>
    </row>
    <row r="40" spans="1:20" ht="47.25" customHeight="1" thickBot="1" x14ac:dyDescent="0.35">
      <c r="A40" s="173">
        <v>30</v>
      </c>
      <c r="B40" s="195" t="s">
        <v>330</v>
      </c>
      <c r="C40" s="174">
        <v>3</v>
      </c>
      <c r="D40" s="174">
        <v>5</v>
      </c>
      <c r="E40" s="174">
        <v>3</v>
      </c>
      <c r="F40" s="174">
        <v>2</v>
      </c>
      <c r="G40" s="174">
        <v>4</v>
      </c>
      <c r="H40" s="174"/>
      <c r="I40" s="174"/>
      <c r="J40" s="174"/>
      <c r="K40" s="174"/>
      <c r="L40" s="174"/>
      <c r="M40" s="174"/>
      <c r="N40" s="174"/>
      <c r="O40" s="174"/>
      <c r="P40" s="174"/>
      <c r="Q40" s="174"/>
      <c r="R40" s="173">
        <f t="shared" si="0"/>
        <v>17</v>
      </c>
      <c r="S40" s="175">
        <f t="shared" si="1"/>
        <v>3.4</v>
      </c>
      <c r="T40" s="176"/>
    </row>
    <row r="41" spans="1:20" ht="50.25" customHeight="1" thickBot="1" x14ac:dyDescent="0.35">
      <c r="A41" s="173">
        <v>31</v>
      </c>
      <c r="B41" s="195" t="s">
        <v>331</v>
      </c>
      <c r="C41" s="174">
        <v>3</v>
      </c>
      <c r="D41" s="174">
        <v>5</v>
      </c>
      <c r="E41" s="174">
        <v>3</v>
      </c>
      <c r="F41" s="174">
        <v>2</v>
      </c>
      <c r="G41" s="174">
        <v>4</v>
      </c>
      <c r="H41" s="177"/>
      <c r="I41" s="177"/>
      <c r="J41" s="177"/>
      <c r="K41" s="177"/>
      <c r="L41" s="177"/>
      <c r="M41" s="177"/>
      <c r="N41" s="177"/>
      <c r="O41" s="177"/>
      <c r="P41" s="177"/>
      <c r="Q41" s="177"/>
      <c r="R41" s="173">
        <f t="shared" si="0"/>
        <v>17</v>
      </c>
      <c r="S41" s="175">
        <f>IF(ISERROR(AVERAGE(C41:Q41)),0,AVERAGE(C41:Q41))</f>
        <v>3.4</v>
      </c>
      <c r="T41" s="176"/>
    </row>
    <row r="42" spans="1:20" ht="24" customHeight="1" x14ac:dyDescent="0.3">
      <c r="A42" s="468" t="s">
        <v>246</v>
      </c>
      <c r="B42" s="469"/>
      <c r="C42" s="469"/>
      <c r="D42" s="469"/>
      <c r="E42" s="469"/>
      <c r="F42" s="469"/>
      <c r="G42" s="469"/>
      <c r="H42" s="469"/>
      <c r="I42" s="469"/>
      <c r="J42" s="469"/>
      <c r="K42" s="469"/>
      <c r="L42" s="469"/>
      <c r="M42" s="469"/>
      <c r="N42" s="469"/>
      <c r="O42" s="469"/>
      <c r="P42" s="469"/>
      <c r="Q42" s="469"/>
      <c r="R42" s="470"/>
      <c r="S42" s="178">
        <f>SUM(S11:S41)</f>
        <v>128.6</v>
      </c>
    </row>
    <row r="43" spans="1:20" ht="28.5" customHeight="1" thickBot="1" x14ac:dyDescent="0.35">
      <c r="A43" s="448" t="s">
        <v>244</v>
      </c>
      <c r="B43" s="449"/>
      <c r="C43" s="449"/>
      <c r="D43" s="449"/>
      <c r="E43" s="449"/>
      <c r="F43" s="449"/>
      <c r="G43" s="449"/>
      <c r="H43" s="449"/>
      <c r="I43" s="449"/>
      <c r="J43" s="449"/>
      <c r="K43" s="449"/>
      <c r="L43" s="449"/>
      <c r="M43" s="449"/>
      <c r="N43" s="449"/>
      <c r="O43" s="449"/>
      <c r="P43" s="449"/>
      <c r="Q43" s="449"/>
      <c r="R43" s="449"/>
      <c r="S43" s="179">
        <f>S42/A41</f>
        <v>4.1483870967741936</v>
      </c>
    </row>
  </sheetData>
  <mergeCells count="15">
    <mergeCell ref="A1:B4"/>
    <mergeCell ref="S1:S4"/>
    <mergeCell ref="Y10:AA10"/>
    <mergeCell ref="A43:R43"/>
    <mergeCell ref="T1:W1"/>
    <mergeCell ref="T2:W2"/>
    <mergeCell ref="T3:W3"/>
    <mergeCell ref="T4:W4"/>
    <mergeCell ref="A5:T5"/>
    <mergeCell ref="A6:T6"/>
    <mergeCell ref="A7:T7"/>
    <mergeCell ref="A9:T9"/>
    <mergeCell ref="A42:R42"/>
    <mergeCell ref="C1:R2"/>
    <mergeCell ref="C3:R4"/>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41" xr:uid="{00000000-0002-0000-0200-000000000000}">
      <formula1>1</formula1>
      <formula2>5</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19</xdr:col>
                    <xdr:colOff>487680</xdr:colOff>
                    <xdr:row>10</xdr:row>
                    <xdr:rowOff>160020</xdr:rowOff>
                  </from>
                  <to>
                    <xdr:col>19</xdr:col>
                    <xdr:colOff>876300</xdr:colOff>
                    <xdr:row>10</xdr:row>
                    <xdr:rowOff>381000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19</xdr:col>
                    <xdr:colOff>487680</xdr:colOff>
                    <xdr:row>11</xdr:row>
                    <xdr:rowOff>160020</xdr:rowOff>
                  </from>
                  <to>
                    <xdr:col>19</xdr:col>
                    <xdr:colOff>876300</xdr:colOff>
                    <xdr:row>11</xdr:row>
                    <xdr:rowOff>381000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19</xdr:col>
                    <xdr:colOff>487680</xdr:colOff>
                    <xdr:row>12</xdr:row>
                    <xdr:rowOff>160020</xdr:rowOff>
                  </from>
                  <to>
                    <xdr:col>19</xdr:col>
                    <xdr:colOff>876300</xdr:colOff>
                    <xdr:row>12</xdr:row>
                    <xdr:rowOff>381000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19</xdr:col>
                    <xdr:colOff>487680</xdr:colOff>
                    <xdr:row>13</xdr:row>
                    <xdr:rowOff>160020</xdr:rowOff>
                  </from>
                  <to>
                    <xdr:col>19</xdr:col>
                    <xdr:colOff>876300</xdr:colOff>
                    <xdr:row>13</xdr:row>
                    <xdr:rowOff>381000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19</xdr:col>
                    <xdr:colOff>487680</xdr:colOff>
                    <xdr:row>14</xdr:row>
                    <xdr:rowOff>160020</xdr:rowOff>
                  </from>
                  <to>
                    <xdr:col>19</xdr:col>
                    <xdr:colOff>876300</xdr:colOff>
                    <xdr:row>14</xdr:row>
                    <xdr:rowOff>381000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19</xdr:col>
                    <xdr:colOff>487680</xdr:colOff>
                    <xdr:row>15</xdr:row>
                    <xdr:rowOff>160020</xdr:rowOff>
                  </from>
                  <to>
                    <xdr:col>19</xdr:col>
                    <xdr:colOff>876300</xdr:colOff>
                    <xdr:row>15</xdr:row>
                    <xdr:rowOff>381000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19</xdr:col>
                    <xdr:colOff>487680</xdr:colOff>
                    <xdr:row>16</xdr:row>
                    <xdr:rowOff>160020</xdr:rowOff>
                  </from>
                  <to>
                    <xdr:col>19</xdr:col>
                    <xdr:colOff>876300</xdr:colOff>
                    <xdr:row>16</xdr:row>
                    <xdr:rowOff>381000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19</xdr:col>
                    <xdr:colOff>487680</xdr:colOff>
                    <xdr:row>17</xdr:row>
                    <xdr:rowOff>160020</xdr:rowOff>
                  </from>
                  <to>
                    <xdr:col>19</xdr:col>
                    <xdr:colOff>876300</xdr:colOff>
                    <xdr:row>17</xdr:row>
                    <xdr:rowOff>381000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19</xdr:col>
                    <xdr:colOff>487680</xdr:colOff>
                    <xdr:row>18</xdr:row>
                    <xdr:rowOff>160020</xdr:rowOff>
                  </from>
                  <to>
                    <xdr:col>19</xdr:col>
                    <xdr:colOff>876300</xdr:colOff>
                    <xdr:row>18</xdr:row>
                    <xdr:rowOff>381000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19</xdr:col>
                    <xdr:colOff>487680</xdr:colOff>
                    <xdr:row>19</xdr:row>
                    <xdr:rowOff>160020</xdr:rowOff>
                  </from>
                  <to>
                    <xdr:col>19</xdr:col>
                    <xdr:colOff>876300</xdr:colOff>
                    <xdr:row>19</xdr:row>
                    <xdr:rowOff>381000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19</xdr:col>
                    <xdr:colOff>487680</xdr:colOff>
                    <xdr:row>20</xdr:row>
                    <xdr:rowOff>160020</xdr:rowOff>
                  </from>
                  <to>
                    <xdr:col>19</xdr:col>
                    <xdr:colOff>876300</xdr:colOff>
                    <xdr:row>20</xdr:row>
                    <xdr:rowOff>381000</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19</xdr:col>
                    <xdr:colOff>487680</xdr:colOff>
                    <xdr:row>21</xdr:row>
                    <xdr:rowOff>160020</xdr:rowOff>
                  </from>
                  <to>
                    <xdr:col>19</xdr:col>
                    <xdr:colOff>876300</xdr:colOff>
                    <xdr:row>21</xdr:row>
                    <xdr:rowOff>381000</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19</xdr:col>
                    <xdr:colOff>487680</xdr:colOff>
                    <xdr:row>22</xdr:row>
                    <xdr:rowOff>160020</xdr:rowOff>
                  </from>
                  <to>
                    <xdr:col>19</xdr:col>
                    <xdr:colOff>876300</xdr:colOff>
                    <xdr:row>22</xdr:row>
                    <xdr:rowOff>381000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19</xdr:col>
                    <xdr:colOff>487680</xdr:colOff>
                    <xdr:row>23</xdr:row>
                    <xdr:rowOff>160020</xdr:rowOff>
                  </from>
                  <to>
                    <xdr:col>19</xdr:col>
                    <xdr:colOff>876300</xdr:colOff>
                    <xdr:row>23</xdr:row>
                    <xdr:rowOff>381000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19</xdr:col>
                    <xdr:colOff>487680</xdr:colOff>
                    <xdr:row>24</xdr:row>
                    <xdr:rowOff>160020</xdr:rowOff>
                  </from>
                  <to>
                    <xdr:col>19</xdr:col>
                    <xdr:colOff>876300</xdr:colOff>
                    <xdr:row>24</xdr:row>
                    <xdr:rowOff>381000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19</xdr:col>
                    <xdr:colOff>487680</xdr:colOff>
                    <xdr:row>25</xdr:row>
                    <xdr:rowOff>160020</xdr:rowOff>
                  </from>
                  <to>
                    <xdr:col>19</xdr:col>
                    <xdr:colOff>876300</xdr:colOff>
                    <xdr:row>25</xdr:row>
                    <xdr:rowOff>381000</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19</xdr:col>
                    <xdr:colOff>487680</xdr:colOff>
                    <xdr:row>26</xdr:row>
                    <xdr:rowOff>160020</xdr:rowOff>
                  </from>
                  <to>
                    <xdr:col>19</xdr:col>
                    <xdr:colOff>876300</xdr:colOff>
                    <xdr:row>26</xdr:row>
                    <xdr:rowOff>381000</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from>
                    <xdr:col>19</xdr:col>
                    <xdr:colOff>487680</xdr:colOff>
                    <xdr:row>27</xdr:row>
                    <xdr:rowOff>160020</xdr:rowOff>
                  </from>
                  <to>
                    <xdr:col>19</xdr:col>
                    <xdr:colOff>876300</xdr:colOff>
                    <xdr:row>27</xdr:row>
                    <xdr:rowOff>381000</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from>
                    <xdr:col>19</xdr:col>
                    <xdr:colOff>487680</xdr:colOff>
                    <xdr:row>28</xdr:row>
                    <xdr:rowOff>160020</xdr:rowOff>
                  </from>
                  <to>
                    <xdr:col>19</xdr:col>
                    <xdr:colOff>876300</xdr:colOff>
                    <xdr:row>28</xdr:row>
                    <xdr:rowOff>381000</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19</xdr:col>
                    <xdr:colOff>487680</xdr:colOff>
                    <xdr:row>29</xdr:row>
                    <xdr:rowOff>160020</xdr:rowOff>
                  </from>
                  <to>
                    <xdr:col>19</xdr:col>
                    <xdr:colOff>876300</xdr:colOff>
                    <xdr:row>29</xdr:row>
                    <xdr:rowOff>381000</xdr:rowOff>
                  </to>
                </anchor>
              </controlPr>
            </control>
          </mc:Choice>
        </mc:AlternateContent>
        <mc:AlternateContent xmlns:mc="http://schemas.openxmlformats.org/markup-compatibility/2006">
          <mc:Choice Requires="x14">
            <control shapeId="2077" r:id="rId24" name="Check Box 29">
              <controlPr defaultSize="0" autoFill="0" autoLine="0" autoPict="0">
                <anchor moveWithCells="1">
                  <from>
                    <xdr:col>19</xdr:col>
                    <xdr:colOff>487680</xdr:colOff>
                    <xdr:row>30</xdr:row>
                    <xdr:rowOff>160020</xdr:rowOff>
                  </from>
                  <to>
                    <xdr:col>19</xdr:col>
                    <xdr:colOff>876300</xdr:colOff>
                    <xdr:row>30</xdr:row>
                    <xdr:rowOff>381000</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from>
                    <xdr:col>19</xdr:col>
                    <xdr:colOff>487680</xdr:colOff>
                    <xdr:row>31</xdr:row>
                    <xdr:rowOff>160020</xdr:rowOff>
                  </from>
                  <to>
                    <xdr:col>19</xdr:col>
                    <xdr:colOff>876300</xdr:colOff>
                    <xdr:row>31</xdr:row>
                    <xdr:rowOff>381000</xdr:rowOff>
                  </to>
                </anchor>
              </controlPr>
            </control>
          </mc:Choice>
        </mc:AlternateContent>
        <mc:AlternateContent xmlns:mc="http://schemas.openxmlformats.org/markup-compatibility/2006">
          <mc:Choice Requires="x14">
            <control shapeId="2079" r:id="rId26" name="Check Box 31">
              <controlPr defaultSize="0" autoFill="0" autoLine="0" autoPict="0">
                <anchor moveWithCells="1">
                  <from>
                    <xdr:col>19</xdr:col>
                    <xdr:colOff>487680</xdr:colOff>
                    <xdr:row>32</xdr:row>
                    <xdr:rowOff>160020</xdr:rowOff>
                  </from>
                  <to>
                    <xdr:col>19</xdr:col>
                    <xdr:colOff>876300</xdr:colOff>
                    <xdr:row>32</xdr:row>
                    <xdr:rowOff>381000</xdr:rowOff>
                  </to>
                </anchor>
              </controlPr>
            </control>
          </mc:Choice>
        </mc:AlternateContent>
        <mc:AlternateContent xmlns:mc="http://schemas.openxmlformats.org/markup-compatibility/2006">
          <mc:Choice Requires="x14">
            <control shapeId="2080" r:id="rId27" name="Check Box 32">
              <controlPr defaultSize="0" autoFill="0" autoLine="0" autoPict="0">
                <anchor moveWithCells="1">
                  <from>
                    <xdr:col>19</xdr:col>
                    <xdr:colOff>487680</xdr:colOff>
                    <xdr:row>34</xdr:row>
                    <xdr:rowOff>160020</xdr:rowOff>
                  </from>
                  <to>
                    <xdr:col>19</xdr:col>
                    <xdr:colOff>876300</xdr:colOff>
                    <xdr:row>34</xdr:row>
                    <xdr:rowOff>381000</xdr:rowOff>
                  </to>
                </anchor>
              </controlPr>
            </control>
          </mc:Choice>
        </mc:AlternateContent>
        <mc:AlternateContent xmlns:mc="http://schemas.openxmlformats.org/markup-compatibility/2006">
          <mc:Choice Requires="x14">
            <control shapeId="2081" r:id="rId28" name="Check Box 33">
              <controlPr defaultSize="0" autoFill="0" autoLine="0" autoPict="0">
                <anchor moveWithCells="1">
                  <from>
                    <xdr:col>19</xdr:col>
                    <xdr:colOff>487680</xdr:colOff>
                    <xdr:row>35</xdr:row>
                    <xdr:rowOff>160020</xdr:rowOff>
                  </from>
                  <to>
                    <xdr:col>19</xdr:col>
                    <xdr:colOff>876300</xdr:colOff>
                    <xdr:row>35</xdr:row>
                    <xdr:rowOff>381000</xdr:rowOff>
                  </to>
                </anchor>
              </controlPr>
            </control>
          </mc:Choice>
        </mc:AlternateContent>
        <mc:AlternateContent xmlns:mc="http://schemas.openxmlformats.org/markup-compatibility/2006">
          <mc:Choice Requires="x14">
            <control shapeId="2082" r:id="rId29" name="Check Box 34">
              <controlPr defaultSize="0" autoFill="0" autoLine="0" autoPict="0">
                <anchor moveWithCells="1">
                  <from>
                    <xdr:col>19</xdr:col>
                    <xdr:colOff>487680</xdr:colOff>
                    <xdr:row>36</xdr:row>
                    <xdr:rowOff>160020</xdr:rowOff>
                  </from>
                  <to>
                    <xdr:col>19</xdr:col>
                    <xdr:colOff>876300</xdr:colOff>
                    <xdr:row>36</xdr:row>
                    <xdr:rowOff>381000</xdr:rowOff>
                  </to>
                </anchor>
              </controlPr>
            </control>
          </mc:Choice>
        </mc:AlternateContent>
        <mc:AlternateContent xmlns:mc="http://schemas.openxmlformats.org/markup-compatibility/2006">
          <mc:Choice Requires="x14">
            <control shapeId="2083" r:id="rId30" name="Check Box 35">
              <controlPr defaultSize="0" autoFill="0" autoLine="0" autoPict="0">
                <anchor moveWithCells="1">
                  <from>
                    <xdr:col>19</xdr:col>
                    <xdr:colOff>487680</xdr:colOff>
                    <xdr:row>37</xdr:row>
                    <xdr:rowOff>160020</xdr:rowOff>
                  </from>
                  <to>
                    <xdr:col>19</xdr:col>
                    <xdr:colOff>876300</xdr:colOff>
                    <xdr:row>37</xdr:row>
                    <xdr:rowOff>381000</xdr:rowOff>
                  </to>
                </anchor>
              </controlPr>
            </control>
          </mc:Choice>
        </mc:AlternateContent>
        <mc:AlternateContent xmlns:mc="http://schemas.openxmlformats.org/markup-compatibility/2006">
          <mc:Choice Requires="x14">
            <control shapeId="2084" r:id="rId31" name="Check Box 36">
              <controlPr defaultSize="0" autoFill="0" autoLine="0" autoPict="0">
                <anchor moveWithCells="1">
                  <from>
                    <xdr:col>19</xdr:col>
                    <xdr:colOff>487680</xdr:colOff>
                    <xdr:row>38</xdr:row>
                    <xdr:rowOff>160020</xdr:rowOff>
                  </from>
                  <to>
                    <xdr:col>19</xdr:col>
                    <xdr:colOff>876300</xdr:colOff>
                    <xdr:row>38</xdr:row>
                    <xdr:rowOff>381000</xdr:rowOff>
                  </to>
                </anchor>
              </controlPr>
            </control>
          </mc:Choice>
        </mc:AlternateContent>
        <mc:AlternateContent xmlns:mc="http://schemas.openxmlformats.org/markup-compatibility/2006">
          <mc:Choice Requires="x14">
            <control shapeId="2085" r:id="rId32" name="Check Box 37">
              <controlPr defaultSize="0" autoFill="0" autoLine="0" autoPict="0">
                <anchor moveWithCells="1">
                  <from>
                    <xdr:col>19</xdr:col>
                    <xdr:colOff>487680</xdr:colOff>
                    <xdr:row>39</xdr:row>
                    <xdr:rowOff>160020</xdr:rowOff>
                  </from>
                  <to>
                    <xdr:col>19</xdr:col>
                    <xdr:colOff>876300</xdr:colOff>
                    <xdr:row>39</xdr:row>
                    <xdr:rowOff>381000</xdr:rowOff>
                  </to>
                </anchor>
              </controlPr>
            </control>
          </mc:Choice>
        </mc:AlternateContent>
        <mc:AlternateContent xmlns:mc="http://schemas.openxmlformats.org/markup-compatibility/2006">
          <mc:Choice Requires="x14">
            <control shapeId="2086" r:id="rId33" name="Check Box 38">
              <controlPr defaultSize="0" autoFill="0" autoLine="0" autoPict="0">
                <anchor moveWithCells="1">
                  <from>
                    <xdr:col>19</xdr:col>
                    <xdr:colOff>487680</xdr:colOff>
                    <xdr:row>40</xdr:row>
                    <xdr:rowOff>160020</xdr:rowOff>
                  </from>
                  <to>
                    <xdr:col>19</xdr:col>
                    <xdr:colOff>876300</xdr:colOff>
                    <xdr:row>40</xdr:row>
                    <xdr:rowOff>381000</xdr:rowOff>
                  </to>
                </anchor>
              </controlPr>
            </control>
          </mc:Choice>
        </mc:AlternateContent>
        <mc:AlternateContent xmlns:mc="http://schemas.openxmlformats.org/markup-compatibility/2006">
          <mc:Choice Requires="x14">
            <control shapeId="2087" r:id="rId34" name="Check Box 39">
              <controlPr defaultSize="0" autoFill="0" autoLine="0" autoPict="0">
                <anchor moveWithCells="1">
                  <from>
                    <xdr:col>19</xdr:col>
                    <xdr:colOff>487680</xdr:colOff>
                    <xdr:row>33</xdr:row>
                    <xdr:rowOff>160020</xdr:rowOff>
                  </from>
                  <to>
                    <xdr:col>19</xdr:col>
                    <xdr:colOff>876300</xdr:colOff>
                    <xdr:row>33</xdr:row>
                    <xdr:rowOff>381000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P143"/>
  <sheetViews>
    <sheetView zoomScale="70" zoomScaleNormal="70" workbookViewId="0">
      <selection activeCell="L9" sqref="L9"/>
    </sheetView>
  </sheetViews>
  <sheetFormatPr baseColWidth="10" defaultColWidth="11.44140625" defaultRowHeight="44.25" customHeight="1" x14ac:dyDescent="0.25"/>
  <cols>
    <col min="1" max="1" width="11.109375" style="141" customWidth="1"/>
    <col min="2" max="2" width="16.6640625" style="141" customWidth="1"/>
    <col min="3" max="3" width="24.88671875" style="141" customWidth="1"/>
    <col min="4" max="4" width="20.44140625" style="141" customWidth="1"/>
    <col min="5" max="5" width="38" style="141" customWidth="1"/>
    <col min="6" max="6" width="45.44140625" style="141" customWidth="1"/>
    <col min="7" max="7" width="18.33203125" style="141" customWidth="1"/>
    <col min="8" max="8" width="29.88671875" style="141" customWidth="1"/>
    <col min="9" max="9" width="19.33203125" style="141" customWidth="1"/>
    <col min="10" max="10" width="14.5546875" style="141" customWidth="1"/>
    <col min="11" max="11" width="11.44140625" style="141" hidden="1" customWidth="1"/>
    <col min="12" max="12" width="43.5546875" style="141" customWidth="1"/>
    <col min="13" max="13" width="11.44140625" style="141"/>
    <col min="14" max="14" width="42.6640625" style="141" customWidth="1"/>
    <col min="15" max="15" width="11.44140625" style="141"/>
    <col min="16" max="16" width="36.88671875" style="141" customWidth="1"/>
    <col min="17" max="16384" width="11.44140625" style="141"/>
  </cols>
  <sheetData>
    <row r="1" spans="1:11" ht="20.399999999999999" customHeight="1" thickBot="1" x14ac:dyDescent="0.3">
      <c r="A1" s="487"/>
      <c r="B1" s="452"/>
      <c r="C1" s="428" t="s">
        <v>480</v>
      </c>
      <c r="D1" s="428"/>
      <c r="E1" s="428"/>
      <c r="F1" s="428"/>
      <c r="G1" s="428"/>
      <c r="H1" s="139" t="str">
        <f>Contexto!E1</f>
        <v>Codigo:FOR-029-PRO-SIG-01</v>
      </c>
      <c r="I1" s="499"/>
      <c r="J1" s="500"/>
      <c r="K1" s="140"/>
    </row>
    <row r="2" spans="1:11" ht="24.6" customHeight="1" thickBot="1" x14ac:dyDescent="0.3">
      <c r="A2" s="488"/>
      <c r="B2" s="454"/>
      <c r="C2" s="428"/>
      <c r="D2" s="428"/>
      <c r="E2" s="428"/>
      <c r="F2" s="428"/>
      <c r="G2" s="428"/>
      <c r="H2" s="139" t="str">
        <f>Contexto!E2</f>
        <v>Versión: 01</v>
      </c>
      <c r="I2" s="501"/>
      <c r="J2" s="502"/>
      <c r="K2" s="140"/>
    </row>
    <row r="3" spans="1:11" ht="24" customHeight="1" thickBot="1" x14ac:dyDescent="0.3">
      <c r="A3" s="488"/>
      <c r="B3" s="454"/>
      <c r="C3" s="428" t="s">
        <v>247</v>
      </c>
      <c r="D3" s="428"/>
      <c r="E3" s="428"/>
      <c r="F3" s="428"/>
      <c r="G3" s="428"/>
      <c r="H3" s="139" t="str">
        <f>Contexto!E3</f>
        <v>Fecha: 21/02/2024</v>
      </c>
      <c r="I3" s="501"/>
      <c r="J3" s="502"/>
      <c r="K3" s="140"/>
    </row>
    <row r="4" spans="1:11" ht="28.2" customHeight="1" x14ac:dyDescent="0.25">
      <c r="A4" s="489"/>
      <c r="B4" s="462"/>
      <c r="C4" s="428"/>
      <c r="D4" s="428"/>
      <c r="E4" s="428"/>
      <c r="F4" s="428"/>
      <c r="G4" s="428"/>
      <c r="H4" s="139" t="str">
        <f>Contexto!E4</f>
        <v>Pagina:  1 de 1</v>
      </c>
      <c r="I4" s="503"/>
      <c r="J4" s="504"/>
      <c r="K4" s="140"/>
    </row>
    <row r="5" spans="1:11" ht="44.25" customHeight="1" x14ac:dyDescent="0.25">
      <c r="A5" s="490" t="str">
        <f>Contexto!A8</f>
        <v>PROCESO:  SECRETARIA DE HACIENDA PUBLICA MUNICIPAL</v>
      </c>
      <c r="B5" s="491"/>
      <c r="C5" s="491"/>
      <c r="D5" s="491"/>
      <c r="E5" s="491"/>
      <c r="F5" s="491"/>
      <c r="G5" s="491"/>
      <c r="H5" s="491"/>
      <c r="I5" s="491"/>
      <c r="J5" s="492"/>
      <c r="K5" s="140"/>
    </row>
    <row r="6" spans="1:11" ht="44.25" customHeight="1" x14ac:dyDescent="0.25">
      <c r="A6" s="493" t="str">
        <f>Contexto!A9</f>
        <v xml:space="preserve">OBJETIVO:  ADMINISTRAR LAS FINANZAS PUBLICAS DEL MUNICIPIO DE IBAGUE, DE MANERA CONTINUA MEDIANTE EL RECAUDO, EJECUCIÓN, REGISTRO Y CONTROL PRESUPUESTAL, CONTABLE Y FINANCIERO PARA COADYUVAR EN LA PROMOCION DEL DESARROLLO ECONOMICO, CULTURAL, SOCIAL Y AMBIENTAL DE LA COMUNIDAD EN GENERAL, ASEGURANDO UN BUEN MANEJO DE LOS RECURSOS PUBLICOS CON TRANSPARENCIA Y EFECTIVIDAD. 
</v>
      </c>
      <c r="B6" s="494"/>
      <c r="C6" s="494"/>
      <c r="D6" s="494"/>
      <c r="E6" s="494"/>
      <c r="F6" s="494"/>
      <c r="G6" s="494"/>
      <c r="H6" s="494"/>
      <c r="I6" s="494"/>
      <c r="J6" s="495"/>
    </row>
    <row r="7" spans="1:11" ht="44.25" customHeight="1" thickBot="1" x14ac:dyDescent="0.3">
      <c r="A7" s="496"/>
      <c r="B7" s="497"/>
      <c r="C7" s="497"/>
      <c r="D7" s="497"/>
      <c r="E7" s="497"/>
      <c r="F7" s="497"/>
      <c r="G7" s="497"/>
      <c r="H7" s="497"/>
      <c r="I7" s="497"/>
      <c r="J7" s="498"/>
    </row>
    <row r="8" spans="1:11" ht="44.25" customHeight="1" x14ac:dyDescent="0.25">
      <c r="A8" s="505" t="s">
        <v>248</v>
      </c>
      <c r="B8" s="505"/>
      <c r="C8" s="505"/>
      <c r="D8" s="505"/>
      <c r="E8" s="506" t="s">
        <v>219</v>
      </c>
      <c r="F8" s="507"/>
      <c r="G8" s="507"/>
      <c r="H8" s="507"/>
      <c r="I8" s="507"/>
      <c r="J8" s="508"/>
    </row>
    <row r="9" spans="1:11" ht="44.25" customHeight="1" x14ac:dyDescent="0.25">
      <c r="A9" s="505"/>
      <c r="B9" s="505"/>
      <c r="C9" s="505"/>
      <c r="D9" s="505"/>
      <c r="E9" s="509" t="s">
        <v>249</v>
      </c>
      <c r="F9" s="509"/>
      <c r="G9" s="509" t="s">
        <v>250</v>
      </c>
      <c r="H9" s="509"/>
      <c r="I9" s="509"/>
      <c r="J9" s="509"/>
    </row>
    <row r="10" spans="1:11" ht="44.25" customHeight="1" x14ac:dyDescent="0.3">
      <c r="A10" s="505"/>
      <c r="B10" s="505"/>
      <c r="C10" s="505"/>
      <c r="D10" s="505"/>
      <c r="E10" s="510" t="s">
        <v>251</v>
      </c>
      <c r="F10" s="510"/>
      <c r="G10" s="511" t="s">
        <v>252</v>
      </c>
      <c r="H10" s="512"/>
      <c r="I10" s="512"/>
      <c r="J10" s="513"/>
    </row>
    <row r="11" spans="1:11" ht="44.25" customHeight="1" x14ac:dyDescent="0.25">
      <c r="A11" s="505"/>
      <c r="B11" s="505"/>
      <c r="C11" s="505"/>
      <c r="D11" s="505"/>
      <c r="E11" s="514" t="s">
        <v>265</v>
      </c>
      <c r="F11" s="515"/>
      <c r="G11" s="516" t="s">
        <v>276</v>
      </c>
      <c r="H11" s="516"/>
      <c r="I11" s="516"/>
      <c r="J11" s="516"/>
    </row>
    <row r="12" spans="1:11" ht="44.25" customHeight="1" x14ac:dyDescent="0.25">
      <c r="A12" s="505"/>
      <c r="B12" s="505"/>
      <c r="C12" s="505"/>
      <c r="D12" s="505"/>
      <c r="E12" s="514" t="s">
        <v>266</v>
      </c>
      <c r="F12" s="515"/>
      <c r="G12" s="516" t="s">
        <v>277</v>
      </c>
      <c r="H12" s="516"/>
      <c r="I12" s="516"/>
      <c r="J12" s="516"/>
    </row>
    <row r="13" spans="1:11" ht="44.25" customHeight="1" x14ac:dyDescent="0.25">
      <c r="A13" s="505"/>
      <c r="B13" s="505"/>
      <c r="C13" s="505"/>
      <c r="D13" s="505"/>
      <c r="E13" s="514" t="s">
        <v>267</v>
      </c>
      <c r="F13" s="515"/>
      <c r="G13" s="477" t="s">
        <v>278</v>
      </c>
      <c r="H13" s="477"/>
      <c r="I13" s="477"/>
      <c r="J13" s="477"/>
    </row>
    <row r="14" spans="1:11" ht="44.25" customHeight="1" x14ac:dyDescent="0.25">
      <c r="A14" s="505"/>
      <c r="B14" s="505"/>
      <c r="C14" s="505"/>
      <c r="D14" s="505"/>
      <c r="E14" s="478" t="s">
        <v>268</v>
      </c>
      <c r="F14" s="479"/>
      <c r="G14" s="516" t="s">
        <v>279</v>
      </c>
      <c r="H14" s="516"/>
      <c r="I14" s="516"/>
      <c r="J14" s="516"/>
    </row>
    <row r="15" spans="1:11" ht="44.25" customHeight="1" x14ac:dyDescent="0.25">
      <c r="A15" s="505"/>
      <c r="B15" s="505"/>
      <c r="C15" s="505"/>
      <c r="D15" s="505"/>
      <c r="E15" s="514" t="s">
        <v>269</v>
      </c>
      <c r="F15" s="515"/>
      <c r="G15" s="516" t="s">
        <v>280</v>
      </c>
      <c r="H15" s="516"/>
      <c r="I15" s="516"/>
      <c r="J15" s="516"/>
    </row>
    <row r="16" spans="1:11" ht="44.25" customHeight="1" x14ac:dyDescent="0.25">
      <c r="A16" s="505"/>
      <c r="B16" s="505"/>
      <c r="C16" s="505"/>
      <c r="D16" s="505"/>
      <c r="E16" s="514" t="s">
        <v>270</v>
      </c>
      <c r="F16" s="515"/>
      <c r="G16" s="516" t="s">
        <v>281</v>
      </c>
      <c r="H16" s="516"/>
      <c r="I16" s="516"/>
      <c r="J16" s="516"/>
    </row>
    <row r="17" spans="1:16" ht="44.25" customHeight="1" x14ac:dyDescent="0.25">
      <c r="A17" s="505"/>
      <c r="B17" s="505"/>
      <c r="C17" s="505"/>
      <c r="D17" s="505"/>
      <c r="E17" s="514" t="s">
        <v>271</v>
      </c>
      <c r="F17" s="515"/>
      <c r="G17" s="517" t="s">
        <v>282</v>
      </c>
      <c r="H17" s="517"/>
      <c r="I17" s="517"/>
      <c r="J17" s="517"/>
    </row>
    <row r="18" spans="1:16" ht="44.25" customHeight="1" x14ac:dyDescent="0.25">
      <c r="A18" s="505"/>
      <c r="B18" s="505"/>
      <c r="C18" s="505"/>
      <c r="D18" s="505"/>
      <c r="E18" s="514" t="s">
        <v>272</v>
      </c>
      <c r="F18" s="515"/>
      <c r="G18" s="517" t="s">
        <v>283</v>
      </c>
      <c r="H18" s="517"/>
      <c r="I18" s="517"/>
      <c r="J18" s="517"/>
    </row>
    <row r="19" spans="1:16" ht="44.25" customHeight="1" x14ac:dyDescent="0.25">
      <c r="A19" s="505"/>
      <c r="B19" s="505"/>
      <c r="C19" s="505"/>
      <c r="D19" s="505"/>
      <c r="E19" s="514" t="s">
        <v>273</v>
      </c>
      <c r="F19" s="515"/>
      <c r="G19" s="517" t="s">
        <v>284</v>
      </c>
      <c r="H19" s="517"/>
      <c r="I19" s="517"/>
      <c r="J19" s="517"/>
    </row>
    <row r="20" spans="1:16" ht="44.25" customHeight="1" x14ac:dyDescent="0.25">
      <c r="A20" s="505"/>
      <c r="B20" s="505"/>
      <c r="C20" s="505"/>
      <c r="D20" s="505"/>
      <c r="E20" s="514" t="s">
        <v>274</v>
      </c>
      <c r="F20" s="515"/>
      <c r="G20" s="517" t="s">
        <v>391</v>
      </c>
      <c r="H20" s="517"/>
      <c r="I20" s="517"/>
      <c r="J20" s="517"/>
    </row>
    <row r="21" spans="1:16" ht="44.25" customHeight="1" x14ac:dyDescent="0.25">
      <c r="A21" s="505"/>
      <c r="B21" s="505"/>
      <c r="C21" s="505"/>
      <c r="D21" s="505"/>
      <c r="E21" s="514" t="s">
        <v>275</v>
      </c>
      <c r="F21" s="515"/>
      <c r="G21" s="514" t="s">
        <v>392</v>
      </c>
      <c r="H21" s="518"/>
      <c r="I21" s="518"/>
      <c r="J21" s="515"/>
    </row>
    <row r="22" spans="1:16" ht="44.25" customHeight="1" x14ac:dyDescent="0.25">
      <c r="A22" s="505"/>
      <c r="B22" s="505"/>
      <c r="C22" s="505"/>
      <c r="D22" s="505"/>
      <c r="E22" s="514" t="s">
        <v>370</v>
      </c>
      <c r="F22" s="515"/>
      <c r="G22" s="519"/>
      <c r="H22" s="520"/>
      <c r="I22" s="520"/>
      <c r="J22" s="521"/>
    </row>
    <row r="23" spans="1:16" ht="44.25" customHeight="1" x14ac:dyDescent="0.25">
      <c r="A23" s="505"/>
      <c r="B23" s="505"/>
      <c r="C23" s="505"/>
      <c r="D23" s="505"/>
      <c r="E23" s="514" t="s">
        <v>389</v>
      </c>
      <c r="F23" s="515"/>
      <c r="G23" s="519"/>
      <c r="H23" s="520"/>
      <c r="I23" s="520"/>
      <c r="J23" s="521"/>
    </row>
    <row r="24" spans="1:16" ht="44.25" customHeight="1" x14ac:dyDescent="0.25">
      <c r="A24" s="505"/>
      <c r="B24" s="505"/>
      <c r="C24" s="505"/>
      <c r="D24" s="505"/>
      <c r="E24" s="514" t="s">
        <v>390</v>
      </c>
      <c r="F24" s="515"/>
      <c r="G24" s="519"/>
      <c r="H24" s="520"/>
      <c r="I24" s="520"/>
      <c r="J24" s="521"/>
    </row>
    <row r="25" spans="1:16" ht="44.25" customHeight="1" thickBot="1" x14ac:dyDescent="0.3">
      <c r="A25" s="505"/>
      <c r="B25" s="505"/>
      <c r="C25" s="505"/>
      <c r="D25" s="505"/>
      <c r="E25" s="514"/>
      <c r="F25" s="515"/>
      <c r="G25" s="522"/>
      <c r="H25" s="523"/>
      <c r="I25" s="523"/>
      <c r="J25" s="524"/>
    </row>
    <row r="26" spans="1:16" ht="44.25" customHeight="1" thickBot="1" x14ac:dyDescent="0.3">
      <c r="A26" s="525" t="s">
        <v>217</v>
      </c>
      <c r="B26" s="525" t="s">
        <v>250</v>
      </c>
      <c r="C26" s="510" t="s">
        <v>253</v>
      </c>
      <c r="D26" s="510"/>
      <c r="E26" s="526" t="s">
        <v>254</v>
      </c>
      <c r="F26" s="527"/>
      <c r="G26" s="506" t="s">
        <v>255</v>
      </c>
      <c r="H26" s="528"/>
      <c r="I26" s="528"/>
      <c r="J26" s="529"/>
      <c r="L26" s="202" t="s">
        <v>365</v>
      </c>
      <c r="M26" s="471"/>
      <c r="N26" s="471"/>
      <c r="O26" s="471"/>
      <c r="P26" s="471"/>
    </row>
    <row r="27" spans="1:16" ht="76.8" customHeight="1" thickBot="1" x14ac:dyDescent="0.3">
      <c r="A27" s="525"/>
      <c r="B27" s="525"/>
      <c r="C27" s="478" t="s">
        <v>285</v>
      </c>
      <c r="D27" s="479"/>
      <c r="E27" s="478" t="s">
        <v>293</v>
      </c>
      <c r="F27" s="479"/>
      <c r="G27" s="480" t="s">
        <v>305</v>
      </c>
      <c r="H27" s="531"/>
      <c r="I27" s="531"/>
      <c r="J27" s="481"/>
      <c r="L27" s="201" t="s">
        <v>366</v>
      </c>
      <c r="M27" s="471"/>
      <c r="N27" s="471"/>
      <c r="O27" s="471"/>
      <c r="P27" s="471"/>
    </row>
    <row r="28" spans="1:16" ht="86.25" customHeight="1" x14ac:dyDescent="0.25">
      <c r="A28" s="525"/>
      <c r="B28" s="525"/>
      <c r="C28" s="478" t="s">
        <v>286</v>
      </c>
      <c r="D28" s="479"/>
      <c r="E28" s="478" t="s">
        <v>294</v>
      </c>
      <c r="F28" s="479"/>
      <c r="G28" s="478" t="s">
        <v>306</v>
      </c>
      <c r="H28" s="530"/>
      <c r="I28" s="530"/>
      <c r="J28" s="479"/>
      <c r="M28" s="471"/>
      <c r="N28" s="471"/>
      <c r="O28" s="471"/>
      <c r="P28" s="471"/>
    </row>
    <row r="29" spans="1:16" ht="81" customHeight="1" x14ac:dyDescent="0.25">
      <c r="A29" s="525"/>
      <c r="B29" s="525"/>
      <c r="C29" s="478" t="s">
        <v>287</v>
      </c>
      <c r="D29" s="479"/>
      <c r="E29" s="478" t="s">
        <v>295</v>
      </c>
      <c r="F29" s="479"/>
      <c r="G29" s="478" t="s">
        <v>307</v>
      </c>
      <c r="H29" s="530"/>
      <c r="I29" s="530"/>
      <c r="J29" s="479"/>
      <c r="M29" s="471"/>
      <c r="N29" s="471"/>
      <c r="O29" s="471"/>
      <c r="P29" s="471"/>
    </row>
    <row r="30" spans="1:16" ht="44.25" customHeight="1" x14ac:dyDescent="0.25">
      <c r="A30" s="525"/>
      <c r="B30" s="525"/>
      <c r="C30" s="477" t="s">
        <v>288</v>
      </c>
      <c r="D30" s="472"/>
      <c r="E30" s="478" t="s">
        <v>296</v>
      </c>
      <c r="F30" s="479"/>
      <c r="G30" s="478" t="s">
        <v>308</v>
      </c>
      <c r="H30" s="530"/>
      <c r="I30" s="530"/>
      <c r="J30" s="479"/>
    </row>
    <row r="31" spans="1:16" ht="44.25" customHeight="1" x14ac:dyDescent="0.25">
      <c r="A31" s="525"/>
      <c r="B31" s="525"/>
      <c r="C31" s="478" t="s">
        <v>289</v>
      </c>
      <c r="D31" s="484"/>
      <c r="E31" s="478" t="s">
        <v>297</v>
      </c>
      <c r="F31" s="479"/>
      <c r="G31" s="472"/>
      <c r="H31" s="483"/>
      <c r="I31" s="483"/>
      <c r="J31" s="484"/>
    </row>
    <row r="32" spans="1:16" ht="44.25" customHeight="1" x14ac:dyDescent="0.25">
      <c r="A32" s="525"/>
      <c r="B32" s="525"/>
      <c r="C32" s="472" t="s">
        <v>290</v>
      </c>
      <c r="D32" s="472"/>
      <c r="E32" s="478" t="s">
        <v>298</v>
      </c>
      <c r="F32" s="479"/>
      <c r="G32" s="472"/>
      <c r="H32" s="472"/>
      <c r="I32" s="472"/>
      <c r="J32" s="472"/>
    </row>
    <row r="33" spans="1:14" ht="44.25" customHeight="1" x14ac:dyDescent="0.25">
      <c r="A33" s="525"/>
      <c r="B33" s="525"/>
      <c r="C33" s="472" t="s">
        <v>291</v>
      </c>
      <c r="D33" s="472"/>
      <c r="E33" s="480" t="s">
        <v>299</v>
      </c>
      <c r="F33" s="481"/>
      <c r="G33" s="482"/>
      <c r="H33" s="483"/>
      <c r="I33" s="483"/>
      <c r="J33" s="484"/>
    </row>
    <row r="34" spans="1:14" ht="44.25" customHeight="1" x14ac:dyDescent="0.25">
      <c r="A34" s="525"/>
      <c r="B34" s="525"/>
      <c r="C34" s="472" t="s">
        <v>292</v>
      </c>
      <c r="D34" s="472"/>
      <c r="E34" s="477" t="s">
        <v>300</v>
      </c>
      <c r="F34" s="477"/>
      <c r="G34" s="472"/>
      <c r="H34" s="472"/>
      <c r="I34" s="472"/>
      <c r="J34" s="472"/>
    </row>
    <row r="35" spans="1:14" ht="44.25" customHeight="1" x14ac:dyDescent="0.25">
      <c r="A35" s="525"/>
      <c r="B35" s="525"/>
      <c r="C35" s="477" t="s">
        <v>388</v>
      </c>
      <c r="D35" s="477"/>
      <c r="E35" s="477" t="s">
        <v>301</v>
      </c>
      <c r="F35" s="472"/>
      <c r="G35" s="472"/>
      <c r="H35" s="472"/>
      <c r="I35" s="472"/>
      <c r="J35" s="472"/>
    </row>
    <row r="36" spans="1:14" ht="44.25" customHeight="1" x14ac:dyDescent="0.25">
      <c r="A36" s="525"/>
      <c r="B36" s="525"/>
      <c r="C36" s="478" t="s">
        <v>398</v>
      </c>
      <c r="D36" s="479"/>
      <c r="E36" s="538" t="s">
        <v>302</v>
      </c>
      <c r="F36" s="539"/>
      <c r="G36" s="482"/>
      <c r="H36" s="483"/>
      <c r="I36" s="483"/>
      <c r="J36" s="484"/>
    </row>
    <row r="37" spans="1:14" ht="44.25" customHeight="1" x14ac:dyDescent="0.25">
      <c r="A37" s="525"/>
      <c r="B37" s="525"/>
      <c r="C37" s="478"/>
      <c r="D37" s="479"/>
      <c r="E37" s="538" t="s">
        <v>303</v>
      </c>
      <c r="F37" s="539"/>
      <c r="G37" s="482"/>
      <c r="H37" s="483"/>
      <c r="I37" s="483"/>
      <c r="J37" s="484"/>
    </row>
    <row r="38" spans="1:14" ht="44.25" customHeight="1" x14ac:dyDescent="0.25">
      <c r="A38" s="525"/>
      <c r="B38" s="525"/>
      <c r="C38" s="472"/>
      <c r="D38" s="472"/>
      <c r="E38" s="486" t="s">
        <v>304</v>
      </c>
      <c r="F38" s="474"/>
      <c r="G38" s="475"/>
      <c r="H38" s="475"/>
      <c r="I38" s="475"/>
      <c r="J38" s="475"/>
    </row>
    <row r="39" spans="1:14" ht="149.25" customHeight="1" x14ac:dyDescent="0.25">
      <c r="A39" s="525"/>
      <c r="B39" s="200"/>
      <c r="C39" s="472"/>
      <c r="D39" s="472"/>
      <c r="E39" s="473" t="s">
        <v>432</v>
      </c>
      <c r="F39" s="474"/>
      <c r="G39" s="475"/>
      <c r="H39" s="475"/>
      <c r="I39" s="475"/>
      <c r="J39" s="475"/>
      <c r="L39" s="485" t="s">
        <v>404</v>
      </c>
      <c r="M39" s="485"/>
      <c r="N39" s="485"/>
    </row>
    <row r="40" spans="1:14" ht="85.5" customHeight="1" x14ac:dyDescent="0.25">
      <c r="A40" s="525"/>
      <c r="B40" s="200"/>
      <c r="C40" s="472"/>
      <c r="D40" s="472"/>
      <c r="E40" s="473" t="s">
        <v>383</v>
      </c>
      <c r="F40" s="476"/>
      <c r="G40" s="475"/>
      <c r="H40" s="475"/>
      <c r="I40" s="475"/>
      <c r="J40" s="475"/>
      <c r="L40" s="485"/>
      <c r="M40" s="485"/>
      <c r="N40" s="485"/>
    </row>
    <row r="41" spans="1:14" ht="122.25" customHeight="1" x14ac:dyDescent="0.25">
      <c r="A41" s="525"/>
      <c r="B41" s="200"/>
      <c r="C41" s="472"/>
      <c r="D41" s="472"/>
      <c r="E41" s="473" t="s">
        <v>434</v>
      </c>
      <c r="F41" s="476"/>
      <c r="G41" s="475"/>
      <c r="H41" s="475"/>
      <c r="I41" s="475"/>
      <c r="J41" s="475"/>
      <c r="L41" s="485"/>
      <c r="M41" s="485"/>
      <c r="N41" s="485"/>
    </row>
    <row r="42" spans="1:14" ht="75.75" customHeight="1" x14ac:dyDescent="0.25">
      <c r="A42" s="525"/>
      <c r="B42" s="200"/>
      <c r="C42" s="472"/>
      <c r="D42" s="472"/>
      <c r="E42" s="473" t="s">
        <v>394</v>
      </c>
      <c r="F42" s="476"/>
      <c r="G42" s="475"/>
      <c r="H42" s="475"/>
      <c r="I42" s="475"/>
      <c r="J42" s="475"/>
      <c r="L42" s="485"/>
      <c r="M42" s="485"/>
      <c r="N42" s="485"/>
    </row>
    <row r="43" spans="1:14" ht="280.5" customHeight="1" x14ac:dyDescent="0.25">
      <c r="A43" s="525"/>
      <c r="B43" s="200"/>
      <c r="C43" s="472"/>
      <c r="D43" s="472"/>
      <c r="E43" s="473" t="s">
        <v>413</v>
      </c>
      <c r="F43" s="476"/>
      <c r="G43" s="475"/>
      <c r="H43" s="475"/>
      <c r="I43" s="475"/>
      <c r="J43" s="475"/>
      <c r="L43" s="485"/>
      <c r="M43" s="485"/>
      <c r="N43" s="485"/>
    </row>
    <row r="44" spans="1:14" ht="158.25" customHeight="1" x14ac:dyDescent="0.25">
      <c r="A44" s="525"/>
      <c r="B44" s="200"/>
      <c r="C44" s="472"/>
      <c r="D44" s="472"/>
      <c r="E44" s="473" t="s">
        <v>433</v>
      </c>
      <c r="F44" s="476"/>
      <c r="G44" s="475"/>
      <c r="H44" s="475"/>
      <c r="I44" s="475"/>
      <c r="J44" s="475"/>
      <c r="L44" s="485"/>
      <c r="M44" s="485"/>
      <c r="N44" s="485"/>
    </row>
    <row r="45" spans="1:14" ht="162" customHeight="1" x14ac:dyDescent="0.25">
      <c r="A45" s="525"/>
      <c r="B45" s="200"/>
      <c r="C45" s="472"/>
      <c r="D45" s="472"/>
      <c r="E45" s="486" t="s">
        <v>405</v>
      </c>
      <c r="F45" s="474"/>
      <c r="G45" s="475"/>
      <c r="H45" s="475"/>
      <c r="I45" s="475"/>
      <c r="J45" s="475"/>
      <c r="L45" s="485"/>
      <c r="M45" s="485"/>
      <c r="N45" s="485"/>
    </row>
    <row r="46" spans="1:14" ht="15" customHeight="1" x14ac:dyDescent="0.25">
      <c r="A46" s="525"/>
      <c r="B46" s="200"/>
      <c r="C46" s="472"/>
      <c r="D46" s="472"/>
      <c r="E46" s="473"/>
      <c r="F46" s="476"/>
      <c r="G46" s="475"/>
      <c r="H46" s="475"/>
      <c r="I46" s="475"/>
      <c r="J46" s="475"/>
      <c r="L46" s="485"/>
      <c r="M46" s="485"/>
      <c r="N46" s="485"/>
    </row>
    <row r="47" spans="1:14" ht="15" customHeight="1" x14ac:dyDescent="0.25">
      <c r="A47" s="525"/>
      <c r="B47" s="200"/>
      <c r="C47" s="472"/>
      <c r="D47" s="472"/>
      <c r="E47" s="473"/>
      <c r="F47" s="476"/>
      <c r="G47" s="475"/>
      <c r="H47" s="475"/>
      <c r="I47" s="475"/>
      <c r="J47" s="475"/>
      <c r="L47" s="485"/>
      <c r="M47" s="485"/>
      <c r="N47" s="485"/>
    </row>
    <row r="48" spans="1:14" ht="15" customHeight="1" x14ac:dyDescent="0.25">
      <c r="A48" s="525"/>
      <c r="B48" s="200"/>
      <c r="C48" s="472"/>
      <c r="D48" s="472"/>
      <c r="E48" s="473"/>
      <c r="F48" s="476"/>
      <c r="G48" s="475"/>
      <c r="H48" s="475"/>
      <c r="I48" s="475"/>
      <c r="J48" s="475"/>
      <c r="L48" s="485"/>
      <c r="M48" s="485"/>
      <c r="N48" s="485"/>
    </row>
    <row r="49" spans="1:14" ht="15" customHeight="1" x14ac:dyDescent="0.25">
      <c r="A49" s="525"/>
      <c r="B49" s="200"/>
      <c r="C49" s="472"/>
      <c r="D49" s="472"/>
      <c r="E49" s="473"/>
      <c r="F49" s="476"/>
      <c r="G49" s="475"/>
      <c r="H49" s="475"/>
      <c r="I49" s="475"/>
      <c r="J49" s="475"/>
      <c r="L49" s="485"/>
      <c r="M49" s="485"/>
      <c r="N49" s="485"/>
    </row>
    <row r="50" spans="1:14" s="203" customFormat="1" ht="44.25" customHeight="1" x14ac:dyDescent="0.3">
      <c r="A50" s="525"/>
      <c r="B50" s="525" t="s">
        <v>249</v>
      </c>
      <c r="C50" s="532" t="s">
        <v>256</v>
      </c>
      <c r="D50" s="532"/>
      <c r="E50" s="533" t="s">
        <v>257</v>
      </c>
      <c r="F50" s="534"/>
      <c r="G50" s="535" t="s">
        <v>258</v>
      </c>
      <c r="H50" s="536"/>
      <c r="I50" s="536"/>
      <c r="J50" s="537"/>
    </row>
    <row r="51" spans="1:14" ht="68.25" customHeight="1" x14ac:dyDescent="0.25">
      <c r="A51" s="525"/>
      <c r="B51" s="525"/>
      <c r="C51" s="478" t="s">
        <v>375</v>
      </c>
      <c r="D51" s="479"/>
      <c r="E51" s="478" t="s">
        <v>376</v>
      </c>
      <c r="F51" s="479"/>
      <c r="G51" s="478" t="s">
        <v>377</v>
      </c>
      <c r="H51" s="530"/>
      <c r="I51" s="530"/>
      <c r="J51" s="479"/>
    </row>
    <row r="52" spans="1:14" ht="80.25" customHeight="1" x14ac:dyDescent="0.25">
      <c r="A52" s="525"/>
      <c r="B52" s="525"/>
      <c r="C52" s="478" t="s">
        <v>378</v>
      </c>
      <c r="D52" s="479"/>
      <c r="E52" s="478" t="s">
        <v>379</v>
      </c>
      <c r="F52" s="479"/>
      <c r="G52" s="478" t="s">
        <v>380</v>
      </c>
      <c r="H52" s="530"/>
      <c r="I52" s="530"/>
      <c r="J52" s="479"/>
    </row>
    <row r="53" spans="1:14" ht="93.75" customHeight="1" x14ac:dyDescent="0.25">
      <c r="A53" s="525"/>
      <c r="B53" s="525"/>
      <c r="C53" s="478" t="s">
        <v>381</v>
      </c>
      <c r="D53" s="479"/>
      <c r="E53" s="477" t="s">
        <v>382</v>
      </c>
      <c r="F53" s="477"/>
      <c r="G53" s="478"/>
      <c r="H53" s="530"/>
      <c r="I53" s="530"/>
      <c r="J53" s="479"/>
    </row>
    <row r="54" spans="1:14" ht="44.25" customHeight="1" x14ac:dyDescent="0.25">
      <c r="A54" s="525"/>
      <c r="B54" s="525"/>
      <c r="C54" s="472" t="s">
        <v>393</v>
      </c>
      <c r="D54" s="472"/>
      <c r="E54" s="477"/>
      <c r="F54" s="477"/>
      <c r="G54" s="472"/>
      <c r="H54" s="472"/>
      <c r="I54" s="472"/>
      <c r="J54" s="472"/>
    </row>
    <row r="55" spans="1:14" ht="44.25" customHeight="1" x14ac:dyDescent="0.25">
      <c r="A55" s="525"/>
      <c r="B55" s="525"/>
      <c r="C55" s="472"/>
      <c r="D55" s="472"/>
      <c r="E55" s="472"/>
      <c r="F55" s="472"/>
      <c r="G55" s="472"/>
      <c r="H55" s="472"/>
      <c r="I55" s="472"/>
      <c r="J55" s="472"/>
    </row>
    <row r="56" spans="1:14" ht="44.25" customHeight="1" x14ac:dyDescent="0.25">
      <c r="A56" s="525"/>
      <c r="B56" s="525"/>
      <c r="C56" s="472"/>
      <c r="D56" s="472"/>
      <c r="E56" s="472"/>
      <c r="F56" s="472"/>
      <c r="G56" s="472"/>
      <c r="H56" s="472"/>
      <c r="I56" s="472"/>
      <c r="J56" s="472"/>
    </row>
    <row r="57" spans="1:14" ht="44.25" customHeight="1" x14ac:dyDescent="0.25">
      <c r="A57" s="525"/>
      <c r="B57" s="525"/>
      <c r="C57" s="482"/>
      <c r="D57" s="484"/>
      <c r="E57" s="482"/>
      <c r="F57" s="484"/>
      <c r="G57" s="482"/>
      <c r="H57" s="483"/>
      <c r="I57" s="483"/>
      <c r="J57" s="484"/>
    </row>
    <row r="58" spans="1:14" ht="44.25" customHeight="1" x14ac:dyDescent="0.25">
      <c r="A58" s="525"/>
      <c r="B58" s="525"/>
      <c r="C58" s="482"/>
      <c r="D58" s="484"/>
      <c r="E58" s="482"/>
      <c r="F58" s="484"/>
      <c r="G58" s="482"/>
      <c r="H58" s="483"/>
      <c r="I58" s="483"/>
      <c r="J58" s="484"/>
    </row>
    <row r="59" spans="1:14" ht="44.25" customHeight="1" x14ac:dyDescent="0.25">
      <c r="A59" s="525"/>
      <c r="B59" s="525"/>
      <c r="C59" s="482"/>
      <c r="D59" s="484"/>
      <c r="E59" s="540"/>
      <c r="F59" s="541"/>
      <c r="G59" s="540"/>
      <c r="H59" s="542"/>
      <c r="I59" s="542"/>
      <c r="J59" s="541"/>
    </row>
    <row r="60" spans="1:14" ht="44.25" customHeight="1" x14ac:dyDescent="0.25">
      <c r="A60" s="525"/>
      <c r="B60" s="525"/>
      <c r="C60" s="482"/>
      <c r="D60" s="484"/>
      <c r="E60" s="482"/>
      <c r="F60" s="484"/>
      <c r="G60" s="482"/>
      <c r="H60" s="483"/>
      <c r="I60" s="483"/>
      <c r="J60" s="484"/>
    </row>
    <row r="61" spans="1:14" ht="44.25" customHeight="1" x14ac:dyDescent="0.25">
      <c r="A61" s="525"/>
      <c r="B61" s="525"/>
      <c r="C61" s="482"/>
      <c r="D61" s="484"/>
      <c r="E61" s="540"/>
      <c r="F61" s="541"/>
      <c r="G61" s="540"/>
      <c r="H61" s="542"/>
      <c r="I61" s="542"/>
      <c r="J61" s="541"/>
    </row>
    <row r="62" spans="1:14" ht="44.25" customHeight="1" x14ac:dyDescent="0.25">
      <c r="A62" s="525"/>
      <c r="B62" s="525"/>
      <c r="C62" s="482"/>
      <c r="D62" s="484"/>
      <c r="E62" s="482"/>
      <c r="F62" s="484"/>
      <c r="G62" s="482"/>
      <c r="H62" s="483"/>
      <c r="I62" s="483"/>
      <c r="J62" s="484"/>
    </row>
    <row r="63" spans="1:14" ht="44.25" customHeight="1" x14ac:dyDescent="0.25">
      <c r="A63" s="525"/>
      <c r="B63" s="525"/>
      <c r="C63" s="482"/>
      <c r="D63" s="484"/>
      <c r="E63" s="482"/>
      <c r="F63" s="484"/>
      <c r="G63" s="482"/>
      <c r="H63" s="483"/>
      <c r="I63" s="483"/>
      <c r="J63" s="484"/>
    </row>
    <row r="64" spans="1:14" ht="44.25" customHeight="1" x14ac:dyDescent="0.25">
      <c r="A64" s="525"/>
      <c r="B64" s="525"/>
      <c r="C64" s="472"/>
      <c r="D64" s="472"/>
      <c r="E64" s="472"/>
      <c r="F64" s="472"/>
      <c r="G64" s="472"/>
      <c r="H64" s="472"/>
      <c r="I64" s="472"/>
      <c r="J64" s="472"/>
    </row>
    <row r="65" spans="1:10" ht="44.25" customHeight="1" x14ac:dyDescent="0.25">
      <c r="A65" s="525"/>
      <c r="B65" s="525"/>
      <c r="C65" s="472"/>
      <c r="D65" s="472"/>
      <c r="E65" s="472"/>
      <c r="F65" s="472"/>
      <c r="G65" s="472"/>
      <c r="H65" s="472"/>
      <c r="I65" s="472"/>
      <c r="J65" s="472"/>
    </row>
    <row r="66" spans="1:10" ht="44.25" customHeight="1" x14ac:dyDescent="0.25">
      <c r="C66" s="183"/>
      <c r="D66" s="183"/>
      <c r="E66" s="544"/>
      <c r="F66" s="544"/>
      <c r="G66" s="544"/>
      <c r="H66" s="544"/>
      <c r="I66" s="544"/>
      <c r="J66" s="544"/>
    </row>
    <row r="67" spans="1:10" ht="44.25" customHeight="1" x14ac:dyDescent="0.25">
      <c r="C67" s="183"/>
      <c r="D67" s="183"/>
      <c r="E67" s="544"/>
      <c r="F67" s="544"/>
      <c r="G67" s="544"/>
      <c r="H67" s="544"/>
      <c r="I67" s="544"/>
      <c r="J67" s="544"/>
    </row>
    <row r="68" spans="1:10" ht="44.25" customHeight="1" x14ac:dyDescent="0.25">
      <c r="E68" s="543"/>
      <c r="F68" s="543"/>
      <c r="G68" s="543"/>
      <c r="H68" s="543"/>
      <c r="I68" s="543"/>
      <c r="J68" s="543"/>
    </row>
    <row r="69" spans="1:10" ht="44.25" customHeight="1" x14ac:dyDescent="0.25">
      <c r="E69" s="543"/>
      <c r="F69" s="543"/>
      <c r="G69" s="543"/>
      <c r="H69" s="543"/>
      <c r="I69" s="543"/>
      <c r="J69" s="543"/>
    </row>
    <row r="70" spans="1:10" ht="44.25" customHeight="1" x14ac:dyDescent="0.25">
      <c r="E70" s="543"/>
      <c r="F70" s="543"/>
      <c r="G70" s="543"/>
      <c r="H70" s="543"/>
      <c r="I70" s="543"/>
      <c r="J70" s="543"/>
    </row>
    <row r="71" spans="1:10" ht="44.25" customHeight="1" x14ac:dyDescent="0.25">
      <c r="E71" s="543"/>
      <c r="F71" s="543"/>
      <c r="G71" s="543"/>
      <c r="H71" s="543"/>
      <c r="I71" s="543"/>
      <c r="J71" s="543"/>
    </row>
    <row r="72" spans="1:10" ht="44.25" customHeight="1" x14ac:dyDescent="0.25">
      <c r="E72" s="543"/>
      <c r="F72" s="543"/>
      <c r="G72" s="543"/>
      <c r="H72" s="543"/>
      <c r="I72" s="543"/>
      <c r="J72" s="543"/>
    </row>
    <row r="73" spans="1:10" ht="44.25" customHeight="1" x14ac:dyDescent="0.25">
      <c r="E73" s="543"/>
      <c r="F73" s="543"/>
      <c r="G73" s="543"/>
      <c r="H73" s="543"/>
      <c r="I73" s="543"/>
      <c r="J73" s="543"/>
    </row>
    <row r="74" spans="1:10" ht="44.25" customHeight="1" x14ac:dyDescent="0.25">
      <c r="E74" s="543"/>
      <c r="F74" s="543"/>
      <c r="G74" s="543"/>
      <c r="H74" s="543"/>
      <c r="I74" s="543"/>
      <c r="J74" s="543"/>
    </row>
    <row r="75" spans="1:10" ht="44.25" customHeight="1" x14ac:dyDescent="0.25">
      <c r="E75" s="543"/>
      <c r="F75" s="543"/>
      <c r="G75" s="543"/>
      <c r="H75" s="543"/>
      <c r="I75" s="543"/>
      <c r="J75" s="543"/>
    </row>
    <row r="76" spans="1:10" ht="44.25" customHeight="1" x14ac:dyDescent="0.25">
      <c r="E76" s="543"/>
      <c r="F76" s="543"/>
      <c r="G76" s="543"/>
      <c r="H76" s="543"/>
      <c r="I76" s="543"/>
      <c r="J76" s="543"/>
    </row>
    <row r="77" spans="1:10" ht="44.25" customHeight="1" x14ac:dyDescent="0.25">
      <c r="E77" s="543"/>
      <c r="F77" s="543"/>
      <c r="G77" s="543"/>
      <c r="H77" s="543"/>
      <c r="I77" s="543"/>
      <c r="J77" s="543"/>
    </row>
    <row r="78" spans="1:10" ht="44.25" customHeight="1" x14ac:dyDescent="0.25">
      <c r="E78" s="543"/>
      <c r="F78" s="543"/>
      <c r="G78" s="543"/>
      <c r="H78" s="543"/>
      <c r="I78" s="543"/>
      <c r="J78" s="543"/>
    </row>
    <row r="79" spans="1:10" ht="44.25" customHeight="1" x14ac:dyDescent="0.25">
      <c r="E79" s="543"/>
      <c r="F79" s="543"/>
      <c r="G79" s="543"/>
      <c r="H79" s="543"/>
      <c r="I79" s="543"/>
      <c r="J79" s="543"/>
    </row>
    <row r="80" spans="1:10" ht="44.25" customHeight="1" x14ac:dyDescent="0.25">
      <c r="E80" s="543"/>
      <c r="F80" s="543"/>
      <c r="G80" s="543"/>
      <c r="H80" s="543"/>
      <c r="I80" s="543"/>
      <c r="J80" s="543"/>
    </row>
    <row r="81" spans="5:10" ht="44.25" customHeight="1" x14ac:dyDescent="0.25">
      <c r="E81" s="543"/>
      <c r="F81" s="543"/>
      <c r="G81" s="543"/>
      <c r="H81" s="543"/>
      <c r="I81" s="543"/>
      <c r="J81" s="543"/>
    </row>
    <row r="82" spans="5:10" ht="44.25" customHeight="1" x14ac:dyDescent="0.25">
      <c r="E82" s="543"/>
      <c r="F82" s="543"/>
      <c r="G82" s="543"/>
      <c r="H82" s="543"/>
      <c r="I82" s="543"/>
      <c r="J82" s="543"/>
    </row>
    <row r="83" spans="5:10" ht="44.25" customHeight="1" x14ac:dyDescent="0.25">
      <c r="E83" s="543"/>
      <c r="F83" s="543"/>
      <c r="G83" s="543"/>
      <c r="H83" s="543"/>
      <c r="I83" s="543"/>
      <c r="J83" s="543"/>
    </row>
    <row r="84" spans="5:10" ht="44.25" customHeight="1" x14ac:dyDescent="0.25">
      <c r="E84" s="543"/>
      <c r="F84" s="543"/>
      <c r="G84" s="543"/>
      <c r="H84" s="543"/>
      <c r="I84" s="543"/>
      <c r="J84" s="543"/>
    </row>
    <row r="85" spans="5:10" ht="44.25" customHeight="1" x14ac:dyDescent="0.25">
      <c r="E85" s="543"/>
      <c r="F85" s="543"/>
      <c r="G85" s="543"/>
      <c r="H85" s="543"/>
      <c r="I85" s="543"/>
      <c r="J85" s="543"/>
    </row>
    <row r="86" spans="5:10" ht="44.25" customHeight="1" x14ac:dyDescent="0.25">
      <c r="E86" s="543"/>
      <c r="F86" s="543"/>
      <c r="G86" s="543"/>
      <c r="H86" s="543"/>
      <c r="I86" s="543"/>
      <c r="J86" s="543"/>
    </row>
    <row r="87" spans="5:10" ht="44.25" customHeight="1" x14ac:dyDescent="0.25">
      <c r="E87" s="543"/>
      <c r="F87" s="543"/>
      <c r="G87" s="543"/>
      <c r="H87" s="543"/>
      <c r="I87" s="543"/>
      <c r="J87" s="543"/>
    </row>
    <row r="88" spans="5:10" ht="44.25" customHeight="1" x14ac:dyDescent="0.25">
      <c r="E88" s="543"/>
      <c r="F88" s="543"/>
      <c r="G88" s="543"/>
      <c r="H88" s="543"/>
      <c r="I88" s="543"/>
      <c r="J88" s="543"/>
    </row>
    <row r="89" spans="5:10" ht="44.25" customHeight="1" x14ac:dyDescent="0.25">
      <c r="E89" s="543"/>
      <c r="F89" s="543"/>
      <c r="G89" s="543"/>
      <c r="H89" s="543"/>
      <c r="I89" s="543"/>
      <c r="J89" s="543"/>
    </row>
    <row r="90" spans="5:10" ht="44.25" customHeight="1" x14ac:dyDescent="0.25">
      <c r="E90" s="543"/>
      <c r="F90" s="543"/>
      <c r="G90" s="543"/>
      <c r="H90" s="543"/>
      <c r="I90" s="543"/>
      <c r="J90" s="543"/>
    </row>
    <row r="91" spans="5:10" ht="44.25" customHeight="1" x14ac:dyDescent="0.25">
      <c r="E91" s="543"/>
      <c r="F91" s="543"/>
      <c r="G91" s="543"/>
      <c r="H91" s="543"/>
      <c r="I91" s="543"/>
      <c r="J91" s="543"/>
    </row>
    <row r="92" spans="5:10" ht="44.25" customHeight="1" x14ac:dyDescent="0.25">
      <c r="E92" s="543"/>
      <c r="F92" s="543"/>
      <c r="G92" s="543"/>
      <c r="H92" s="543"/>
      <c r="I92" s="543"/>
      <c r="J92" s="543"/>
    </row>
    <row r="93" spans="5:10" ht="44.25" customHeight="1" x14ac:dyDescent="0.25">
      <c r="E93" s="543"/>
      <c r="F93" s="543"/>
      <c r="G93" s="543"/>
      <c r="H93" s="543"/>
      <c r="I93" s="543"/>
      <c r="J93" s="543"/>
    </row>
    <row r="94" spans="5:10" ht="44.25" customHeight="1" x14ac:dyDescent="0.25">
      <c r="E94" s="543"/>
      <c r="F94" s="543"/>
      <c r="G94" s="543"/>
      <c r="H94" s="543"/>
      <c r="I94" s="543"/>
      <c r="J94" s="543"/>
    </row>
    <row r="95" spans="5:10" ht="44.25" customHeight="1" x14ac:dyDescent="0.25">
      <c r="E95" s="543"/>
      <c r="F95" s="543"/>
      <c r="G95" s="543"/>
      <c r="H95" s="543"/>
      <c r="I95" s="543"/>
      <c r="J95" s="543"/>
    </row>
    <row r="96" spans="5:10" ht="44.25" customHeight="1" x14ac:dyDescent="0.25">
      <c r="E96" s="543"/>
      <c r="F96" s="543"/>
      <c r="G96" s="543"/>
      <c r="H96" s="543"/>
      <c r="I96" s="543"/>
      <c r="J96" s="543"/>
    </row>
    <row r="97" spans="5:10" ht="44.25" customHeight="1" x14ac:dyDescent="0.25">
      <c r="E97" s="543"/>
      <c r="F97" s="543"/>
      <c r="G97" s="543"/>
      <c r="H97" s="543"/>
      <c r="I97" s="543"/>
      <c r="J97" s="543"/>
    </row>
    <row r="98" spans="5:10" ht="44.25" customHeight="1" x14ac:dyDescent="0.25">
      <c r="E98" s="543"/>
      <c r="F98" s="543"/>
      <c r="G98" s="543"/>
      <c r="H98" s="543"/>
      <c r="I98" s="543"/>
      <c r="J98" s="543"/>
    </row>
    <row r="99" spans="5:10" ht="44.25" customHeight="1" x14ac:dyDescent="0.25">
      <c r="E99" s="543"/>
      <c r="F99" s="543"/>
      <c r="G99" s="543"/>
      <c r="H99" s="543"/>
      <c r="I99" s="543"/>
      <c r="J99" s="543"/>
    </row>
    <row r="100" spans="5:10" ht="44.25" customHeight="1" x14ac:dyDescent="0.25">
      <c r="E100" s="543"/>
      <c r="F100" s="543"/>
      <c r="G100" s="543"/>
      <c r="H100" s="543"/>
      <c r="I100" s="543"/>
      <c r="J100" s="543"/>
    </row>
    <row r="101" spans="5:10" ht="44.25" customHeight="1" x14ac:dyDescent="0.25">
      <c r="E101" s="543"/>
      <c r="F101" s="543"/>
      <c r="G101" s="543"/>
      <c r="H101" s="543"/>
      <c r="I101" s="543"/>
      <c r="J101" s="543"/>
    </row>
    <row r="102" spans="5:10" ht="44.25" customHeight="1" x14ac:dyDescent="0.25">
      <c r="E102" s="543"/>
      <c r="F102" s="543"/>
      <c r="G102" s="543"/>
      <c r="H102" s="543"/>
      <c r="I102" s="543"/>
      <c r="J102" s="543"/>
    </row>
    <row r="103" spans="5:10" ht="44.25" customHeight="1" x14ac:dyDescent="0.25">
      <c r="E103" s="543"/>
      <c r="F103" s="543"/>
      <c r="G103" s="543"/>
      <c r="H103" s="543"/>
      <c r="I103" s="543"/>
      <c r="J103" s="543"/>
    </row>
    <row r="104" spans="5:10" ht="44.25" customHeight="1" x14ac:dyDescent="0.25">
      <c r="E104" s="543"/>
      <c r="F104" s="543"/>
      <c r="G104" s="543"/>
      <c r="H104" s="543"/>
      <c r="I104" s="543"/>
      <c r="J104" s="543"/>
    </row>
    <row r="105" spans="5:10" ht="44.25" customHeight="1" x14ac:dyDescent="0.25">
      <c r="E105" s="543"/>
      <c r="F105" s="543"/>
      <c r="G105" s="543"/>
      <c r="H105" s="543"/>
      <c r="I105" s="543"/>
      <c r="J105" s="543"/>
    </row>
    <row r="106" spans="5:10" ht="44.25" customHeight="1" x14ac:dyDescent="0.25">
      <c r="E106" s="543"/>
      <c r="F106" s="543"/>
      <c r="G106" s="543"/>
      <c r="H106" s="543"/>
      <c r="I106" s="543"/>
      <c r="J106" s="543"/>
    </row>
    <row r="107" spans="5:10" ht="44.25" customHeight="1" x14ac:dyDescent="0.25">
      <c r="E107" s="543"/>
      <c r="F107" s="543"/>
      <c r="G107" s="543"/>
      <c r="H107" s="543"/>
      <c r="I107" s="543"/>
      <c r="J107" s="543"/>
    </row>
    <row r="108" spans="5:10" ht="44.25" customHeight="1" x14ac:dyDescent="0.25">
      <c r="E108" s="543"/>
      <c r="F108" s="543"/>
      <c r="G108" s="543"/>
      <c r="H108" s="543"/>
      <c r="I108" s="543"/>
      <c r="J108" s="543"/>
    </row>
    <row r="109" spans="5:10" ht="44.25" customHeight="1" x14ac:dyDescent="0.25">
      <c r="E109" s="543"/>
      <c r="F109" s="543"/>
      <c r="G109" s="543"/>
      <c r="H109" s="543"/>
      <c r="I109" s="543"/>
      <c r="J109" s="543"/>
    </row>
    <row r="110" spans="5:10" ht="44.25" customHeight="1" x14ac:dyDescent="0.25">
      <c r="E110" s="543"/>
      <c r="F110" s="543"/>
      <c r="G110" s="543"/>
      <c r="H110" s="543"/>
      <c r="I110" s="543"/>
      <c r="J110" s="543"/>
    </row>
    <row r="111" spans="5:10" ht="44.25" customHeight="1" x14ac:dyDescent="0.25">
      <c r="E111" s="543"/>
      <c r="F111" s="543"/>
      <c r="G111" s="543"/>
      <c r="H111" s="543"/>
      <c r="I111" s="543"/>
      <c r="J111" s="543"/>
    </row>
    <row r="112" spans="5:10" ht="44.25" customHeight="1" x14ac:dyDescent="0.25">
      <c r="E112" s="543"/>
      <c r="F112" s="543"/>
      <c r="G112" s="543"/>
      <c r="H112" s="543"/>
      <c r="I112" s="543"/>
      <c r="J112" s="543"/>
    </row>
    <row r="113" spans="5:10" ht="44.25" customHeight="1" x14ac:dyDescent="0.25">
      <c r="E113" s="543"/>
      <c r="F113" s="543"/>
      <c r="G113" s="543"/>
      <c r="H113" s="543"/>
      <c r="I113" s="543"/>
      <c r="J113" s="543"/>
    </row>
    <row r="114" spans="5:10" ht="44.25" customHeight="1" x14ac:dyDescent="0.25">
      <c r="E114" s="543"/>
      <c r="F114" s="543"/>
      <c r="G114" s="543"/>
      <c r="H114" s="543"/>
      <c r="I114" s="543"/>
      <c r="J114" s="543"/>
    </row>
    <row r="115" spans="5:10" ht="44.25" customHeight="1" x14ac:dyDescent="0.25">
      <c r="E115" s="543"/>
      <c r="F115" s="543"/>
      <c r="G115" s="543"/>
      <c r="H115" s="543"/>
      <c r="I115" s="543"/>
      <c r="J115" s="543"/>
    </row>
    <row r="116" spans="5:10" ht="44.25" customHeight="1" x14ac:dyDescent="0.25">
      <c r="E116" s="543"/>
      <c r="F116" s="543"/>
      <c r="G116" s="543"/>
      <c r="H116" s="543"/>
      <c r="I116" s="543"/>
      <c r="J116" s="543"/>
    </row>
    <row r="117" spans="5:10" ht="44.25" customHeight="1" x14ac:dyDescent="0.25">
      <c r="E117" s="543"/>
      <c r="F117" s="543"/>
      <c r="G117" s="543"/>
      <c r="H117" s="543"/>
      <c r="I117" s="543"/>
      <c r="J117" s="543"/>
    </row>
    <row r="118" spans="5:10" ht="44.25" customHeight="1" x14ac:dyDescent="0.25">
      <c r="E118" s="543"/>
      <c r="F118" s="543"/>
      <c r="G118" s="543"/>
      <c r="H118" s="543"/>
      <c r="I118" s="543"/>
      <c r="J118" s="543"/>
    </row>
    <row r="119" spans="5:10" ht="44.25" customHeight="1" x14ac:dyDescent="0.25">
      <c r="E119" s="543"/>
      <c r="F119" s="543"/>
      <c r="G119" s="543"/>
      <c r="H119" s="543"/>
      <c r="I119" s="543"/>
      <c r="J119" s="543"/>
    </row>
    <row r="120" spans="5:10" ht="44.25" customHeight="1" x14ac:dyDescent="0.25">
      <c r="E120" s="543"/>
      <c r="F120" s="543"/>
      <c r="G120" s="543"/>
      <c r="H120" s="543"/>
      <c r="I120" s="543"/>
      <c r="J120" s="543"/>
    </row>
    <row r="121" spans="5:10" ht="44.25" customHeight="1" x14ac:dyDescent="0.25">
      <c r="E121" s="543"/>
      <c r="F121" s="543"/>
      <c r="G121" s="543"/>
      <c r="H121" s="543"/>
      <c r="I121" s="543"/>
      <c r="J121" s="543"/>
    </row>
    <row r="122" spans="5:10" ht="44.25" customHeight="1" x14ac:dyDescent="0.25">
      <c r="E122" s="543"/>
      <c r="F122" s="543"/>
      <c r="G122" s="543"/>
      <c r="H122" s="543"/>
      <c r="I122" s="543"/>
      <c r="J122" s="543"/>
    </row>
    <row r="123" spans="5:10" ht="44.25" customHeight="1" x14ac:dyDescent="0.25">
      <c r="E123" s="543"/>
      <c r="F123" s="543"/>
      <c r="G123" s="543"/>
      <c r="H123" s="543"/>
      <c r="I123" s="543"/>
      <c r="J123" s="543"/>
    </row>
    <row r="124" spans="5:10" ht="44.25" customHeight="1" x14ac:dyDescent="0.25">
      <c r="E124" s="543"/>
      <c r="F124" s="543"/>
      <c r="G124" s="543"/>
      <c r="H124" s="543"/>
      <c r="I124" s="543"/>
      <c r="J124" s="543"/>
    </row>
    <row r="125" spans="5:10" ht="44.25" customHeight="1" x14ac:dyDescent="0.25">
      <c r="E125" s="543"/>
      <c r="F125" s="543"/>
      <c r="G125" s="543"/>
      <c r="H125" s="543"/>
      <c r="I125" s="543"/>
      <c r="J125" s="543"/>
    </row>
    <row r="126" spans="5:10" ht="44.25" customHeight="1" x14ac:dyDescent="0.25">
      <c r="E126" s="543"/>
      <c r="F126" s="543"/>
      <c r="G126" s="543"/>
      <c r="H126" s="543"/>
      <c r="I126" s="543"/>
      <c r="J126" s="543"/>
    </row>
    <row r="127" spans="5:10" ht="44.25" customHeight="1" x14ac:dyDescent="0.25">
      <c r="E127" s="543"/>
      <c r="F127" s="543"/>
      <c r="G127" s="543"/>
      <c r="H127" s="543"/>
      <c r="I127" s="543"/>
      <c r="J127" s="543"/>
    </row>
    <row r="128" spans="5:10" ht="44.25" customHeight="1" x14ac:dyDescent="0.25">
      <c r="E128" s="543"/>
      <c r="F128" s="543"/>
      <c r="G128" s="543"/>
      <c r="H128" s="543"/>
      <c r="I128" s="543"/>
      <c r="J128" s="543"/>
    </row>
    <row r="129" spans="5:10" ht="44.25" customHeight="1" x14ac:dyDescent="0.25">
      <c r="E129" s="543"/>
      <c r="F129" s="543"/>
      <c r="G129" s="543"/>
      <c r="H129" s="543"/>
      <c r="I129" s="543"/>
      <c r="J129" s="543"/>
    </row>
    <row r="130" spans="5:10" ht="44.25" customHeight="1" x14ac:dyDescent="0.25">
      <c r="E130" s="543"/>
      <c r="F130" s="543"/>
      <c r="G130" s="543"/>
      <c r="H130" s="543"/>
      <c r="I130" s="543"/>
      <c r="J130" s="543"/>
    </row>
    <row r="131" spans="5:10" ht="44.25" customHeight="1" x14ac:dyDescent="0.25">
      <c r="E131" s="543"/>
      <c r="F131" s="543"/>
      <c r="G131" s="543"/>
      <c r="H131" s="543"/>
      <c r="I131" s="543"/>
      <c r="J131" s="543"/>
    </row>
    <row r="132" spans="5:10" ht="44.25" customHeight="1" x14ac:dyDescent="0.25">
      <c r="E132" s="543"/>
      <c r="F132" s="543"/>
      <c r="G132" s="543"/>
      <c r="H132" s="543"/>
      <c r="I132" s="543"/>
      <c r="J132" s="543"/>
    </row>
    <row r="133" spans="5:10" ht="44.25" customHeight="1" x14ac:dyDescent="0.25">
      <c r="E133" s="543"/>
      <c r="F133" s="543"/>
      <c r="G133" s="543"/>
      <c r="H133" s="543"/>
      <c r="I133" s="543"/>
      <c r="J133" s="543"/>
    </row>
    <row r="134" spans="5:10" ht="44.25" customHeight="1" x14ac:dyDescent="0.25">
      <c r="E134" s="543"/>
      <c r="F134" s="543"/>
      <c r="G134" s="543"/>
      <c r="H134" s="543"/>
      <c r="I134" s="543"/>
      <c r="J134" s="543"/>
    </row>
    <row r="135" spans="5:10" ht="44.25" customHeight="1" x14ac:dyDescent="0.25">
      <c r="E135" s="543"/>
      <c r="F135" s="543"/>
      <c r="G135" s="543"/>
      <c r="H135" s="543"/>
      <c r="I135" s="543"/>
      <c r="J135" s="543"/>
    </row>
    <row r="136" spans="5:10" ht="44.25" customHeight="1" x14ac:dyDescent="0.25">
      <c r="E136" s="543"/>
      <c r="F136" s="543"/>
      <c r="G136" s="543"/>
      <c r="H136" s="543"/>
      <c r="I136" s="543"/>
      <c r="J136" s="543"/>
    </row>
    <row r="137" spans="5:10" ht="44.25" customHeight="1" x14ac:dyDescent="0.25">
      <c r="E137" s="543"/>
      <c r="F137" s="543"/>
      <c r="G137" s="543"/>
      <c r="H137" s="543"/>
      <c r="I137" s="543"/>
      <c r="J137" s="543"/>
    </row>
    <row r="138" spans="5:10" ht="44.25" customHeight="1" x14ac:dyDescent="0.25">
      <c r="E138" s="543"/>
      <c r="F138" s="543"/>
      <c r="G138" s="543"/>
      <c r="H138" s="543"/>
      <c r="I138" s="543"/>
      <c r="J138" s="543"/>
    </row>
    <row r="139" spans="5:10" ht="44.25" customHeight="1" x14ac:dyDescent="0.25">
      <c r="E139" s="543"/>
      <c r="F139" s="543"/>
      <c r="G139" s="543"/>
      <c r="H139" s="543"/>
      <c r="I139" s="543"/>
      <c r="J139" s="543"/>
    </row>
    <row r="140" spans="5:10" ht="44.25" customHeight="1" x14ac:dyDescent="0.25">
      <c r="E140" s="543"/>
      <c r="F140" s="543"/>
      <c r="G140" s="543"/>
      <c r="H140" s="543"/>
      <c r="I140" s="543"/>
      <c r="J140" s="543"/>
    </row>
    <row r="141" spans="5:10" ht="44.25" customHeight="1" x14ac:dyDescent="0.25">
      <c r="E141" s="543"/>
      <c r="F141" s="543"/>
      <c r="G141" s="543"/>
      <c r="H141" s="543"/>
      <c r="I141" s="543"/>
      <c r="J141" s="543"/>
    </row>
    <row r="142" spans="5:10" ht="44.25" customHeight="1" x14ac:dyDescent="0.25">
      <c r="E142" s="543"/>
      <c r="F142" s="543"/>
      <c r="G142" s="543"/>
      <c r="H142" s="543"/>
      <c r="I142" s="543"/>
      <c r="J142" s="543"/>
    </row>
    <row r="143" spans="5:10" ht="44.25" customHeight="1" x14ac:dyDescent="0.25">
      <c r="E143" s="543"/>
      <c r="F143" s="543"/>
      <c r="G143" s="543"/>
      <c r="H143" s="543"/>
      <c r="I143" s="543"/>
      <c r="J143" s="543"/>
    </row>
  </sheetData>
  <mergeCells count="323">
    <mergeCell ref="C1:G2"/>
    <mergeCell ref="C3:G4"/>
    <mergeCell ref="A1:B4"/>
    <mergeCell ref="E41:F41"/>
    <mergeCell ref="G41:J41"/>
    <mergeCell ref="C42:D42"/>
    <mergeCell ref="E42:F42"/>
    <mergeCell ref="G45:J45"/>
    <mergeCell ref="C49:D49"/>
    <mergeCell ref="E49:F49"/>
    <mergeCell ref="G49:J49"/>
    <mergeCell ref="C43:D43"/>
    <mergeCell ref="E43:F43"/>
    <mergeCell ref="G43:J43"/>
    <mergeCell ref="C46:D46"/>
    <mergeCell ref="E46:F46"/>
    <mergeCell ref="G46:J46"/>
    <mergeCell ref="C47:D47"/>
    <mergeCell ref="E47:F47"/>
    <mergeCell ref="G47:J47"/>
    <mergeCell ref="G42:J42"/>
    <mergeCell ref="E44:F44"/>
    <mergeCell ref="G44:J44"/>
    <mergeCell ref="C44:D44"/>
    <mergeCell ref="E141:F141"/>
    <mergeCell ref="G141:J141"/>
    <mergeCell ref="E142:F142"/>
    <mergeCell ref="G142:J142"/>
    <mergeCell ref="E143:F143"/>
    <mergeCell ref="G143:J143"/>
    <mergeCell ref="E138:F138"/>
    <mergeCell ref="G138:J138"/>
    <mergeCell ref="E139:F139"/>
    <mergeCell ref="G139:J139"/>
    <mergeCell ref="E140:F140"/>
    <mergeCell ref="G140:J140"/>
    <mergeCell ref="E135:F135"/>
    <mergeCell ref="G135:J135"/>
    <mergeCell ref="E136:F136"/>
    <mergeCell ref="G136:J136"/>
    <mergeCell ref="E137:F137"/>
    <mergeCell ref="G137:J137"/>
    <mergeCell ref="E132:F132"/>
    <mergeCell ref="G132:J132"/>
    <mergeCell ref="E133:F133"/>
    <mergeCell ref="G133:J133"/>
    <mergeCell ref="E134:F134"/>
    <mergeCell ref="G134:J134"/>
    <mergeCell ref="E129:F129"/>
    <mergeCell ref="G129:J129"/>
    <mergeCell ref="E130:F130"/>
    <mergeCell ref="G130:J130"/>
    <mergeCell ref="E131:F131"/>
    <mergeCell ref="G131:J131"/>
    <mergeCell ref="E126:F126"/>
    <mergeCell ref="G126:J126"/>
    <mergeCell ref="E127:F127"/>
    <mergeCell ref="G127:J127"/>
    <mergeCell ref="E128:F128"/>
    <mergeCell ref="G128:J128"/>
    <mergeCell ref="E123:F123"/>
    <mergeCell ref="G123:J123"/>
    <mergeCell ref="E124:F124"/>
    <mergeCell ref="G124:J124"/>
    <mergeCell ref="E125:F125"/>
    <mergeCell ref="G125:J125"/>
    <mergeCell ref="E120:F120"/>
    <mergeCell ref="G120:J120"/>
    <mergeCell ref="E121:F121"/>
    <mergeCell ref="G121:J121"/>
    <mergeCell ref="E122:F122"/>
    <mergeCell ref="G122:J122"/>
    <mergeCell ref="E117:F117"/>
    <mergeCell ref="G117:J117"/>
    <mergeCell ref="E118:F118"/>
    <mergeCell ref="G118:J118"/>
    <mergeCell ref="E119:F119"/>
    <mergeCell ref="G119:J119"/>
    <mergeCell ref="E114:F114"/>
    <mergeCell ref="G114:J114"/>
    <mergeCell ref="E115:F115"/>
    <mergeCell ref="G115:J115"/>
    <mergeCell ref="E116:F116"/>
    <mergeCell ref="G116:J116"/>
    <mergeCell ref="E111:F111"/>
    <mergeCell ref="G111:J111"/>
    <mergeCell ref="E112:F112"/>
    <mergeCell ref="G112:J112"/>
    <mergeCell ref="E113:F113"/>
    <mergeCell ref="G113:J113"/>
    <mergeCell ref="E108:F108"/>
    <mergeCell ref="G108:J108"/>
    <mergeCell ref="E109:F109"/>
    <mergeCell ref="G109:J109"/>
    <mergeCell ref="E110:F110"/>
    <mergeCell ref="G110:J110"/>
    <mergeCell ref="E105:F105"/>
    <mergeCell ref="G105:J105"/>
    <mergeCell ref="E106:F106"/>
    <mergeCell ref="G106:J106"/>
    <mergeCell ref="E107:F107"/>
    <mergeCell ref="G107:J107"/>
    <mergeCell ref="E102:F102"/>
    <mergeCell ref="G102:J102"/>
    <mergeCell ref="E103:F103"/>
    <mergeCell ref="G103:J103"/>
    <mergeCell ref="E104:F104"/>
    <mergeCell ref="G104:J104"/>
    <mergeCell ref="E99:F99"/>
    <mergeCell ref="G99:J99"/>
    <mergeCell ref="E100:F100"/>
    <mergeCell ref="G100:J100"/>
    <mergeCell ref="E101:F101"/>
    <mergeCell ref="G101:J101"/>
    <mergeCell ref="E96:F96"/>
    <mergeCell ref="G96:J96"/>
    <mergeCell ref="E97:F97"/>
    <mergeCell ref="G97:J97"/>
    <mergeCell ref="E98:F98"/>
    <mergeCell ref="G98:J98"/>
    <mergeCell ref="E93:F93"/>
    <mergeCell ref="G93:J93"/>
    <mergeCell ref="E94:F94"/>
    <mergeCell ref="G94:J94"/>
    <mergeCell ref="E95:F95"/>
    <mergeCell ref="G95:J95"/>
    <mergeCell ref="E90:F90"/>
    <mergeCell ref="G90:J90"/>
    <mergeCell ref="E91:F91"/>
    <mergeCell ref="G91:J91"/>
    <mergeCell ref="E92:F92"/>
    <mergeCell ref="G92:J92"/>
    <mergeCell ref="E87:F87"/>
    <mergeCell ref="G87:J87"/>
    <mergeCell ref="E88:F88"/>
    <mergeCell ref="G88:J88"/>
    <mergeCell ref="E89:F89"/>
    <mergeCell ref="G89:J89"/>
    <mergeCell ref="E84:F84"/>
    <mergeCell ref="G84:J84"/>
    <mergeCell ref="E85:F85"/>
    <mergeCell ref="G85:J85"/>
    <mergeCell ref="E86:F86"/>
    <mergeCell ref="G86:J86"/>
    <mergeCell ref="E81:F81"/>
    <mergeCell ref="G81:J81"/>
    <mergeCell ref="E82:F82"/>
    <mergeCell ref="G82:J82"/>
    <mergeCell ref="E83:F83"/>
    <mergeCell ref="G83:J83"/>
    <mergeCell ref="E78:F78"/>
    <mergeCell ref="G78:J78"/>
    <mergeCell ref="E79:F79"/>
    <mergeCell ref="G79:J79"/>
    <mergeCell ref="E80:F80"/>
    <mergeCell ref="G80:J80"/>
    <mergeCell ref="E75:F75"/>
    <mergeCell ref="G75:J75"/>
    <mergeCell ref="E76:F76"/>
    <mergeCell ref="G76:J76"/>
    <mergeCell ref="E77:F77"/>
    <mergeCell ref="G77:J77"/>
    <mergeCell ref="E72:F72"/>
    <mergeCell ref="G72:J72"/>
    <mergeCell ref="E73:F73"/>
    <mergeCell ref="G73:J73"/>
    <mergeCell ref="E74:F74"/>
    <mergeCell ref="G74:J74"/>
    <mergeCell ref="E69:F69"/>
    <mergeCell ref="G69:J69"/>
    <mergeCell ref="E70:F70"/>
    <mergeCell ref="G70:J70"/>
    <mergeCell ref="E71:F71"/>
    <mergeCell ref="G71:J71"/>
    <mergeCell ref="E66:F66"/>
    <mergeCell ref="G66:J66"/>
    <mergeCell ref="E67:F67"/>
    <mergeCell ref="G67:J67"/>
    <mergeCell ref="E68:F68"/>
    <mergeCell ref="G68:J68"/>
    <mergeCell ref="C64:D64"/>
    <mergeCell ref="E64:F64"/>
    <mergeCell ref="G64:J64"/>
    <mergeCell ref="C65:D65"/>
    <mergeCell ref="E65:F65"/>
    <mergeCell ref="G65:J65"/>
    <mergeCell ref="C62:D62"/>
    <mergeCell ref="E62:F62"/>
    <mergeCell ref="G62:J62"/>
    <mergeCell ref="C63:D63"/>
    <mergeCell ref="E63:F63"/>
    <mergeCell ref="G63:J63"/>
    <mergeCell ref="C60:D60"/>
    <mergeCell ref="E60:F60"/>
    <mergeCell ref="G60:J60"/>
    <mergeCell ref="C61:D61"/>
    <mergeCell ref="E61:F61"/>
    <mergeCell ref="G61:J61"/>
    <mergeCell ref="C58:D58"/>
    <mergeCell ref="E58:F58"/>
    <mergeCell ref="G58:J58"/>
    <mergeCell ref="C59:D59"/>
    <mergeCell ref="E59:F59"/>
    <mergeCell ref="G59:J59"/>
    <mergeCell ref="C56:D56"/>
    <mergeCell ref="E56:F56"/>
    <mergeCell ref="G56:J56"/>
    <mergeCell ref="C57:D57"/>
    <mergeCell ref="E57:F57"/>
    <mergeCell ref="G57:J57"/>
    <mergeCell ref="C54:D54"/>
    <mergeCell ref="E54:F54"/>
    <mergeCell ref="G54:J54"/>
    <mergeCell ref="C55:D55"/>
    <mergeCell ref="E55:F55"/>
    <mergeCell ref="G55:J55"/>
    <mergeCell ref="C34:D34"/>
    <mergeCell ref="E34:F34"/>
    <mergeCell ref="B50:B65"/>
    <mergeCell ref="C50:D50"/>
    <mergeCell ref="E50:F50"/>
    <mergeCell ref="G50:J50"/>
    <mergeCell ref="C51:D51"/>
    <mergeCell ref="E51:F51"/>
    <mergeCell ref="G51:J51"/>
    <mergeCell ref="C36:D36"/>
    <mergeCell ref="E36:F36"/>
    <mergeCell ref="G36:J36"/>
    <mergeCell ref="C37:D37"/>
    <mergeCell ref="E37:F37"/>
    <mergeCell ref="G37:J37"/>
    <mergeCell ref="C52:D52"/>
    <mergeCell ref="E52:F52"/>
    <mergeCell ref="G52:J52"/>
    <mergeCell ref="C53:D53"/>
    <mergeCell ref="E53:F53"/>
    <mergeCell ref="G53:J53"/>
    <mergeCell ref="C38:D38"/>
    <mergeCell ref="E38:F38"/>
    <mergeCell ref="G38:J38"/>
    <mergeCell ref="E24:F24"/>
    <mergeCell ref="G24:J24"/>
    <mergeCell ref="E25:F25"/>
    <mergeCell ref="G25:J25"/>
    <mergeCell ref="A26:A65"/>
    <mergeCell ref="B26:B38"/>
    <mergeCell ref="C26:D26"/>
    <mergeCell ref="E26:F26"/>
    <mergeCell ref="G26:J26"/>
    <mergeCell ref="C27:D27"/>
    <mergeCell ref="C30:D30"/>
    <mergeCell ref="E30:F30"/>
    <mergeCell ref="G30:J30"/>
    <mergeCell ref="C31:D31"/>
    <mergeCell ref="E31:F31"/>
    <mergeCell ref="G31:J31"/>
    <mergeCell ref="E27:F27"/>
    <mergeCell ref="G27:J27"/>
    <mergeCell ref="C28:D28"/>
    <mergeCell ref="E28:F28"/>
    <mergeCell ref="G28:J28"/>
    <mergeCell ref="C29:D29"/>
    <mergeCell ref="E29:F29"/>
    <mergeCell ref="G29:J29"/>
    <mergeCell ref="G14:J14"/>
    <mergeCell ref="E21:F21"/>
    <mergeCell ref="G21:J21"/>
    <mergeCell ref="E22:F22"/>
    <mergeCell ref="G22:J22"/>
    <mergeCell ref="E23:F23"/>
    <mergeCell ref="G23:J23"/>
    <mergeCell ref="E18:F18"/>
    <mergeCell ref="G18:J18"/>
    <mergeCell ref="E19:F19"/>
    <mergeCell ref="G19:J19"/>
    <mergeCell ref="E20:F20"/>
    <mergeCell ref="G20:J20"/>
    <mergeCell ref="A5:J5"/>
    <mergeCell ref="A6:J7"/>
    <mergeCell ref="I1:J4"/>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M26:P29"/>
    <mergeCell ref="C39:D39"/>
    <mergeCell ref="E39:F39"/>
    <mergeCell ref="G39:J39"/>
    <mergeCell ref="C40:D40"/>
    <mergeCell ref="E40:F40"/>
    <mergeCell ref="G40:J40"/>
    <mergeCell ref="G34:J34"/>
    <mergeCell ref="C35:D35"/>
    <mergeCell ref="E35:F35"/>
    <mergeCell ref="G35:J35"/>
    <mergeCell ref="C32:D32"/>
    <mergeCell ref="E32:F32"/>
    <mergeCell ref="G32:J32"/>
    <mergeCell ref="C33:D33"/>
    <mergeCell ref="E33:F33"/>
    <mergeCell ref="G33:J33"/>
    <mergeCell ref="L39:N49"/>
    <mergeCell ref="C48:D48"/>
    <mergeCell ref="E48:F48"/>
    <mergeCell ref="G48:J48"/>
    <mergeCell ref="C45:D45"/>
    <mergeCell ref="E45:F45"/>
    <mergeCell ref="C41:D41"/>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2060"/>
  </sheetPr>
  <dimension ref="A1:BT71"/>
  <sheetViews>
    <sheetView tabSelected="1" zoomScale="98" zoomScaleNormal="98" zoomScaleSheetLayoutView="73" workbookViewId="0">
      <pane ySplit="1" topLeftCell="A2" activePane="bottomLeft" state="frozen"/>
      <selection pane="bottomLeft" activeCell="AX69" sqref="AX69:AX70"/>
    </sheetView>
  </sheetViews>
  <sheetFormatPr baseColWidth="10" defaultColWidth="11.44140625" defaultRowHeight="13.8" x14ac:dyDescent="0.25"/>
  <cols>
    <col min="1" max="1" width="4" style="2" bestFit="1" customWidth="1"/>
    <col min="2" max="2" width="7.44140625" style="2" customWidth="1"/>
    <col min="3" max="3" width="15.5546875" style="207" customWidth="1"/>
    <col min="4" max="4" width="9.6640625" style="207" customWidth="1"/>
    <col min="5" max="5" width="19.6640625" style="213" customWidth="1"/>
    <col min="6" max="6" width="28.5546875" style="205" customWidth="1"/>
    <col min="7" max="7" width="5.6640625" style="215" customWidth="1"/>
    <col min="8" max="8" width="15.5546875" style="1" customWidth="1"/>
    <col min="9" max="9" width="7.6640625" style="4" customWidth="1"/>
    <col min="10" max="10" width="9.109375" style="1" customWidth="1"/>
    <col min="11" max="11" width="7.33203125" style="215" customWidth="1"/>
    <col min="12" max="12" width="6.6640625" style="1" customWidth="1"/>
    <col min="13" max="13" width="9" style="1" customWidth="1"/>
    <col min="14" max="14" width="28.33203125" style="1" hidden="1" customWidth="1"/>
    <col min="15" max="15" width="6" style="215" customWidth="1"/>
    <col min="16" max="16" width="7.6640625" style="1" customWidth="1"/>
    <col min="17" max="17" width="7" style="215" customWidth="1"/>
    <col min="18" max="18" width="5.88671875" style="1" customWidth="1"/>
    <col min="19" max="19" width="51.5546875" style="1" customWidth="1"/>
    <col min="20" max="20" width="5.88671875" style="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6.6640625" style="1" customWidth="1"/>
    <col min="28" max="28" width="5.88671875" style="1" customWidth="1"/>
    <col min="29" max="29" width="7.44140625" style="1" customWidth="1"/>
    <col min="30" max="30" width="4.33203125" style="1" customWidth="1"/>
    <col min="31" max="31" width="9.109375" style="1" customWidth="1"/>
    <col min="32" max="32" width="3.88671875" style="1" customWidth="1"/>
    <col min="33" max="33" width="7.33203125" style="1" customWidth="1"/>
    <col min="34" max="34" width="44.33203125" style="1" customWidth="1"/>
    <col min="35" max="35" width="12.109375" style="1" customWidth="1"/>
    <col min="36" max="36" width="9.109375" style="215" customWidth="1"/>
    <col min="37" max="37" width="8.109375" style="1" customWidth="1"/>
    <col min="38" max="38" width="5.109375" style="1" customWidth="1"/>
    <col min="39" max="39" width="10.33203125" style="1" customWidth="1"/>
    <col min="40" max="40" width="5.109375" style="1" customWidth="1"/>
    <col min="41" max="41" width="5" style="1" customWidth="1"/>
    <col min="42" max="42" width="4.109375" style="1" customWidth="1"/>
    <col min="43" max="43" width="3.6640625" style="1" customWidth="1"/>
    <col min="44" max="44" width="5.5546875" style="1" customWidth="1"/>
    <col min="45" max="45" width="6.44140625" style="1" bestFit="1" customWidth="1"/>
    <col min="46" max="46" width="5.88671875" style="1" customWidth="1"/>
    <col min="47" max="47" width="6.44140625" style="1" bestFit="1" customWidth="1"/>
    <col min="48" max="48" width="6" style="1" customWidth="1"/>
    <col min="49" max="49" width="6.44140625" style="1" bestFit="1" customWidth="1"/>
    <col min="50" max="50" width="90" style="387" customWidth="1"/>
    <col min="51" max="51" width="6.44140625" style="1" bestFit="1" customWidth="1"/>
    <col min="52" max="16384" width="11.44140625" style="1"/>
  </cols>
  <sheetData>
    <row r="1" spans="1:72" ht="16.5" customHeight="1" x14ac:dyDescent="0.25">
      <c r="A1" s="736" t="s">
        <v>139</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8"/>
      <c r="AN1" s="7"/>
      <c r="AO1" s="7"/>
      <c r="AP1" s="7"/>
      <c r="AQ1" s="7"/>
      <c r="AR1" s="7"/>
      <c r="AS1" s="7"/>
      <c r="AT1" s="7"/>
      <c r="AU1" s="7"/>
      <c r="AV1" s="7"/>
      <c r="AW1" s="7"/>
      <c r="AX1" s="378"/>
      <c r="AY1" s="7"/>
      <c r="AZ1" s="7"/>
      <c r="BA1" s="7"/>
      <c r="BB1" s="7"/>
      <c r="BC1" s="7"/>
      <c r="BD1" s="7"/>
      <c r="BE1" s="7"/>
      <c r="BF1" s="7"/>
      <c r="BG1" s="7"/>
      <c r="BH1" s="7"/>
      <c r="BI1" s="7"/>
      <c r="BJ1" s="7"/>
      <c r="BK1" s="7"/>
      <c r="BL1" s="7"/>
      <c r="BM1" s="7"/>
      <c r="BN1" s="7"/>
      <c r="BO1" s="7"/>
      <c r="BP1" s="7"/>
      <c r="BQ1" s="7"/>
      <c r="BR1" s="7"/>
      <c r="BS1" s="7"/>
      <c r="BT1" s="7"/>
    </row>
    <row r="2" spans="1:72" ht="24" customHeight="1" x14ac:dyDescent="0.25">
      <c r="A2" s="739"/>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1"/>
      <c r="AN2" s="7"/>
      <c r="AO2" s="7"/>
      <c r="AP2" s="7"/>
      <c r="AQ2" s="7"/>
      <c r="AR2" s="7"/>
      <c r="AS2" s="7"/>
      <c r="AT2" s="7"/>
      <c r="AU2" s="7"/>
      <c r="AV2" s="7"/>
      <c r="AW2" s="7"/>
      <c r="AX2" s="378"/>
      <c r="AY2" s="7"/>
      <c r="AZ2" s="7"/>
      <c r="BA2" s="7"/>
      <c r="BB2" s="7"/>
      <c r="BC2" s="7"/>
      <c r="BD2" s="7"/>
      <c r="BE2" s="7"/>
      <c r="BF2" s="7"/>
      <c r="BG2" s="7"/>
      <c r="BH2" s="7"/>
      <c r="BI2" s="7"/>
      <c r="BJ2" s="7"/>
      <c r="BK2" s="7"/>
      <c r="BL2" s="7"/>
      <c r="BM2" s="7"/>
      <c r="BN2" s="7"/>
      <c r="BO2" s="7"/>
      <c r="BP2" s="7"/>
      <c r="BQ2" s="7"/>
      <c r="BR2" s="7"/>
      <c r="BS2" s="7"/>
      <c r="BT2" s="7"/>
    </row>
    <row r="3" spans="1:72" x14ac:dyDescent="0.25">
      <c r="A3" s="26"/>
      <c r="B3" s="27"/>
      <c r="C3" s="27"/>
      <c r="D3" s="27"/>
      <c r="E3" s="212"/>
      <c r="F3" s="204"/>
      <c r="G3" s="214"/>
      <c r="H3" s="7"/>
      <c r="I3" s="25"/>
      <c r="J3" s="7"/>
      <c r="K3" s="214"/>
      <c r="L3" s="7"/>
      <c r="M3" s="7"/>
      <c r="N3" s="7"/>
      <c r="O3" s="214"/>
      <c r="P3" s="7"/>
      <c r="Q3" s="214"/>
      <c r="R3" s="7"/>
      <c r="S3" s="7"/>
      <c r="T3" s="7"/>
      <c r="U3" s="7"/>
      <c r="V3" s="7"/>
      <c r="W3" s="7"/>
      <c r="X3" s="7"/>
      <c r="Y3" s="7"/>
      <c r="Z3" s="7"/>
      <c r="AA3" s="7"/>
      <c r="AB3" s="7"/>
      <c r="AC3" s="7"/>
      <c r="AD3" s="7"/>
      <c r="AE3" s="7"/>
      <c r="AF3" s="7"/>
      <c r="AG3" s="7"/>
      <c r="AH3" s="7"/>
      <c r="AI3" s="7"/>
      <c r="AJ3" s="214"/>
      <c r="AK3" s="7"/>
      <c r="AL3" s="7"/>
      <c r="AM3" s="7"/>
      <c r="AN3" s="7"/>
      <c r="AO3" s="7"/>
      <c r="AP3" s="7"/>
      <c r="AQ3" s="7"/>
      <c r="AR3" s="7"/>
      <c r="AS3" s="7"/>
      <c r="AT3" s="7"/>
      <c r="AU3" s="7"/>
      <c r="AV3" s="7"/>
      <c r="AW3" s="7"/>
      <c r="AX3" s="378"/>
      <c r="AY3" s="7"/>
      <c r="AZ3" s="7"/>
      <c r="BA3" s="7"/>
      <c r="BB3" s="7"/>
      <c r="BC3" s="7"/>
      <c r="BD3" s="7"/>
      <c r="BE3" s="7"/>
      <c r="BF3" s="7"/>
      <c r="BG3" s="7"/>
      <c r="BH3" s="7"/>
      <c r="BI3" s="7"/>
      <c r="BJ3" s="7"/>
      <c r="BK3" s="7"/>
      <c r="BL3" s="7"/>
      <c r="BM3" s="7"/>
      <c r="BN3" s="7"/>
      <c r="BO3" s="7"/>
      <c r="BP3" s="7"/>
      <c r="BQ3" s="7"/>
      <c r="BR3" s="7"/>
      <c r="BS3" s="7"/>
      <c r="BT3" s="7"/>
    </row>
    <row r="4" spans="1:72" ht="26.25" customHeight="1" x14ac:dyDescent="0.25">
      <c r="A4" s="625" t="s">
        <v>43</v>
      </c>
      <c r="B4" s="626"/>
      <c r="C4" s="735" t="s">
        <v>359</v>
      </c>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
      <c r="AO4" s="7"/>
      <c r="AP4" s="7"/>
      <c r="AQ4" s="7"/>
      <c r="AR4" s="7"/>
      <c r="AS4" s="7"/>
      <c r="AT4" s="7"/>
      <c r="AU4" s="7"/>
      <c r="AV4" s="7"/>
      <c r="AW4" s="7"/>
      <c r="AX4" s="378"/>
      <c r="AY4" s="7"/>
      <c r="AZ4" s="7"/>
      <c r="BA4" s="7"/>
      <c r="BB4" s="7"/>
      <c r="BC4" s="7"/>
      <c r="BD4" s="7"/>
      <c r="BE4" s="7"/>
      <c r="BF4" s="7"/>
      <c r="BG4" s="7"/>
      <c r="BH4" s="7"/>
      <c r="BI4" s="7"/>
      <c r="BJ4" s="7"/>
      <c r="BK4" s="7"/>
      <c r="BL4" s="7"/>
      <c r="BM4" s="7"/>
      <c r="BN4" s="7"/>
      <c r="BO4" s="7"/>
      <c r="BP4" s="7"/>
      <c r="BQ4" s="7"/>
      <c r="BR4" s="7"/>
      <c r="BS4" s="7"/>
      <c r="BT4" s="7"/>
    </row>
    <row r="5" spans="1:72" ht="30" customHeight="1" x14ac:dyDescent="0.25">
      <c r="A5" s="625" t="s">
        <v>125</v>
      </c>
      <c r="B5" s="626"/>
      <c r="C5" s="734" t="s">
        <v>360</v>
      </c>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
      <c r="AO5" s="7"/>
      <c r="AP5" s="7"/>
      <c r="AQ5" s="7"/>
      <c r="AR5" s="7"/>
      <c r="AS5" s="7"/>
      <c r="AT5" s="7"/>
      <c r="AU5" s="7"/>
      <c r="AV5" s="7"/>
      <c r="AW5" s="7"/>
      <c r="AX5" s="378"/>
      <c r="AY5" s="7"/>
      <c r="AZ5" s="7"/>
      <c r="BA5" s="7"/>
      <c r="BB5" s="7"/>
      <c r="BC5" s="7"/>
      <c r="BD5" s="7"/>
      <c r="BE5" s="7"/>
      <c r="BF5" s="7"/>
      <c r="BG5" s="7"/>
      <c r="BH5" s="7"/>
      <c r="BI5" s="7"/>
      <c r="BJ5" s="7"/>
      <c r="BK5" s="7"/>
      <c r="BL5" s="7"/>
      <c r="BM5" s="7"/>
      <c r="BN5" s="7"/>
      <c r="BO5" s="7"/>
      <c r="BP5" s="7"/>
      <c r="BQ5" s="7"/>
      <c r="BR5" s="7"/>
      <c r="BS5" s="7"/>
      <c r="BT5" s="7"/>
    </row>
    <row r="6" spans="1:72" ht="49.5" customHeight="1" x14ac:dyDescent="0.25">
      <c r="A6" s="625" t="s">
        <v>44</v>
      </c>
      <c r="B6" s="626"/>
      <c r="C6" s="735" t="s">
        <v>361</v>
      </c>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
      <c r="AO6" s="7"/>
      <c r="AP6" s="7"/>
      <c r="AQ6" s="7"/>
      <c r="AR6" s="7"/>
      <c r="AS6" s="7"/>
      <c r="AT6" s="7"/>
      <c r="AU6" s="7"/>
      <c r="AV6" s="7"/>
      <c r="AW6" s="7"/>
      <c r="AX6" s="378"/>
      <c r="AY6" s="7"/>
      <c r="AZ6" s="7"/>
      <c r="BA6" s="7"/>
      <c r="BB6" s="7"/>
      <c r="BC6" s="7"/>
      <c r="BD6" s="7"/>
      <c r="BE6" s="7"/>
      <c r="BF6" s="7"/>
      <c r="BG6" s="7"/>
      <c r="BH6" s="7"/>
      <c r="BI6" s="7"/>
      <c r="BJ6" s="7"/>
      <c r="BK6" s="7"/>
      <c r="BL6" s="7"/>
      <c r="BM6" s="7"/>
      <c r="BN6" s="7"/>
      <c r="BO6" s="7"/>
      <c r="BP6" s="7"/>
      <c r="BQ6" s="7"/>
      <c r="BR6" s="7"/>
      <c r="BS6" s="7"/>
      <c r="BT6" s="7"/>
    </row>
    <row r="7" spans="1:72" x14ac:dyDescent="0.25">
      <c r="A7" s="742" t="s">
        <v>134</v>
      </c>
      <c r="B7" s="743"/>
      <c r="C7" s="744"/>
      <c r="D7" s="744"/>
      <c r="E7" s="744"/>
      <c r="F7" s="744"/>
      <c r="G7" s="744"/>
      <c r="H7" s="744"/>
      <c r="I7" s="744"/>
      <c r="J7" s="745"/>
      <c r="K7" s="617" t="s">
        <v>135</v>
      </c>
      <c r="L7" s="744"/>
      <c r="M7" s="744"/>
      <c r="N7" s="744"/>
      <c r="O7" s="744"/>
      <c r="P7" s="744"/>
      <c r="Q7" s="745"/>
      <c r="R7" s="617" t="s">
        <v>136</v>
      </c>
      <c r="S7" s="744"/>
      <c r="T7" s="744"/>
      <c r="U7" s="744"/>
      <c r="V7" s="744"/>
      <c r="W7" s="744"/>
      <c r="X7" s="744"/>
      <c r="Y7" s="744"/>
      <c r="Z7" s="745"/>
      <c r="AA7" s="617" t="s">
        <v>137</v>
      </c>
      <c r="AB7" s="744"/>
      <c r="AC7" s="744"/>
      <c r="AD7" s="744"/>
      <c r="AE7" s="744"/>
      <c r="AF7" s="744"/>
      <c r="AG7" s="745"/>
      <c r="AH7" s="617" t="s">
        <v>34</v>
      </c>
      <c r="AI7" s="744"/>
      <c r="AJ7" s="744"/>
      <c r="AK7" s="744"/>
      <c r="AL7" s="744"/>
      <c r="AM7" s="745"/>
      <c r="AN7" s="7"/>
      <c r="AO7" s="7"/>
      <c r="AP7" s="7"/>
      <c r="AQ7" s="7"/>
      <c r="AR7" s="7"/>
      <c r="AS7" s="7"/>
      <c r="AT7" s="7"/>
      <c r="AU7" s="7"/>
      <c r="AV7" s="7"/>
      <c r="AW7" s="7"/>
      <c r="AX7" s="378"/>
      <c r="AY7" s="7"/>
      <c r="AZ7" s="7"/>
      <c r="BA7" s="7"/>
      <c r="BB7" s="7"/>
      <c r="BC7" s="7"/>
      <c r="BD7" s="7"/>
      <c r="BE7" s="7"/>
      <c r="BF7" s="7"/>
      <c r="BG7" s="7"/>
      <c r="BH7" s="7"/>
      <c r="BI7" s="7"/>
      <c r="BJ7" s="7"/>
      <c r="BK7" s="7"/>
      <c r="BL7" s="7"/>
      <c r="BM7" s="7"/>
      <c r="BN7" s="7"/>
      <c r="BO7" s="7"/>
      <c r="BP7" s="7"/>
      <c r="BQ7" s="7"/>
      <c r="BR7" s="7"/>
      <c r="BS7" s="7"/>
      <c r="BT7" s="7"/>
    </row>
    <row r="8" spans="1:72" ht="16.5" customHeight="1" x14ac:dyDescent="0.25">
      <c r="A8" s="627" t="s">
        <v>0</v>
      </c>
      <c r="B8" s="620" t="s">
        <v>2</v>
      </c>
      <c r="C8" s="631" t="s">
        <v>3</v>
      </c>
      <c r="D8" s="631" t="s">
        <v>42</v>
      </c>
      <c r="E8" s="622" t="s">
        <v>203</v>
      </c>
      <c r="F8" s="629" t="s">
        <v>1</v>
      </c>
      <c r="G8" s="216"/>
      <c r="H8" s="130"/>
      <c r="I8" s="622" t="s">
        <v>50</v>
      </c>
      <c r="J8" s="623" t="s">
        <v>130</v>
      </c>
      <c r="K8" s="614" t="s">
        <v>33</v>
      </c>
      <c r="L8" s="616" t="s">
        <v>5</v>
      </c>
      <c r="M8" s="622" t="s">
        <v>86</v>
      </c>
      <c r="N8" s="622" t="s">
        <v>91</v>
      </c>
      <c r="O8" s="618" t="s">
        <v>45</v>
      </c>
      <c r="P8" s="616" t="s">
        <v>5</v>
      </c>
      <c r="Q8" s="615" t="s">
        <v>48</v>
      </c>
      <c r="R8" s="633" t="s">
        <v>11</v>
      </c>
      <c r="S8" s="574" t="s">
        <v>152</v>
      </c>
      <c r="T8" s="622" t="s">
        <v>12</v>
      </c>
      <c r="U8" s="574" t="s">
        <v>8</v>
      </c>
      <c r="V8" s="574"/>
      <c r="W8" s="574"/>
      <c r="X8" s="574"/>
      <c r="Y8" s="574"/>
      <c r="Z8" s="574"/>
      <c r="AA8" s="635" t="s">
        <v>133</v>
      </c>
      <c r="AB8" s="635" t="s">
        <v>46</v>
      </c>
      <c r="AC8" s="635" t="s">
        <v>5</v>
      </c>
      <c r="AD8" s="635" t="s">
        <v>47</v>
      </c>
      <c r="AE8" s="635" t="s">
        <v>5</v>
      </c>
      <c r="AF8" s="635" t="s">
        <v>49</v>
      </c>
      <c r="AG8" s="633" t="s">
        <v>29</v>
      </c>
      <c r="AH8" s="574" t="s">
        <v>34</v>
      </c>
      <c r="AI8" s="574" t="s">
        <v>35</v>
      </c>
      <c r="AJ8" s="621" t="s">
        <v>36</v>
      </c>
      <c r="AK8" s="574" t="s">
        <v>38</v>
      </c>
      <c r="AL8" s="574" t="s">
        <v>37</v>
      </c>
      <c r="AM8" s="624" t="s">
        <v>39</v>
      </c>
      <c r="AN8" s="554" t="s">
        <v>435</v>
      </c>
      <c r="AO8" s="553" t="s">
        <v>0</v>
      </c>
      <c r="AP8" s="554" t="s">
        <v>436</v>
      </c>
      <c r="AQ8" s="553" t="s">
        <v>0</v>
      </c>
      <c r="AR8" s="554" t="s">
        <v>437</v>
      </c>
      <c r="AS8" s="553" t="s">
        <v>0</v>
      </c>
      <c r="AT8" s="554" t="s">
        <v>438</v>
      </c>
      <c r="AU8" s="553" t="s">
        <v>0</v>
      </c>
      <c r="AV8" s="554" t="s">
        <v>439</v>
      </c>
      <c r="AW8" s="553" t="s">
        <v>0</v>
      </c>
      <c r="AX8" s="551" t="s">
        <v>471</v>
      </c>
      <c r="AY8" s="553" t="s">
        <v>0</v>
      </c>
      <c r="AZ8" s="7"/>
      <c r="BA8" s="7"/>
      <c r="BB8" s="7"/>
      <c r="BC8" s="7"/>
      <c r="BD8" s="7"/>
      <c r="BE8" s="7"/>
      <c r="BF8" s="7"/>
      <c r="BG8" s="7"/>
      <c r="BH8" s="7"/>
      <c r="BI8" s="7"/>
      <c r="BJ8" s="7"/>
      <c r="BK8" s="7"/>
      <c r="BL8" s="7"/>
      <c r="BM8" s="7"/>
      <c r="BN8" s="7"/>
      <c r="BO8" s="7"/>
      <c r="BP8" s="7"/>
      <c r="BQ8" s="7"/>
      <c r="BR8" s="7"/>
      <c r="BS8" s="7"/>
      <c r="BT8" s="7"/>
    </row>
    <row r="9" spans="1:72" s="3" customFormat="1" ht="94.5" customHeight="1" thickBot="1" x14ac:dyDescent="0.35">
      <c r="A9" s="628"/>
      <c r="B9" s="620"/>
      <c r="C9" s="632"/>
      <c r="D9" s="632"/>
      <c r="E9" s="895"/>
      <c r="F9" s="630"/>
      <c r="G9" s="216" t="s">
        <v>259</v>
      </c>
      <c r="H9" s="896" t="s">
        <v>204</v>
      </c>
      <c r="I9" s="623"/>
      <c r="J9" s="574"/>
      <c r="K9" s="615"/>
      <c r="L9" s="617"/>
      <c r="M9" s="623"/>
      <c r="N9" s="623"/>
      <c r="O9" s="619"/>
      <c r="P9" s="617"/>
      <c r="Q9" s="621"/>
      <c r="R9" s="634"/>
      <c r="S9" s="574"/>
      <c r="T9" s="623"/>
      <c r="U9" s="6" t="s">
        <v>13</v>
      </c>
      <c r="V9" s="6" t="s">
        <v>17</v>
      </c>
      <c r="W9" s="6" t="s">
        <v>28</v>
      </c>
      <c r="X9" s="6" t="s">
        <v>18</v>
      </c>
      <c r="Y9" s="6" t="s">
        <v>21</v>
      </c>
      <c r="Z9" s="6" t="s">
        <v>24</v>
      </c>
      <c r="AA9" s="635"/>
      <c r="AB9" s="635"/>
      <c r="AC9" s="635"/>
      <c r="AD9" s="635"/>
      <c r="AE9" s="635"/>
      <c r="AF9" s="635"/>
      <c r="AG9" s="634"/>
      <c r="AH9" s="574"/>
      <c r="AI9" s="574"/>
      <c r="AJ9" s="621"/>
      <c r="AK9" s="574"/>
      <c r="AL9" s="574"/>
      <c r="AM9" s="624"/>
      <c r="AN9" s="555"/>
      <c r="AO9" s="553"/>
      <c r="AP9" s="555"/>
      <c r="AQ9" s="553"/>
      <c r="AR9" s="555"/>
      <c r="AS9" s="553"/>
      <c r="AT9" s="555"/>
      <c r="AU9" s="553"/>
      <c r="AV9" s="555"/>
      <c r="AW9" s="553"/>
      <c r="AX9" s="552"/>
      <c r="AY9" s="553"/>
      <c r="AZ9" s="24"/>
      <c r="BA9" s="24"/>
      <c r="BB9" s="24"/>
      <c r="BC9" s="24"/>
      <c r="BD9" s="24"/>
      <c r="BE9" s="24"/>
      <c r="BF9" s="24"/>
      <c r="BG9" s="24"/>
      <c r="BH9" s="24"/>
      <c r="BI9" s="24"/>
      <c r="BJ9" s="24"/>
      <c r="BK9" s="24"/>
      <c r="BL9" s="24"/>
      <c r="BM9" s="24"/>
      <c r="BN9" s="24"/>
      <c r="BO9" s="24"/>
      <c r="BP9" s="24"/>
      <c r="BQ9" s="24"/>
      <c r="BR9" s="24"/>
      <c r="BS9" s="24"/>
      <c r="BT9" s="24"/>
    </row>
    <row r="10" spans="1:72" s="232" customFormat="1" ht="215.25" customHeight="1" thickBot="1" x14ac:dyDescent="0.35">
      <c r="A10" s="581">
        <v>1</v>
      </c>
      <c r="B10" s="584" t="s">
        <v>129</v>
      </c>
      <c r="C10" s="587" t="s">
        <v>416</v>
      </c>
      <c r="D10" s="590" t="s">
        <v>362</v>
      </c>
      <c r="E10" s="297" t="str">
        <f>'Priorizacion de Causas'!B35</f>
        <v>Deficiente seguimiento por parte de los ordenadores del gasto  en la ejecución presupuestal</v>
      </c>
      <c r="F10" s="593" t="s">
        <v>419</v>
      </c>
      <c r="G10" s="611" t="s">
        <v>363</v>
      </c>
      <c r="H10" s="608" t="s">
        <v>364</v>
      </c>
      <c r="I10" s="571" t="s">
        <v>118</v>
      </c>
      <c r="J10" s="575">
        <f>11+3</f>
        <v>14</v>
      </c>
      <c r="K10" s="578" t="str">
        <f>IF(J10&lt;=0,"",IF(J10&lt;=2,"Muy Baja",IF(J10&lt;=24,"Baja",IF(J10&lt;=500,"Media",IF(J10&lt;=5000,"Alta","Muy Alta")))))</f>
        <v>Baja</v>
      </c>
      <c r="L10" s="599">
        <f>IF(K10="","",IF(K10="Muy Baja",0.2,IF(K10="Baja",0.4,IF(K10="Media",0.6,IF(K10="Alta",0.8,IF(K10="Muy Alta",1,))))))</f>
        <v>0.4</v>
      </c>
      <c r="M10" s="602" t="s">
        <v>213</v>
      </c>
      <c r="N10" s="605" t="str">
        <f>IF(NOT(ISERROR(MATCH(M10,'Tabla Impacto'!$B$221:$B$223,0))),'Tabla Impacto'!$F$223&amp;"Por favor no seleccionar los criterios de impacto(Afectación Económica o presupuestal y Pérdida Reputacional)",M10)</f>
        <v xml:space="preserve">     Mayor a 10000 SMLMV</v>
      </c>
      <c r="O10" s="578" t="str">
        <f>IF(OR(N10='Tabla Impacto'!$C$11,N10='Tabla Impacto'!$D$11),"Leve",IF(OR(N10='Tabla Impacto'!$C$12,N10='Tabla Impacto'!$D$12),"Menor",IF(OR(N10='Tabla Impacto'!$C$13,N10='Tabla Impacto'!$D$13),"Moderado",IF(OR(N10='Tabla Impacto'!$C$14,N10='Tabla Impacto'!$D$14),"Mayor",IF(OR(N10='Tabla Impacto'!$C$15,N10='Tabla Impacto'!$D$15),"Catastrófico","")))))</f>
        <v>Catastrófico</v>
      </c>
      <c r="P10" s="599">
        <f>IF(O10="","",IF(O10="Leve",0.2,IF(O10="Menor",0.4,IF(O10="Moderado",0.6,IF(O10="Mayor",0.8,IF(O10="Catastrófico",1,))))))</f>
        <v>1</v>
      </c>
      <c r="Q10" s="596"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Extremo</v>
      </c>
      <c r="R10" s="219">
        <v>1</v>
      </c>
      <c r="S10" s="298" t="str">
        <f>DOFA!E39</f>
        <v>D3, O4-El director (a) de Presupuesto por medio de su equipo de trabajo, realizará seguimiento a la ejecución presupuestal elaborando y presentando de manera mensual un INFORME EJECUTIVO  DE LA EJECUCIÓN PRESUPUESTAL DE GASTOS, que resume las principales líneas de la ejecución oficial de gastos con el fin de generar las alertas  tempranas que procuren un incremento en la ejecución del gasto público por parte de las secretarias del despacho municipal,
Dejando como evidencia los correos electrónicos institucionales. (MANUAL  PRESUPUESTO: MAN-GHP-01- ELABORACIÓN DEL INFORME EJECUTIVO DE EJECUCIÓN PRESUPUESTAL DE GASTOS //CARACTERIZACION DEL PROCESO: CAR-GHP-001 )</v>
      </c>
      <c r="T10" s="299" t="str">
        <f t="shared" ref="T10:T40" si="0">IF(OR(U10="Preventivo",U10="Detectivo"),"Probabilidad",IF(U10="Correctivo","Impacto",""))</f>
        <v>Probabilidad</v>
      </c>
      <c r="U10" s="300" t="s">
        <v>14</v>
      </c>
      <c r="V10" s="300" t="s">
        <v>9</v>
      </c>
      <c r="W10" s="301" t="str">
        <f t="shared" ref="W10:W40" si="1">IF(AND(U10="Preventivo",V10="Automático"),"50%",IF(AND(U10="Preventivo",V10="Manual"),"40%",IF(AND(U10="Detectivo",V10="Automático"),"40%",IF(AND(U10="Detectivo",V10="Manual"),"30%",IF(AND(U10="Correctivo",V10="Automático"),"35%",IF(AND(U10="Correctivo",V10="Manual"),"25%",""))))))</f>
        <v>40%</v>
      </c>
      <c r="X10" s="300" t="s">
        <v>19</v>
      </c>
      <c r="Y10" s="300" t="s">
        <v>22</v>
      </c>
      <c r="Z10" s="300" t="s">
        <v>114</v>
      </c>
      <c r="AA10" s="302">
        <f>IFERROR(IF(T10="Probabilidad",(L10-(+L10*W10)),IF(T10="Impacto",L10,"")),"")</f>
        <v>0.24</v>
      </c>
      <c r="AB10" s="224" t="str">
        <f t="shared" ref="AB10:AB40" si="2">IFERROR(IF(AA10="","",IF(AA10&lt;=0.2,"Muy Baja",IF(AA10&lt;=0.4,"Baja",IF(AA10&lt;=0.6,"Media",IF(AA10&lt;=0.8,"Alta","Muy Alta"))))),"")</f>
        <v>Baja</v>
      </c>
      <c r="AC10" s="303">
        <f t="shared" ref="AC10:AC40" si="3">+AA10</f>
        <v>0.24</v>
      </c>
      <c r="AD10" s="224" t="str">
        <f t="shared" ref="AD10:AD40" si="4">IFERROR(IF(AE10="","",IF(AE10&lt;=0.2,"Leve",IF(AE10&lt;=0.4,"Menor",IF(AE10&lt;=0.6,"Moderado",IF(AE10&lt;=0.8,"Mayor","Catastrófico"))))),"")</f>
        <v>Catastrófico</v>
      </c>
      <c r="AE10" s="303">
        <f>IFERROR(IF(T10="Impacto",(P10-(+P10*W10)),IF(T10="Probabilidad",P10,"")),"")</f>
        <v>1</v>
      </c>
      <c r="AF10" s="226" t="str">
        <f t="shared" ref="AF10:AF40" si="5">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Extremo</v>
      </c>
      <c r="AG10" s="304" t="s">
        <v>131</v>
      </c>
      <c r="AH10" s="298" t="s">
        <v>420</v>
      </c>
      <c r="AI10" s="298" t="s">
        <v>409</v>
      </c>
      <c r="AJ10" s="305">
        <v>45352</v>
      </c>
      <c r="AK10" s="306"/>
      <c r="AL10" s="298"/>
      <c r="AM10" s="307" t="s">
        <v>41</v>
      </c>
      <c r="AN10" s="276" t="s">
        <v>440</v>
      </c>
      <c r="AO10" s="277">
        <v>1</v>
      </c>
      <c r="AP10" s="276" t="s">
        <v>441</v>
      </c>
      <c r="AQ10" s="277">
        <v>1</v>
      </c>
      <c r="AR10" s="276" t="s">
        <v>442</v>
      </c>
      <c r="AS10" s="277">
        <v>1</v>
      </c>
      <c r="AT10" s="276" t="s">
        <v>443</v>
      </c>
      <c r="AU10" s="277">
        <v>1</v>
      </c>
      <c r="AV10" s="276" t="s">
        <v>444</v>
      </c>
      <c r="AW10" s="277">
        <v>1</v>
      </c>
      <c r="AX10" s="379" t="s">
        <v>478</v>
      </c>
      <c r="AY10" s="277">
        <v>1</v>
      </c>
      <c r="AZ10" s="231"/>
      <c r="BA10" s="231"/>
      <c r="BB10" s="231"/>
      <c r="BC10" s="231"/>
      <c r="BD10" s="231"/>
      <c r="BE10" s="231"/>
      <c r="BF10" s="231"/>
      <c r="BG10" s="231"/>
      <c r="BH10" s="231"/>
      <c r="BI10" s="231"/>
      <c r="BJ10" s="231"/>
      <c r="BK10" s="231"/>
      <c r="BL10" s="231"/>
      <c r="BM10" s="231"/>
      <c r="BN10" s="231"/>
      <c r="BO10" s="231"/>
      <c r="BP10" s="231"/>
      <c r="BQ10" s="231"/>
      <c r="BR10" s="231"/>
      <c r="BS10" s="231"/>
      <c r="BT10" s="231"/>
    </row>
    <row r="11" spans="1:72" s="232" customFormat="1" ht="409.6" hidden="1" customHeight="1" thickBot="1" x14ac:dyDescent="0.35">
      <c r="A11" s="582"/>
      <c r="B11" s="585"/>
      <c r="C11" s="588"/>
      <c r="D11" s="591"/>
      <c r="E11" s="218"/>
      <c r="F11" s="594"/>
      <c r="G11" s="612"/>
      <c r="H11" s="609"/>
      <c r="I11" s="572"/>
      <c r="J11" s="576"/>
      <c r="K11" s="579"/>
      <c r="L11" s="600"/>
      <c r="M11" s="603"/>
      <c r="N11" s="606">
        <f>IF(NOT(ISERROR(MATCH(M11,_xlfn.ANCHORARRAY(F22),0))),L24&amp;"Por favor no seleccionar los criterios de impacto",M11)</f>
        <v>0</v>
      </c>
      <c r="O11" s="579"/>
      <c r="P11" s="600"/>
      <c r="Q11" s="597"/>
      <c r="R11" s="219">
        <v>2</v>
      </c>
      <c r="S11" s="104"/>
      <c r="T11" s="220" t="str">
        <f t="shared" si="0"/>
        <v/>
      </c>
      <c r="U11" s="221"/>
      <c r="V11" s="221"/>
      <c r="W11" s="222" t="str">
        <f t="shared" si="1"/>
        <v/>
      </c>
      <c r="X11" s="221"/>
      <c r="Y11" s="221"/>
      <c r="Z11" s="221"/>
      <c r="AA11" s="223" t="str">
        <f>IFERROR(IF(AND(T10="Probabilidad",T11="Probabilidad"),(AC10-(+AC10*W11)),IF(AND(T10="Impacto",T11="Probabilidad"),(L10-(+L10*W11)),IF(T11="Impacto",AC10,""))),"")</f>
        <v/>
      </c>
      <c r="AB11" s="224" t="str">
        <f t="shared" si="2"/>
        <v/>
      </c>
      <c r="AC11" s="225" t="str">
        <f t="shared" si="3"/>
        <v/>
      </c>
      <c r="AD11" s="224" t="str">
        <f t="shared" si="4"/>
        <v/>
      </c>
      <c r="AE11" s="225" t="str">
        <f>IFERROR(IF(AND(T10="Impacto",T11="Impacto"),(AE10-(+AE10*W11)),IF(AND(T10="Probabilidad",T11="Impacto"),(P10-(+P10*W11)),IF(T11="Probabilidad",AE10,""))),"")</f>
        <v/>
      </c>
      <c r="AF11" s="226" t="str">
        <f t="shared" si="5"/>
        <v/>
      </c>
      <c r="AG11" s="227"/>
      <c r="AH11" s="104"/>
      <c r="AI11" s="230"/>
      <c r="AJ11" s="228"/>
      <c r="AK11" s="229"/>
      <c r="AL11" s="104"/>
      <c r="AM11" s="281"/>
      <c r="AN11" s="283" t="s">
        <v>445</v>
      </c>
      <c r="AO11" s="282">
        <v>2</v>
      </c>
      <c r="AP11" s="283" t="s">
        <v>446</v>
      </c>
      <c r="AQ11" s="282">
        <v>2</v>
      </c>
      <c r="AR11" s="283" t="s">
        <v>447</v>
      </c>
      <c r="AS11" s="282">
        <v>2</v>
      </c>
      <c r="AT11" s="283" t="s">
        <v>448</v>
      </c>
      <c r="AU11" s="282">
        <v>2</v>
      </c>
      <c r="AV11" s="283" t="s">
        <v>449</v>
      </c>
      <c r="AW11" s="282">
        <v>2</v>
      </c>
      <c r="AX11" s="380"/>
      <c r="AY11" s="282">
        <v>2</v>
      </c>
      <c r="AZ11" s="231"/>
      <c r="BA11" s="231"/>
      <c r="BB11" s="231"/>
      <c r="BC11" s="231"/>
      <c r="BD11" s="231"/>
      <c r="BE11" s="231"/>
      <c r="BF11" s="231"/>
      <c r="BG11" s="231"/>
      <c r="BH11" s="231"/>
      <c r="BI11" s="231"/>
      <c r="BJ11" s="231"/>
      <c r="BK11" s="231"/>
      <c r="BL11" s="231"/>
      <c r="BM11" s="231"/>
      <c r="BN11" s="231"/>
      <c r="BO11" s="231"/>
      <c r="BP11" s="231"/>
      <c r="BQ11" s="231"/>
      <c r="BR11" s="231"/>
      <c r="BS11" s="231"/>
      <c r="BT11" s="231"/>
    </row>
    <row r="12" spans="1:72" s="232" customFormat="1" ht="16.5" hidden="1" customHeight="1" x14ac:dyDescent="0.3">
      <c r="A12" s="582"/>
      <c r="B12" s="585"/>
      <c r="C12" s="588"/>
      <c r="D12" s="591"/>
      <c r="E12" s="233"/>
      <c r="F12" s="594"/>
      <c r="G12" s="612"/>
      <c r="H12" s="609"/>
      <c r="I12" s="572"/>
      <c r="J12" s="576"/>
      <c r="K12" s="579"/>
      <c r="L12" s="600"/>
      <c r="M12" s="603"/>
      <c r="N12" s="606">
        <f>IF(NOT(ISERROR(MATCH(M12,_xlfn.ANCHORARRAY(F23),0))),L25&amp;"Por favor no seleccionar los criterios de impacto",M12)</f>
        <v>0</v>
      </c>
      <c r="O12" s="579"/>
      <c r="P12" s="600"/>
      <c r="Q12" s="597"/>
      <c r="R12" s="219">
        <v>3</v>
      </c>
      <c r="S12" s="230"/>
      <c r="T12" s="220" t="str">
        <f t="shared" si="0"/>
        <v/>
      </c>
      <c r="U12" s="221"/>
      <c r="V12" s="221"/>
      <c r="W12" s="222" t="str">
        <f t="shared" si="1"/>
        <v/>
      </c>
      <c r="X12" s="221"/>
      <c r="Y12" s="221"/>
      <c r="Z12" s="221"/>
      <c r="AA12" s="223" t="str">
        <f>IFERROR(IF(AND(T11="Probabilidad",T12="Probabilidad"),(AC11-(+AC11*W12)),IF(AND(T11="Impacto",T12="Probabilidad"),(AC10-(+AC10*W12)),IF(T12="Impacto",AC11,""))),"")</f>
        <v/>
      </c>
      <c r="AB12" s="224" t="str">
        <f t="shared" si="2"/>
        <v/>
      </c>
      <c r="AC12" s="225" t="str">
        <f t="shared" si="3"/>
        <v/>
      </c>
      <c r="AD12" s="224" t="str">
        <f t="shared" si="4"/>
        <v/>
      </c>
      <c r="AE12" s="225" t="str">
        <f>IFERROR(IF(AND(T11="Impacto",T12="Impacto"),(AE11-(+AE11*W12)),IF(AND(T11="Probabilidad",T12="Impacto"),(AE10-(+AE10*W12)),IF(T12="Probabilidad",AE11,""))),"")</f>
        <v/>
      </c>
      <c r="AF12" s="226" t="str">
        <f t="shared" si="5"/>
        <v/>
      </c>
      <c r="AG12" s="227"/>
      <c r="AH12" s="104"/>
      <c r="AI12" s="230"/>
      <c r="AJ12" s="228"/>
      <c r="AK12" s="229"/>
      <c r="AL12" s="104"/>
      <c r="AM12" s="281"/>
      <c r="AN12" s="283" t="s">
        <v>450</v>
      </c>
      <c r="AO12" s="282">
        <v>3</v>
      </c>
      <c r="AP12" s="283" t="s">
        <v>451</v>
      </c>
      <c r="AQ12" s="282">
        <v>3</v>
      </c>
      <c r="AR12" s="283" t="s">
        <v>452</v>
      </c>
      <c r="AS12" s="282">
        <v>3</v>
      </c>
      <c r="AT12" s="283" t="s">
        <v>453</v>
      </c>
      <c r="AU12" s="282">
        <v>3</v>
      </c>
      <c r="AV12" s="283" t="s">
        <v>454</v>
      </c>
      <c r="AW12" s="282">
        <v>3</v>
      </c>
      <c r="AX12" s="380"/>
      <c r="AY12" s="282">
        <v>3</v>
      </c>
      <c r="AZ12" s="231"/>
      <c r="BA12" s="231"/>
      <c r="BB12" s="231"/>
      <c r="BC12" s="231"/>
      <c r="BD12" s="231"/>
      <c r="BE12" s="231"/>
      <c r="BF12" s="231"/>
      <c r="BG12" s="231"/>
      <c r="BH12" s="231"/>
      <c r="BI12" s="231"/>
      <c r="BJ12" s="231"/>
      <c r="BK12" s="231"/>
      <c r="BL12" s="231"/>
      <c r="BM12" s="231"/>
      <c r="BN12" s="231"/>
      <c r="BO12" s="231"/>
      <c r="BP12" s="231"/>
      <c r="BQ12" s="231"/>
      <c r="BR12" s="231"/>
      <c r="BS12" s="231"/>
      <c r="BT12" s="231"/>
    </row>
    <row r="13" spans="1:72" s="232" customFormat="1" ht="16.5" hidden="1" customHeight="1" x14ac:dyDescent="0.3">
      <c r="A13" s="582"/>
      <c r="B13" s="585"/>
      <c r="C13" s="588"/>
      <c r="D13" s="591"/>
      <c r="E13" s="233"/>
      <c r="F13" s="594"/>
      <c r="G13" s="612"/>
      <c r="H13" s="609"/>
      <c r="I13" s="572"/>
      <c r="J13" s="576"/>
      <c r="K13" s="579"/>
      <c r="L13" s="600"/>
      <c r="M13" s="603"/>
      <c r="N13" s="606">
        <f>IF(NOT(ISERROR(MATCH(M13,_xlfn.ANCHORARRAY(F24),0))),L26&amp;"Por favor no seleccionar los criterios de impacto",M13)</f>
        <v>0</v>
      </c>
      <c r="O13" s="579"/>
      <c r="P13" s="600"/>
      <c r="Q13" s="597"/>
      <c r="R13" s="219">
        <v>4</v>
      </c>
      <c r="S13" s="104"/>
      <c r="T13" s="220" t="str">
        <f t="shared" si="0"/>
        <v/>
      </c>
      <c r="U13" s="221"/>
      <c r="V13" s="221"/>
      <c r="W13" s="222" t="str">
        <f t="shared" si="1"/>
        <v/>
      </c>
      <c r="X13" s="221"/>
      <c r="Y13" s="221"/>
      <c r="Z13" s="221"/>
      <c r="AA13" s="223" t="str">
        <f>IFERROR(IF(AND(T12="Probabilidad",T13="Probabilidad"),(AC12-(+AC12*W13)),IF(AND(T12="Impacto",T13="Probabilidad"),(AC11-(+AC11*W13)),IF(T13="Impacto",AC12,""))),"")</f>
        <v/>
      </c>
      <c r="AB13" s="224" t="str">
        <f t="shared" si="2"/>
        <v/>
      </c>
      <c r="AC13" s="225" t="str">
        <f t="shared" si="3"/>
        <v/>
      </c>
      <c r="AD13" s="224" t="str">
        <f t="shared" si="4"/>
        <v/>
      </c>
      <c r="AE13" s="225" t="str">
        <f>IFERROR(IF(AND(T12="Impacto",T13="Impacto"),(AE12-(+AE12*W13)),IF(AND(T12="Probabilidad",T13="Impacto"),(AE11-(+AE11*W13)),IF(T13="Probabilidad",AE12,""))),"")</f>
        <v/>
      </c>
      <c r="AF13" s="226" t="str">
        <f t="shared" si="5"/>
        <v/>
      </c>
      <c r="AG13" s="227"/>
      <c r="AH13" s="104"/>
      <c r="AI13" s="230"/>
      <c r="AJ13" s="228"/>
      <c r="AK13" s="229"/>
      <c r="AL13" s="104"/>
      <c r="AM13" s="281"/>
      <c r="AN13" s="278" t="s">
        <v>445</v>
      </c>
      <c r="AO13" s="277">
        <v>2</v>
      </c>
      <c r="AP13" s="278" t="s">
        <v>446</v>
      </c>
      <c r="AQ13" s="277">
        <v>2</v>
      </c>
      <c r="AR13" s="278" t="s">
        <v>447</v>
      </c>
      <c r="AS13" s="277">
        <v>2</v>
      </c>
      <c r="AT13" s="278" t="s">
        <v>448</v>
      </c>
      <c r="AU13" s="277">
        <v>2</v>
      </c>
      <c r="AV13" s="278" t="s">
        <v>449</v>
      </c>
      <c r="AW13" s="277">
        <v>2</v>
      </c>
      <c r="AX13" s="381"/>
      <c r="AY13" s="277">
        <v>2</v>
      </c>
      <c r="AZ13" s="231"/>
      <c r="BA13" s="231"/>
      <c r="BB13" s="231"/>
      <c r="BC13" s="231"/>
      <c r="BD13" s="231"/>
      <c r="BE13" s="231"/>
      <c r="BF13" s="231"/>
      <c r="BG13" s="231"/>
      <c r="BH13" s="231"/>
      <c r="BI13" s="231"/>
      <c r="BJ13" s="231"/>
      <c r="BK13" s="231"/>
      <c r="BL13" s="231"/>
      <c r="BM13" s="231"/>
      <c r="BN13" s="231"/>
      <c r="BO13" s="231"/>
      <c r="BP13" s="231"/>
      <c r="BQ13" s="231"/>
      <c r="BR13" s="231"/>
      <c r="BS13" s="231"/>
      <c r="BT13" s="231"/>
    </row>
    <row r="14" spans="1:72" s="232" customFormat="1" ht="16.5" hidden="1" customHeight="1" x14ac:dyDescent="0.3">
      <c r="A14" s="582"/>
      <c r="B14" s="585"/>
      <c r="C14" s="588"/>
      <c r="D14" s="591"/>
      <c r="E14" s="233"/>
      <c r="F14" s="594"/>
      <c r="G14" s="612"/>
      <c r="H14" s="609"/>
      <c r="I14" s="572"/>
      <c r="J14" s="576"/>
      <c r="K14" s="579"/>
      <c r="L14" s="600"/>
      <c r="M14" s="603"/>
      <c r="N14" s="606">
        <f>IF(NOT(ISERROR(MATCH(M14,_xlfn.ANCHORARRAY(F25),0))),L27&amp;"Por favor no seleccionar los criterios de impacto",M14)</f>
        <v>0</v>
      </c>
      <c r="O14" s="579"/>
      <c r="P14" s="600"/>
      <c r="Q14" s="597"/>
      <c r="R14" s="219">
        <v>5</v>
      </c>
      <c r="S14" s="104"/>
      <c r="T14" s="220" t="str">
        <f t="shared" si="0"/>
        <v/>
      </c>
      <c r="U14" s="221"/>
      <c r="V14" s="221"/>
      <c r="W14" s="222" t="str">
        <f t="shared" si="1"/>
        <v/>
      </c>
      <c r="X14" s="221"/>
      <c r="Y14" s="221"/>
      <c r="Z14" s="221"/>
      <c r="AA14" s="223" t="str">
        <f>IFERROR(IF(AND(T13="Probabilidad",T14="Probabilidad"),(AC13-(+AC13*W14)),IF(AND(T13="Impacto",T14="Probabilidad"),(AC12-(+AC12*W14)),IF(T14="Impacto",AC13,""))),"")</f>
        <v/>
      </c>
      <c r="AB14" s="224" t="str">
        <f t="shared" si="2"/>
        <v/>
      </c>
      <c r="AC14" s="225" t="str">
        <f t="shared" si="3"/>
        <v/>
      </c>
      <c r="AD14" s="224" t="str">
        <f t="shared" si="4"/>
        <v/>
      </c>
      <c r="AE14" s="225" t="str">
        <f>IFERROR(IF(AND(T13="Impacto",T14="Impacto"),(AE13-(+AE13*W14)),IF(AND(T13="Probabilidad",T14="Impacto"),(AE12-(+AE12*W14)),IF(T14="Probabilidad",AE13,""))),"")</f>
        <v/>
      </c>
      <c r="AF14" s="226" t="str">
        <f t="shared" si="5"/>
        <v/>
      </c>
      <c r="AG14" s="227"/>
      <c r="AH14" s="104"/>
      <c r="AI14" s="230"/>
      <c r="AJ14" s="228"/>
      <c r="AK14" s="229"/>
      <c r="AL14" s="104"/>
      <c r="AM14" s="281"/>
      <c r="AN14" s="278" t="s">
        <v>445</v>
      </c>
      <c r="AO14" s="277">
        <v>2</v>
      </c>
      <c r="AP14" s="278" t="s">
        <v>446</v>
      </c>
      <c r="AQ14" s="277">
        <v>2</v>
      </c>
      <c r="AR14" s="278" t="s">
        <v>447</v>
      </c>
      <c r="AS14" s="277">
        <v>2</v>
      </c>
      <c r="AT14" s="278" t="s">
        <v>448</v>
      </c>
      <c r="AU14" s="277">
        <v>2</v>
      </c>
      <c r="AV14" s="278" t="s">
        <v>449</v>
      </c>
      <c r="AW14" s="277">
        <v>2</v>
      </c>
      <c r="AX14" s="381"/>
      <c r="AY14" s="277">
        <v>2</v>
      </c>
      <c r="AZ14" s="231"/>
      <c r="BA14" s="231"/>
      <c r="BB14" s="231"/>
      <c r="BC14" s="231"/>
      <c r="BD14" s="231"/>
      <c r="BE14" s="231"/>
      <c r="BF14" s="231"/>
      <c r="BG14" s="231"/>
      <c r="BH14" s="231"/>
      <c r="BI14" s="231"/>
      <c r="BJ14" s="231"/>
      <c r="BK14" s="231"/>
      <c r="BL14" s="231"/>
      <c r="BM14" s="231"/>
      <c r="BN14" s="231"/>
      <c r="BO14" s="231"/>
      <c r="BP14" s="231"/>
      <c r="BQ14" s="231"/>
      <c r="BR14" s="231"/>
      <c r="BS14" s="231"/>
      <c r="BT14" s="231"/>
    </row>
    <row r="15" spans="1:72" s="232" customFormat="1" ht="16.5" hidden="1" customHeight="1" x14ac:dyDescent="0.3">
      <c r="A15" s="583"/>
      <c r="B15" s="586"/>
      <c r="C15" s="589"/>
      <c r="D15" s="592"/>
      <c r="E15" s="233"/>
      <c r="F15" s="595"/>
      <c r="G15" s="613"/>
      <c r="H15" s="610"/>
      <c r="I15" s="573"/>
      <c r="J15" s="577"/>
      <c r="K15" s="580"/>
      <c r="L15" s="601"/>
      <c r="M15" s="604"/>
      <c r="N15" s="607">
        <f>IF(NOT(ISERROR(MATCH(M15,_xlfn.ANCHORARRAY(F26),0))),L28&amp;"Por favor no seleccionar los criterios de impacto",M15)</f>
        <v>0</v>
      </c>
      <c r="O15" s="580"/>
      <c r="P15" s="601"/>
      <c r="Q15" s="598"/>
      <c r="R15" s="219">
        <v>6</v>
      </c>
      <c r="S15" s="104"/>
      <c r="T15" s="220" t="str">
        <f t="shared" si="0"/>
        <v/>
      </c>
      <c r="U15" s="221"/>
      <c r="V15" s="221"/>
      <c r="W15" s="222" t="str">
        <f t="shared" si="1"/>
        <v/>
      </c>
      <c r="X15" s="221"/>
      <c r="Y15" s="221"/>
      <c r="Z15" s="221"/>
      <c r="AA15" s="223" t="str">
        <f>IFERROR(IF(AND(T14="Probabilidad",T15="Probabilidad"),(AC14-(+AC14*W15)),IF(AND(T14="Impacto",T15="Probabilidad"),(AC13-(+AC13*W15)),IF(T15="Impacto",AC14,""))),"")</f>
        <v/>
      </c>
      <c r="AB15" s="224" t="str">
        <f t="shared" si="2"/>
        <v/>
      </c>
      <c r="AC15" s="225" t="str">
        <f t="shared" si="3"/>
        <v/>
      </c>
      <c r="AD15" s="224" t="str">
        <f t="shared" si="4"/>
        <v/>
      </c>
      <c r="AE15" s="225" t="str">
        <f>IFERROR(IF(AND(T14="Impacto",T15="Impacto"),(AE14-(+AE14*W15)),IF(AND(T14="Probabilidad",T15="Impacto"),(AE13-(+AE13*W15)),IF(T15="Probabilidad",AE14,""))),"")</f>
        <v/>
      </c>
      <c r="AF15" s="226" t="str">
        <f t="shared" si="5"/>
        <v/>
      </c>
      <c r="AG15" s="227"/>
      <c r="AH15" s="104"/>
      <c r="AI15" s="230"/>
      <c r="AJ15" s="228"/>
      <c r="AK15" s="229"/>
      <c r="AL15" s="104"/>
      <c r="AM15" s="281"/>
      <c r="AN15" s="278" t="s">
        <v>445</v>
      </c>
      <c r="AO15" s="277">
        <v>2</v>
      </c>
      <c r="AP15" s="278" t="s">
        <v>446</v>
      </c>
      <c r="AQ15" s="277">
        <v>2</v>
      </c>
      <c r="AR15" s="278" t="s">
        <v>447</v>
      </c>
      <c r="AS15" s="277">
        <v>2</v>
      </c>
      <c r="AT15" s="278" t="s">
        <v>448</v>
      </c>
      <c r="AU15" s="277">
        <v>2</v>
      </c>
      <c r="AV15" s="278" t="s">
        <v>449</v>
      </c>
      <c r="AW15" s="277">
        <v>2</v>
      </c>
      <c r="AX15" s="381"/>
      <c r="AY15" s="277">
        <v>2</v>
      </c>
      <c r="AZ15" s="231"/>
      <c r="BA15" s="231"/>
      <c r="BB15" s="231"/>
      <c r="BC15" s="231"/>
      <c r="BD15" s="231"/>
      <c r="BE15" s="231"/>
      <c r="BF15" s="231"/>
      <c r="BG15" s="231"/>
      <c r="BH15" s="231"/>
      <c r="BI15" s="231"/>
      <c r="BJ15" s="231"/>
      <c r="BK15" s="231"/>
      <c r="BL15" s="231"/>
      <c r="BM15" s="231"/>
      <c r="BN15" s="231"/>
      <c r="BO15" s="231"/>
      <c r="BP15" s="231"/>
      <c r="BQ15" s="231"/>
      <c r="BR15" s="231"/>
      <c r="BS15" s="231"/>
      <c r="BT15" s="231"/>
    </row>
    <row r="16" spans="1:72" s="232" customFormat="1" ht="177.75" customHeight="1" thickBot="1" x14ac:dyDescent="0.35">
      <c r="A16" s="581">
        <v>2</v>
      </c>
      <c r="B16" s="667" t="s">
        <v>129</v>
      </c>
      <c r="C16" s="670" t="s">
        <v>367</v>
      </c>
      <c r="D16" s="673" t="s">
        <v>421</v>
      </c>
      <c r="E16" s="371" t="s">
        <v>369</v>
      </c>
      <c r="F16" s="676" t="s">
        <v>422</v>
      </c>
      <c r="G16" s="556" t="s">
        <v>363</v>
      </c>
      <c r="H16" s="369" t="s">
        <v>368</v>
      </c>
      <c r="I16" s="658" t="s">
        <v>118</v>
      </c>
      <c r="J16" s="661">
        <v>120000</v>
      </c>
      <c r="K16" s="578" t="str">
        <f>IF(J16&lt;=0,"",IF(J16&lt;=2,"Muy Baja",IF(J16&lt;=24,"Baja",IF(J16&lt;=500,"Media",IF(J16&lt;=5000,"Alta","Muy Alta")))))</f>
        <v>Muy Alta</v>
      </c>
      <c r="L16" s="636">
        <f>IF(K16="","",IF(K16="Muy Baja",0.2,IF(K16="Baja",0.4,IF(K16="Media",0.6,IF(K16="Alta",0.8,IF(K16="Muy Alta",1,))))))</f>
        <v>1</v>
      </c>
      <c r="M16" s="664" t="s">
        <v>145</v>
      </c>
      <c r="N16" s="605" t="str">
        <f>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578" t="str">
        <f>IF(OR(N16='Tabla Impacto'!$C$11,N16='Tabla Impacto'!$D$11),"Leve",IF(OR(N16='Tabla Impacto'!$C$12,N16='Tabla Impacto'!$D$12),"Menor",IF(OR(N16='Tabla Impacto'!$C$13,N16='Tabla Impacto'!$D$13),"Moderado",IF(OR(N16='Tabla Impacto'!$C$14,N16='Tabla Impacto'!$D$14),"Mayor",IF(OR(N16='Tabla Impacto'!$C$15,N16='Tabla Impacto'!$D$15),"Catastrófico","")))))</f>
        <v>Moderado</v>
      </c>
      <c r="P16" s="636">
        <f>IF(O16="","",IF(O16="Leve",0.2,IF(O16="Menor",0.4,IF(O16="Moderado",0.6,IF(O16="Mayor",0.8,IF(O16="Catastrófico",1,))))))</f>
        <v>0.6</v>
      </c>
      <c r="Q16" s="596"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Alto</v>
      </c>
      <c r="R16" s="364">
        <v>1</v>
      </c>
      <c r="S16" s="359" t="str">
        <f>DOFA!E40</f>
        <v>D1, D3, D12, O4, O7, F7 El Profesional Universitado y/o técnico Operativo cada vez que se requiera controla el prestamo y devolución de expedientes   deacuerdo a los lineamientos establecidos por Gestión Documental, dejando como Evidencia Planillas de control.
(GESTION DOCUMENTAL: FORMATO CONTROL PRESTAMO: PRO-GD-03)</v>
      </c>
      <c r="T16" s="365" t="str">
        <f t="shared" si="0"/>
        <v>Probabilidad</v>
      </c>
      <c r="U16" s="366" t="s">
        <v>14</v>
      </c>
      <c r="V16" s="366" t="s">
        <v>9</v>
      </c>
      <c r="W16" s="367" t="str">
        <f t="shared" si="1"/>
        <v>40%</v>
      </c>
      <c r="X16" s="366" t="s">
        <v>19</v>
      </c>
      <c r="Y16" s="366" t="s">
        <v>22</v>
      </c>
      <c r="Z16" s="366" t="s">
        <v>114</v>
      </c>
      <c r="AA16" s="368">
        <f>IFERROR(IF(T16="Probabilidad",(L16-(+L16*W16)),IF(T16="Impacto",L16,"")),"")</f>
        <v>0.6</v>
      </c>
      <c r="AB16" s="224" t="str">
        <f t="shared" si="2"/>
        <v>Media</v>
      </c>
      <c r="AC16" s="363">
        <f t="shared" si="3"/>
        <v>0.6</v>
      </c>
      <c r="AD16" s="224" t="str">
        <f t="shared" si="4"/>
        <v>Moderado</v>
      </c>
      <c r="AE16" s="363">
        <f>IFERROR(IF(T16="Impacto",(P16-(+P16*W16)),IF(T16="Probabilidad",P16,"")),"")</f>
        <v>0.6</v>
      </c>
      <c r="AF16" s="226" t="str">
        <f t="shared" si="5"/>
        <v>Moderado</v>
      </c>
      <c r="AG16" s="358" t="s">
        <v>131</v>
      </c>
      <c r="AH16" s="359" t="s">
        <v>423</v>
      </c>
      <c r="AI16" s="359" t="s">
        <v>395</v>
      </c>
      <c r="AJ16" s="360">
        <v>45352</v>
      </c>
      <c r="AK16" s="361"/>
      <c r="AL16" s="359"/>
      <c r="AM16" s="362" t="s">
        <v>41</v>
      </c>
      <c r="AN16" s="278" t="s">
        <v>445</v>
      </c>
      <c r="AO16" s="277">
        <v>2</v>
      </c>
      <c r="AP16" s="278" t="s">
        <v>446</v>
      </c>
      <c r="AQ16" s="277">
        <v>2</v>
      </c>
      <c r="AR16" s="278" t="s">
        <v>447</v>
      </c>
      <c r="AS16" s="277">
        <v>2</v>
      </c>
      <c r="AT16" s="278" t="s">
        <v>448</v>
      </c>
      <c r="AU16" s="277">
        <v>2</v>
      </c>
      <c r="AV16" s="278" t="s">
        <v>449</v>
      </c>
      <c r="AW16" s="277">
        <v>2</v>
      </c>
      <c r="AX16" s="381" t="s">
        <v>473</v>
      </c>
      <c r="AY16" s="277">
        <v>2</v>
      </c>
      <c r="AZ16" s="231"/>
      <c r="BA16" s="231"/>
      <c r="BB16" s="231"/>
      <c r="BC16" s="231"/>
      <c r="BD16" s="231"/>
      <c r="BE16" s="231"/>
      <c r="BF16" s="231"/>
      <c r="BG16" s="231"/>
      <c r="BH16" s="231"/>
      <c r="BI16" s="231"/>
      <c r="BJ16" s="231"/>
      <c r="BK16" s="231"/>
      <c r="BL16" s="231"/>
      <c r="BM16" s="231"/>
      <c r="BN16" s="231"/>
      <c r="BO16" s="231"/>
      <c r="BP16" s="231"/>
      <c r="BQ16" s="231"/>
      <c r="BR16" s="231"/>
      <c r="BS16" s="231"/>
      <c r="BT16" s="231"/>
    </row>
    <row r="17" spans="1:72" s="232" customFormat="1" ht="16.5" hidden="1" customHeight="1" x14ac:dyDescent="0.3">
      <c r="A17" s="582"/>
      <c r="B17" s="668"/>
      <c r="C17" s="671"/>
      <c r="D17" s="674"/>
      <c r="E17" s="233"/>
      <c r="F17" s="676"/>
      <c r="G17" s="557"/>
      <c r="H17" s="370"/>
      <c r="I17" s="659"/>
      <c r="J17" s="662"/>
      <c r="K17" s="579"/>
      <c r="L17" s="637"/>
      <c r="M17" s="665"/>
      <c r="N17" s="606">
        <f>IF(NOT(ISERROR(MATCH(M17,_xlfn.ANCHORARRAY(F28),0))),L29&amp;"Por favor no seleccionar los criterios de impacto",M17)</f>
        <v>0</v>
      </c>
      <c r="O17" s="579"/>
      <c r="P17" s="637"/>
      <c r="Q17" s="597"/>
      <c r="R17" s="219">
        <v>2</v>
      </c>
      <c r="S17" s="104"/>
      <c r="T17" s="220" t="str">
        <f t="shared" si="0"/>
        <v/>
      </c>
      <c r="U17" s="221"/>
      <c r="V17" s="221"/>
      <c r="W17" s="222" t="str">
        <f t="shared" si="1"/>
        <v/>
      </c>
      <c r="X17" s="221"/>
      <c r="Y17" s="221"/>
      <c r="Z17" s="221"/>
      <c r="AA17" s="223" t="str">
        <f>IFERROR(IF(AND(T16="Probabilidad",T17="Probabilidad"),(AC16-(+AC16*W17)),IF(AND(T16="Impacto",T17="Probabilidad"),(L16-(+L16*W17)),IF(T17="Impacto",AC16,""))),"")</f>
        <v/>
      </c>
      <c r="AB17" s="224" t="str">
        <f t="shared" si="2"/>
        <v/>
      </c>
      <c r="AC17" s="225" t="str">
        <f t="shared" si="3"/>
        <v/>
      </c>
      <c r="AD17" s="224" t="str">
        <f t="shared" si="4"/>
        <v/>
      </c>
      <c r="AE17" s="225" t="str">
        <f>IFERROR(IF(AND(T16="Impacto",T17="Impacto"),(AE16-(+AE16*W17)),IF(AND(T16="Probabilidad",T17="Impacto"),(P16-(+P16*W17)),IF(T17="Probabilidad",AE16,""))),"")</f>
        <v/>
      </c>
      <c r="AF17" s="226" t="str">
        <f t="shared" si="5"/>
        <v/>
      </c>
      <c r="AG17" s="227"/>
      <c r="AH17" s="104"/>
      <c r="AI17" s="230"/>
      <c r="AJ17" s="228"/>
      <c r="AK17" s="229"/>
      <c r="AL17" s="104"/>
      <c r="AM17" s="281"/>
      <c r="AN17" s="278" t="s">
        <v>445</v>
      </c>
      <c r="AO17" s="277">
        <v>2</v>
      </c>
      <c r="AP17" s="278" t="s">
        <v>446</v>
      </c>
      <c r="AQ17" s="277">
        <v>2</v>
      </c>
      <c r="AR17" s="278" t="s">
        <v>447</v>
      </c>
      <c r="AS17" s="277">
        <v>2</v>
      </c>
      <c r="AT17" s="278" t="s">
        <v>448</v>
      </c>
      <c r="AU17" s="277">
        <v>2</v>
      </c>
      <c r="AV17" s="278" t="s">
        <v>449</v>
      </c>
      <c r="AW17" s="277">
        <v>2</v>
      </c>
      <c r="AX17" s="381"/>
      <c r="AY17" s="277">
        <v>2</v>
      </c>
      <c r="AZ17" s="231"/>
      <c r="BA17" s="231"/>
      <c r="BB17" s="231"/>
      <c r="BC17" s="231"/>
      <c r="BD17" s="231"/>
      <c r="BE17" s="231"/>
      <c r="BF17" s="231"/>
      <c r="BG17" s="231"/>
      <c r="BH17" s="231"/>
      <c r="BI17" s="231"/>
      <c r="BJ17" s="231"/>
      <c r="BK17" s="231"/>
      <c r="BL17" s="231"/>
      <c r="BM17" s="231"/>
      <c r="BN17" s="231"/>
      <c r="BO17" s="231"/>
      <c r="BP17" s="231"/>
      <c r="BQ17" s="231"/>
      <c r="BR17" s="231"/>
      <c r="BS17" s="231"/>
      <c r="BT17" s="231"/>
    </row>
    <row r="18" spans="1:72" s="232" customFormat="1" ht="16.5" hidden="1" customHeight="1" x14ac:dyDescent="0.3">
      <c r="A18" s="582"/>
      <c r="B18" s="668"/>
      <c r="C18" s="671"/>
      <c r="D18" s="674"/>
      <c r="E18" s="233"/>
      <c r="F18" s="676"/>
      <c r="G18" s="557"/>
      <c r="H18" s="370"/>
      <c r="I18" s="659"/>
      <c r="J18" s="662"/>
      <c r="K18" s="579"/>
      <c r="L18" s="637"/>
      <c r="M18" s="665"/>
      <c r="N18" s="606">
        <f>IF(NOT(ISERROR(MATCH(M18,_xlfn.ANCHORARRAY(#REF!),0))),L30&amp;"Por favor no seleccionar los criterios de impacto",M18)</f>
        <v>0</v>
      </c>
      <c r="O18" s="579"/>
      <c r="P18" s="637"/>
      <c r="Q18" s="597"/>
      <c r="R18" s="219">
        <v>3</v>
      </c>
      <c r="S18" s="230"/>
      <c r="T18" s="220" t="str">
        <f t="shared" si="0"/>
        <v/>
      </c>
      <c r="U18" s="221"/>
      <c r="V18" s="221"/>
      <c r="W18" s="222" t="str">
        <f t="shared" si="1"/>
        <v/>
      </c>
      <c r="X18" s="221"/>
      <c r="Y18" s="221"/>
      <c r="Z18" s="221"/>
      <c r="AA18" s="223" t="str">
        <f>IFERROR(IF(AND(T17="Probabilidad",T18="Probabilidad"),(AC17-(+AC17*W18)),IF(AND(T17="Impacto",T18="Probabilidad"),(AC16-(+AC16*W18)),IF(T18="Impacto",AC17,""))),"")</f>
        <v/>
      </c>
      <c r="AB18" s="224" t="str">
        <f t="shared" si="2"/>
        <v/>
      </c>
      <c r="AC18" s="225" t="str">
        <f t="shared" si="3"/>
        <v/>
      </c>
      <c r="AD18" s="224" t="str">
        <f t="shared" si="4"/>
        <v/>
      </c>
      <c r="AE18" s="225" t="str">
        <f>IFERROR(IF(AND(T17="Impacto",T18="Impacto"),(AE17-(+AE17*W18)),IF(AND(T17="Probabilidad",T18="Impacto"),(AE16-(+AE16*W18)),IF(T18="Probabilidad",AE17,""))),"")</f>
        <v/>
      </c>
      <c r="AF18" s="226" t="str">
        <f t="shared" si="5"/>
        <v/>
      </c>
      <c r="AG18" s="227"/>
      <c r="AH18" s="104"/>
      <c r="AI18" s="230"/>
      <c r="AJ18" s="228"/>
      <c r="AK18" s="229"/>
      <c r="AL18" s="104"/>
      <c r="AM18" s="281"/>
      <c r="AN18" s="278" t="s">
        <v>445</v>
      </c>
      <c r="AO18" s="277">
        <v>2</v>
      </c>
      <c r="AP18" s="278" t="s">
        <v>446</v>
      </c>
      <c r="AQ18" s="277">
        <v>2</v>
      </c>
      <c r="AR18" s="278" t="s">
        <v>447</v>
      </c>
      <c r="AS18" s="277">
        <v>2</v>
      </c>
      <c r="AT18" s="278" t="s">
        <v>448</v>
      </c>
      <c r="AU18" s="277">
        <v>2</v>
      </c>
      <c r="AV18" s="278" t="s">
        <v>449</v>
      </c>
      <c r="AW18" s="277">
        <v>2</v>
      </c>
      <c r="AX18" s="381"/>
      <c r="AY18" s="277">
        <v>2</v>
      </c>
      <c r="AZ18" s="231"/>
      <c r="BA18" s="231"/>
      <c r="BB18" s="231"/>
      <c r="BC18" s="231"/>
      <c r="BD18" s="231"/>
      <c r="BE18" s="231"/>
      <c r="BF18" s="231"/>
      <c r="BG18" s="231"/>
      <c r="BH18" s="231"/>
      <c r="BI18" s="231"/>
      <c r="BJ18" s="231"/>
      <c r="BK18" s="231"/>
      <c r="BL18" s="231"/>
      <c r="BM18" s="231"/>
      <c r="BN18" s="231"/>
      <c r="BO18" s="231"/>
      <c r="BP18" s="231"/>
      <c r="BQ18" s="231"/>
      <c r="BR18" s="231"/>
      <c r="BS18" s="231"/>
      <c r="BT18" s="231"/>
    </row>
    <row r="19" spans="1:72" s="232" customFormat="1" ht="16.5" hidden="1" customHeight="1" x14ac:dyDescent="0.3">
      <c r="A19" s="582"/>
      <c r="B19" s="668"/>
      <c r="C19" s="671"/>
      <c r="D19" s="674"/>
      <c r="E19" s="233"/>
      <c r="F19" s="676"/>
      <c r="G19" s="557"/>
      <c r="H19" s="370"/>
      <c r="I19" s="659"/>
      <c r="J19" s="662"/>
      <c r="K19" s="579"/>
      <c r="L19" s="637"/>
      <c r="M19" s="665"/>
      <c r="N19" s="606">
        <f>IF(NOT(ISERROR(MATCH(M19,_xlfn.ANCHORARRAY(F29),0))),L31&amp;"Por favor no seleccionar los criterios de impacto",M19)</f>
        <v>0</v>
      </c>
      <c r="O19" s="579"/>
      <c r="P19" s="637"/>
      <c r="Q19" s="597"/>
      <c r="R19" s="219">
        <v>4</v>
      </c>
      <c r="S19" s="104"/>
      <c r="T19" s="220" t="str">
        <f t="shared" si="0"/>
        <v/>
      </c>
      <c r="U19" s="221"/>
      <c r="V19" s="221"/>
      <c r="W19" s="222" t="str">
        <f t="shared" si="1"/>
        <v/>
      </c>
      <c r="X19" s="221"/>
      <c r="Y19" s="221"/>
      <c r="Z19" s="221"/>
      <c r="AA19" s="223" t="str">
        <f>IFERROR(IF(AND(T18="Probabilidad",T19="Probabilidad"),(AC18-(+AC18*W19)),IF(AND(T18="Impacto",T19="Probabilidad"),(AC17-(+AC17*W19)),IF(T19="Impacto",AC18,""))),"")</f>
        <v/>
      </c>
      <c r="AB19" s="224" t="str">
        <f t="shared" si="2"/>
        <v/>
      </c>
      <c r="AC19" s="225" t="str">
        <f t="shared" si="3"/>
        <v/>
      </c>
      <c r="AD19" s="224" t="str">
        <f t="shared" si="4"/>
        <v/>
      </c>
      <c r="AE19" s="225" t="str">
        <f>IFERROR(IF(AND(T18="Impacto",T19="Impacto"),(AE18-(+AE18*W19)),IF(AND(T18="Probabilidad",T19="Impacto"),(AE17-(+AE17*W19)),IF(T19="Probabilidad",AE18,""))),"")</f>
        <v/>
      </c>
      <c r="AF19" s="226" t="str">
        <f t="shared" si="5"/>
        <v/>
      </c>
      <c r="AG19" s="227"/>
      <c r="AH19" s="104"/>
      <c r="AI19" s="230"/>
      <c r="AJ19" s="228"/>
      <c r="AK19" s="229"/>
      <c r="AL19" s="104"/>
      <c r="AM19" s="281"/>
      <c r="AN19" s="278" t="s">
        <v>450</v>
      </c>
      <c r="AO19" s="277">
        <v>3</v>
      </c>
      <c r="AP19" s="278" t="s">
        <v>451</v>
      </c>
      <c r="AQ19" s="277">
        <v>3</v>
      </c>
      <c r="AR19" s="278" t="s">
        <v>452</v>
      </c>
      <c r="AS19" s="277">
        <v>3</v>
      </c>
      <c r="AT19" s="278" t="s">
        <v>453</v>
      </c>
      <c r="AU19" s="277">
        <v>3</v>
      </c>
      <c r="AV19" s="278" t="s">
        <v>454</v>
      </c>
      <c r="AW19" s="277">
        <v>3</v>
      </c>
      <c r="AX19" s="381"/>
      <c r="AY19" s="277">
        <v>3</v>
      </c>
      <c r="AZ19" s="231"/>
      <c r="BA19" s="231"/>
      <c r="BB19" s="231"/>
      <c r="BC19" s="231"/>
      <c r="BD19" s="231"/>
      <c r="BE19" s="231"/>
      <c r="BF19" s="231"/>
      <c r="BG19" s="231"/>
      <c r="BH19" s="231"/>
      <c r="BI19" s="231"/>
      <c r="BJ19" s="231"/>
      <c r="BK19" s="231"/>
      <c r="BL19" s="231"/>
      <c r="BM19" s="231"/>
      <c r="BN19" s="231"/>
      <c r="BO19" s="231"/>
      <c r="BP19" s="231"/>
      <c r="BQ19" s="231"/>
      <c r="BR19" s="231"/>
      <c r="BS19" s="231"/>
      <c r="BT19" s="231"/>
    </row>
    <row r="20" spans="1:72" s="232" customFormat="1" ht="16.5" hidden="1" customHeight="1" x14ac:dyDescent="0.3">
      <c r="A20" s="582"/>
      <c r="B20" s="668"/>
      <c r="C20" s="671"/>
      <c r="D20" s="674"/>
      <c r="E20" s="233"/>
      <c r="F20" s="676"/>
      <c r="G20" s="557"/>
      <c r="H20" s="370"/>
      <c r="I20" s="659"/>
      <c r="J20" s="662"/>
      <c r="K20" s="579"/>
      <c r="L20" s="637"/>
      <c r="M20" s="665"/>
      <c r="N20" s="606">
        <f>IF(NOT(ISERROR(MATCH(M20,_xlfn.ANCHORARRAY(F30),0))),L32&amp;"Por favor no seleccionar los criterios de impacto",M20)</f>
        <v>0</v>
      </c>
      <c r="O20" s="579"/>
      <c r="P20" s="637"/>
      <c r="Q20" s="597"/>
      <c r="R20" s="219">
        <v>5</v>
      </c>
      <c r="S20" s="104"/>
      <c r="T20" s="220" t="str">
        <f t="shared" si="0"/>
        <v/>
      </c>
      <c r="U20" s="221"/>
      <c r="V20" s="221"/>
      <c r="W20" s="222" t="str">
        <f t="shared" si="1"/>
        <v/>
      </c>
      <c r="X20" s="221"/>
      <c r="Y20" s="221"/>
      <c r="Z20" s="221"/>
      <c r="AA20" s="223" t="str">
        <f>IFERROR(IF(AND(T19="Probabilidad",T20="Probabilidad"),(AC19-(+AC19*W20)),IF(AND(T19="Impacto",T20="Probabilidad"),(AC18-(+AC18*W20)),IF(T20="Impacto",AC19,""))),"")</f>
        <v/>
      </c>
      <c r="AB20" s="224" t="str">
        <f t="shared" si="2"/>
        <v/>
      </c>
      <c r="AC20" s="225" t="str">
        <f t="shared" si="3"/>
        <v/>
      </c>
      <c r="AD20" s="224" t="str">
        <f t="shared" si="4"/>
        <v/>
      </c>
      <c r="AE20" s="225" t="str">
        <f>IFERROR(IF(AND(T19="Impacto",T20="Impacto"),(AE19-(+AE19*W20)),IF(AND(T19="Probabilidad",T20="Impacto"),(AE18-(+AE18*W20)),IF(T20="Probabilidad",AE19,""))),"")</f>
        <v/>
      </c>
      <c r="AF20" s="226" t="str">
        <f t="shared" si="5"/>
        <v/>
      </c>
      <c r="AG20" s="227"/>
      <c r="AH20" s="104"/>
      <c r="AI20" s="230"/>
      <c r="AJ20" s="228"/>
      <c r="AK20" s="229"/>
      <c r="AL20" s="104"/>
      <c r="AM20" s="281"/>
      <c r="AN20" s="278" t="s">
        <v>450</v>
      </c>
      <c r="AO20" s="277">
        <v>3</v>
      </c>
      <c r="AP20" s="278" t="s">
        <v>451</v>
      </c>
      <c r="AQ20" s="277">
        <v>3</v>
      </c>
      <c r="AR20" s="278" t="s">
        <v>452</v>
      </c>
      <c r="AS20" s="277">
        <v>3</v>
      </c>
      <c r="AT20" s="278" t="s">
        <v>453</v>
      </c>
      <c r="AU20" s="277">
        <v>3</v>
      </c>
      <c r="AV20" s="278" t="s">
        <v>454</v>
      </c>
      <c r="AW20" s="277">
        <v>3</v>
      </c>
      <c r="AX20" s="381"/>
      <c r="AY20" s="277">
        <v>3</v>
      </c>
      <c r="AZ20" s="231"/>
      <c r="BA20" s="231"/>
      <c r="BB20" s="231"/>
      <c r="BC20" s="231"/>
      <c r="BD20" s="231"/>
      <c r="BE20" s="231"/>
      <c r="BF20" s="231"/>
      <c r="BG20" s="231"/>
      <c r="BH20" s="231"/>
      <c r="BI20" s="231"/>
      <c r="BJ20" s="231"/>
      <c r="BK20" s="231"/>
      <c r="BL20" s="231"/>
      <c r="BM20" s="231"/>
      <c r="BN20" s="231"/>
      <c r="BO20" s="231"/>
      <c r="BP20" s="231"/>
      <c r="BQ20" s="231"/>
      <c r="BR20" s="231"/>
      <c r="BS20" s="231"/>
      <c r="BT20" s="231"/>
    </row>
    <row r="21" spans="1:72" s="232" customFormat="1" ht="66.75" hidden="1" customHeight="1" x14ac:dyDescent="0.3">
      <c r="A21" s="583"/>
      <c r="B21" s="669"/>
      <c r="C21" s="672"/>
      <c r="D21" s="675"/>
      <c r="E21" s="233"/>
      <c r="F21" s="676"/>
      <c r="G21" s="558"/>
      <c r="H21" s="370"/>
      <c r="I21" s="660"/>
      <c r="J21" s="663"/>
      <c r="K21" s="580"/>
      <c r="L21" s="638"/>
      <c r="M21" s="666"/>
      <c r="N21" s="607">
        <f>IF(NOT(ISERROR(MATCH(M21,_xlfn.ANCHORARRAY(F31),0))),L33&amp;"Por favor no seleccionar los criterios de impacto",M21)</f>
        <v>0</v>
      </c>
      <c r="O21" s="580"/>
      <c r="P21" s="638"/>
      <c r="Q21" s="598"/>
      <c r="R21" s="219">
        <v>6</v>
      </c>
      <c r="S21" s="104"/>
      <c r="T21" s="220" t="str">
        <f t="shared" si="0"/>
        <v/>
      </c>
      <c r="U21" s="221"/>
      <c r="V21" s="221"/>
      <c r="W21" s="222" t="str">
        <f t="shared" si="1"/>
        <v/>
      </c>
      <c r="X21" s="221"/>
      <c r="Y21" s="221"/>
      <c r="Z21" s="221"/>
      <c r="AA21" s="223" t="str">
        <f>IFERROR(IF(AND(T20="Probabilidad",T21="Probabilidad"),(AC20-(+AC20*W21)),IF(AND(T20="Impacto",T21="Probabilidad"),(AC19-(+AC19*W21)),IF(T21="Impacto",AC20,""))),"")</f>
        <v/>
      </c>
      <c r="AB21" s="224" t="str">
        <f t="shared" si="2"/>
        <v/>
      </c>
      <c r="AC21" s="225" t="str">
        <f t="shared" si="3"/>
        <v/>
      </c>
      <c r="AD21" s="224" t="str">
        <f t="shared" si="4"/>
        <v/>
      </c>
      <c r="AE21" s="225" t="str">
        <f>IFERROR(IF(AND(T20="Impacto",T21="Impacto"),(AE20-(+AE20*W21)),IF(AND(T20="Probabilidad",T21="Impacto"),(AE19-(+AE19*W21)),IF(T21="Probabilidad",AE20,""))),"")</f>
        <v/>
      </c>
      <c r="AF21" s="226" t="str">
        <f t="shared" si="5"/>
        <v/>
      </c>
      <c r="AG21" s="227"/>
      <c r="AH21" s="104"/>
      <c r="AI21" s="230"/>
      <c r="AJ21" s="228"/>
      <c r="AK21" s="229"/>
      <c r="AL21" s="104"/>
      <c r="AM21" s="281"/>
      <c r="AN21" s="278" t="s">
        <v>450</v>
      </c>
      <c r="AO21" s="277">
        <v>3</v>
      </c>
      <c r="AP21" s="278" t="s">
        <v>451</v>
      </c>
      <c r="AQ21" s="277">
        <v>3</v>
      </c>
      <c r="AR21" s="278" t="s">
        <v>452</v>
      </c>
      <c r="AS21" s="277">
        <v>3</v>
      </c>
      <c r="AT21" s="278" t="s">
        <v>453</v>
      </c>
      <c r="AU21" s="277">
        <v>3</v>
      </c>
      <c r="AV21" s="278" t="s">
        <v>454</v>
      </c>
      <c r="AW21" s="277">
        <v>3</v>
      </c>
      <c r="AX21" s="381"/>
      <c r="AY21" s="277">
        <v>3</v>
      </c>
      <c r="AZ21" s="231"/>
      <c r="BA21" s="231"/>
      <c r="BB21" s="231"/>
      <c r="BC21" s="231"/>
      <c r="BD21" s="231"/>
      <c r="BE21" s="231"/>
      <c r="BF21" s="231"/>
      <c r="BG21" s="231"/>
      <c r="BH21" s="231"/>
      <c r="BI21" s="231"/>
      <c r="BJ21" s="231"/>
      <c r="BK21" s="231"/>
      <c r="BL21" s="231"/>
      <c r="BM21" s="231"/>
      <c r="BN21" s="231"/>
      <c r="BO21" s="231"/>
      <c r="BP21" s="231"/>
      <c r="BQ21" s="231"/>
      <c r="BR21" s="231"/>
      <c r="BS21" s="231"/>
      <c r="BT21" s="231"/>
    </row>
    <row r="22" spans="1:72" s="232" customFormat="1" ht="288" customHeight="1" thickBot="1" x14ac:dyDescent="0.35">
      <c r="A22" s="581">
        <v>3</v>
      </c>
      <c r="B22" s="584" t="s">
        <v>127</v>
      </c>
      <c r="C22" s="639" t="s">
        <v>371</v>
      </c>
      <c r="D22" s="642" t="s">
        <v>372</v>
      </c>
      <c r="E22" s="357" t="s">
        <v>373</v>
      </c>
      <c r="F22" s="645" t="s">
        <v>424</v>
      </c>
      <c r="G22" s="559" t="s">
        <v>363</v>
      </c>
      <c r="H22" s="355" t="s">
        <v>374</v>
      </c>
      <c r="I22" s="646" t="s">
        <v>118</v>
      </c>
      <c r="J22" s="649">
        <v>5</v>
      </c>
      <c r="K22" s="578" t="str">
        <f>IF(J22&lt;=0,"",IF(J22&lt;=2,"Muy Baja",IF(J22&lt;=24,"Baja",IF(J22&lt;=500,"Media",IF(J22&lt;=5000,"Alta","Muy Alta")))))</f>
        <v>Baja</v>
      </c>
      <c r="L22" s="652">
        <f>IF(K22="","",IF(K22="Muy Baja",0.2,IF(K22="Baja",0.4,IF(K22="Media",0.6,IF(K22="Alta",0.8,IF(K22="Muy Alta",1,))))))</f>
        <v>0.4</v>
      </c>
      <c r="M22" s="655" t="s">
        <v>145</v>
      </c>
      <c r="N22" s="605" t="str">
        <f>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578" t="str">
        <f>IF(OR(N22='Tabla Impacto'!$C$11,N22='Tabla Impacto'!$D$11),"Leve",IF(OR(N22='Tabla Impacto'!$C$12,N22='Tabla Impacto'!$D$12),"Menor",IF(OR(N22='Tabla Impacto'!$C$13,N22='Tabla Impacto'!$D$13),"Moderado",IF(OR(N22='Tabla Impacto'!$C$14,N22='Tabla Impacto'!$D$14),"Mayor",IF(OR(N22='Tabla Impacto'!$C$15,N22='Tabla Impacto'!$D$15),"Catastrófico","")))))</f>
        <v>Moderado</v>
      </c>
      <c r="P22" s="652">
        <f>IF(O22="","",IF(O22="Leve",0.2,IF(O22="Menor",0.4,IF(O22="Moderado",0.6,IF(O22="Mayor",0.8,IF(O22="Catastrófico",1,))))))</f>
        <v>0.6</v>
      </c>
      <c r="Q22" s="596"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Moderado</v>
      </c>
      <c r="R22" s="351">
        <v>1</v>
      </c>
      <c r="S22" s="345" t="str">
        <f>DOFA!E41</f>
        <v>D2, D6,  F2, O5 Los Directores  por medio de su equipo de trabajo revisarán los documentos del proceso de gestión de Hacienda Pública  y actualizará si se requiere  anualmente los documentos, dejando como evidencia el correo electrónico con el envío de los docuementos a actualizar a la Dirección de Fortalecimiento Institucional.
(GESTION DOCUMENTAL: POLITICA GESTION DOCUMENTAL: POL-GD-001-PRO-SIG-001 CONTROL DE DOCUMENTOS DEL SIGAMI)</v>
      </c>
      <c r="T22" s="352" t="str">
        <f t="shared" si="0"/>
        <v>Probabilidad</v>
      </c>
      <c r="U22" s="353" t="s">
        <v>14</v>
      </c>
      <c r="V22" s="353" t="s">
        <v>9</v>
      </c>
      <c r="W22" s="354" t="str">
        <f t="shared" si="1"/>
        <v>40%</v>
      </c>
      <c r="X22" s="353" t="s">
        <v>19</v>
      </c>
      <c r="Y22" s="353" t="s">
        <v>22</v>
      </c>
      <c r="Z22" s="353" t="s">
        <v>114</v>
      </c>
      <c r="AA22" s="350">
        <f>IFERROR(IF(T22="Probabilidad",(L22-(+L22*W22)),IF(T22="Impacto",L22,"")),"")</f>
        <v>0.24</v>
      </c>
      <c r="AB22" s="224" t="str">
        <f t="shared" si="2"/>
        <v>Baja</v>
      </c>
      <c r="AC22" s="349">
        <f t="shared" si="3"/>
        <v>0.24</v>
      </c>
      <c r="AD22" s="224" t="str">
        <f t="shared" si="4"/>
        <v>Moderado</v>
      </c>
      <c r="AE22" s="349">
        <f>IFERROR(IF(T22="Impacto",(P22-(+P22*W22)),IF(T22="Probabilidad",P22,"")),"")</f>
        <v>0.6</v>
      </c>
      <c r="AF22" s="226" t="str">
        <f t="shared" si="5"/>
        <v>Moderado</v>
      </c>
      <c r="AG22" s="344" t="s">
        <v>131</v>
      </c>
      <c r="AH22" s="345" t="s">
        <v>425</v>
      </c>
      <c r="AI22" s="345" t="s">
        <v>384</v>
      </c>
      <c r="AJ22" s="346">
        <v>45352</v>
      </c>
      <c r="AK22" s="347"/>
      <c r="AL22" s="345"/>
      <c r="AM22" s="348" t="s">
        <v>41</v>
      </c>
      <c r="AN22" s="278" t="s">
        <v>450</v>
      </c>
      <c r="AO22" s="277">
        <v>3</v>
      </c>
      <c r="AP22" s="278" t="s">
        <v>451</v>
      </c>
      <c r="AQ22" s="277">
        <v>3</v>
      </c>
      <c r="AR22" s="278" t="s">
        <v>452</v>
      </c>
      <c r="AS22" s="277">
        <v>3</v>
      </c>
      <c r="AT22" s="278" t="s">
        <v>453</v>
      </c>
      <c r="AU22" s="277">
        <v>3</v>
      </c>
      <c r="AV22" s="278" t="s">
        <v>454</v>
      </c>
      <c r="AW22" s="277">
        <v>3</v>
      </c>
      <c r="AX22" s="381" t="s">
        <v>479</v>
      </c>
      <c r="AY22" s="277">
        <v>3</v>
      </c>
      <c r="AZ22" s="231"/>
      <c r="BA22" s="231"/>
      <c r="BB22" s="231"/>
      <c r="BC22" s="231"/>
      <c r="BD22" s="231"/>
      <c r="BE22" s="231"/>
      <c r="BF22" s="231"/>
      <c r="BG22" s="231"/>
      <c r="BH22" s="231"/>
      <c r="BI22" s="231"/>
      <c r="BJ22" s="231"/>
      <c r="BK22" s="231"/>
      <c r="BL22" s="231"/>
      <c r="BM22" s="231"/>
      <c r="BN22" s="231"/>
      <c r="BO22" s="231"/>
      <c r="BP22" s="231"/>
      <c r="BQ22" s="231"/>
      <c r="BR22" s="231"/>
      <c r="BS22" s="231"/>
      <c r="BT22" s="231"/>
    </row>
    <row r="23" spans="1:72" s="232" customFormat="1" ht="26.25" hidden="1" customHeight="1" x14ac:dyDescent="0.3">
      <c r="A23" s="582"/>
      <c r="B23" s="585"/>
      <c r="C23" s="640"/>
      <c r="D23" s="643"/>
      <c r="E23" s="233"/>
      <c r="F23" s="645"/>
      <c r="G23" s="560"/>
      <c r="H23" s="356"/>
      <c r="I23" s="647"/>
      <c r="J23" s="650"/>
      <c r="K23" s="579"/>
      <c r="L23" s="653"/>
      <c r="M23" s="656"/>
      <c r="N23" s="606">
        <f>IF(NOT(ISERROR(MATCH(M23,_xlfn.ANCHORARRAY(F33),0))),L35&amp;"Por favor no seleccionar los criterios de impacto",M23)</f>
        <v>0</v>
      </c>
      <c r="O23" s="579"/>
      <c r="P23" s="653"/>
      <c r="Q23" s="597"/>
      <c r="R23" s="219">
        <v>2</v>
      </c>
      <c r="S23" s="104"/>
      <c r="T23" s="220" t="str">
        <f t="shared" si="0"/>
        <v/>
      </c>
      <c r="U23" s="221"/>
      <c r="V23" s="221"/>
      <c r="W23" s="222" t="str">
        <f t="shared" si="1"/>
        <v/>
      </c>
      <c r="X23" s="221"/>
      <c r="Y23" s="221"/>
      <c r="Z23" s="221"/>
      <c r="AA23" s="223" t="str">
        <f>IFERROR(IF(AND(T22="Probabilidad",T23="Probabilidad"),(AC22-(+AC22*W23)),IF(AND(T22="Impacto",T23="Probabilidad"),(L22-(+L22*W23)),IF(T23="Impacto",AC22,""))),"")</f>
        <v/>
      </c>
      <c r="AB23" s="224" t="str">
        <f t="shared" si="2"/>
        <v/>
      </c>
      <c r="AC23" s="225" t="str">
        <f t="shared" si="3"/>
        <v/>
      </c>
      <c r="AD23" s="224" t="str">
        <f t="shared" si="4"/>
        <v/>
      </c>
      <c r="AE23" s="225" t="str">
        <f>IFERROR(IF(AND(T22="Impacto",T23="Impacto"),(AE22-(+AE22*W23)),IF(AND(T22="Probabilidad",T23="Impacto"),(P22-(+P22*W23)),IF(T23="Probabilidad",AE22,""))),"")</f>
        <v/>
      </c>
      <c r="AF23" s="226" t="str">
        <f t="shared" si="5"/>
        <v/>
      </c>
      <c r="AG23" s="227"/>
      <c r="AH23" s="104"/>
      <c r="AI23" s="230"/>
      <c r="AJ23" s="228"/>
      <c r="AK23" s="229"/>
      <c r="AL23" s="104"/>
      <c r="AM23" s="281"/>
      <c r="AN23" s="278" t="s">
        <v>450</v>
      </c>
      <c r="AO23" s="277">
        <v>3</v>
      </c>
      <c r="AP23" s="278" t="s">
        <v>451</v>
      </c>
      <c r="AQ23" s="277">
        <v>3</v>
      </c>
      <c r="AR23" s="278" t="s">
        <v>452</v>
      </c>
      <c r="AS23" s="277">
        <v>3</v>
      </c>
      <c r="AT23" s="278" t="s">
        <v>453</v>
      </c>
      <c r="AU23" s="277">
        <v>3</v>
      </c>
      <c r="AV23" s="278" t="s">
        <v>454</v>
      </c>
      <c r="AW23" s="277">
        <v>3</v>
      </c>
      <c r="AX23" s="381"/>
      <c r="AY23" s="277">
        <v>3</v>
      </c>
      <c r="AZ23" s="231"/>
      <c r="BA23" s="231"/>
      <c r="BB23" s="231"/>
      <c r="BC23" s="231"/>
      <c r="BD23" s="231"/>
      <c r="BE23" s="231"/>
      <c r="BF23" s="231"/>
      <c r="BG23" s="231"/>
      <c r="BH23" s="231"/>
      <c r="BI23" s="231"/>
      <c r="BJ23" s="231"/>
      <c r="BK23" s="231"/>
      <c r="BL23" s="231"/>
      <c r="BM23" s="231"/>
      <c r="BN23" s="231"/>
      <c r="BO23" s="231"/>
      <c r="BP23" s="231"/>
      <c r="BQ23" s="231"/>
      <c r="BR23" s="231"/>
      <c r="BS23" s="231"/>
      <c r="BT23" s="231"/>
    </row>
    <row r="24" spans="1:72" s="232" customFormat="1" ht="26.25" hidden="1" customHeight="1" x14ac:dyDescent="0.3">
      <c r="A24" s="582"/>
      <c r="B24" s="585"/>
      <c r="C24" s="640"/>
      <c r="D24" s="643"/>
      <c r="E24" s="233"/>
      <c r="F24" s="645"/>
      <c r="G24" s="560"/>
      <c r="H24" s="356"/>
      <c r="I24" s="647"/>
      <c r="J24" s="650"/>
      <c r="K24" s="579"/>
      <c r="L24" s="653"/>
      <c r="M24" s="656"/>
      <c r="N24" s="606">
        <f>IF(NOT(ISERROR(MATCH(M24,_xlfn.ANCHORARRAY(F34),0))),L36&amp;"Por favor no seleccionar los criterios de impacto",M24)</f>
        <v>0</v>
      </c>
      <c r="O24" s="579"/>
      <c r="P24" s="653"/>
      <c r="Q24" s="597"/>
      <c r="R24" s="219">
        <v>3</v>
      </c>
      <c r="S24" s="230"/>
      <c r="T24" s="220" t="str">
        <f t="shared" si="0"/>
        <v/>
      </c>
      <c r="U24" s="221"/>
      <c r="V24" s="221"/>
      <c r="W24" s="222" t="str">
        <f t="shared" si="1"/>
        <v/>
      </c>
      <c r="X24" s="221"/>
      <c r="Y24" s="221"/>
      <c r="Z24" s="221"/>
      <c r="AA24" s="223" t="str">
        <f>IFERROR(IF(AND(T23="Probabilidad",T24="Probabilidad"),(AC23-(+AC23*W24)),IF(AND(T23="Impacto",T24="Probabilidad"),(AC22-(+AC22*W24)),IF(T24="Impacto",AC23,""))),"")</f>
        <v/>
      </c>
      <c r="AB24" s="224" t="str">
        <f t="shared" si="2"/>
        <v/>
      </c>
      <c r="AC24" s="225" t="str">
        <f t="shared" si="3"/>
        <v/>
      </c>
      <c r="AD24" s="224" t="str">
        <f t="shared" si="4"/>
        <v/>
      </c>
      <c r="AE24" s="225" t="str">
        <f>IFERROR(IF(AND(T23="Impacto",T24="Impacto"),(AE23-(+AE23*W24)),IF(AND(T23="Probabilidad",T24="Impacto"),(AE22-(+AE22*W24)),IF(T24="Probabilidad",AE23,""))),"")</f>
        <v/>
      </c>
      <c r="AF24" s="226" t="str">
        <f t="shared" si="5"/>
        <v/>
      </c>
      <c r="AG24" s="227"/>
      <c r="AH24" s="104"/>
      <c r="AI24" s="230"/>
      <c r="AJ24" s="228"/>
      <c r="AK24" s="229"/>
      <c r="AL24" s="104"/>
      <c r="AM24" s="281"/>
      <c r="AN24" s="278" t="s">
        <v>450</v>
      </c>
      <c r="AO24" s="277">
        <v>3</v>
      </c>
      <c r="AP24" s="278" t="s">
        <v>451</v>
      </c>
      <c r="AQ24" s="277">
        <v>3</v>
      </c>
      <c r="AR24" s="278" t="s">
        <v>452</v>
      </c>
      <c r="AS24" s="277">
        <v>3</v>
      </c>
      <c r="AT24" s="278" t="s">
        <v>453</v>
      </c>
      <c r="AU24" s="277">
        <v>3</v>
      </c>
      <c r="AV24" s="278" t="s">
        <v>454</v>
      </c>
      <c r="AW24" s="277">
        <v>3</v>
      </c>
      <c r="AX24" s="381"/>
      <c r="AY24" s="277">
        <v>3</v>
      </c>
      <c r="AZ24" s="231"/>
      <c r="BA24" s="231"/>
      <c r="BB24" s="231"/>
      <c r="BC24" s="231"/>
      <c r="BD24" s="231"/>
      <c r="BE24" s="231"/>
      <c r="BF24" s="231"/>
      <c r="BG24" s="231"/>
      <c r="BH24" s="231"/>
      <c r="BI24" s="231"/>
      <c r="BJ24" s="231"/>
      <c r="BK24" s="231"/>
      <c r="BL24" s="231"/>
      <c r="BM24" s="231"/>
      <c r="BN24" s="231"/>
      <c r="BO24" s="231"/>
      <c r="BP24" s="231"/>
      <c r="BQ24" s="231"/>
      <c r="BR24" s="231"/>
      <c r="BS24" s="231"/>
      <c r="BT24" s="231"/>
    </row>
    <row r="25" spans="1:72" s="232" customFormat="1" ht="26.25" hidden="1" customHeight="1" x14ac:dyDescent="0.3">
      <c r="A25" s="582"/>
      <c r="B25" s="585"/>
      <c r="C25" s="640"/>
      <c r="D25" s="643"/>
      <c r="E25" s="233"/>
      <c r="F25" s="645"/>
      <c r="G25" s="560"/>
      <c r="H25" s="356"/>
      <c r="I25" s="647"/>
      <c r="J25" s="650"/>
      <c r="K25" s="579"/>
      <c r="L25" s="653"/>
      <c r="M25" s="656"/>
      <c r="N25" s="606">
        <f>IF(NOT(ISERROR(MATCH(M25,_xlfn.ANCHORARRAY(F35),0))),L37&amp;"Por favor no seleccionar los criterios de impacto",M25)</f>
        <v>0</v>
      </c>
      <c r="O25" s="579"/>
      <c r="P25" s="653"/>
      <c r="Q25" s="597"/>
      <c r="R25" s="219">
        <v>4</v>
      </c>
      <c r="S25" s="104"/>
      <c r="T25" s="220" t="str">
        <f t="shared" si="0"/>
        <v/>
      </c>
      <c r="U25" s="221"/>
      <c r="V25" s="221"/>
      <c r="W25" s="222" t="str">
        <f t="shared" si="1"/>
        <v/>
      </c>
      <c r="X25" s="221"/>
      <c r="Y25" s="221"/>
      <c r="Z25" s="221"/>
      <c r="AA25" s="223" t="str">
        <f>IFERROR(IF(AND(T24="Probabilidad",T25="Probabilidad"),(AC24-(+AC24*W25)),IF(AND(T24="Impacto",T25="Probabilidad"),(AC23-(+AC23*W25)),IF(T25="Impacto",AC24,""))),"")</f>
        <v/>
      </c>
      <c r="AB25" s="224" t="str">
        <f t="shared" si="2"/>
        <v/>
      </c>
      <c r="AC25" s="225" t="str">
        <f t="shared" si="3"/>
        <v/>
      </c>
      <c r="AD25" s="224" t="str">
        <f t="shared" si="4"/>
        <v/>
      </c>
      <c r="AE25" s="225" t="str">
        <f>IFERROR(IF(AND(T24="Impacto",T25="Impacto"),(AE24-(+AE24*W25)),IF(AND(T24="Probabilidad",T25="Impacto"),(AE23-(+AE23*W25)),IF(T25="Probabilidad",AE24,""))),"")</f>
        <v/>
      </c>
      <c r="AF25" s="226" t="str">
        <f t="shared" si="5"/>
        <v/>
      </c>
      <c r="AG25" s="227"/>
      <c r="AH25" s="104"/>
      <c r="AI25" s="230"/>
      <c r="AJ25" s="228"/>
      <c r="AK25" s="229"/>
      <c r="AL25" s="104"/>
      <c r="AM25" s="281"/>
      <c r="AN25" s="286"/>
      <c r="AO25" s="286"/>
      <c r="AP25" s="286"/>
      <c r="AQ25" s="286"/>
      <c r="AR25" s="286"/>
      <c r="AS25" s="286"/>
      <c r="AT25" s="286"/>
      <c r="AU25" s="286"/>
      <c r="AV25" s="286"/>
      <c r="AW25" s="286"/>
      <c r="AX25" s="286"/>
      <c r="AY25" s="286"/>
      <c r="AZ25" s="231"/>
      <c r="BA25" s="231"/>
      <c r="BB25" s="231"/>
      <c r="BC25" s="231"/>
      <c r="BD25" s="231"/>
      <c r="BE25" s="231"/>
      <c r="BF25" s="231"/>
      <c r="BG25" s="231"/>
      <c r="BH25" s="231"/>
      <c r="BI25" s="231"/>
      <c r="BJ25" s="231"/>
      <c r="BK25" s="231"/>
      <c r="BL25" s="231"/>
      <c r="BM25" s="231"/>
      <c r="BN25" s="231"/>
      <c r="BO25" s="231"/>
      <c r="BP25" s="231"/>
      <c r="BQ25" s="231"/>
      <c r="BR25" s="231"/>
      <c r="BS25" s="231"/>
      <c r="BT25" s="231"/>
    </row>
    <row r="26" spans="1:72" s="232" customFormat="1" ht="26.25" hidden="1" customHeight="1" x14ac:dyDescent="0.3">
      <c r="A26" s="582"/>
      <c r="B26" s="585"/>
      <c r="C26" s="640"/>
      <c r="D26" s="643"/>
      <c r="E26" s="233"/>
      <c r="F26" s="645"/>
      <c r="G26" s="560"/>
      <c r="H26" s="356"/>
      <c r="I26" s="647"/>
      <c r="J26" s="650"/>
      <c r="K26" s="579"/>
      <c r="L26" s="653"/>
      <c r="M26" s="656"/>
      <c r="N26" s="606">
        <f>IF(NOT(ISERROR(MATCH(M26,_xlfn.ANCHORARRAY(F36),0))),L38&amp;"Por favor no seleccionar los criterios de impacto",M26)</f>
        <v>0</v>
      </c>
      <c r="O26" s="579"/>
      <c r="P26" s="653"/>
      <c r="Q26" s="597"/>
      <c r="R26" s="219">
        <v>5</v>
      </c>
      <c r="S26" s="104"/>
      <c r="T26" s="220" t="str">
        <f t="shared" si="0"/>
        <v/>
      </c>
      <c r="U26" s="221"/>
      <c r="V26" s="221"/>
      <c r="W26" s="222" t="str">
        <f t="shared" si="1"/>
        <v/>
      </c>
      <c r="X26" s="221"/>
      <c r="Y26" s="221"/>
      <c r="Z26" s="221"/>
      <c r="AA26" s="223" t="str">
        <f>IFERROR(IF(AND(T25="Probabilidad",T26="Probabilidad"),(AC25-(+AC25*W26)),IF(AND(T25="Impacto",T26="Probabilidad"),(AC24-(+AC24*W26)),IF(T26="Impacto",AC25,""))),"")</f>
        <v/>
      </c>
      <c r="AB26" s="224" t="str">
        <f t="shared" si="2"/>
        <v/>
      </c>
      <c r="AC26" s="225" t="str">
        <f t="shared" si="3"/>
        <v/>
      </c>
      <c r="AD26" s="224" t="str">
        <f t="shared" si="4"/>
        <v/>
      </c>
      <c r="AE26" s="225" t="str">
        <f>IFERROR(IF(AND(T25="Impacto",T26="Impacto"),(AE25-(+AE25*W26)),IF(AND(T25="Probabilidad",T26="Impacto"),(AE24-(+AE24*W26)),IF(T26="Probabilidad",AE25,""))),"")</f>
        <v/>
      </c>
      <c r="AF26" s="226" t="str">
        <f t="shared" si="5"/>
        <v/>
      </c>
      <c r="AG26" s="227"/>
      <c r="AH26" s="104"/>
      <c r="AI26" s="230"/>
      <c r="AJ26" s="228"/>
      <c r="AK26" s="229"/>
      <c r="AL26" s="104"/>
      <c r="AM26" s="281"/>
      <c r="AN26" s="286"/>
      <c r="AO26" s="286"/>
      <c r="AP26" s="286"/>
      <c r="AQ26" s="286"/>
      <c r="AR26" s="286"/>
      <c r="AS26" s="286"/>
      <c r="AT26" s="286"/>
      <c r="AU26" s="286"/>
      <c r="AV26" s="286"/>
      <c r="AW26" s="286"/>
      <c r="AX26" s="286"/>
      <c r="AY26" s="286"/>
      <c r="AZ26" s="231"/>
      <c r="BA26" s="231"/>
      <c r="BB26" s="231"/>
      <c r="BC26" s="231"/>
      <c r="BD26" s="231"/>
      <c r="BE26" s="231"/>
      <c r="BF26" s="231"/>
      <c r="BG26" s="231"/>
      <c r="BH26" s="231"/>
      <c r="BI26" s="231"/>
      <c r="BJ26" s="231"/>
      <c r="BK26" s="231"/>
      <c r="BL26" s="231"/>
      <c r="BM26" s="231"/>
      <c r="BN26" s="231"/>
      <c r="BO26" s="231"/>
      <c r="BP26" s="231"/>
      <c r="BQ26" s="231"/>
      <c r="BR26" s="231"/>
      <c r="BS26" s="231"/>
      <c r="BT26" s="231"/>
    </row>
    <row r="27" spans="1:72" s="232" customFormat="1" ht="60.75" hidden="1" customHeight="1" x14ac:dyDescent="0.3">
      <c r="A27" s="583"/>
      <c r="B27" s="586"/>
      <c r="C27" s="641"/>
      <c r="D27" s="644"/>
      <c r="E27" s="233"/>
      <c r="F27" s="645"/>
      <c r="G27" s="561"/>
      <c r="H27" s="356"/>
      <c r="I27" s="648"/>
      <c r="J27" s="651"/>
      <c r="K27" s="580"/>
      <c r="L27" s="654"/>
      <c r="M27" s="657"/>
      <c r="N27" s="607">
        <f>IF(NOT(ISERROR(MATCH(M27,_xlfn.ANCHORARRAY(F37),0))),L39&amp;"Por favor no seleccionar los criterios de impacto",M27)</f>
        <v>0</v>
      </c>
      <c r="O27" s="580"/>
      <c r="P27" s="654"/>
      <c r="Q27" s="598"/>
      <c r="R27" s="219">
        <v>6</v>
      </c>
      <c r="S27" s="104"/>
      <c r="T27" s="220" t="str">
        <f t="shared" si="0"/>
        <v/>
      </c>
      <c r="U27" s="221"/>
      <c r="V27" s="221"/>
      <c r="W27" s="222" t="str">
        <f t="shared" si="1"/>
        <v/>
      </c>
      <c r="X27" s="221"/>
      <c r="Y27" s="221"/>
      <c r="Z27" s="221"/>
      <c r="AA27" s="223" t="str">
        <f>IFERROR(IF(AND(T26="Probabilidad",T27="Probabilidad"),(AC26-(+AC26*W27)),IF(AND(T26="Impacto",T27="Probabilidad"),(AC25-(+AC25*W27)),IF(T27="Impacto",AC26,""))),"")</f>
        <v/>
      </c>
      <c r="AB27" s="224" t="str">
        <f t="shared" si="2"/>
        <v/>
      </c>
      <c r="AC27" s="225" t="str">
        <f t="shared" si="3"/>
        <v/>
      </c>
      <c r="AD27" s="224" t="str">
        <f t="shared" si="4"/>
        <v/>
      </c>
      <c r="AE27" s="225" t="str">
        <f>IFERROR(IF(AND(T26="Impacto",T27="Impacto"),(AE26-(+AE26*W27)),IF(AND(T26="Probabilidad",T27="Impacto"),(AE25-(+AE25*W27)),IF(T27="Probabilidad",AE26,""))),"")</f>
        <v/>
      </c>
      <c r="AF27" s="226" t="str">
        <f t="shared" si="5"/>
        <v/>
      </c>
      <c r="AG27" s="227"/>
      <c r="AH27" s="104"/>
      <c r="AI27" s="230"/>
      <c r="AJ27" s="228"/>
      <c r="AK27" s="229"/>
      <c r="AL27" s="104"/>
      <c r="AM27" s="281"/>
      <c r="AN27" s="286"/>
      <c r="AO27" s="286"/>
      <c r="AP27" s="286"/>
      <c r="AQ27" s="286"/>
      <c r="AR27" s="286"/>
      <c r="AS27" s="286"/>
      <c r="AT27" s="286"/>
      <c r="AU27" s="286"/>
      <c r="AV27" s="286"/>
      <c r="AW27" s="286"/>
      <c r="AX27" s="286"/>
      <c r="AY27" s="286"/>
      <c r="AZ27" s="231"/>
      <c r="BA27" s="231"/>
      <c r="BB27" s="231"/>
      <c r="BC27" s="231"/>
      <c r="BD27" s="231"/>
      <c r="BE27" s="231"/>
      <c r="BF27" s="231"/>
      <c r="BG27" s="231"/>
      <c r="BH27" s="231"/>
      <c r="BI27" s="231"/>
      <c r="BJ27" s="231"/>
      <c r="BK27" s="231"/>
      <c r="BL27" s="231"/>
      <c r="BM27" s="231"/>
      <c r="BN27" s="231"/>
      <c r="BO27" s="231"/>
      <c r="BP27" s="231"/>
      <c r="BQ27" s="231"/>
      <c r="BR27" s="231"/>
      <c r="BS27" s="231"/>
      <c r="BT27" s="231"/>
    </row>
    <row r="28" spans="1:72" s="232" customFormat="1" ht="144" customHeight="1" x14ac:dyDescent="0.3">
      <c r="A28" s="235">
        <v>4</v>
      </c>
      <c r="B28" s="294" t="s">
        <v>127</v>
      </c>
      <c r="C28" s="295" t="s">
        <v>385</v>
      </c>
      <c r="D28" s="296" t="s">
        <v>426</v>
      </c>
      <c r="E28" s="371" t="s">
        <v>386</v>
      </c>
      <c r="F28" s="293" t="s">
        <v>427</v>
      </c>
      <c r="G28" s="375" t="s">
        <v>363</v>
      </c>
      <c r="H28" s="369" t="s">
        <v>387</v>
      </c>
      <c r="I28" s="376" t="s">
        <v>118</v>
      </c>
      <c r="J28" s="377">
        <v>1</v>
      </c>
      <c r="K28" s="237" t="str">
        <f>IF(J28&lt;=0,"",IF(J28&lt;=2,"Muy Baja",IF(J28&lt;=24,"Baja",IF(J28&lt;=500,"Media",IF(J28&lt;=5000,"Alta","Muy Alta")))))</f>
        <v>Muy Baja</v>
      </c>
      <c r="L28" s="373">
        <f>IF(K28="","",IF(K28="Muy Baja",0.2,IF(K28="Baja",0.4,IF(K28="Media",0.6,IF(K28="Alta",0.8,IF(K28="Muy Alta",1,))))))</f>
        <v>0.2</v>
      </c>
      <c r="M28" s="374" t="s">
        <v>143</v>
      </c>
      <c r="N28" s="238" t="str">
        <f>IF(NOT(ISERROR(MATCH(M28,'Tabla Impacto'!$B$221:$B$223,0))),'Tabla Impacto'!$F$223&amp;"Por favor no seleccionar los criterios de impacto(Afectación Económica o presupuestal y Pérdida Reputacional)",M28)</f>
        <v xml:space="preserve">     El riesgo afecta la imagen de alguna área de la organización</v>
      </c>
      <c r="O28" s="237" t="str">
        <f>IF(OR(N28='Tabla Impacto'!$C$11,N28='Tabla Impacto'!$D$11),"Leve",IF(OR(N28='Tabla Impacto'!$C$12,N28='Tabla Impacto'!$D$12),"Menor",IF(OR(N28='Tabla Impacto'!$C$13,N28='Tabla Impacto'!$D$13),"Moderado",IF(OR(N28='Tabla Impacto'!$C$14,N28='Tabla Impacto'!$D$14),"Mayor",IF(OR(N28='Tabla Impacto'!$C$15,N28='Tabla Impacto'!$D$15),"Catastrófico","")))))</f>
        <v>Leve</v>
      </c>
      <c r="P28" s="373">
        <f>IF(O28="","",IF(O28="Leve",0.2,IF(O28="Menor",0.4,IF(O28="Moderado",0.6,IF(O28="Mayor",0.8,IF(O28="Catastrófico",1,))))))</f>
        <v>0.2</v>
      </c>
      <c r="Q28" s="239"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Bajo</v>
      </c>
      <c r="R28" s="364">
        <v>1</v>
      </c>
      <c r="S28" s="359" t="str">
        <f>DOFA!E42</f>
        <v>D 13, D14. O10, F11 , A4. El Director de Tesoreria , anualmente, emitirá Certificado de superávit o déficit fiscal, dejando como evidencia dicha certificación. 
(PRO-GHP-010: PROCEDIMIENTO: CIERRE DEL EJERCICIO FISCAL)</v>
      </c>
      <c r="T28" s="365" t="str">
        <f t="shared" si="0"/>
        <v>Probabilidad</v>
      </c>
      <c r="U28" s="366" t="s">
        <v>14</v>
      </c>
      <c r="V28" s="366" t="s">
        <v>9</v>
      </c>
      <c r="W28" s="367" t="str">
        <f t="shared" si="1"/>
        <v>40%</v>
      </c>
      <c r="X28" s="366" t="s">
        <v>20</v>
      </c>
      <c r="Y28" s="366" t="s">
        <v>22</v>
      </c>
      <c r="Z28" s="366" t="s">
        <v>114</v>
      </c>
      <c r="AA28" s="368">
        <f>IFERROR(IF(T28="Probabilidad",(L28-(+L28*W28)),IF(T28="Impacto",L28,"")),"")</f>
        <v>0.12</v>
      </c>
      <c r="AB28" s="224" t="str">
        <f t="shared" si="2"/>
        <v>Muy Baja</v>
      </c>
      <c r="AC28" s="363">
        <f t="shared" si="3"/>
        <v>0.12</v>
      </c>
      <c r="AD28" s="224" t="str">
        <f t="shared" si="4"/>
        <v>Leve</v>
      </c>
      <c r="AE28" s="363">
        <f>IFERROR(IF(T28="Impacto",(P28-(+P28*W28)),IF(T28="Probabilidad",P28,"")),"")</f>
        <v>0.2</v>
      </c>
      <c r="AF28" s="226" t="str">
        <f t="shared" si="5"/>
        <v>Bajo</v>
      </c>
      <c r="AG28" s="358" t="s">
        <v>131</v>
      </c>
      <c r="AH28" s="359" t="s">
        <v>428</v>
      </c>
      <c r="AI28" s="372" t="s">
        <v>395</v>
      </c>
      <c r="AJ28" s="360">
        <v>45352</v>
      </c>
      <c r="AK28" s="361"/>
      <c r="AL28" s="359"/>
      <c r="AM28" s="362" t="s">
        <v>41</v>
      </c>
      <c r="AN28" s="287" t="s">
        <v>455</v>
      </c>
      <c r="AO28" s="289">
        <v>4</v>
      </c>
      <c r="AP28" s="287" t="s">
        <v>456</v>
      </c>
      <c r="AQ28" s="289">
        <v>4</v>
      </c>
      <c r="AR28" s="287" t="s">
        <v>457</v>
      </c>
      <c r="AS28" s="289">
        <v>4</v>
      </c>
      <c r="AT28" s="287" t="s">
        <v>458</v>
      </c>
      <c r="AU28" s="289">
        <v>4</v>
      </c>
      <c r="AV28" s="287" t="s">
        <v>459</v>
      </c>
      <c r="AW28" s="289">
        <v>4</v>
      </c>
      <c r="AX28" s="382" t="s">
        <v>476</v>
      </c>
      <c r="AY28" s="289">
        <v>4</v>
      </c>
      <c r="AZ28" s="231"/>
      <c r="BA28" s="231"/>
      <c r="BB28" s="231"/>
      <c r="BC28" s="231"/>
      <c r="BD28" s="231"/>
      <c r="BE28" s="231"/>
      <c r="BF28" s="231"/>
      <c r="BG28" s="231"/>
      <c r="BH28" s="231"/>
      <c r="BI28" s="231"/>
      <c r="BJ28" s="231"/>
      <c r="BK28" s="231"/>
      <c r="BL28" s="231"/>
      <c r="BM28" s="231"/>
      <c r="BN28" s="231"/>
      <c r="BO28" s="231"/>
      <c r="BP28" s="231"/>
      <c r="BQ28" s="231"/>
      <c r="BR28" s="231"/>
      <c r="BS28" s="231"/>
      <c r="BT28" s="231"/>
    </row>
    <row r="29" spans="1:72" s="232" customFormat="1" ht="18.75" hidden="1" customHeight="1" x14ac:dyDescent="0.3">
      <c r="A29" s="240"/>
      <c r="B29" s="241"/>
      <c r="C29" s="242"/>
      <c r="D29" s="243"/>
      <c r="E29" s="233"/>
      <c r="F29" s="236"/>
      <c r="G29" s="244"/>
      <c r="H29" s="234"/>
      <c r="I29" s="245"/>
      <c r="J29" s="246"/>
      <c r="K29" s="247"/>
      <c r="L29" s="248"/>
      <c r="M29" s="249"/>
      <c r="N29" s="248">
        <f>IF(NOT(ISERROR(MATCH(M29,_xlfn.ANCHORARRAY(F40),0))),L42&amp;"Por favor no seleccionar los criterios de impacto",M29)</f>
        <v>0</v>
      </c>
      <c r="O29" s="247"/>
      <c r="P29" s="248"/>
      <c r="Q29" s="250"/>
      <c r="R29" s="219">
        <v>3</v>
      </c>
      <c r="S29" s="104"/>
      <c r="T29" s="220" t="str">
        <f t="shared" si="0"/>
        <v/>
      </c>
      <c r="U29" s="221"/>
      <c r="V29" s="221"/>
      <c r="W29" s="222" t="str">
        <f t="shared" si="1"/>
        <v/>
      </c>
      <c r="X29" s="221"/>
      <c r="Y29" s="221"/>
      <c r="Z29" s="221"/>
      <c r="AA29" s="223" t="str">
        <f>IFERROR(IF(AND(#REF!="Probabilidad",T29="Probabilidad"),(#REF!-(+#REF!*W29)),IF(AND(#REF!="Impacto",T29="Probabilidad"),(AC28-(+AC28*W29)),IF(T29="Impacto",#REF!,""))),"")</f>
        <v/>
      </c>
      <c r="AB29" s="224" t="str">
        <f t="shared" si="2"/>
        <v/>
      </c>
      <c r="AC29" s="225" t="str">
        <f t="shared" si="3"/>
        <v/>
      </c>
      <c r="AD29" s="224" t="str">
        <f t="shared" si="4"/>
        <v/>
      </c>
      <c r="AE29" s="225" t="str">
        <f>IFERROR(IF(AND(#REF!="Impacto",T29="Impacto"),(#REF!-(+#REF!*W29)),IF(AND(#REF!="Probabilidad",T29="Impacto"),(AE28-(+AE28*W29)),IF(T29="Probabilidad",#REF!,""))),"")</f>
        <v/>
      </c>
      <c r="AF29" s="226" t="str">
        <f t="shared" si="5"/>
        <v/>
      </c>
      <c r="AG29" s="227"/>
      <c r="AH29" s="104"/>
      <c r="AI29" s="230"/>
      <c r="AJ29" s="228"/>
      <c r="AK29" s="229"/>
      <c r="AL29" s="104"/>
      <c r="AM29" s="281"/>
      <c r="AN29" s="288"/>
      <c r="AO29" s="290"/>
      <c r="AP29" s="288"/>
      <c r="AQ29" s="290"/>
      <c r="AR29" s="288"/>
      <c r="AS29" s="290"/>
      <c r="AT29" s="288"/>
      <c r="AU29" s="290"/>
      <c r="AV29" s="288"/>
      <c r="AW29" s="290"/>
      <c r="AX29" s="383"/>
      <c r="AY29" s="290"/>
      <c r="AZ29" s="231"/>
      <c r="BA29" s="231"/>
      <c r="BB29" s="231"/>
      <c r="BC29" s="231"/>
      <c r="BD29" s="231"/>
      <c r="BE29" s="231"/>
      <c r="BF29" s="231"/>
      <c r="BG29" s="231"/>
      <c r="BH29" s="231"/>
      <c r="BI29" s="231"/>
      <c r="BJ29" s="231"/>
      <c r="BK29" s="231"/>
      <c r="BL29" s="231"/>
      <c r="BM29" s="231"/>
      <c r="BN29" s="231"/>
      <c r="BO29" s="231"/>
      <c r="BP29" s="231"/>
      <c r="BQ29" s="231"/>
      <c r="BR29" s="231"/>
      <c r="BS29" s="231"/>
      <c r="BT29" s="231"/>
    </row>
    <row r="30" spans="1:72" s="232" customFormat="1" ht="30" hidden="1" customHeight="1" x14ac:dyDescent="0.3">
      <c r="A30" s="240"/>
      <c r="B30" s="241"/>
      <c r="C30" s="242"/>
      <c r="D30" s="243"/>
      <c r="E30" s="233"/>
      <c r="F30" s="236"/>
      <c r="G30" s="244"/>
      <c r="H30" s="234"/>
      <c r="I30" s="245"/>
      <c r="J30" s="246"/>
      <c r="K30" s="247"/>
      <c r="L30" s="248"/>
      <c r="M30" s="249"/>
      <c r="N30" s="248">
        <f>IF(NOT(ISERROR(MATCH(M30,_xlfn.ANCHORARRAY(F41),0))),L43&amp;"Por favor no seleccionar los criterios de impacto",M30)</f>
        <v>0</v>
      </c>
      <c r="O30" s="247"/>
      <c r="P30" s="248"/>
      <c r="Q30" s="250"/>
      <c r="R30" s="219">
        <v>4</v>
      </c>
      <c r="S30" s="104">
        <f>DOFA!E46</f>
        <v>0</v>
      </c>
      <c r="T30" s="220" t="str">
        <f t="shared" si="0"/>
        <v/>
      </c>
      <c r="U30" s="221"/>
      <c r="V30" s="221"/>
      <c r="W30" s="222" t="str">
        <f t="shared" si="1"/>
        <v/>
      </c>
      <c r="X30" s="221"/>
      <c r="Y30" s="221"/>
      <c r="Z30" s="221"/>
      <c r="AA30" s="223" t="str">
        <f>IFERROR(IF(AND(T29="Probabilidad",T30="Probabilidad"),(AC29-(+AC29*W30)),IF(AND(T29="Impacto",T30="Probabilidad"),(#REF!-(+#REF!*W30)),IF(T30="Impacto",AC29,""))),"")</f>
        <v/>
      </c>
      <c r="AB30" s="224" t="str">
        <f t="shared" si="2"/>
        <v/>
      </c>
      <c r="AC30" s="225" t="str">
        <f t="shared" si="3"/>
        <v/>
      </c>
      <c r="AD30" s="224" t="str">
        <f t="shared" si="4"/>
        <v/>
      </c>
      <c r="AE30" s="225" t="str">
        <f>IFERROR(IF(AND(T29="Impacto",T30="Impacto"),(AE29-(+AE29*W30)),IF(AND(T29="Probabilidad",T30="Impacto"),(#REF!-(+#REF!*W30)),IF(T30="Probabilidad",AE29,""))),"")</f>
        <v/>
      </c>
      <c r="AF30" s="226" t="str">
        <f t="shared" si="5"/>
        <v/>
      </c>
      <c r="AG30" s="227"/>
      <c r="AH30" s="104"/>
      <c r="AI30" s="230"/>
      <c r="AJ30" s="228"/>
      <c r="AK30" s="229"/>
      <c r="AL30" s="104"/>
      <c r="AM30" s="281"/>
      <c r="AN30" s="288"/>
      <c r="AO30" s="290"/>
      <c r="AP30" s="288"/>
      <c r="AQ30" s="290"/>
      <c r="AR30" s="288"/>
      <c r="AS30" s="290"/>
      <c r="AT30" s="288"/>
      <c r="AU30" s="290"/>
      <c r="AV30" s="288"/>
      <c r="AW30" s="290"/>
      <c r="AX30" s="383"/>
      <c r="AY30" s="290"/>
      <c r="AZ30" s="231"/>
      <c r="BA30" s="231"/>
      <c r="BB30" s="231"/>
      <c r="BC30" s="231"/>
      <c r="BD30" s="231"/>
      <c r="BE30" s="231"/>
      <c r="BF30" s="231"/>
      <c r="BG30" s="231"/>
      <c r="BH30" s="231"/>
      <c r="BI30" s="231"/>
      <c r="BJ30" s="231"/>
      <c r="BK30" s="231"/>
      <c r="BL30" s="231"/>
      <c r="BM30" s="231"/>
      <c r="BN30" s="231"/>
      <c r="BO30" s="231"/>
      <c r="BP30" s="231"/>
      <c r="BQ30" s="231"/>
      <c r="BR30" s="231"/>
      <c r="BS30" s="231"/>
      <c r="BT30" s="231"/>
    </row>
    <row r="31" spans="1:72" s="232" customFormat="1" ht="26.25" hidden="1" customHeight="1" x14ac:dyDescent="0.3">
      <c r="A31" s="240"/>
      <c r="B31" s="241"/>
      <c r="C31" s="242"/>
      <c r="D31" s="243"/>
      <c r="E31" s="233"/>
      <c r="F31" s="236"/>
      <c r="G31" s="244"/>
      <c r="H31" s="234"/>
      <c r="I31" s="245"/>
      <c r="J31" s="246"/>
      <c r="K31" s="247"/>
      <c r="L31" s="248"/>
      <c r="M31" s="249"/>
      <c r="N31" s="248">
        <f>IF(NOT(ISERROR(MATCH(M31,_xlfn.ANCHORARRAY(F42),0))),L44&amp;"Por favor no seleccionar los criterios de impacto",M31)</f>
        <v>0</v>
      </c>
      <c r="O31" s="247"/>
      <c r="P31" s="248"/>
      <c r="Q31" s="250"/>
      <c r="R31" s="219">
        <v>5</v>
      </c>
      <c r="S31" s="104">
        <f>DOFA!E47</f>
        <v>0</v>
      </c>
      <c r="T31" s="220" t="str">
        <f t="shared" si="0"/>
        <v/>
      </c>
      <c r="U31" s="221"/>
      <c r="V31" s="221"/>
      <c r="W31" s="222" t="str">
        <f t="shared" si="1"/>
        <v/>
      </c>
      <c r="X31" s="221"/>
      <c r="Y31" s="221"/>
      <c r="Z31" s="221"/>
      <c r="AA31" s="223" t="str">
        <f>IFERROR(IF(AND(T30="Probabilidad",T31="Probabilidad"),(AC30-(+AC30*W31)),IF(AND(T30="Impacto",T31="Probabilidad"),(AC29-(+AC29*W31)),IF(T31="Impacto",AC30,""))),"")</f>
        <v/>
      </c>
      <c r="AB31" s="224" t="str">
        <f t="shared" si="2"/>
        <v/>
      </c>
      <c r="AC31" s="225" t="str">
        <f t="shared" si="3"/>
        <v/>
      </c>
      <c r="AD31" s="224" t="str">
        <f t="shared" si="4"/>
        <v/>
      </c>
      <c r="AE31" s="225" t="str">
        <f>IFERROR(IF(AND(T30="Impacto",T31="Impacto"),(AE30-(+AE30*W31)),IF(AND(T30="Probabilidad",T31="Impacto"),(AE29-(+AE29*W31)),IF(T31="Probabilidad",AE30,""))),"")</f>
        <v/>
      </c>
      <c r="AF31" s="226" t="str">
        <f t="shared" si="5"/>
        <v/>
      </c>
      <c r="AG31" s="227"/>
      <c r="AH31" s="104"/>
      <c r="AI31" s="230"/>
      <c r="AJ31" s="228"/>
      <c r="AK31" s="229"/>
      <c r="AL31" s="104"/>
      <c r="AM31" s="281"/>
      <c r="AN31" s="288"/>
      <c r="AO31" s="290"/>
      <c r="AP31" s="288"/>
      <c r="AQ31" s="290"/>
      <c r="AR31" s="288"/>
      <c r="AS31" s="290"/>
      <c r="AT31" s="288"/>
      <c r="AU31" s="290"/>
      <c r="AV31" s="288"/>
      <c r="AW31" s="290"/>
      <c r="AX31" s="383"/>
      <c r="AY31" s="290"/>
      <c r="AZ31" s="231"/>
      <c r="BA31" s="231"/>
      <c r="BB31" s="231"/>
      <c r="BC31" s="231"/>
      <c r="BD31" s="231"/>
      <c r="BE31" s="231"/>
      <c r="BF31" s="231"/>
      <c r="BG31" s="231"/>
      <c r="BH31" s="231"/>
      <c r="BI31" s="231"/>
      <c r="BJ31" s="231"/>
      <c r="BK31" s="231"/>
      <c r="BL31" s="231"/>
      <c r="BM31" s="231"/>
      <c r="BN31" s="231"/>
      <c r="BO31" s="231"/>
      <c r="BP31" s="231"/>
      <c r="BQ31" s="231"/>
      <c r="BR31" s="231"/>
      <c r="BS31" s="231"/>
      <c r="BT31" s="231"/>
    </row>
    <row r="32" spans="1:72" s="232" customFormat="1" ht="23.25" hidden="1" customHeight="1" x14ac:dyDescent="0.3">
      <c r="A32" s="251"/>
      <c r="B32" s="252"/>
      <c r="C32" s="253"/>
      <c r="D32" s="254"/>
      <c r="E32" s="233"/>
      <c r="F32" s="236"/>
      <c r="G32" s="255"/>
      <c r="H32" s="234"/>
      <c r="I32" s="256"/>
      <c r="J32" s="257"/>
      <c r="K32" s="258"/>
      <c r="L32" s="259"/>
      <c r="M32" s="260"/>
      <c r="N32" s="259">
        <f>IF(NOT(ISERROR(MATCH(M32,_xlfn.ANCHORARRAY(F43),0))),L45&amp;"Por favor no seleccionar los criterios de impacto",M32)</f>
        <v>0</v>
      </c>
      <c r="O32" s="258"/>
      <c r="P32" s="259"/>
      <c r="Q32" s="261"/>
      <c r="R32" s="219">
        <v>6</v>
      </c>
      <c r="S32" s="104">
        <f>DOFA!E48</f>
        <v>0</v>
      </c>
      <c r="T32" s="220" t="str">
        <f t="shared" si="0"/>
        <v/>
      </c>
      <c r="U32" s="221"/>
      <c r="V32" s="221"/>
      <c r="W32" s="222" t="str">
        <f t="shared" si="1"/>
        <v/>
      </c>
      <c r="X32" s="221"/>
      <c r="Y32" s="221"/>
      <c r="Z32" s="221"/>
      <c r="AA32" s="223" t="str">
        <f>IFERROR(IF(AND(T31="Probabilidad",T32="Probabilidad"),(AC31-(+AC31*W32)),IF(AND(T31="Impacto",T32="Probabilidad"),(AC30-(+AC30*W32)),IF(T32="Impacto",AC31,""))),"")</f>
        <v/>
      </c>
      <c r="AB32" s="224" t="str">
        <f t="shared" si="2"/>
        <v/>
      </c>
      <c r="AC32" s="225" t="str">
        <f t="shared" si="3"/>
        <v/>
      </c>
      <c r="AD32" s="224" t="str">
        <f t="shared" si="4"/>
        <v/>
      </c>
      <c r="AE32" s="225" t="str">
        <f>IFERROR(IF(AND(T31="Impacto",T32="Impacto"),(AE31-(+AE31*W32)),IF(AND(T31="Probabilidad",T32="Impacto"),(AE30-(+AE30*W32)),IF(T32="Probabilidad",AE31,""))),"")</f>
        <v/>
      </c>
      <c r="AF32" s="226" t="str">
        <f t="shared" si="5"/>
        <v/>
      </c>
      <c r="AG32" s="227"/>
      <c r="AH32" s="104"/>
      <c r="AI32" s="230"/>
      <c r="AJ32" s="228"/>
      <c r="AK32" s="229"/>
      <c r="AL32" s="104"/>
      <c r="AM32" s="281"/>
      <c r="AN32" s="288"/>
      <c r="AO32" s="290"/>
      <c r="AP32" s="288"/>
      <c r="AQ32" s="290"/>
      <c r="AR32" s="288"/>
      <c r="AS32" s="290"/>
      <c r="AT32" s="288"/>
      <c r="AU32" s="290"/>
      <c r="AV32" s="288"/>
      <c r="AW32" s="290"/>
      <c r="AX32" s="383"/>
      <c r="AY32" s="290"/>
      <c r="AZ32" s="231"/>
      <c r="BA32" s="231"/>
      <c r="BB32" s="231"/>
      <c r="BC32" s="231"/>
      <c r="BD32" s="231"/>
      <c r="BE32" s="231"/>
      <c r="BF32" s="231"/>
      <c r="BG32" s="231"/>
      <c r="BH32" s="231"/>
      <c r="BI32" s="231"/>
      <c r="BJ32" s="231"/>
      <c r="BK32" s="231"/>
      <c r="BL32" s="231"/>
      <c r="BM32" s="231"/>
      <c r="BN32" s="231"/>
      <c r="BO32" s="231"/>
      <c r="BP32" s="231"/>
      <c r="BQ32" s="231"/>
      <c r="BR32" s="231"/>
      <c r="BS32" s="231"/>
      <c r="BT32" s="231"/>
    </row>
    <row r="33" spans="1:72" s="232" customFormat="1" ht="208.5" customHeight="1" thickBot="1" x14ac:dyDescent="0.35">
      <c r="A33" s="235">
        <v>5</v>
      </c>
      <c r="B33" s="584" t="s">
        <v>129</v>
      </c>
      <c r="C33" s="639" t="s">
        <v>407</v>
      </c>
      <c r="D33" s="642" t="s">
        <v>408</v>
      </c>
      <c r="E33" s="343" t="s">
        <v>411</v>
      </c>
      <c r="F33" s="645" t="s">
        <v>429</v>
      </c>
      <c r="G33" s="562" t="s">
        <v>402</v>
      </c>
      <c r="H33" s="342" t="s">
        <v>406</v>
      </c>
      <c r="I33" s="683" t="s">
        <v>118</v>
      </c>
      <c r="J33" s="341">
        <v>100</v>
      </c>
      <c r="K33" s="262" t="str">
        <f>IF(J33&lt;=0,"",IF(J33&lt;=2,"Muy Baja",IF(J33&lt;=24,"Baja",IF(J33&lt;=500,"Media",IF(J33&lt;=5000,"Alta","Muy Alta")))))</f>
        <v>Media</v>
      </c>
      <c r="L33" s="339">
        <f>IF(K33="","",IF(K33="Muy Baja",0.2,IF(K33="Baja",0.4,IF(K33="Media",0.6,IF(K33="Alta",0.8,IF(K33="Muy Alta",1,))))))</f>
        <v>0.6</v>
      </c>
      <c r="M33" s="340" t="s">
        <v>208</v>
      </c>
      <c r="N33" s="605" t="str">
        <f>IF(NOT(ISERROR(MATCH(M33,'Tabla Impacto'!$B$221:$B$223,0))),'Tabla Impacto'!$F$223&amp;"Por favor no seleccionar los criterios de impacto(Afectación Económica o presupuestal y Pérdida Reputacional)",M33)</f>
        <v xml:space="preserve">     Entre 200 y 1000 SMLMV</v>
      </c>
      <c r="O33" s="262" t="str">
        <f>IF(OR(N33='Tabla Impacto'!$C$11,N33='Tabla Impacto'!$D$11),"Leve",IF(OR(N33='Tabla Impacto'!$C$12,N33='Tabla Impacto'!$D$12),"Menor",IF(OR(N33='Tabla Impacto'!$C$13,N33='Tabla Impacto'!$D$13),"Moderado",IF(OR(N33='Tabla Impacto'!$C$14,N33='Tabla Impacto'!$D$14),"Mayor",IF(OR(N33='Tabla Impacto'!$C$15,N33='Tabla Impacto'!$D$15),"Catastrófico","")))))</f>
        <v>Menor</v>
      </c>
      <c r="P33" s="339">
        <f>IF(O33="","",IF(O33="Leve",0.2,IF(O33="Menor",0.4,IF(O33="Moderado",0.6,IF(O33="Mayor",0.8,IF(O33="Catastrófico",1,))))))</f>
        <v>0.4</v>
      </c>
      <c r="Q33" s="263" t="str">
        <f>IF(OR(AND(K33="Muy Baja",O33="Leve"),AND(K33="Muy Baja",O33="Menor"),AND(K33="Baja",O33="Leve")),"Bajo",IF(OR(AND(K33="Muy baja",O33="Moderado"),AND(K33="Baja",O33="Menor"),AND(K33="Baja",O33="Moderado"),AND(K33="Media",O33="Leve"),AND(K33="Media",O33="Menor"),AND(K33="Media",O33="Moderado"),AND(K33="Alta",O33="Leve"),AND(K33="Alta",O33="Menor")),"Moderado",IF(OR(AND(K33="Muy Baja",O33="Mayor"),AND(K33="Baja",O33="Mayor"),AND(K33="Media",O33="Mayor"),AND(K33="Alta",O33="Moderado"),AND(K33="Alta",O33="Mayor"),AND(K33="Muy Alta",O33="Leve"),AND(K33="Muy Alta",O33="Menor"),AND(K33="Muy Alta",O33="Moderado"),AND(K33="Muy Alta",O33="Mayor")),"Alto",IF(OR(AND(K33="Muy Baja",O33="Catastrófico"),AND(K33="Baja",O33="Catastrófico"),AND(K33="Media",O33="Catastrófico"),AND(K33="Alta",O33="Catastrófico"),AND(K33="Muy Alta",O33="Catastrófico")),"Extremo",""))))</f>
        <v>Moderado</v>
      </c>
      <c r="R33" s="334">
        <v>1</v>
      </c>
      <c r="S33" s="328" t="str">
        <f>DOFA!E43</f>
        <v>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PRO-GHP-05 FACTURACION  Impuesto Predial Unificado.</v>
      </c>
      <c r="T33" s="335" t="str">
        <f>IF(OR(U33="Preventivo",U33="Detectivo"),"Probabilidad",IF(U33="Correctivo","Impacto",""))</f>
        <v>Probabilidad</v>
      </c>
      <c r="U33" s="336" t="s">
        <v>14</v>
      </c>
      <c r="V33" s="336" t="s">
        <v>9</v>
      </c>
      <c r="W33" s="337" t="str">
        <f t="shared" si="1"/>
        <v>40%</v>
      </c>
      <c r="X33" s="336" t="s">
        <v>19</v>
      </c>
      <c r="Y33" s="336" t="s">
        <v>22</v>
      </c>
      <c r="Z33" s="336" t="s">
        <v>114</v>
      </c>
      <c r="AA33" s="338">
        <f>IFERROR(IF(T33="Probabilidad",(L33-(+L33*W33)),IF(T33="Impacto",L33,"")),"")</f>
        <v>0.36</v>
      </c>
      <c r="AB33" s="224" t="str">
        <f t="shared" si="2"/>
        <v>Baja</v>
      </c>
      <c r="AC33" s="333">
        <f t="shared" si="3"/>
        <v>0.36</v>
      </c>
      <c r="AD33" s="224" t="str">
        <f t="shared" si="4"/>
        <v>Menor</v>
      </c>
      <c r="AE33" s="333">
        <f>IFERROR(IF(T33="Impacto",(P33-(+P33*W33)),IF(T33="Probabilidad",P33,"")),"")</f>
        <v>0.4</v>
      </c>
      <c r="AF33" s="226" t="str">
        <f t="shared" si="5"/>
        <v>Moderado</v>
      </c>
      <c r="AG33" s="327" t="s">
        <v>131</v>
      </c>
      <c r="AH33" s="328" t="s">
        <v>396</v>
      </c>
      <c r="AI33" s="329" t="s">
        <v>397</v>
      </c>
      <c r="AJ33" s="330">
        <v>45352</v>
      </c>
      <c r="AK33" s="331"/>
      <c r="AL33" s="328"/>
      <c r="AM33" s="332" t="s">
        <v>41</v>
      </c>
      <c r="AN33" s="292" t="s">
        <v>465</v>
      </c>
      <c r="AO33" s="291">
        <v>5</v>
      </c>
      <c r="AP33" s="292" t="s">
        <v>466</v>
      </c>
      <c r="AQ33" s="291">
        <v>5</v>
      </c>
      <c r="AR33" s="292" t="s">
        <v>467</v>
      </c>
      <c r="AS33" s="291">
        <v>5</v>
      </c>
      <c r="AT33" s="292" t="s">
        <v>468</v>
      </c>
      <c r="AU33" s="291">
        <v>5</v>
      </c>
      <c r="AV33" s="292" t="s">
        <v>469</v>
      </c>
      <c r="AW33" s="291">
        <v>5</v>
      </c>
      <c r="AX33" s="384" t="s">
        <v>472</v>
      </c>
      <c r="AY33" s="291">
        <v>5</v>
      </c>
      <c r="AZ33" s="231"/>
      <c r="BA33" s="231"/>
      <c r="BB33" s="231"/>
      <c r="BC33" s="231"/>
      <c r="BD33" s="231"/>
      <c r="BE33" s="231"/>
      <c r="BF33" s="231"/>
      <c r="BG33" s="231"/>
      <c r="BH33" s="231"/>
      <c r="BI33" s="231"/>
      <c r="BJ33" s="231"/>
      <c r="BK33" s="231"/>
      <c r="BL33" s="231"/>
      <c r="BM33" s="231"/>
      <c r="BN33" s="231"/>
      <c r="BO33" s="231"/>
      <c r="BP33" s="231"/>
      <c r="BQ33" s="231"/>
      <c r="BR33" s="231"/>
      <c r="BS33" s="231"/>
      <c r="BT33" s="231"/>
    </row>
    <row r="34" spans="1:72" s="232" customFormat="1" ht="222" customHeight="1" x14ac:dyDescent="0.3">
      <c r="A34" s="240">
        <v>6</v>
      </c>
      <c r="B34" s="585"/>
      <c r="C34" s="585"/>
      <c r="D34" s="723"/>
      <c r="E34" s="264" t="s">
        <v>430</v>
      </c>
      <c r="F34" s="645"/>
      <c r="G34" s="563"/>
      <c r="H34" s="265" t="s">
        <v>412</v>
      </c>
      <c r="I34" s="684"/>
      <c r="J34" s="322">
        <v>300000000</v>
      </c>
      <c r="K34" s="262" t="str">
        <f>IF(J34&lt;=0,"",IF(J34&lt;=2,"Muy Baja",IF(J34&lt;=24,"Baja",IF(J34&lt;=500,"Media",IF(J34&lt;=5000,"Alta","Muy Alta")))))</f>
        <v>Muy Alta</v>
      </c>
      <c r="L34" s="320">
        <f>IF(K34="","",IF(K34="Muy Baja",0.2,IF(K34="Baja",0.4,IF(K34="Media",0.6,IF(K34="Alta",0.8,IF(K34="Muy Alta",1,))))))</f>
        <v>1</v>
      </c>
      <c r="M34" s="321" t="s">
        <v>214</v>
      </c>
      <c r="N34" s="606" t="str">
        <f>IF(NOT(ISERROR(MATCH(M34,_xlfn.ANCHORARRAY(F45),0))),L47&amp;"Por favor no seleccionar los criterios de impacto",M34)</f>
        <v xml:space="preserve">     Entre 5000 y 10000 SMLMV</v>
      </c>
      <c r="O34" s="262" t="str">
        <f>IF(OR(N34='Tabla Impacto'!$C$11,N34='Tabla Impacto'!$D$11),"Leve",IF(OR(N34='Tabla Impacto'!$C$12,N34='Tabla Impacto'!$D$12),"Menor",IF(OR(N34='Tabla Impacto'!$C$13,N34='Tabla Impacto'!$D$13),"Moderado",IF(OR(N34='Tabla Impacto'!$C$14,N34='Tabla Impacto'!$D$14),"Mayor",IF(OR(N34='Tabla Impacto'!$C$15,N34='Tabla Impacto'!$D$15),"Catastrófico","")))))</f>
        <v>Mayor</v>
      </c>
      <c r="P34" s="320">
        <f>IF(O34="","",IF(O34="Leve",0.2,IF(O34="Menor",0.4,IF(O34="Moderado",0.6,IF(O34="Mayor",0.8,IF(O34="Catastrófico",1,))))))</f>
        <v>0.8</v>
      </c>
      <c r="Q34" s="263"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Alto</v>
      </c>
      <c r="R34" s="308">
        <v>2</v>
      </c>
      <c r="S34" s="309" t="str">
        <f>DOFA!E44</f>
        <v>F10, A4, D5, O10 , El director de Tesorería trimestralmente, solicitará un informe a los coordinadores de las diferentes áreas de impulso, donde se especifique los mandamientos de pago efectuados y el trámite de las notificaciones de los mismos y de igual forma los embargos efectuados y el valor de los mismos para llevar el control de los vencimientos de plazos para la labor de cobro.  
dejando como evidencia los informes trimestrales presentados al Director de Tesoreria
MANUAL ESPECÍFICO DE FUNCIONES Y COMPETENCIAS
LABORALES (MAN-GHS-003) ( DESCRIPCION DE FUNCIONES ESENCIALES y Página: 491 de 731)</v>
      </c>
      <c r="T34" s="310" t="str">
        <f>IF(OR(U34="Preventivo",U34="Detectivo"),"Probabilidad",IF(U34="Correctivo","Impacto",""))</f>
        <v>Probabilidad</v>
      </c>
      <c r="U34" s="311" t="s">
        <v>14</v>
      </c>
      <c r="V34" s="311" t="s">
        <v>9</v>
      </c>
      <c r="W34" s="312" t="str">
        <f t="shared" si="1"/>
        <v>40%</v>
      </c>
      <c r="X34" s="311" t="s">
        <v>19</v>
      </c>
      <c r="Y34" s="311" t="s">
        <v>22</v>
      </c>
      <c r="Z34" s="311" t="s">
        <v>114</v>
      </c>
      <c r="AA34" s="313">
        <f>IFERROR(IF(AND(T33="Probabilidad",T34="Probabilidad"),(AC33-(+AC33*W34)),IF(AND(T33="Impacto",T34="Probabilidad"),(L33-(+L33*W34)),IF(T34="Impacto",AC33,""))),"")</f>
        <v>0.216</v>
      </c>
      <c r="AB34" s="224" t="str">
        <f t="shared" si="2"/>
        <v>Baja</v>
      </c>
      <c r="AC34" s="314">
        <f t="shared" si="3"/>
        <v>0.216</v>
      </c>
      <c r="AD34" s="319" t="str">
        <f t="shared" si="4"/>
        <v>Menor</v>
      </c>
      <c r="AE34" s="314">
        <f>IFERROR(IF(AND(T33="Impacto",T34="Impacto"),(AE33-(+AE33*W34)),IF(AND(T33="Probabilidad",T34="Impacto"),(P33-(+P33*W34)),IF(T34="Probabilidad",AE33,""))),"")</f>
        <v>0.4</v>
      </c>
      <c r="AF34" s="226" t="str">
        <f t="shared" si="5"/>
        <v>Moderado</v>
      </c>
      <c r="AG34" s="315" t="s">
        <v>131</v>
      </c>
      <c r="AH34" s="318" t="s">
        <v>414</v>
      </c>
      <c r="AI34" s="318" t="s">
        <v>395</v>
      </c>
      <c r="AJ34" s="316">
        <v>45597</v>
      </c>
      <c r="AK34" s="317"/>
      <c r="AL34" s="309"/>
      <c r="AM34" s="318" t="s">
        <v>41</v>
      </c>
      <c r="AN34" s="284"/>
      <c r="AO34" s="285">
        <v>6</v>
      </c>
      <c r="AP34" s="284"/>
      <c r="AQ34" s="285">
        <v>6</v>
      </c>
      <c r="AR34" s="284"/>
      <c r="AS34" s="285">
        <v>6</v>
      </c>
      <c r="AT34" s="284"/>
      <c r="AU34" s="285"/>
      <c r="AV34" s="284"/>
      <c r="AW34" s="285">
        <v>6</v>
      </c>
      <c r="AX34" s="385" t="s">
        <v>474</v>
      </c>
      <c r="AY34" s="285">
        <v>6</v>
      </c>
      <c r="AZ34" s="231"/>
      <c r="BA34" s="231"/>
      <c r="BB34" s="231"/>
      <c r="BC34" s="231"/>
      <c r="BD34" s="231"/>
      <c r="BE34" s="231"/>
      <c r="BF34" s="231"/>
      <c r="BG34" s="231"/>
      <c r="BH34" s="231"/>
      <c r="BI34" s="231"/>
      <c r="BJ34" s="231"/>
      <c r="BK34" s="231"/>
      <c r="BL34" s="231"/>
      <c r="BM34" s="231"/>
      <c r="BN34" s="231"/>
      <c r="BO34" s="231"/>
      <c r="BP34" s="231"/>
      <c r="BQ34" s="231"/>
      <c r="BR34" s="231"/>
      <c r="BS34" s="231"/>
      <c r="BT34" s="231"/>
    </row>
    <row r="35" spans="1:72" s="232" customFormat="1" ht="21" hidden="1" customHeight="1" x14ac:dyDescent="0.3">
      <c r="A35" s="240"/>
      <c r="B35" s="585"/>
      <c r="C35" s="585"/>
      <c r="D35" s="723"/>
      <c r="E35" s="233"/>
      <c r="F35" s="645"/>
      <c r="G35" s="563"/>
      <c r="H35" s="234"/>
      <c r="I35" s="684"/>
      <c r="J35" s="267"/>
      <c r="K35" s="268"/>
      <c r="L35" s="269"/>
      <c r="M35" s="266"/>
      <c r="N35" s="606">
        <f>IF(NOT(ISERROR(MATCH(M35,_xlfn.ANCHORARRAY(F46),0))),L48&amp;"Por favor no seleccionar los criterios de impacto",M35)</f>
        <v>0</v>
      </c>
      <c r="O35" s="268"/>
      <c r="P35" s="269"/>
      <c r="Q35" s="270"/>
      <c r="R35" s="219">
        <v>3</v>
      </c>
      <c r="S35" s="230"/>
      <c r="T35" s="220" t="str">
        <f t="shared" si="0"/>
        <v/>
      </c>
      <c r="U35" s="221"/>
      <c r="V35" s="221"/>
      <c r="W35" s="222" t="str">
        <f t="shared" si="1"/>
        <v/>
      </c>
      <c r="X35" s="221"/>
      <c r="Y35" s="221"/>
      <c r="Z35" s="221"/>
      <c r="AA35" s="223" t="str">
        <f>IFERROR(IF(AND(T34="Probabilidad",T35="Probabilidad"),(AC34-(+AC34*W35)),IF(AND(T34="Impacto",T35="Probabilidad"),(AC33-(+AC33*W35)),IF(T35="Impacto",AC34,""))),"")</f>
        <v/>
      </c>
      <c r="AB35" s="224" t="str">
        <f t="shared" si="2"/>
        <v/>
      </c>
      <c r="AC35" s="225" t="str">
        <f t="shared" si="3"/>
        <v/>
      </c>
      <c r="AD35" s="224" t="str">
        <f t="shared" si="4"/>
        <v/>
      </c>
      <c r="AE35" s="225" t="str">
        <f>IFERROR(IF(AND(T34="Impacto",T35="Impacto"),(AE34-(+AE34*W35)),IF(AND(T34="Probabilidad",T35="Impacto"),(AE33-(+AE33*W35)),IF(T35="Probabilidad",AE34,""))),"")</f>
        <v/>
      </c>
      <c r="AF35" s="226" t="str">
        <f t="shared" si="5"/>
        <v/>
      </c>
      <c r="AG35" s="227" t="s">
        <v>131</v>
      </c>
      <c r="AH35" s="104"/>
      <c r="AI35" s="230"/>
      <c r="AJ35" s="228"/>
      <c r="AK35" s="229"/>
      <c r="AL35" s="104"/>
      <c r="AM35" s="230"/>
      <c r="AN35" s="284" t="s">
        <v>470</v>
      </c>
      <c r="AO35" s="285"/>
      <c r="AP35" s="284" t="s">
        <v>470</v>
      </c>
      <c r="AQ35" s="285"/>
      <c r="AR35" s="284" t="s">
        <v>470</v>
      </c>
      <c r="AS35" s="285"/>
      <c r="AT35" s="284" t="s">
        <v>470</v>
      </c>
      <c r="AU35" s="285"/>
      <c r="AV35" s="284" t="s">
        <v>470</v>
      </c>
      <c r="AW35" s="285"/>
      <c r="AX35" s="386"/>
      <c r="AY35" s="285"/>
      <c r="AZ35" s="231"/>
      <c r="BA35" s="231"/>
      <c r="BB35" s="231"/>
      <c r="BC35" s="231"/>
      <c r="BD35" s="231"/>
      <c r="BE35" s="231"/>
      <c r="BF35" s="231"/>
      <c r="BG35" s="231"/>
      <c r="BH35" s="231"/>
      <c r="BI35" s="231"/>
      <c r="BJ35" s="231"/>
      <c r="BK35" s="231"/>
      <c r="BL35" s="231"/>
      <c r="BM35" s="231"/>
      <c r="BN35" s="231"/>
      <c r="BO35" s="231"/>
      <c r="BP35" s="231"/>
      <c r="BQ35" s="231"/>
      <c r="BR35" s="231"/>
      <c r="BS35" s="231"/>
      <c r="BT35" s="231"/>
    </row>
    <row r="36" spans="1:72" s="232" customFormat="1" ht="21.75" hidden="1" customHeight="1" x14ac:dyDescent="0.3">
      <c r="A36" s="240"/>
      <c r="B36" s="585"/>
      <c r="C36" s="585"/>
      <c r="D36" s="723"/>
      <c r="E36" s="233"/>
      <c r="F36" s="645"/>
      <c r="G36" s="563"/>
      <c r="H36" s="234"/>
      <c r="I36" s="684"/>
      <c r="J36" s="267"/>
      <c r="K36" s="268"/>
      <c r="L36" s="269"/>
      <c r="M36" s="266"/>
      <c r="N36" s="606">
        <f>IF(NOT(ISERROR(MATCH(M36,_xlfn.ANCHORARRAY(F47),0))),L49&amp;"Por favor no seleccionar los criterios de impacto",M36)</f>
        <v>0</v>
      </c>
      <c r="O36" s="268"/>
      <c r="P36" s="269"/>
      <c r="Q36" s="270"/>
      <c r="R36" s="219">
        <v>4</v>
      </c>
      <c r="S36" s="104"/>
      <c r="T36" s="220" t="str">
        <f t="shared" si="0"/>
        <v/>
      </c>
      <c r="U36" s="221"/>
      <c r="V36" s="221"/>
      <c r="W36" s="222" t="str">
        <f t="shared" si="1"/>
        <v/>
      </c>
      <c r="X36" s="221"/>
      <c r="Y36" s="221"/>
      <c r="Z36" s="221"/>
      <c r="AA36" s="223" t="str">
        <f>IFERROR(IF(AND(T35="Probabilidad",T36="Probabilidad"),(AC35-(+AC35*W36)),IF(AND(T35="Impacto",T36="Probabilidad"),(AC34-(+AC34*W36)),IF(T36="Impacto",AC35,""))),"")</f>
        <v/>
      </c>
      <c r="AB36" s="224" t="str">
        <f t="shared" si="2"/>
        <v/>
      </c>
      <c r="AC36" s="225" t="str">
        <f t="shared" si="3"/>
        <v/>
      </c>
      <c r="AD36" s="224" t="str">
        <f t="shared" si="4"/>
        <v/>
      </c>
      <c r="AE36" s="225" t="str">
        <f>IFERROR(IF(AND(T35="Impacto",T36="Impacto"),(AE35-(+AE35*W36)),IF(AND(T35="Probabilidad",T36="Impacto"),(AE34-(+AE34*W36)),IF(T36="Probabilidad",AE35,""))),"")</f>
        <v/>
      </c>
      <c r="AF36" s="226" t="str">
        <f t="shared" si="5"/>
        <v/>
      </c>
      <c r="AG36" s="227" t="s">
        <v>131</v>
      </c>
      <c r="AH36" s="104"/>
      <c r="AI36" s="230"/>
      <c r="AJ36" s="228"/>
      <c r="AK36" s="229"/>
      <c r="AL36" s="104"/>
      <c r="AM36" s="230"/>
      <c r="AN36" s="284" t="s">
        <v>470</v>
      </c>
      <c r="AO36" s="285"/>
      <c r="AP36" s="284" t="s">
        <v>470</v>
      </c>
      <c r="AQ36" s="285"/>
      <c r="AR36" s="284" t="s">
        <v>470</v>
      </c>
      <c r="AS36" s="285"/>
      <c r="AT36" s="284" t="s">
        <v>470</v>
      </c>
      <c r="AU36" s="285"/>
      <c r="AV36" s="284" t="s">
        <v>470</v>
      </c>
      <c r="AW36" s="285"/>
      <c r="AX36" s="386"/>
      <c r="AY36" s="285"/>
      <c r="AZ36" s="231"/>
      <c r="BA36" s="231"/>
      <c r="BB36" s="231"/>
      <c r="BC36" s="231"/>
      <c r="BD36" s="231"/>
      <c r="BE36" s="231"/>
      <c r="BF36" s="231"/>
      <c r="BG36" s="231"/>
      <c r="BH36" s="231"/>
      <c r="BI36" s="231"/>
      <c r="BJ36" s="231"/>
      <c r="BK36" s="231"/>
      <c r="BL36" s="231"/>
      <c r="BM36" s="231"/>
      <c r="BN36" s="231"/>
      <c r="BO36" s="231"/>
      <c r="BP36" s="231"/>
      <c r="BQ36" s="231"/>
      <c r="BR36" s="231"/>
      <c r="BS36" s="231"/>
      <c r="BT36" s="231"/>
    </row>
    <row r="37" spans="1:72" s="232" customFormat="1" ht="21.75" hidden="1" customHeight="1" x14ac:dyDescent="0.3">
      <c r="A37" s="240"/>
      <c r="B37" s="585"/>
      <c r="C37" s="585"/>
      <c r="D37" s="723"/>
      <c r="E37" s="233"/>
      <c r="F37" s="645"/>
      <c r="G37" s="563"/>
      <c r="H37" s="234"/>
      <c r="I37" s="684"/>
      <c r="J37" s="267"/>
      <c r="K37" s="268"/>
      <c r="L37" s="269"/>
      <c r="M37" s="266"/>
      <c r="N37" s="606">
        <f>IF(NOT(ISERROR(MATCH(M37,_xlfn.ANCHORARRAY(F48),0))),L50&amp;"Por favor no seleccionar los criterios de impacto",M37)</f>
        <v>0</v>
      </c>
      <c r="O37" s="268"/>
      <c r="P37" s="269"/>
      <c r="Q37" s="270"/>
      <c r="R37" s="219">
        <v>5</v>
      </c>
      <c r="S37" s="104"/>
      <c r="T37" s="220" t="str">
        <f t="shared" si="0"/>
        <v/>
      </c>
      <c r="U37" s="221"/>
      <c r="V37" s="221"/>
      <c r="W37" s="222" t="str">
        <f t="shared" si="1"/>
        <v/>
      </c>
      <c r="X37" s="221"/>
      <c r="Y37" s="221"/>
      <c r="Z37" s="221"/>
      <c r="AA37" s="223" t="str">
        <f>IFERROR(IF(AND(T36="Probabilidad",T37="Probabilidad"),(AC36-(+AC36*W37)),IF(AND(T36="Impacto",T37="Probabilidad"),(AC35-(+AC35*W37)),IF(T37="Impacto",AC36,""))),"")</f>
        <v/>
      </c>
      <c r="AB37" s="224" t="str">
        <f t="shared" si="2"/>
        <v/>
      </c>
      <c r="AC37" s="225" t="str">
        <f t="shared" si="3"/>
        <v/>
      </c>
      <c r="AD37" s="224" t="str">
        <f t="shared" si="4"/>
        <v/>
      </c>
      <c r="AE37" s="225" t="str">
        <f>IFERROR(IF(AND(T36="Impacto",T37="Impacto"),(AE36-(+AE36*W37)),IF(AND(T36="Probabilidad",T37="Impacto"),(AE35-(+AE35*W37)),IF(T37="Probabilidad",AE36,""))),"")</f>
        <v/>
      </c>
      <c r="AF37" s="226" t="str">
        <f t="shared" si="5"/>
        <v/>
      </c>
      <c r="AG37" s="227" t="s">
        <v>131</v>
      </c>
      <c r="AH37" s="104"/>
      <c r="AI37" s="230"/>
      <c r="AJ37" s="228"/>
      <c r="AK37" s="229"/>
      <c r="AL37" s="104"/>
      <c r="AM37" s="230"/>
      <c r="AN37" s="284" t="s">
        <v>470</v>
      </c>
      <c r="AO37" s="285"/>
      <c r="AP37" s="284" t="s">
        <v>470</v>
      </c>
      <c r="AQ37" s="285"/>
      <c r="AR37" s="284" t="s">
        <v>470</v>
      </c>
      <c r="AS37" s="285"/>
      <c r="AT37" s="284" t="s">
        <v>470</v>
      </c>
      <c r="AU37" s="285"/>
      <c r="AV37" s="284" t="s">
        <v>470</v>
      </c>
      <c r="AW37" s="285"/>
      <c r="AX37" s="386"/>
      <c r="AY37" s="285"/>
      <c r="AZ37" s="231"/>
      <c r="BA37" s="231"/>
      <c r="BB37" s="231"/>
      <c r="BC37" s="231"/>
      <c r="BD37" s="231"/>
      <c r="BE37" s="231"/>
      <c r="BF37" s="231"/>
      <c r="BG37" s="231"/>
      <c r="BH37" s="231"/>
      <c r="BI37" s="231"/>
      <c r="BJ37" s="231"/>
      <c r="BK37" s="231"/>
      <c r="BL37" s="231"/>
      <c r="BM37" s="231"/>
      <c r="BN37" s="231"/>
      <c r="BO37" s="231"/>
      <c r="BP37" s="231"/>
      <c r="BQ37" s="231"/>
      <c r="BR37" s="231"/>
      <c r="BS37" s="231"/>
      <c r="BT37" s="231"/>
    </row>
    <row r="38" spans="1:72" s="232" customFormat="1" ht="17.25" hidden="1" customHeight="1" x14ac:dyDescent="0.3">
      <c r="A38" s="251"/>
      <c r="B38" s="586"/>
      <c r="C38" s="586"/>
      <c r="D38" s="724"/>
      <c r="E38" s="233"/>
      <c r="F38" s="645"/>
      <c r="G38" s="564"/>
      <c r="H38" s="234"/>
      <c r="I38" s="685"/>
      <c r="J38" s="271"/>
      <c r="K38" s="272"/>
      <c r="L38" s="273"/>
      <c r="M38" s="274"/>
      <c r="N38" s="607">
        <f>IF(NOT(ISERROR(MATCH(M38,_xlfn.ANCHORARRAY(F49),0))),L51&amp;"Por favor no seleccionar los criterios de impacto",M38)</f>
        <v>0</v>
      </c>
      <c r="O38" s="272"/>
      <c r="P38" s="273"/>
      <c r="Q38" s="275"/>
      <c r="R38" s="219">
        <v>6</v>
      </c>
      <c r="S38" s="104"/>
      <c r="T38" s="220" t="str">
        <f t="shared" si="0"/>
        <v/>
      </c>
      <c r="U38" s="221"/>
      <c r="V38" s="221"/>
      <c r="W38" s="222" t="str">
        <f t="shared" si="1"/>
        <v/>
      </c>
      <c r="X38" s="221"/>
      <c r="Y38" s="221"/>
      <c r="Z38" s="221"/>
      <c r="AA38" s="223" t="str">
        <f>IFERROR(IF(AND(T37="Probabilidad",T38="Probabilidad"),(AC37-(+AC37*W38)),IF(AND(T37="Impacto",T38="Probabilidad"),(AC36-(+AC36*W38)),IF(T38="Impacto",AC37,""))),"")</f>
        <v/>
      </c>
      <c r="AB38" s="224" t="str">
        <f t="shared" si="2"/>
        <v/>
      </c>
      <c r="AC38" s="225" t="str">
        <f t="shared" si="3"/>
        <v/>
      </c>
      <c r="AD38" s="224" t="str">
        <f t="shared" si="4"/>
        <v/>
      </c>
      <c r="AE38" s="225" t="str">
        <f>IFERROR(IF(AND(T37="Impacto",T38="Impacto"),(AE37-(+AE37*W38)),IF(AND(T37="Probabilidad",T38="Impacto"),(AE36-(+AE36*W38)),IF(T38="Probabilidad",AE37,""))),"")</f>
        <v/>
      </c>
      <c r="AF38" s="226" t="str">
        <f t="shared" si="5"/>
        <v/>
      </c>
      <c r="AG38" s="227" t="s">
        <v>131</v>
      </c>
      <c r="AH38" s="104"/>
      <c r="AI38" s="230"/>
      <c r="AJ38" s="228"/>
      <c r="AK38" s="229"/>
      <c r="AL38" s="104"/>
      <c r="AM38" s="230"/>
      <c r="AN38" s="284" t="s">
        <v>470</v>
      </c>
      <c r="AO38" s="285"/>
      <c r="AP38" s="284" t="s">
        <v>470</v>
      </c>
      <c r="AQ38" s="285"/>
      <c r="AR38" s="284" t="s">
        <v>470</v>
      </c>
      <c r="AS38" s="285"/>
      <c r="AT38" s="284" t="s">
        <v>470</v>
      </c>
      <c r="AU38" s="285"/>
      <c r="AV38" s="284" t="s">
        <v>470</v>
      </c>
      <c r="AW38" s="285"/>
      <c r="AX38" s="386"/>
      <c r="AY38" s="285"/>
      <c r="AZ38" s="231"/>
      <c r="BA38" s="231"/>
      <c r="BB38" s="231"/>
      <c r="BC38" s="231"/>
      <c r="BD38" s="231"/>
      <c r="BE38" s="231"/>
      <c r="BF38" s="231"/>
      <c r="BG38" s="231"/>
      <c r="BH38" s="231"/>
      <c r="BI38" s="231"/>
      <c r="BJ38" s="231"/>
      <c r="BK38" s="231"/>
      <c r="BL38" s="231"/>
      <c r="BM38" s="231"/>
      <c r="BN38" s="231"/>
      <c r="BO38" s="231"/>
      <c r="BP38" s="231"/>
      <c r="BQ38" s="231"/>
      <c r="BR38" s="231"/>
      <c r="BS38" s="231"/>
      <c r="BT38" s="231"/>
    </row>
    <row r="39" spans="1:72" s="232" customFormat="1" ht="200.25" customHeight="1" thickBot="1" x14ac:dyDescent="0.35">
      <c r="A39" s="698">
        <v>7</v>
      </c>
      <c r="B39" s="710" t="s">
        <v>129</v>
      </c>
      <c r="C39" s="713" t="s">
        <v>399</v>
      </c>
      <c r="D39" s="716" t="s">
        <v>400</v>
      </c>
      <c r="E39" s="326" t="str">
        <f>'Priorizacion de Causas'!B34</f>
        <v>Inadecuada deducción de impuestos, tasas o contribuciones al contratista</v>
      </c>
      <c r="F39" s="719" t="s">
        <v>403</v>
      </c>
      <c r="G39" s="565" t="s">
        <v>402</v>
      </c>
      <c r="H39" s="325" t="s">
        <v>431</v>
      </c>
      <c r="I39" s="720" t="s">
        <v>118</v>
      </c>
      <c r="J39" s="686">
        <v>6000</v>
      </c>
      <c r="K39" s="680" t="str">
        <f>IF(J39&lt;=0,"",IF(J39&lt;=2,"Muy Baja",IF(J39&lt;=24,"Baja",IF(J39&lt;=500,"Media",IF(J39&lt;=5000,"Alta","Muy Alta")))))</f>
        <v>Muy Alta</v>
      </c>
      <c r="L39" s="689">
        <f>IF(K39="","",IF(K39="Muy Baja",0.2,IF(K39="Baja",0.4,IF(K39="Media",0.6,IF(K39="Alta",0.8,IF(K39="Muy Alta",1,))))))</f>
        <v>1</v>
      </c>
      <c r="M39" s="725" t="s">
        <v>214</v>
      </c>
      <c r="N39" s="677" t="str">
        <f>IF(NOT(ISERROR(MATCH(M39,'Tabla Impacto'!$B$221:$B$223,0))),'Tabla Impacto'!$F$223&amp;"Por favor no seleccionar los criterios de impacto(Afectación Económica o presupuestal y Pérdida Reputacional)",M39)</f>
        <v xml:space="preserve">     Entre 5000 y 10000 SMLMV</v>
      </c>
      <c r="O39" s="680" t="str">
        <f>IF(OR(N39='Tabla Impacto'!$C$11,N39='Tabla Impacto'!$D$11),"Leve",IF(OR(N39='Tabla Impacto'!$C$12,N39='Tabla Impacto'!$D$12),"Menor",IF(OR(N39='Tabla Impacto'!$C$13,N39='Tabla Impacto'!$D$13),"Moderado",IF(OR(N39='Tabla Impacto'!$C$14,N39='Tabla Impacto'!$D$14),"Mayor",IF(OR(N39='Tabla Impacto'!$C$15,N39='Tabla Impacto'!$D$15),"Catastrófico","")))))</f>
        <v>Mayor</v>
      </c>
      <c r="P39" s="689">
        <f>IF(O39="","",IF(O39="Leve",0.2,IF(O39="Menor",0.4,IF(O39="Moderado",0.6,IF(O39="Mayor",0.8,IF(O39="Catastrófico",1,))))))</f>
        <v>0.8</v>
      </c>
      <c r="Q39" s="704" t="str">
        <f>IF(OR(AND(K39="Muy Baja",O39="Leve"),AND(K39="Muy Baja",O39="Menor"),AND(K39="Baja",O39="Leve")),"Bajo",IF(OR(AND(K39="Muy baja",O39="Moderado"),AND(K39="Baja",O39="Menor"),AND(K39="Baja",O39="Moderado"),AND(K39="Media",O39="Leve"),AND(K39="Media",O39="Menor"),AND(K39="Media",O39="Moderado"),AND(K39="Alta",O39="Leve"),AND(K39="Alta",O39="Menor")),"Moderado",IF(OR(AND(K39="Muy Baja",O39="Mayor"),AND(K39="Baja",O39="Mayor"),AND(K39="Media",O39="Mayor"),AND(K39="Alta",O39="Moderado"),AND(K39="Alta",O39="Mayor"),AND(K39="Muy Alta",O39="Leve"),AND(K39="Muy Alta",O39="Menor"),AND(K39="Muy Alta",O39="Moderado"),AND(K39="Muy Alta",O39="Mayor")),"Alto",IF(OR(AND(K39="Muy Baja",O39="Catastrófico"),AND(K39="Baja",O39="Catastrófico"),AND(K39="Media",O39="Catastrófico"),AND(K39="Alta",O39="Catastrófico"),AND(K39="Muy Alta",O39="Catastrófico")),"Extremo",""))))</f>
        <v>Alto</v>
      </c>
      <c r="R39" s="324">
        <v>1</v>
      </c>
      <c r="S39" s="298" t="str">
        <f>DOFA!E45</f>
        <v>El técnico, los profesionales y el Grupo de Apoyo cada vez que llegue al correo documentos y órdenes de pago para tramite revisaran y compararan que los documentos que se requieren para la generación de una Orden de Pago de Prestación de Servicios Profesionales y de Apoyo a la Gestión y los soportes que acompañan la Orden de Pago de Otras Tipologías Contractuales son los requeridos y definidos como anexos en las condiciones generales y verificaran que los cálculos de las deducciones correspondan a los conceptos del hecho económico a pagar, bases gravables y tarifas estipuladas por la normatividad que les dio origen y que se encuentre vigente.
 dejando como evidencia Correos Institucionales para manejo de documentos de órdenes de pago
PROCEDIMIENTO: ÓRDENES DE PAGO Código: PRO-GHP-008</v>
      </c>
      <c r="T39" s="299" t="str">
        <f t="shared" si="0"/>
        <v>Probabilidad</v>
      </c>
      <c r="U39" s="300" t="s">
        <v>14</v>
      </c>
      <c r="V39" s="300" t="s">
        <v>9</v>
      </c>
      <c r="W39" s="301" t="str">
        <f t="shared" si="1"/>
        <v>40%</v>
      </c>
      <c r="X39" s="300" t="s">
        <v>19</v>
      </c>
      <c r="Y39" s="300" t="s">
        <v>22</v>
      </c>
      <c r="Z39" s="300" t="s">
        <v>114</v>
      </c>
      <c r="AA39" s="302">
        <f>IFERROR(IF(T39="Probabilidad",(L39-(+L39*W39)),IF(T39="Impacto",L39,"")),"")</f>
        <v>0.6</v>
      </c>
      <c r="AB39" s="224" t="str">
        <f t="shared" si="2"/>
        <v>Media</v>
      </c>
      <c r="AC39" s="303">
        <f t="shared" si="3"/>
        <v>0.6</v>
      </c>
      <c r="AD39" s="224" t="str">
        <f t="shared" si="4"/>
        <v>Mayor</v>
      </c>
      <c r="AE39" s="303">
        <f>IFERROR(IF(T39="Impacto",(P39-(+P39*W39)),IF(T39="Probabilidad",P39,"")),"")</f>
        <v>0.8</v>
      </c>
      <c r="AF39" s="226" t="str">
        <f t="shared" si="5"/>
        <v>Alto</v>
      </c>
      <c r="AG39" s="304" t="s">
        <v>131</v>
      </c>
      <c r="AH39" s="298" t="s">
        <v>415</v>
      </c>
      <c r="AI39" s="323" t="s">
        <v>409</v>
      </c>
      <c r="AJ39" s="305">
        <v>45597</v>
      </c>
      <c r="AK39" s="306"/>
      <c r="AL39" s="298"/>
      <c r="AM39" s="323" t="s">
        <v>41</v>
      </c>
      <c r="AN39" s="284"/>
      <c r="AO39" s="285">
        <v>7</v>
      </c>
      <c r="AP39" s="284"/>
      <c r="AQ39" s="285">
        <v>7</v>
      </c>
      <c r="AR39" s="284"/>
      <c r="AS39" s="285">
        <v>7</v>
      </c>
      <c r="AT39" s="284"/>
      <c r="AU39" s="285"/>
      <c r="AV39" s="284"/>
      <c r="AW39" s="285">
        <v>7</v>
      </c>
      <c r="AX39" s="386" t="s">
        <v>475</v>
      </c>
      <c r="AY39" s="285">
        <v>7</v>
      </c>
      <c r="AZ39" s="231"/>
      <c r="BA39" s="231"/>
      <c r="BB39" s="231"/>
      <c r="BC39" s="231"/>
      <c r="BD39" s="231"/>
      <c r="BE39" s="231"/>
      <c r="BF39" s="231"/>
      <c r="BG39" s="231"/>
      <c r="BH39" s="231"/>
      <c r="BI39" s="231"/>
      <c r="BJ39" s="231"/>
      <c r="BK39" s="231"/>
      <c r="BL39" s="231"/>
      <c r="BM39" s="231"/>
      <c r="BN39" s="231"/>
      <c r="BO39" s="231"/>
      <c r="BP39" s="231"/>
      <c r="BQ39" s="231"/>
      <c r="BR39" s="231"/>
      <c r="BS39" s="231"/>
      <c r="BT39" s="231"/>
    </row>
    <row r="40" spans="1:72" ht="26.25" hidden="1" customHeight="1" x14ac:dyDescent="0.25">
      <c r="A40" s="699"/>
      <c r="B40" s="711"/>
      <c r="C40" s="714"/>
      <c r="D40" s="717"/>
      <c r="E40" s="206"/>
      <c r="F40" s="719"/>
      <c r="G40" s="566"/>
      <c r="H40" s="131"/>
      <c r="I40" s="721"/>
      <c r="J40" s="687"/>
      <c r="K40" s="681"/>
      <c r="L40" s="690"/>
      <c r="M40" s="726"/>
      <c r="N40" s="678">
        <f>IF(NOT(ISERROR(MATCH(M40,_xlfn.ANCHORARRAY(F51),0))),L53&amp;"Por favor no seleccionar los criterios de impacto",M40)</f>
        <v>0</v>
      </c>
      <c r="O40" s="681"/>
      <c r="P40" s="690"/>
      <c r="Q40" s="705"/>
      <c r="R40" s="103">
        <v>2</v>
      </c>
      <c r="S40" s="104"/>
      <c r="T40" s="105" t="str">
        <f t="shared" si="0"/>
        <v/>
      </c>
      <c r="U40" s="111"/>
      <c r="V40" s="111"/>
      <c r="W40" s="112" t="str">
        <f t="shared" si="1"/>
        <v/>
      </c>
      <c r="X40" s="111"/>
      <c r="Y40" s="111"/>
      <c r="Z40" s="111"/>
      <c r="AA40" s="106" t="str">
        <f>IFERROR(IF(AND(T39="Probabilidad",T40="Probabilidad"),(AC39-(+AC39*W40)),IF(AND(T39="Impacto",T40="Probabilidad"),(L39-(+L39*W40)),IF(T40="Impacto",AC39,""))),"")</f>
        <v/>
      </c>
      <c r="AB40" s="113" t="str">
        <f t="shared" si="2"/>
        <v/>
      </c>
      <c r="AC40" s="114" t="str">
        <f t="shared" si="3"/>
        <v/>
      </c>
      <c r="AD40" s="113" t="str">
        <f t="shared" si="4"/>
        <v/>
      </c>
      <c r="AE40" s="114" t="str">
        <f>IFERROR(IF(AND(T39="Impacto",T40="Impacto"),(AE39-(+AE39*W40)),IF(AND(T39="Probabilidad",T40="Impacto"),(P39-(+P39*W40)),IF(T40="Probabilidad",AE39,""))),"")</f>
        <v/>
      </c>
      <c r="AF40" s="115" t="str">
        <f t="shared" si="5"/>
        <v/>
      </c>
      <c r="AG40" s="116"/>
      <c r="AH40" s="107"/>
      <c r="AI40" s="108"/>
      <c r="AJ40" s="217"/>
      <c r="AK40" s="109"/>
      <c r="AL40" s="107"/>
      <c r="AM40" s="108"/>
      <c r="AN40" s="7"/>
      <c r="AO40" s="7"/>
      <c r="AP40" s="7"/>
      <c r="AQ40" s="7"/>
      <c r="AR40" s="7"/>
      <c r="AS40" s="7"/>
      <c r="AT40" s="7"/>
      <c r="AU40" s="7"/>
      <c r="AV40" s="7"/>
      <c r="AW40" s="7"/>
      <c r="AX40" s="378"/>
      <c r="AY40" s="7"/>
      <c r="AZ40" s="7"/>
      <c r="BA40" s="7"/>
      <c r="BB40" s="7"/>
      <c r="BC40" s="7"/>
      <c r="BD40" s="7"/>
      <c r="BE40" s="7"/>
      <c r="BF40" s="7"/>
      <c r="BG40" s="7"/>
      <c r="BH40" s="7"/>
      <c r="BI40" s="7"/>
      <c r="BJ40" s="7"/>
      <c r="BK40" s="7"/>
      <c r="BL40" s="7"/>
      <c r="BM40" s="7"/>
      <c r="BN40" s="7"/>
      <c r="BO40" s="7"/>
      <c r="BP40" s="7"/>
      <c r="BQ40" s="7"/>
      <c r="BR40" s="7"/>
      <c r="BS40" s="7"/>
      <c r="BT40" s="7"/>
    </row>
    <row r="41" spans="1:72" ht="26.25" hidden="1" customHeight="1" x14ac:dyDescent="0.25">
      <c r="A41" s="699"/>
      <c r="B41" s="711"/>
      <c r="C41" s="714"/>
      <c r="D41" s="717"/>
      <c r="E41" s="206"/>
      <c r="F41" s="719"/>
      <c r="G41" s="566"/>
      <c r="H41" s="131"/>
      <c r="I41" s="721"/>
      <c r="J41" s="687"/>
      <c r="K41" s="681"/>
      <c r="L41" s="690"/>
      <c r="M41" s="726"/>
      <c r="N41" s="678">
        <f>IF(NOT(ISERROR(MATCH(M41,_xlfn.ANCHORARRAY(F52),0))),L54&amp;"Por favor no seleccionar los criterios de impacto",M41)</f>
        <v>0</v>
      </c>
      <c r="O41" s="681"/>
      <c r="P41" s="690"/>
      <c r="Q41" s="705"/>
      <c r="R41" s="103">
        <v>3</v>
      </c>
      <c r="S41" s="110"/>
      <c r="T41" s="105" t="str">
        <f t="shared" ref="T41:T68" si="6">IF(OR(U41="Preventivo",U41="Detectivo"),"Probabilidad",IF(U41="Correctivo","Impacto",""))</f>
        <v/>
      </c>
      <c r="U41" s="111"/>
      <c r="V41" s="111"/>
      <c r="W41" s="112" t="str">
        <f t="shared" ref="W41:W68" si="7">IF(AND(U41="Preventivo",V41="Automático"),"50%",IF(AND(U41="Preventivo",V41="Manual"),"40%",IF(AND(U41="Detectivo",V41="Automático"),"40%",IF(AND(U41="Detectivo",V41="Manual"),"30%",IF(AND(U41="Correctivo",V41="Automático"),"35%",IF(AND(U41="Correctivo",V41="Manual"),"25%",""))))))</f>
        <v/>
      </c>
      <c r="X41" s="111"/>
      <c r="Y41" s="111"/>
      <c r="Z41" s="111"/>
      <c r="AA41" s="106" t="str">
        <f>IFERROR(IF(AND(T40="Probabilidad",T41="Probabilidad"),(AC40-(+AC40*W41)),IF(AND(T40="Impacto",T41="Probabilidad"),(AC39-(+AC39*W41)),IF(T41="Impacto",AC40,""))),"")</f>
        <v/>
      </c>
      <c r="AB41" s="113" t="str">
        <f t="shared" ref="AB41:AB68" si="8">IFERROR(IF(AA41="","",IF(AA41&lt;=0.2,"Muy Baja",IF(AA41&lt;=0.4,"Baja",IF(AA41&lt;=0.6,"Media",IF(AA41&lt;=0.8,"Alta","Muy Alta"))))),"")</f>
        <v/>
      </c>
      <c r="AC41" s="114" t="str">
        <f t="shared" ref="AC41:AC68" si="9">+AA41</f>
        <v/>
      </c>
      <c r="AD41" s="113" t="str">
        <f t="shared" ref="AD41:AD68" si="10">IFERROR(IF(AE41="","",IF(AE41&lt;=0.2,"Leve",IF(AE41&lt;=0.4,"Menor",IF(AE41&lt;=0.6,"Moderado",IF(AE41&lt;=0.8,"Mayor","Catastrófico"))))),"")</f>
        <v/>
      </c>
      <c r="AE41" s="114" t="str">
        <f>IFERROR(IF(AND(T40="Impacto",T41="Impacto"),(AE40-(+AE40*W41)),IF(AND(T40="Probabilidad",T41="Impacto"),(AE39-(+AE39*W41)),IF(T41="Probabilidad",AE40,""))),"")</f>
        <v/>
      </c>
      <c r="AF41" s="115" t="str">
        <f t="shared" ref="AF41:AF68" si="11">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16"/>
      <c r="AH41" s="107"/>
      <c r="AI41" s="108"/>
      <c r="AJ41" s="217"/>
      <c r="AK41" s="109"/>
      <c r="AL41" s="107"/>
      <c r="AM41" s="108"/>
      <c r="AN41" s="7"/>
      <c r="AO41" s="7"/>
      <c r="AP41" s="7"/>
      <c r="AQ41" s="7"/>
      <c r="AR41" s="7"/>
      <c r="AS41" s="7"/>
      <c r="AT41" s="7"/>
      <c r="AU41" s="7"/>
      <c r="AV41" s="7"/>
      <c r="AW41" s="7"/>
      <c r="AX41" s="378"/>
      <c r="AY41" s="7"/>
      <c r="AZ41" s="7"/>
      <c r="BA41" s="7"/>
      <c r="BB41" s="7"/>
      <c r="BC41" s="7"/>
      <c r="BD41" s="7"/>
      <c r="BE41" s="7"/>
      <c r="BF41" s="7"/>
      <c r="BG41" s="7"/>
      <c r="BH41" s="7"/>
      <c r="BI41" s="7"/>
      <c r="BJ41" s="7"/>
      <c r="BK41" s="7"/>
      <c r="BL41" s="7"/>
      <c r="BM41" s="7"/>
      <c r="BN41" s="7"/>
      <c r="BO41" s="7"/>
      <c r="BP41" s="7"/>
      <c r="BQ41" s="7"/>
      <c r="BR41" s="7"/>
      <c r="BS41" s="7"/>
      <c r="BT41" s="7"/>
    </row>
    <row r="42" spans="1:72" ht="26.25" hidden="1" customHeight="1" x14ac:dyDescent="0.25">
      <c r="A42" s="699"/>
      <c r="B42" s="711"/>
      <c r="C42" s="714"/>
      <c r="D42" s="717"/>
      <c r="E42" s="206"/>
      <c r="F42" s="719"/>
      <c r="G42" s="566"/>
      <c r="H42" s="131"/>
      <c r="I42" s="721"/>
      <c r="J42" s="687"/>
      <c r="K42" s="681"/>
      <c r="L42" s="690"/>
      <c r="M42" s="726"/>
      <c r="N42" s="678">
        <f>IF(NOT(ISERROR(MATCH(M42,_xlfn.ANCHORARRAY(F53),0))),L55&amp;"Por favor no seleccionar los criterios de impacto",M42)</f>
        <v>0</v>
      </c>
      <c r="O42" s="681"/>
      <c r="P42" s="690"/>
      <c r="Q42" s="705"/>
      <c r="R42" s="103">
        <v>4</v>
      </c>
      <c r="S42" s="104"/>
      <c r="T42" s="105" t="str">
        <f t="shared" si="6"/>
        <v/>
      </c>
      <c r="U42" s="111"/>
      <c r="V42" s="111"/>
      <c r="W42" s="112" t="str">
        <f t="shared" si="7"/>
        <v/>
      </c>
      <c r="X42" s="111"/>
      <c r="Y42" s="111"/>
      <c r="Z42" s="111"/>
      <c r="AA42" s="106" t="str">
        <f>IFERROR(IF(AND(T41="Probabilidad",T42="Probabilidad"),(AC41-(+AC41*W42)),IF(AND(T41="Impacto",T42="Probabilidad"),(AC40-(+AC40*W42)),IF(T42="Impacto",AC41,""))),"")</f>
        <v/>
      </c>
      <c r="AB42" s="113" t="str">
        <f t="shared" si="8"/>
        <v/>
      </c>
      <c r="AC42" s="114" t="str">
        <f t="shared" si="9"/>
        <v/>
      </c>
      <c r="AD42" s="113" t="str">
        <f t="shared" si="10"/>
        <v/>
      </c>
      <c r="AE42" s="114" t="str">
        <f>IFERROR(IF(AND(T41="Impacto",T42="Impacto"),(AE41-(+AE41*W42)),IF(AND(T41="Probabilidad",T42="Impacto"),(AE40-(+AE40*W42)),IF(T42="Probabilidad",AE41,""))),"")</f>
        <v/>
      </c>
      <c r="AF42" s="115" t="str">
        <f t="shared" si="11"/>
        <v/>
      </c>
      <c r="AG42" s="116"/>
      <c r="AH42" s="107"/>
      <c r="AI42" s="108"/>
      <c r="AJ42" s="217"/>
      <c r="AK42" s="109"/>
      <c r="AL42" s="107"/>
      <c r="AM42" s="108"/>
      <c r="AN42" s="7"/>
      <c r="AO42" s="7"/>
      <c r="AP42" s="7"/>
      <c r="AQ42" s="7"/>
      <c r="AR42" s="7"/>
      <c r="AS42" s="7"/>
      <c r="AT42" s="7"/>
      <c r="AU42" s="7"/>
      <c r="AV42" s="7"/>
      <c r="AW42" s="7"/>
      <c r="AX42" s="378"/>
      <c r="AY42" s="7"/>
      <c r="AZ42" s="7"/>
      <c r="BA42" s="7"/>
      <c r="BB42" s="7"/>
      <c r="BC42" s="7"/>
      <c r="BD42" s="7"/>
      <c r="BE42" s="7"/>
      <c r="BF42" s="7"/>
      <c r="BG42" s="7"/>
      <c r="BH42" s="7"/>
      <c r="BI42" s="7"/>
      <c r="BJ42" s="7"/>
      <c r="BK42" s="7"/>
      <c r="BL42" s="7"/>
      <c r="BM42" s="7"/>
      <c r="BN42" s="7"/>
      <c r="BO42" s="7"/>
      <c r="BP42" s="7"/>
      <c r="BQ42" s="7"/>
      <c r="BR42" s="7"/>
      <c r="BS42" s="7"/>
      <c r="BT42" s="7"/>
    </row>
    <row r="43" spans="1:72" ht="26.25" hidden="1" customHeight="1" x14ac:dyDescent="0.25">
      <c r="A43" s="699"/>
      <c r="B43" s="711"/>
      <c r="C43" s="714"/>
      <c r="D43" s="717"/>
      <c r="E43" s="206"/>
      <c r="F43" s="719"/>
      <c r="G43" s="566"/>
      <c r="H43" s="131"/>
      <c r="I43" s="721"/>
      <c r="J43" s="687"/>
      <c r="K43" s="681"/>
      <c r="L43" s="690"/>
      <c r="M43" s="726"/>
      <c r="N43" s="678">
        <f>IF(NOT(ISERROR(MATCH(M43,_xlfn.ANCHORARRAY(F54),0))),L56&amp;"Por favor no seleccionar los criterios de impacto",M43)</f>
        <v>0</v>
      </c>
      <c r="O43" s="681"/>
      <c r="P43" s="690"/>
      <c r="Q43" s="705"/>
      <c r="R43" s="103">
        <v>5</v>
      </c>
      <c r="S43" s="104"/>
      <c r="T43" s="105" t="str">
        <f t="shared" si="6"/>
        <v/>
      </c>
      <c r="U43" s="111"/>
      <c r="V43" s="111"/>
      <c r="W43" s="112" t="str">
        <f t="shared" si="7"/>
        <v/>
      </c>
      <c r="X43" s="111"/>
      <c r="Y43" s="111"/>
      <c r="Z43" s="111"/>
      <c r="AA43" s="106" t="str">
        <f>IFERROR(IF(AND(T42="Probabilidad",T43="Probabilidad"),(AC42-(+AC42*W43)),IF(AND(T42="Impacto",T43="Probabilidad"),(AC41-(+AC41*W43)),IF(T43="Impacto",AC42,""))),"")</f>
        <v/>
      </c>
      <c r="AB43" s="113" t="str">
        <f t="shared" si="8"/>
        <v/>
      </c>
      <c r="AC43" s="114" t="str">
        <f t="shared" si="9"/>
        <v/>
      </c>
      <c r="AD43" s="113" t="str">
        <f t="shared" si="10"/>
        <v/>
      </c>
      <c r="AE43" s="114" t="str">
        <f>IFERROR(IF(AND(T42="Impacto",T43="Impacto"),(AE42-(+AE42*W43)),IF(AND(T42="Probabilidad",T43="Impacto"),(AE41-(+AE41*W43)),IF(T43="Probabilidad",AE42,""))),"")</f>
        <v/>
      </c>
      <c r="AF43" s="115" t="str">
        <f t="shared" si="11"/>
        <v/>
      </c>
      <c r="AG43" s="116"/>
      <c r="AH43" s="107"/>
      <c r="AI43" s="108"/>
      <c r="AJ43" s="217"/>
      <c r="AK43" s="109"/>
      <c r="AL43" s="107"/>
      <c r="AM43" s="108"/>
      <c r="AN43" s="7"/>
      <c r="AO43" s="7"/>
      <c r="AP43" s="7"/>
      <c r="AQ43" s="7"/>
      <c r="AR43" s="7"/>
      <c r="AS43" s="7"/>
      <c r="AT43" s="7"/>
      <c r="AU43" s="7"/>
      <c r="AV43" s="7"/>
      <c r="AW43" s="7"/>
      <c r="AX43" s="378"/>
      <c r="AY43" s="7"/>
      <c r="AZ43" s="7"/>
      <c r="BA43" s="7"/>
      <c r="BB43" s="7"/>
      <c r="BC43" s="7"/>
      <c r="BD43" s="7"/>
      <c r="BE43" s="7"/>
      <c r="BF43" s="7"/>
      <c r="BG43" s="7"/>
      <c r="BH43" s="7"/>
      <c r="BI43" s="7"/>
      <c r="BJ43" s="7"/>
      <c r="BK43" s="7"/>
      <c r="BL43" s="7"/>
      <c r="BM43" s="7"/>
      <c r="BN43" s="7"/>
      <c r="BO43" s="7"/>
      <c r="BP43" s="7"/>
      <c r="BQ43" s="7"/>
      <c r="BR43" s="7"/>
      <c r="BS43" s="7"/>
      <c r="BT43" s="7"/>
    </row>
    <row r="44" spans="1:72" ht="47.25" hidden="1" customHeight="1" x14ac:dyDescent="0.25">
      <c r="A44" s="700"/>
      <c r="B44" s="712"/>
      <c r="C44" s="715"/>
      <c r="D44" s="718"/>
      <c r="E44" s="206"/>
      <c r="F44" s="719"/>
      <c r="G44" s="567"/>
      <c r="H44" s="131"/>
      <c r="I44" s="722"/>
      <c r="J44" s="688"/>
      <c r="K44" s="682"/>
      <c r="L44" s="691"/>
      <c r="M44" s="727"/>
      <c r="N44" s="679">
        <f>IF(NOT(ISERROR(MATCH(M44,_xlfn.ANCHORARRAY(F55),0))),L57&amp;"Por favor no seleccionar los criterios de impacto",M44)</f>
        <v>0</v>
      </c>
      <c r="O44" s="682"/>
      <c r="P44" s="691"/>
      <c r="Q44" s="706"/>
      <c r="R44" s="103">
        <v>6</v>
      </c>
      <c r="S44" s="104"/>
      <c r="T44" s="105" t="str">
        <f t="shared" si="6"/>
        <v/>
      </c>
      <c r="U44" s="111"/>
      <c r="V44" s="111"/>
      <c r="W44" s="112" t="str">
        <f t="shared" si="7"/>
        <v/>
      </c>
      <c r="X44" s="111"/>
      <c r="Y44" s="111"/>
      <c r="Z44" s="111"/>
      <c r="AA44" s="106" t="str">
        <f>IFERROR(IF(AND(T43="Probabilidad",T44="Probabilidad"),(AC43-(+AC43*W44)),IF(AND(T43="Impacto",T44="Probabilidad"),(AC42-(+AC42*W44)),IF(T44="Impacto",AC43,""))),"")</f>
        <v/>
      </c>
      <c r="AB44" s="113" t="str">
        <f t="shared" si="8"/>
        <v/>
      </c>
      <c r="AC44" s="114" t="str">
        <f t="shared" si="9"/>
        <v/>
      </c>
      <c r="AD44" s="113" t="str">
        <f t="shared" si="10"/>
        <v/>
      </c>
      <c r="AE44" s="114" t="str">
        <f>IFERROR(IF(AND(T43="Impacto",T44="Impacto"),(AE43-(+AE43*W44)),IF(AND(T43="Probabilidad",T44="Impacto"),(AE42-(+AE42*W44)),IF(T44="Probabilidad",AE43,""))),"")</f>
        <v/>
      </c>
      <c r="AF44" s="115" t="str">
        <f t="shared" si="11"/>
        <v/>
      </c>
      <c r="AG44" s="116"/>
      <c r="AH44" s="107"/>
      <c r="AI44" s="108"/>
      <c r="AJ44" s="217"/>
      <c r="AK44" s="109"/>
      <c r="AL44" s="107"/>
      <c r="AM44" s="108"/>
      <c r="AN44" s="7"/>
      <c r="AO44" s="7"/>
      <c r="AP44" s="7"/>
      <c r="AQ44" s="7"/>
      <c r="AR44" s="7"/>
      <c r="AS44" s="7"/>
      <c r="AT44" s="7"/>
      <c r="AU44" s="7"/>
      <c r="AV44" s="7"/>
      <c r="AW44" s="7"/>
      <c r="AX44" s="378"/>
      <c r="AY44" s="7"/>
      <c r="AZ44" s="7"/>
      <c r="BA44" s="7"/>
      <c r="BB44" s="7"/>
      <c r="BC44" s="7"/>
      <c r="BD44" s="7"/>
      <c r="BE44" s="7"/>
      <c r="BF44" s="7"/>
      <c r="BG44" s="7"/>
      <c r="BH44" s="7"/>
      <c r="BI44" s="7"/>
      <c r="BJ44" s="7"/>
      <c r="BK44" s="7"/>
      <c r="BL44" s="7"/>
      <c r="BM44" s="7"/>
      <c r="BN44" s="7"/>
      <c r="BO44" s="7"/>
      <c r="BP44" s="7"/>
      <c r="BQ44" s="7"/>
      <c r="BR44" s="7"/>
      <c r="BS44" s="7"/>
      <c r="BT44" s="7"/>
    </row>
    <row r="45" spans="1:72" ht="26.25" hidden="1" customHeight="1" x14ac:dyDescent="0.25">
      <c r="A45" s="698">
        <v>7</v>
      </c>
      <c r="B45" s="701"/>
      <c r="C45" s="692"/>
      <c r="D45" s="692"/>
      <c r="E45" s="210"/>
      <c r="F45" s="696"/>
      <c r="G45" s="568"/>
      <c r="H45" s="118"/>
      <c r="I45" s="701"/>
      <c r="J45" s="728"/>
      <c r="K45" s="680" t="str">
        <f>IF(J45&lt;=0,"",IF(J45&lt;=2,"Muy Baja",IF(J45&lt;=24,"Baja",IF(J45&lt;=500,"Media",IF(J45&lt;=5000,"Alta","Muy Alta")))))</f>
        <v/>
      </c>
      <c r="L45" s="677" t="str">
        <f>IF(K45="","",IF(K45="Muy Baja",0.2,IF(K45="Baja",0.4,IF(K45="Media",0.6,IF(K45="Alta",0.8,IF(K45="Muy Alta",1,))))))</f>
        <v/>
      </c>
      <c r="M45" s="707"/>
      <c r="N45" s="677">
        <f>IF(NOT(ISERROR(MATCH(M45,'Tabla Impacto'!$B$221:$B$223,0))),'Tabla Impacto'!$F$223&amp;"Por favor no seleccionar los criterios de impacto(Afectación Económica o presupuestal y Pérdida Reputacional)",M45)</f>
        <v>0</v>
      </c>
      <c r="O45" s="680" t="str">
        <f>IF(OR(N45='Tabla Impacto'!$C$11,N45='Tabla Impacto'!$D$11),"Leve",IF(OR(N45='Tabla Impacto'!$C$12,N45='Tabla Impacto'!$D$12),"Menor",IF(OR(N45='Tabla Impacto'!$C$13,N45='Tabla Impacto'!$D$13),"Moderado",IF(OR(N45='Tabla Impacto'!$C$14,N45='Tabla Impacto'!$D$14),"Mayor",IF(OR(N45='Tabla Impacto'!$C$15,N45='Tabla Impacto'!$D$15),"Catastrófico","")))))</f>
        <v/>
      </c>
      <c r="P45" s="677" t="str">
        <f>IF(O45="","",IF(O45="Leve",0.2,IF(O45="Menor",0.4,IF(O45="Moderado",0.6,IF(O45="Mayor",0.8,IF(O45="Catastrófico",1,))))))</f>
        <v/>
      </c>
      <c r="Q45" s="704" t="str">
        <f>IF(OR(AND(K45="Muy Baja",O45="Leve"),AND(K45="Muy Baja",O45="Menor"),AND(K45="Baja",O45="Leve")),"Bajo",IF(OR(AND(K45="Muy baja",O45="Moderado"),AND(K45="Baja",O45="Menor"),AND(K45="Baja",O45="Moderado"),AND(K45="Media",O45="Leve"),AND(K45="Media",O45="Menor"),AND(K45="Media",O45="Moderado"),AND(K45="Alta",O45="Leve"),AND(K45="Alta",O45="Menor")),"Moderado",IF(OR(AND(K45="Muy Baja",O45="Mayor"),AND(K45="Baja",O45="Mayor"),AND(K45="Media",O45="Mayor"),AND(K45="Alta",O45="Moderado"),AND(K45="Alta",O45="Mayor"),AND(K45="Muy Alta",O45="Leve"),AND(K45="Muy Alta",O45="Menor"),AND(K45="Muy Alta",O45="Moderado"),AND(K45="Muy Alta",O45="Mayor")),"Alto",IF(OR(AND(K45="Muy Baja",O45="Catastrófico"),AND(K45="Baja",O45="Catastrófico"),AND(K45="Media",O45="Catastrófico"),AND(K45="Alta",O45="Catastrófico"),AND(K45="Muy Alta",O45="Catastrófico")),"Extremo",""))))</f>
        <v/>
      </c>
      <c r="R45" s="103">
        <v>1</v>
      </c>
      <c r="S45" s="104">
        <f>DOFA!E46</f>
        <v>0</v>
      </c>
      <c r="T45" s="105" t="str">
        <f t="shared" si="6"/>
        <v/>
      </c>
      <c r="U45" s="111"/>
      <c r="V45" s="111"/>
      <c r="W45" s="112" t="str">
        <f t="shared" si="7"/>
        <v/>
      </c>
      <c r="X45" s="111"/>
      <c r="Y45" s="111"/>
      <c r="Z45" s="111"/>
      <c r="AA45" s="106" t="str">
        <f>IFERROR(IF(T45="Probabilidad",(L45-(+L45*W45)),IF(T45="Impacto",L45,"")),"")</f>
        <v/>
      </c>
      <c r="AB45" s="113" t="str">
        <f t="shared" si="8"/>
        <v/>
      </c>
      <c r="AC45" s="114" t="str">
        <f t="shared" si="9"/>
        <v/>
      </c>
      <c r="AD45" s="113" t="str">
        <f t="shared" si="10"/>
        <v/>
      </c>
      <c r="AE45" s="114" t="str">
        <f>IFERROR(IF(T45="Impacto",(P45-(+P45*W45)),IF(T45="Probabilidad",P45,"")),"")</f>
        <v/>
      </c>
      <c r="AF45" s="115" t="str">
        <f t="shared" si="11"/>
        <v/>
      </c>
      <c r="AG45" s="116"/>
      <c r="AH45" s="107"/>
      <c r="AI45" s="108"/>
      <c r="AJ45" s="217"/>
      <c r="AK45" s="109"/>
      <c r="AL45" s="107"/>
      <c r="AM45" s="108"/>
      <c r="AN45" s="7"/>
      <c r="AO45" s="7"/>
      <c r="AP45" s="7"/>
      <c r="AQ45" s="7"/>
      <c r="AR45" s="7"/>
      <c r="AS45" s="7"/>
      <c r="AT45" s="7"/>
      <c r="AU45" s="7"/>
      <c r="AV45" s="7"/>
      <c r="AW45" s="7"/>
      <c r="AX45" s="378"/>
      <c r="AY45" s="7"/>
      <c r="AZ45" s="7"/>
      <c r="BA45" s="7"/>
      <c r="BB45" s="7"/>
      <c r="BC45" s="7"/>
      <c r="BD45" s="7"/>
      <c r="BE45" s="7"/>
      <c r="BF45" s="7"/>
      <c r="BG45" s="7"/>
      <c r="BH45" s="7"/>
      <c r="BI45" s="7"/>
      <c r="BJ45" s="7"/>
      <c r="BK45" s="7"/>
      <c r="BL45" s="7"/>
      <c r="BM45" s="7"/>
      <c r="BN45" s="7"/>
      <c r="BO45" s="7"/>
      <c r="BP45" s="7"/>
      <c r="BQ45" s="7"/>
      <c r="BR45" s="7"/>
      <c r="BS45" s="7"/>
      <c r="BT45" s="7"/>
    </row>
    <row r="46" spans="1:72" ht="24.75" hidden="1" customHeight="1" x14ac:dyDescent="0.25">
      <c r="A46" s="699"/>
      <c r="B46" s="702"/>
      <c r="C46" s="693"/>
      <c r="D46" s="693"/>
      <c r="E46" s="210"/>
      <c r="F46" s="696"/>
      <c r="G46" s="569"/>
      <c r="H46" s="118"/>
      <c r="I46" s="702"/>
      <c r="J46" s="729"/>
      <c r="K46" s="681"/>
      <c r="L46" s="678"/>
      <c r="M46" s="708"/>
      <c r="N46" s="678">
        <f>IF(NOT(ISERROR(MATCH(M46,_xlfn.ANCHORARRAY(F57),0))),L59&amp;"Por favor no seleccionar los criterios de impacto",M46)</f>
        <v>0</v>
      </c>
      <c r="O46" s="681"/>
      <c r="P46" s="678"/>
      <c r="Q46" s="705"/>
      <c r="R46" s="103">
        <v>2</v>
      </c>
      <c r="S46" s="104"/>
      <c r="T46" s="105" t="str">
        <f t="shared" si="6"/>
        <v/>
      </c>
      <c r="U46" s="111"/>
      <c r="V46" s="111"/>
      <c r="W46" s="112" t="str">
        <f t="shared" si="7"/>
        <v/>
      </c>
      <c r="X46" s="111"/>
      <c r="Y46" s="111"/>
      <c r="Z46" s="111"/>
      <c r="AA46" s="106" t="str">
        <f>IFERROR(IF(AND(T45="Probabilidad",T46="Probabilidad"),(AC45-(+AC45*W46)),IF(AND(T45="Impacto",T46="Probabilidad"),(L45-(+L45*W46)),IF(T46="Impacto",AC45,""))),"")</f>
        <v/>
      </c>
      <c r="AB46" s="113" t="str">
        <f t="shared" si="8"/>
        <v/>
      </c>
      <c r="AC46" s="114" t="str">
        <f t="shared" si="9"/>
        <v/>
      </c>
      <c r="AD46" s="113" t="str">
        <f t="shared" si="10"/>
        <v/>
      </c>
      <c r="AE46" s="114" t="str">
        <f>IFERROR(IF(AND(T45="Impacto",T46="Impacto"),(AE45-(+AE45*W46)),IF(AND(T45="Probabilidad",T46="Impacto"),(P45-(+P45*W46)),IF(T46="Probabilidad",AE45,""))),"")</f>
        <v/>
      </c>
      <c r="AF46" s="115" t="str">
        <f t="shared" si="11"/>
        <v/>
      </c>
      <c r="AG46" s="116"/>
      <c r="AH46" s="107"/>
      <c r="AI46" s="108"/>
      <c r="AJ46" s="217"/>
      <c r="AK46" s="109"/>
      <c r="AL46" s="107"/>
      <c r="AM46" s="108"/>
      <c r="AN46" s="7"/>
      <c r="AO46" s="7"/>
      <c r="AP46" s="7"/>
      <c r="AQ46" s="7"/>
      <c r="AR46" s="7"/>
      <c r="AS46" s="7"/>
      <c r="AT46" s="7"/>
      <c r="AU46" s="7"/>
      <c r="AV46" s="7"/>
      <c r="AW46" s="7"/>
      <c r="AX46" s="378"/>
      <c r="AY46" s="7"/>
      <c r="AZ46" s="7"/>
      <c r="BA46" s="7"/>
      <c r="BB46" s="7"/>
      <c r="BC46" s="7"/>
      <c r="BD46" s="7"/>
      <c r="BE46" s="7"/>
      <c r="BF46" s="7"/>
      <c r="BG46" s="7"/>
      <c r="BH46" s="7"/>
      <c r="BI46" s="7"/>
      <c r="BJ46" s="7"/>
      <c r="BK46" s="7"/>
      <c r="BL46" s="7"/>
      <c r="BM46" s="7"/>
      <c r="BN46" s="7"/>
      <c r="BO46" s="7"/>
      <c r="BP46" s="7"/>
      <c r="BQ46" s="7"/>
      <c r="BR46" s="7"/>
      <c r="BS46" s="7"/>
      <c r="BT46" s="7"/>
    </row>
    <row r="47" spans="1:72" ht="26.25" hidden="1" customHeight="1" x14ac:dyDescent="0.25">
      <c r="A47" s="699"/>
      <c r="B47" s="702"/>
      <c r="C47" s="693"/>
      <c r="D47" s="693"/>
      <c r="E47" s="210"/>
      <c r="F47" s="696"/>
      <c r="G47" s="569"/>
      <c r="H47" s="118"/>
      <c r="I47" s="702"/>
      <c r="J47" s="729"/>
      <c r="K47" s="681"/>
      <c r="L47" s="678"/>
      <c r="M47" s="708"/>
      <c r="N47" s="678">
        <f>IF(NOT(ISERROR(MATCH(M47,_xlfn.ANCHORARRAY(F58),0))),L60&amp;"Por favor no seleccionar los criterios de impacto",M47)</f>
        <v>0</v>
      </c>
      <c r="O47" s="681"/>
      <c r="P47" s="678"/>
      <c r="Q47" s="705"/>
      <c r="R47" s="103">
        <v>3</v>
      </c>
      <c r="S47" s="110"/>
      <c r="T47" s="105" t="str">
        <f t="shared" si="6"/>
        <v/>
      </c>
      <c r="U47" s="111"/>
      <c r="V47" s="111"/>
      <c r="W47" s="112" t="str">
        <f t="shared" si="7"/>
        <v/>
      </c>
      <c r="X47" s="111"/>
      <c r="Y47" s="111"/>
      <c r="Z47" s="111"/>
      <c r="AA47" s="106" t="str">
        <f>IFERROR(IF(AND(T46="Probabilidad",T47="Probabilidad"),(AC46-(+AC46*W47)),IF(AND(T46="Impacto",T47="Probabilidad"),(AC45-(+AC45*W47)),IF(T47="Impacto",AC46,""))),"")</f>
        <v/>
      </c>
      <c r="AB47" s="113" t="str">
        <f t="shared" si="8"/>
        <v/>
      </c>
      <c r="AC47" s="114" t="str">
        <f t="shared" si="9"/>
        <v/>
      </c>
      <c r="AD47" s="113" t="str">
        <f t="shared" si="10"/>
        <v/>
      </c>
      <c r="AE47" s="114" t="str">
        <f>IFERROR(IF(AND(T46="Impacto",T47="Impacto"),(AE46-(+AE46*W47)),IF(AND(T46="Probabilidad",T47="Impacto"),(AE45-(+AE45*W47)),IF(T47="Probabilidad",AE46,""))),"")</f>
        <v/>
      </c>
      <c r="AF47" s="115" t="str">
        <f t="shared" si="11"/>
        <v/>
      </c>
      <c r="AG47" s="116"/>
      <c r="AH47" s="107"/>
      <c r="AI47" s="108"/>
      <c r="AJ47" s="217"/>
      <c r="AK47" s="109"/>
      <c r="AL47" s="107"/>
      <c r="AM47" s="108"/>
      <c r="AN47" s="7"/>
      <c r="AO47" s="7"/>
      <c r="AP47" s="7"/>
      <c r="AQ47" s="7"/>
      <c r="AR47" s="7"/>
      <c r="AS47" s="7"/>
      <c r="AT47" s="7"/>
      <c r="AU47" s="7"/>
      <c r="AV47" s="7"/>
      <c r="AW47" s="7"/>
      <c r="AX47" s="378"/>
      <c r="AY47" s="7"/>
      <c r="AZ47" s="7"/>
      <c r="BA47" s="7"/>
      <c r="BB47" s="7"/>
      <c r="BC47" s="7"/>
      <c r="BD47" s="7"/>
      <c r="BE47" s="7"/>
      <c r="BF47" s="7"/>
      <c r="BG47" s="7"/>
      <c r="BH47" s="7"/>
      <c r="BI47" s="7"/>
      <c r="BJ47" s="7"/>
      <c r="BK47" s="7"/>
      <c r="BL47" s="7"/>
      <c r="BM47" s="7"/>
      <c r="BN47" s="7"/>
      <c r="BO47" s="7"/>
      <c r="BP47" s="7"/>
      <c r="BQ47" s="7"/>
      <c r="BR47" s="7"/>
      <c r="BS47" s="7"/>
      <c r="BT47" s="7"/>
    </row>
    <row r="48" spans="1:72" ht="26.25" hidden="1" customHeight="1" x14ac:dyDescent="0.25">
      <c r="A48" s="699"/>
      <c r="B48" s="702"/>
      <c r="C48" s="693"/>
      <c r="D48" s="693"/>
      <c r="E48" s="210"/>
      <c r="F48" s="696"/>
      <c r="G48" s="569"/>
      <c r="H48" s="118"/>
      <c r="I48" s="702"/>
      <c r="J48" s="729"/>
      <c r="K48" s="681"/>
      <c r="L48" s="678"/>
      <c r="M48" s="708"/>
      <c r="N48" s="678">
        <f>IF(NOT(ISERROR(MATCH(M48,_xlfn.ANCHORARRAY(F59),0))),L61&amp;"Por favor no seleccionar los criterios de impacto",M48)</f>
        <v>0</v>
      </c>
      <c r="O48" s="681"/>
      <c r="P48" s="678"/>
      <c r="Q48" s="705"/>
      <c r="R48" s="103">
        <v>4</v>
      </c>
      <c r="S48" s="104"/>
      <c r="T48" s="105" t="str">
        <f t="shared" si="6"/>
        <v/>
      </c>
      <c r="U48" s="111"/>
      <c r="V48" s="111"/>
      <c r="W48" s="112" t="str">
        <f t="shared" si="7"/>
        <v/>
      </c>
      <c r="X48" s="111"/>
      <c r="Y48" s="111"/>
      <c r="Z48" s="111"/>
      <c r="AA48" s="106" t="str">
        <f>IFERROR(IF(AND(T47="Probabilidad",T48="Probabilidad"),(AC47-(+AC47*W48)),IF(AND(T47="Impacto",T48="Probabilidad"),(AC46-(+AC46*W48)),IF(T48="Impacto",AC47,""))),"")</f>
        <v/>
      </c>
      <c r="AB48" s="113" t="str">
        <f t="shared" si="8"/>
        <v/>
      </c>
      <c r="AC48" s="114" t="str">
        <f t="shared" si="9"/>
        <v/>
      </c>
      <c r="AD48" s="113" t="str">
        <f t="shared" si="10"/>
        <v/>
      </c>
      <c r="AE48" s="114" t="str">
        <f>IFERROR(IF(AND(T47="Impacto",T48="Impacto"),(AE47-(+AE47*W48)),IF(AND(T47="Probabilidad",T48="Impacto"),(AE46-(+AE46*W48)),IF(T48="Probabilidad",AE47,""))),"")</f>
        <v/>
      </c>
      <c r="AF48" s="115" t="str">
        <f t="shared" si="11"/>
        <v/>
      </c>
      <c r="AG48" s="116"/>
      <c r="AH48" s="107"/>
      <c r="AI48" s="108"/>
      <c r="AJ48" s="217"/>
      <c r="AK48" s="109"/>
      <c r="AL48" s="107"/>
      <c r="AM48" s="108"/>
      <c r="AN48" s="7"/>
      <c r="AO48" s="7"/>
      <c r="AP48" s="7"/>
      <c r="AQ48" s="7"/>
      <c r="AR48" s="7"/>
      <c r="AS48" s="7"/>
      <c r="AT48" s="7"/>
      <c r="AU48" s="7"/>
      <c r="AV48" s="7"/>
      <c r="AW48" s="7"/>
      <c r="AX48" s="378"/>
      <c r="AY48" s="7"/>
      <c r="AZ48" s="7"/>
      <c r="BA48" s="7"/>
      <c r="BB48" s="7"/>
      <c r="BC48" s="7"/>
      <c r="BD48" s="7"/>
      <c r="BE48" s="7"/>
      <c r="BF48" s="7"/>
      <c r="BG48" s="7"/>
      <c r="BH48" s="7"/>
      <c r="BI48" s="7"/>
      <c r="BJ48" s="7"/>
      <c r="BK48" s="7"/>
      <c r="BL48" s="7"/>
      <c r="BM48" s="7"/>
      <c r="BN48" s="7"/>
      <c r="BO48" s="7"/>
      <c r="BP48" s="7"/>
      <c r="BQ48" s="7"/>
      <c r="BR48" s="7"/>
      <c r="BS48" s="7"/>
      <c r="BT48" s="7"/>
    </row>
    <row r="49" spans="1:72" ht="26.25" hidden="1" customHeight="1" x14ac:dyDescent="0.25">
      <c r="A49" s="699"/>
      <c r="B49" s="702"/>
      <c r="C49" s="693"/>
      <c r="D49" s="693"/>
      <c r="E49" s="210"/>
      <c r="F49" s="696"/>
      <c r="G49" s="569"/>
      <c r="H49" s="118"/>
      <c r="I49" s="702"/>
      <c r="J49" s="729"/>
      <c r="K49" s="681"/>
      <c r="L49" s="678"/>
      <c r="M49" s="708"/>
      <c r="N49" s="678">
        <f>IF(NOT(ISERROR(MATCH(M49,_xlfn.ANCHORARRAY(F60),0))),L62&amp;"Por favor no seleccionar los criterios de impacto",M49)</f>
        <v>0</v>
      </c>
      <c r="O49" s="681"/>
      <c r="P49" s="678"/>
      <c r="Q49" s="705"/>
      <c r="R49" s="103">
        <v>5</v>
      </c>
      <c r="S49" s="104"/>
      <c r="T49" s="105" t="str">
        <f t="shared" si="6"/>
        <v/>
      </c>
      <c r="U49" s="111"/>
      <c r="V49" s="111"/>
      <c r="W49" s="112" t="str">
        <f t="shared" si="7"/>
        <v/>
      </c>
      <c r="X49" s="111"/>
      <c r="Y49" s="111"/>
      <c r="Z49" s="111"/>
      <c r="AA49" s="106" t="str">
        <f>IFERROR(IF(AND(T48="Probabilidad",T49="Probabilidad"),(AC48-(+AC48*W49)),IF(AND(T48="Impacto",T49="Probabilidad"),(AC47-(+AC47*W49)),IF(T49="Impacto",AC48,""))),"")</f>
        <v/>
      </c>
      <c r="AB49" s="113" t="str">
        <f t="shared" si="8"/>
        <v/>
      </c>
      <c r="AC49" s="114" t="str">
        <f t="shared" si="9"/>
        <v/>
      </c>
      <c r="AD49" s="113" t="str">
        <f t="shared" si="10"/>
        <v/>
      </c>
      <c r="AE49" s="114" t="str">
        <f>IFERROR(IF(AND(T48="Impacto",T49="Impacto"),(AE48-(+AE48*W49)),IF(AND(T48="Probabilidad",T49="Impacto"),(AE47-(+AE47*W49)),IF(T49="Probabilidad",AE48,""))),"")</f>
        <v/>
      </c>
      <c r="AF49" s="115" t="str">
        <f t="shared" si="11"/>
        <v/>
      </c>
      <c r="AG49" s="116"/>
      <c r="AH49" s="107"/>
      <c r="AI49" s="108"/>
      <c r="AJ49" s="217"/>
      <c r="AK49" s="109"/>
      <c r="AL49" s="107"/>
      <c r="AM49" s="108"/>
      <c r="AN49" s="7"/>
      <c r="AO49" s="7"/>
      <c r="AP49" s="7"/>
      <c r="AQ49" s="7"/>
      <c r="AR49" s="7"/>
      <c r="AS49" s="7"/>
      <c r="AT49" s="7"/>
      <c r="AU49" s="7"/>
      <c r="AV49" s="7"/>
      <c r="AW49" s="7"/>
      <c r="AX49" s="378"/>
      <c r="AY49" s="7"/>
      <c r="AZ49" s="7"/>
      <c r="BA49" s="7"/>
      <c r="BB49" s="7"/>
      <c r="BC49" s="7"/>
      <c r="BD49" s="7"/>
      <c r="BE49" s="7"/>
      <c r="BF49" s="7"/>
      <c r="BG49" s="7"/>
      <c r="BH49" s="7"/>
      <c r="BI49" s="7"/>
      <c r="BJ49" s="7"/>
      <c r="BK49" s="7"/>
      <c r="BL49" s="7"/>
      <c r="BM49" s="7"/>
      <c r="BN49" s="7"/>
      <c r="BO49" s="7"/>
      <c r="BP49" s="7"/>
      <c r="BQ49" s="7"/>
      <c r="BR49" s="7"/>
      <c r="BS49" s="7"/>
      <c r="BT49" s="7"/>
    </row>
    <row r="50" spans="1:72" ht="26.25" hidden="1" customHeight="1" x14ac:dyDescent="0.25">
      <c r="A50" s="700"/>
      <c r="B50" s="703"/>
      <c r="C50" s="694"/>
      <c r="D50" s="694"/>
      <c r="E50" s="211"/>
      <c r="F50" s="697"/>
      <c r="G50" s="570"/>
      <c r="H50" s="119"/>
      <c r="I50" s="703"/>
      <c r="J50" s="730"/>
      <c r="K50" s="682"/>
      <c r="L50" s="679"/>
      <c r="M50" s="709"/>
      <c r="N50" s="679">
        <f>IF(NOT(ISERROR(MATCH(M50,_xlfn.ANCHORARRAY(F61),0))),L63&amp;"Por favor no seleccionar los criterios de impacto",M50)</f>
        <v>0</v>
      </c>
      <c r="O50" s="682"/>
      <c r="P50" s="679"/>
      <c r="Q50" s="706"/>
      <c r="R50" s="103">
        <v>6</v>
      </c>
      <c r="S50" s="104"/>
      <c r="T50" s="105" t="str">
        <f t="shared" si="6"/>
        <v/>
      </c>
      <c r="U50" s="111"/>
      <c r="V50" s="111"/>
      <c r="W50" s="112" t="str">
        <f t="shared" si="7"/>
        <v/>
      </c>
      <c r="X50" s="111"/>
      <c r="Y50" s="111"/>
      <c r="Z50" s="111"/>
      <c r="AA50" s="106" t="str">
        <f>IFERROR(IF(AND(T49="Probabilidad",T50="Probabilidad"),(AC49-(+AC49*W50)),IF(AND(T49="Impacto",T50="Probabilidad"),(AC48-(+AC48*W50)),IF(T50="Impacto",AC49,""))),"")</f>
        <v/>
      </c>
      <c r="AB50" s="113" t="str">
        <f t="shared" si="8"/>
        <v/>
      </c>
      <c r="AC50" s="114" t="str">
        <f t="shared" si="9"/>
        <v/>
      </c>
      <c r="AD50" s="113" t="str">
        <f t="shared" si="10"/>
        <v/>
      </c>
      <c r="AE50" s="114" t="str">
        <f>IFERROR(IF(AND(T49="Impacto",T50="Impacto"),(AE49-(+AE49*W50)),IF(AND(T49="Probabilidad",T50="Impacto"),(AE48-(+AE48*W50)),IF(T50="Probabilidad",AE49,""))),"")</f>
        <v/>
      </c>
      <c r="AF50" s="115" t="str">
        <f t="shared" si="11"/>
        <v/>
      </c>
      <c r="AG50" s="116"/>
      <c r="AH50" s="107"/>
      <c r="AI50" s="108"/>
      <c r="AJ50" s="217"/>
      <c r="AK50" s="109"/>
      <c r="AL50" s="107"/>
      <c r="AM50" s="108"/>
      <c r="AN50" s="7"/>
      <c r="AO50" s="7"/>
      <c r="AP50" s="7"/>
      <c r="AQ50" s="7"/>
      <c r="AR50" s="7"/>
      <c r="AS50" s="7"/>
      <c r="AT50" s="7"/>
      <c r="AU50" s="7"/>
      <c r="AV50" s="7"/>
      <c r="AW50" s="7"/>
      <c r="AX50" s="378"/>
      <c r="AY50" s="7"/>
      <c r="AZ50" s="7"/>
      <c r="BA50" s="7"/>
      <c r="BB50" s="7"/>
      <c r="BC50" s="7"/>
      <c r="BD50" s="7"/>
      <c r="BE50" s="7"/>
      <c r="BF50" s="7"/>
      <c r="BG50" s="7"/>
      <c r="BH50" s="7"/>
      <c r="BI50" s="7"/>
      <c r="BJ50" s="7"/>
      <c r="BK50" s="7"/>
      <c r="BL50" s="7"/>
      <c r="BM50" s="7"/>
      <c r="BN50" s="7"/>
      <c r="BO50" s="7"/>
      <c r="BP50" s="7"/>
      <c r="BQ50" s="7"/>
      <c r="BR50" s="7"/>
      <c r="BS50" s="7"/>
      <c r="BT50" s="7"/>
    </row>
    <row r="51" spans="1:72" ht="26.25" hidden="1" customHeight="1" x14ac:dyDescent="0.25">
      <c r="A51" s="698">
        <v>8</v>
      </c>
      <c r="B51" s="701"/>
      <c r="C51" s="692"/>
      <c r="D51" s="692"/>
      <c r="E51" s="209"/>
      <c r="F51" s="695"/>
      <c r="G51" s="568"/>
      <c r="H51" s="117"/>
      <c r="I51" s="701"/>
      <c r="J51" s="728"/>
      <c r="K51" s="680" t="str">
        <f>IF(J51&lt;=0,"",IF(J51&lt;=2,"Muy Baja",IF(J51&lt;=24,"Baja",IF(J51&lt;=500,"Media",IF(J51&lt;=5000,"Alta","Muy Alta")))))</f>
        <v/>
      </c>
      <c r="L51" s="677" t="str">
        <f>IF(K51="","",IF(K51="Muy Baja",0.2,IF(K51="Baja",0.4,IF(K51="Media",0.6,IF(K51="Alta",0.8,IF(K51="Muy Alta",1,))))))</f>
        <v/>
      </c>
      <c r="M51" s="707"/>
      <c r="N51" s="677">
        <f>IF(NOT(ISERROR(MATCH(M51,'Tabla Impacto'!$B$221:$B$223,0))),'Tabla Impacto'!$F$223&amp;"Por favor no seleccionar los criterios de impacto(Afectación Económica o presupuestal y Pérdida Reputacional)",M51)</f>
        <v>0</v>
      </c>
      <c r="O51" s="680" t="str">
        <f>IF(OR(N51='Tabla Impacto'!$C$11,N51='Tabla Impacto'!$D$11),"Leve",IF(OR(N51='Tabla Impacto'!$C$12,N51='Tabla Impacto'!$D$12),"Menor",IF(OR(N51='Tabla Impacto'!$C$13,N51='Tabla Impacto'!$D$13),"Moderado",IF(OR(N51='Tabla Impacto'!$C$14,N51='Tabla Impacto'!$D$14),"Mayor",IF(OR(N51='Tabla Impacto'!$C$15,N51='Tabla Impacto'!$D$15),"Catastrófico","")))))</f>
        <v/>
      </c>
      <c r="P51" s="677" t="str">
        <f>IF(O51="","",IF(O51="Leve",0.2,IF(O51="Menor",0.4,IF(O51="Moderado",0.6,IF(O51="Mayor",0.8,IF(O51="Catastrófico",1,))))))</f>
        <v/>
      </c>
      <c r="Q51" s="704" t="str">
        <f>IF(OR(AND(K51="Muy Baja",O51="Leve"),AND(K51="Muy Baja",O51="Menor"),AND(K51="Baja",O51="Leve")),"Bajo",IF(OR(AND(K51="Muy baja",O51="Moderado"),AND(K51="Baja",O51="Menor"),AND(K51="Baja",O51="Moderado"),AND(K51="Media",O51="Leve"),AND(K51="Media",O51="Menor"),AND(K51="Media",O51="Moderado"),AND(K51="Alta",O51="Leve"),AND(K51="Alta",O51="Menor")),"Moderado",IF(OR(AND(K51="Muy Baja",O51="Mayor"),AND(K51="Baja",O51="Mayor"),AND(K51="Media",O51="Mayor"),AND(K51="Alta",O51="Moderado"),AND(K51="Alta",O51="Mayor"),AND(K51="Muy Alta",O51="Leve"),AND(K51="Muy Alta",O51="Menor"),AND(K51="Muy Alta",O51="Moderado"),AND(K51="Muy Alta",O51="Mayor")),"Alto",IF(OR(AND(K51="Muy Baja",O51="Catastrófico"),AND(K51="Baja",O51="Catastrófico"),AND(K51="Media",O51="Catastrófico"),AND(K51="Alta",O51="Catastrófico"),AND(K51="Muy Alta",O51="Catastrófico")),"Extremo",""))))</f>
        <v/>
      </c>
      <c r="R51" s="103">
        <v>1</v>
      </c>
      <c r="S51" s="104">
        <f>DOFA!E47</f>
        <v>0</v>
      </c>
      <c r="T51" s="105" t="str">
        <f t="shared" si="6"/>
        <v/>
      </c>
      <c r="U51" s="111"/>
      <c r="V51" s="111"/>
      <c r="W51" s="112" t="str">
        <f t="shared" si="7"/>
        <v/>
      </c>
      <c r="X51" s="111"/>
      <c r="Y51" s="111"/>
      <c r="Z51" s="111"/>
      <c r="AA51" s="106" t="str">
        <f>IFERROR(IF(T51="Probabilidad",(L51-(+L51*W51)),IF(T51="Impacto",L51,"")),"")</f>
        <v/>
      </c>
      <c r="AB51" s="113" t="str">
        <f t="shared" si="8"/>
        <v/>
      </c>
      <c r="AC51" s="114" t="str">
        <f t="shared" si="9"/>
        <v/>
      </c>
      <c r="AD51" s="113" t="str">
        <f t="shared" si="10"/>
        <v/>
      </c>
      <c r="AE51" s="114" t="str">
        <f>IFERROR(IF(T51="Impacto",(P51-(+P51*W51)),IF(T51="Probabilidad",P51,"")),"")</f>
        <v/>
      </c>
      <c r="AF51" s="115" t="str">
        <f t="shared" si="11"/>
        <v/>
      </c>
      <c r="AG51" s="116"/>
      <c r="AH51" s="107"/>
      <c r="AI51" s="108"/>
      <c r="AJ51" s="217"/>
      <c r="AK51" s="109"/>
      <c r="AL51" s="107"/>
      <c r="AM51" s="108"/>
      <c r="AN51" s="7"/>
      <c r="AO51" s="7"/>
      <c r="AP51" s="7"/>
      <c r="AQ51" s="7"/>
      <c r="AR51" s="7"/>
      <c r="AS51" s="7"/>
      <c r="AT51" s="7"/>
      <c r="AU51" s="7"/>
      <c r="AV51" s="7"/>
      <c r="AW51" s="7"/>
      <c r="AX51" s="378"/>
      <c r="AY51" s="7"/>
      <c r="AZ51" s="7"/>
      <c r="BA51" s="7"/>
      <c r="BB51" s="7"/>
      <c r="BC51" s="7"/>
      <c r="BD51" s="7"/>
      <c r="BE51" s="7"/>
      <c r="BF51" s="7"/>
      <c r="BG51" s="7"/>
      <c r="BH51" s="7"/>
      <c r="BI51" s="7"/>
      <c r="BJ51" s="7"/>
      <c r="BK51" s="7"/>
      <c r="BL51" s="7"/>
      <c r="BM51" s="7"/>
      <c r="BN51" s="7"/>
      <c r="BO51" s="7"/>
      <c r="BP51" s="7"/>
      <c r="BQ51" s="7"/>
      <c r="BR51" s="7"/>
      <c r="BS51" s="7"/>
      <c r="BT51" s="7"/>
    </row>
    <row r="52" spans="1:72" ht="26.25" hidden="1" customHeight="1" x14ac:dyDescent="0.25">
      <c r="A52" s="699"/>
      <c r="B52" s="702"/>
      <c r="C52" s="693"/>
      <c r="D52" s="693"/>
      <c r="E52" s="210"/>
      <c r="F52" s="696"/>
      <c r="G52" s="569"/>
      <c r="H52" s="118"/>
      <c r="I52" s="702"/>
      <c r="J52" s="729"/>
      <c r="K52" s="681"/>
      <c r="L52" s="678"/>
      <c r="M52" s="708"/>
      <c r="N52" s="678">
        <f>IF(NOT(ISERROR(MATCH(M52,_xlfn.ANCHORARRAY(F63),0))),L65&amp;"Por favor no seleccionar los criterios de impacto",M52)</f>
        <v>0</v>
      </c>
      <c r="O52" s="681"/>
      <c r="P52" s="678"/>
      <c r="Q52" s="705"/>
      <c r="R52" s="103">
        <v>2</v>
      </c>
      <c r="S52" s="104"/>
      <c r="T52" s="105" t="str">
        <f t="shared" si="6"/>
        <v/>
      </c>
      <c r="U52" s="111"/>
      <c r="V52" s="111"/>
      <c r="W52" s="112" t="str">
        <f t="shared" si="7"/>
        <v/>
      </c>
      <c r="X52" s="111"/>
      <c r="Y52" s="111"/>
      <c r="Z52" s="111"/>
      <c r="AA52" s="106" t="str">
        <f>IFERROR(IF(AND(T51="Probabilidad",T52="Probabilidad"),(AC51-(+AC51*W52)),IF(AND(T51="Impacto",T52="Probabilidad"),(L51-(+L51*W52)),IF(T52="Impacto",AC51,""))),"")</f>
        <v/>
      </c>
      <c r="AB52" s="113" t="str">
        <f t="shared" si="8"/>
        <v/>
      </c>
      <c r="AC52" s="114" t="str">
        <f t="shared" si="9"/>
        <v/>
      </c>
      <c r="AD52" s="113" t="str">
        <f t="shared" si="10"/>
        <v/>
      </c>
      <c r="AE52" s="114" t="str">
        <f>IFERROR(IF(AND(T51="Impacto",T52="Impacto"),(AE51-(+AE51*W52)),IF(AND(T51="Probabilidad",T52="Impacto"),(P51-(+P51*W52)),IF(T52="Probabilidad",AE51,""))),"")</f>
        <v/>
      </c>
      <c r="AF52" s="115" t="str">
        <f t="shared" si="11"/>
        <v/>
      </c>
      <c r="AG52" s="116"/>
      <c r="AH52" s="107"/>
      <c r="AI52" s="108"/>
      <c r="AJ52" s="217"/>
      <c r="AK52" s="109"/>
      <c r="AL52" s="107"/>
      <c r="AM52" s="108"/>
      <c r="AN52" s="7"/>
      <c r="AO52" s="7"/>
      <c r="AP52" s="7"/>
      <c r="AQ52" s="7"/>
      <c r="AR52" s="7"/>
      <c r="AS52" s="7"/>
      <c r="AT52" s="7"/>
      <c r="AU52" s="7"/>
      <c r="AV52" s="7"/>
      <c r="AW52" s="7"/>
      <c r="AX52" s="378"/>
      <c r="AY52" s="7"/>
      <c r="AZ52" s="7"/>
      <c r="BA52" s="7"/>
      <c r="BB52" s="7"/>
      <c r="BC52" s="7"/>
      <c r="BD52" s="7"/>
      <c r="BE52" s="7"/>
      <c r="BF52" s="7"/>
      <c r="BG52" s="7"/>
      <c r="BH52" s="7"/>
      <c r="BI52" s="7"/>
      <c r="BJ52" s="7"/>
      <c r="BK52" s="7"/>
      <c r="BL52" s="7"/>
      <c r="BM52" s="7"/>
      <c r="BN52" s="7"/>
      <c r="BO52" s="7"/>
      <c r="BP52" s="7"/>
      <c r="BQ52" s="7"/>
      <c r="BR52" s="7"/>
      <c r="BS52" s="7"/>
      <c r="BT52" s="7"/>
    </row>
    <row r="53" spans="1:72" ht="26.25" hidden="1" customHeight="1" x14ac:dyDescent="0.25">
      <c r="A53" s="699"/>
      <c r="B53" s="702"/>
      <c r="C53" s="693"/>
      <c r="D53" s="693"/>
      <c r="E53" s="210"/>
      <c r="F53" s="696"/>
      <c r="G53" s="569"/>
      <c r="H53" s="118"/>
      <c r="I53" s="702"/>
      <c r="J53" s="729"/>
      <c r="K53" s="681"/>
      <c r="L53" s="678"/>
      <c r="M53" s="708"/>
      <c r="N53" s="678">
        <f>IF(NOT(ISERROR(MATCH(M53,_xlfn.ANCHORARRAY(F64),0))),L66&amp;"Por favor no seleccionar los criterios de impacto",M53)</f>
        <v>0</v>
      </c>
      <c r="O53" s="681"/>
      <c r="P53" s="678"/>
      <c r="Q53" s="705"/>
      <c r="R53" s="103">
        <v>3</v>
      </c>
      <c r="S53" s="110"/>
      <c r="T53" s="105" t="str">
        <f t="shared" si="6"/>
        <v/>
      </c>
      <c r="U53" s="111"/>
      <c r="V53" s="111"/>
      <c r="W53" s="112" t="str">
        <f t="shared" si="7"/>
        <v/>
      </c>
      <c r="X53" s="111"/>
      <c r="Y53" s="111"/>
      <c r="Z53" s="111"/>
      <c r="AA53" s="106" t="str">
        <f>IFERROR(IF(AND(T52="Probabilidad",T53="Probabilidad"),(AC52-(+AC52*W53)),IF(AND(T52="Impacto",T53="Probabilidad"),(AC51-(+AC51*W53)),IF(T53="Impacto",AC52,""))),"")</f>
        <v/>
      </c>
      <c r="AB53" s="113" t="str">
        <f t="shared" si="8"/>
        <v/>
      </c>
      <c r="AC53" s="114" t="str">
        <f t="shared" si="9"/>
        <v/>
      </c>
      <c r="AD53" s="113" t="str">
        <f t="shared" si="10"/>
        <v/>
      </c>
      <c r="AE53" s="114" t="str">
        <f>IFERROR(IF(AND(T52="Impacto",T53="Impacto"),(AE52-(+AE52*W53)),IF(AND(T52="Probabilidad",T53="Impacto"),(AE51-(+AE51*W53)),IF(T53="Probabilidad",AE52,""))),"")</f>
        <v/>
      </c>
      <c r="AF53" s="115" t="str">
        <f t="shared" si="11"/>
        <v/>
      </c>
      <c r="AG53" s="116"/>
      <c r="AH53" s="107"/>
      <c r="AI53" s="108"/>
      <c r="AJ53" s="217"/>
      <c r="AK53" s="109"/>
      <c r="AL53" s="107"/>
      <c r="AM53" s="108"/>
      <c r="AN53" s="7"/>
      <c r="AO53" s="7"/>
      <c r="AP53" s="7"/>
      <c r="AQ53" s="7"/>
      <c r="AR53" s="7"/>
      <c r="AS53" s="7"/>
      <c r="AT53" s="7"/>
      <c r="AU53" s="7"/>
      <c r="AV53" s="7"/>
      <c r="AW53" s="7"/>
      <c r="AX53" s="378"/>
      <c r="AY53" s="7"/>
      <c r="AZ53" s="7"/>
      <c r="BA53" s="7"/>
      <c r="BB53" s="7"/>
      <c r="BC53" s="7"/>
      <c r="BD53" s="7"/>
      <c r="BE53" s="7"/>
      <c r="BF53" s="7"/>
      <c r="BG53" s="7"/>
      <c r="BH53" s="7"/>
      <c r="BI53" s="7"/>
      <c r="BJ53" s="7"/>
      <c r="BK53" s="7"/>
      <c r="BL53" s="7"/>
      <c r="BM53" s="7"/>
      <c r="BN53" s="7"/>
      <c r="BO53" s="7"/>
      <c r="BP53" s="7"/>
      <c r="BQ53" s="7"/>
      <c r="BR53" s="7"/>
      <c r="BS53" s="7"/>
      <c r="BT53" s="7"/>
    </row>
    <row r="54" spans="1:72" ht="26.25" hidden="1" customHeight="1" x14ac:dyDescent="0.25">
      <c r="A54" s="699"/>
      <c r="B54" s="702"/>
      <c r="C54" s="693"/>
      <c r="D54" s="693"/>
      <c r="E54" s="210"/>
      <c r="F54" s="696"/>
      <c r="G54" s="569"/>
      <c r="H54" s="118"/>
      <c r="I54" s="702"/>
      <c r="J54" s="729"/>
      <c r="K54" s="681"/>
      <c r="L54" s="678"/>
      <c r="M54" s="708"/>
      <c r="N54" s="678">
        <f>IF(NOT(ISERROR(MATCH(M54,_xlfn.ANCHORARRAY(F65),0))),L67&amp;"Por favor no seleccionar los criterios de impacto",M54)</f>
        <v>0</v>
      </c>
      <c r="O54" s="681"/>
      <c r="P54" s="678"/>
      <c r="Q54" s="705"/>
      <c r="R54" s="103">
        <v>4</v>
      </c>
      <c r="S54" s="104"/>
      <c r="T54" s="105" t="str">
        <f t="shared" si="6"/>
        <v/>
      </c>
      <c r="U54" s="111"/>
      <c r="V54" s="111"/>
      <c r="W54" s="112" t="str">
        <f t="shared" si="7"/>
        <v/>
      </c>
      <c r="X54" s="111"/>
      <c r="Y54" s="111"/>
      <c r="Z54" s="111"/>
      <c r="AA54" s="106" t="str">
        <f>IFERROR(IF(AND(T53="Probabilidad",T54="Probabilidad"),(AC53-(+AC53*W54)),IF(AND(T53="Impacto",T54="Probabilidad"),(AC52-(+AC52*W54)),IF(T54="Impacto",AC53,""))),"")</f>
        <v/>
      </c>
      <c r="AB54" s="113" t="str">
        <f t="shared" si="8"/>
        <v/>
      </c>
      <c r="AC54" s="114" t="str">
        <f t="shared" si="9"/>
        <v/>
      </c>
      <c r="AD54" s="113" t="str">
        <f t="shared" si="10"/>
        <v/>
      </c>
      <c r="AE54" s="114" t="str">
        <f>IFERROR(IF(AND(T53="Impacto",T54="Impacto"),(AE53-(+AE53*W54)),IF(AND(T53="Probabilidad",T54="Impacto"),(AE52-(+AE52*W54)),IF(T54="Probabilidad",AE53,""))),"")</f>
        <v/>
      </c>
      <c r="AF54" s="115" t="str">
        <f t="shared" si="11"/>
        <v/>
      </c>
      <c r="AG54" s="116"/>
      <c r="AH54" s="107"/>
      <c r="AI54" s="108"/>
      <c r="AJ54" s="217"/>
      <c r="AK54" s="109"/>
      <c r="AL54" s="107"/>
      <c r="AM54" s="108"/>
      <c r="AN54" s="7"/>
      <c r="AO54" s="7"/>
      <c r="AP54" s="7"/>
      <c r="AQ54" s="7"/>
      <c r="AR54" s="7"/>
      <c r="AS54" s="7"/>
      <c r="AT54" s="7"/>
      <c r="AU54" s="7"/>
      <c r="AV54" s="7"/>
      <c r="AW54" s="7"/>
      <c r="AX54" s="378"/>
      <c r="AY54" s="7"/>
      <c r="AZ54" s="7"/>
      <c r="BA54" s="7"/>
      <c r="BB54" s="7"/>
      <c r="BC54" s="7"/>
      <c r="BD54" s="7"/>
      <c r="BE54" s="7"/>
      <c r="BF54" s="7"/>
      <c r="BG54" s="7"/>
      <c r="BH54" s="7"/>
      <c r="BI54" s="7"/>
      <c r="BJ54" s="7"/>
      <c r="BK54" s="7"/>
      <c r="BL54" s="7"/>
      <c r="BM54" s="7"/>
      <c r="BN54" s="7"/>
      <c r="BO54" s="7"/>
      <c r="BP54" s="7"/>
      <c r="BQ54" s="7"/>
      <c r="BR54" s="7"/>
      <c r="BS54" s="7"/>
      <c r="BT54" s="7"/>
    </row>
    <row r="55" spans="1:72" ht="26.25" hidden="1" customHeight="1" x14ac:dyDescent="0.25">
      <c r="A55" s="699"/>
      <c r="B55" s="702"/>
      <c r="C55" s="693"/>
      <c r="D55" s="693"/>
      <c r="E55" s="210"/>
      <c r="F55" s="696"/>
      <c r="G55" s="569"/>
      <c r="H55" s="118"/>
      <c r="I55" s="702"/>
      <c r="J55" s="729"/>
      <c r="K55" s="681"/>
      <c r="L55" s="678"/>
      <c r="M55" s="708"/>
      <c r="N55" s="678">
        <f>IF(NOT(ISERROR(MATCH(M55,_xlfn.ANCHORARRAY(F66),0))),L68&amp;"Por favor no seleccionar los criterios de impacto",M55)</f>
        <v>0</v>
      </c>
      <c r="O55" s="681"/>
      <c r="P55" s="678"/>
      <c r="Q55" s="705"/>
      <c r="R55" s="103">
        <v>5</v>
      </c>
      <c r="S55" s="104"/>
      <c r="T55" s="105" t="str">
        <f t="shared" si="6"/>
        <v/>
      </c>
      <c r="U55" s="111"/>
      <c r="V55" s="111"/>
      <c r="W55" s="112" t="str">
        <f t="shared" si="7"/>
        <v/>
      </c>
      <c r="X55" s="111"/>
      <c r="Y55" s="111"/>
      <c r="Z55" s="111"/>
      <c r="AA55" s="106" t="str">
        <f>IFERROR(IF(AND(T54="Probabilidad",T55="Probabilidad"),(AC54-(+AC54*W55)),IF(AND(T54="Impacto",T55="Probabilidad"),(AC53-(+AC53*W55)),IF(T55="Impacto",AC54,""))),"")</f>
        <v/>
      </c>
      <c r="AB55" s="113" t="str">
        <f t="shared" si="8"/>
        <v/>
      </c>
      <c r="AC55" s="114" t="str">
        <f t="shared" si="9"/>
        <v/>
      </c>
      <c r="AD55" s="113" t="str">
        <f t="shared" si="10"/>
        <v/>
      </c>
      <c r="AE55" s="114" t="str">
        <f>IFERROR(IF(AND(T54="Impacto",T55="Impacto"),(AE54-(+AE54*W55)),IF(AND(T54="Probabilidad",T55="Impacto"),(AE53-(+AE53*W55)),IF(T55="Probabilidad",AE54,""))),"")</f>
        <v/>
      </c>
      <c r="AF55" s="115" t="str">
        <f t="shared" si="11"/>
        <v/>
      </c>
      <c r="AG55" s="116"/>
      <c r="AH55" s="107"/>
      <c r="AI55" s="108"/>
      <c r="AJ55" s="217"/>
      <c r="AK55" s="109"/>
      <c r="AL55" s="107"/>
      <c r="AM55" s="108"/>
      <c r="AN55" s="7"/>
      <c r="AO55" s="7"/>
      <c r="AP55" s="7"/>
      <c r="AQ55" s="7"/>
      <c r="AR55" s="7"/>
      <c r="AS55" s="7"/>
      <c r="AT55" s="7"/>
      <c r="AU55" s="7"/>
      <c r="AV55" s="7"/>
      <c r="AW55" s="7"/>
      <c r="AX55" s="378"/>
      <c r="AY55" s="7"/>
      <c r="AZ55" s="7"/>
      <c r="BA55" s="7"/>
      <c r="BB55" s="7"/>
      <c r="BC55" s="7"/>
      <c r="BD55" s="7"/>
      <c r="BE55" s="7"/>
      <c r="BF55" s="7"/>
      <c r="BG55" s="7"/>
      <c r="BH55" s="7"/>
      <c r="BI55" s="7"/>
      <c r="BJ55" s="7"/>
      <c r="BK55" s="7"/>
      <c r="BL55" s="7"/>
      <c r="BM55" s="7"/>
      <c r="BN55" s="7"/>
      <c r="BO55" s="7"/>
      <c r="BP55" s="7"/>
      <c r="BQ55" s="7"/>
      <c r="BR55" s="7"/>
      <c r="BS55" s="7"/>
      <c r="BT55" s="7"/>
    </row>
    <row r="56" spans="1:72" ht="26.25" hidden="1" customHeight="1" x14ac:dyDescent="0.25">
      <c r="A56" s="700"/>
      <c r="B56" s="703"/>
      <c r="C56" s="694"/>
      <c r="D56" s="694"/>
      <c r="E56" s="211"/>
      <c r="F56" s="697"/>
      <c r="G56" s="570"/>
      <c r="H56" s="119"/>
      <c r="I56" s="703"/>
      <c r="J56" s="730"/>
      <c r="K56" s="682"/>
      <c r="L56" s="679"/>
      <c r="M56" s="709"/>
      <c r="N56" s="679">
        <f>IF(NOT(ISERROR(MATCH(M56,_xlfn.ANCHORARRAY(F67),0))),L69&amp;"Por favor no seleccionar los criterios de impacto",M56)</f>
        <v>0</v>
      </c>
      <c r="O56" s="682"/>
      <c r="P56" s="679"/>
      <c r="Q56" s="706"/>
      <c r="R56" s="103">
        <v>6</v>
      </c>
      <c r="S56" s="104"/>
      <c r="T56" s="105" t="str">
        <f t="shared" si="6"/>
        <v/>
      </c>
      <c r="U56" s="111"/>
      <c r="V56" s="111"/>
      <c r="W56" s="112" t="str">
        <f t="shared" si="7"/>
        <v/>
      </c>
      <c r="X56" s="111"/>
      <c r="Y56" s="111"/>
      <c r="Z56" s="111"/>
      <c r="AA56" s="106" t="str">
        <f>IFERROR(IF(AND(T55="Probabilidad",T56="Probabilidad"),(AC55-(+AC55*W56)),IF(AND(T55="Impacto",T56="Probabilidad"),(AC54-(+AC54*W56)),IF(T56="Impacto",AC55,""))),"")</f>
        <v/>
      </c>
      <c r="AB56" s="113" t="str">
        <f t="shared" si="8"/>
        <v/>
      </c>
      <c r="AC56" s="114" t="str">
        <f t="shared" si="9"/>
        <v/>
      </c>
      <c r="AD56" s="113" t="str">
        <f t="shared" si="10"/>
        <v/>
      </c>
      <c r="AE56" s="114" t="str">
        <f>IFERROR(IF(AND(T55="Impacto",T56="Impacto"),(AE55-(+AE55*W56)),IF(AND(T55="Probabilidad",T56="Impacto"),(AE54-(+AE54*W56)),IF(T56="Probabilidad",AE55,""))),"")</f>
        <v/>
      </c>
      <c r="AF56" s="115" t="str">
        <f t="shared" si="11"/>
        <v/>
      </c>
      <c r="AG56" s="116"/>
      <c r="AH56" s="107"/>
      <c r="AI56" s="108"/>
      <c r="AJ56" s="217"/>
      <c r="AK56" s="109"/>
      <c r="AL56" s="107"/>
      <c r="AM56" s="108"/>
      <c r="AN56" s="7"/>
      <c r="AO56" s="7"/>
      <c r="AP56" s="7"/>
      <c r="AQ56" s="7"/>
      <c r="AR56" s="7"/>
      <c r="AS56" s="7"/>
      <c r="AT56" s="7"/>
      <c r="AU56" s="7"/>
      <c r="AV56" s="7"/>
      <c r="AW56" s="7"/>
      <c r="AX56" s="378"/>
      <c r="AY56" s="7"/>
      <c r="AZ56" s="7"/>
      <c r="BA56" s="7"/>
      <c r="BB56" s="7"/>
      <c r="BC56" s="7"/>
      <c r="BD56" s="7"/>
      <c r="BE56" s="7"/>
      <c r="BF56" s="7"/>
      <c r="BG56" s="7"/>
      <c r="BH56" s="7"/>
      <c r="BI56" s="7"/>
      <c r="BJ56" s="7"/>
      <c r="BK56" s="7"/>
      <c r="BL56" s="7"/>
      <c r="BM56" s="7"/>
      <c r="BN56" s="7"/>
      <c r="BO56" s="7"/>
      <c r="BP56" s="7"/>
      <c r="BQ56" s="7"/>
      <c r="BR56" s="7"/>
      <c r="BS56" s="7"/>
      <c r="BT56" s="7"/>
    </row>
    <row r="57" spans="1:72" ht="26.25" hidden="1" customHeight="1" x14ac:dyDescent="0.25">
      <c r="A57" s="698">
        <v>9</v>
      </c>
      <c r="B57" s="701"/>
      <c r="C57" s="692"/>
      <c r="D57" s="692"/>
      <c r="E57" s="209"/>
      <c r="F57" s="695"/>
      <c r="G57" s="568"/>
      <c r="H57" s="117"/>
      <c r="I57" s="701"/>
      <c r="J57" s="728"/>
      <c r="K57" s="680" t="str">
        <f>IF(J57&lt;=0,"",IF(J57&lt;=2,"Muy Baja",IF(J57&lt;=24,"Baja",IF(J57&lt;=500,"Media",IF(J57&lt;=5000,"Alta","Muy Alta")))))</f>
        <v/>
      </c>
      <c r="L57" s="677" t="str">
        <f>IF(K57="","",IF(K57="Muy Baja",0.2,IF(K57="Baja",0.4,IF(K57="Media",0.6,IF(K57="Alta",0.8,IF(K57="Muy Alta",1,))))))</f>
        <v/>
      </c>
      <c r="M57" s="707"/>
      <c r="N57" s="677">
        <f>IF(NOT(ISERROR(MATCH(M57,'Tabla Impacto'!$B$221:$B$223,0))),'Tabla Impacto'!$F$223&amp;"Por favor no seleccionar los criterios de impacto(Afectación Económica o presupuestal y Pérdida Reputacional)",M57)</f>
        <v>0</v>
      </c>
      <c r="O57" s="680" t="str">
        <f>IF(OR(N57='Tabla Impacto'!$C$11,N57='Tabla Impacto'!$D$11),"Leve",IF(OR(N57='Tabla Impacto'!$C$12,N57='Tabla Impacto'!$D$12),"Menor",IF(OR(N57='Tabla Impacto'!$C$13,N57='Tabla Impacto'!$D$13),"Moderado",IF(OR(N57='Tabla Impacto'!$C$14,N57='Tabla Impacto'!$D$14),"Mayor",IF(OR(N57='Tabla Impacto'!$C$15,N57='Tabla Impacto'!$D$15),"Catastrófico","")))))</f>
        <v/>
      </c>
      <c r="P57" s="677" t="str">
        <f>IF(O57="","",IF(O57="Leve",0.2,IF(O57="Menor",0.4,IF(O57="Moderado",0.6,IF(O57="Mayor",0.8,IF(O57="Catastrófico",1,))))))</f>
        <v/>
      </c>
      <c r="Q57" s="704" t="str">
        <f>IF(OR(AND(K57="Muy Baja",O57="Leve"),AND(K57="Muy Baja",O57="Menor"),AND(K57="Baja",O57="Leve")),"Bajo",IF(OR(AND(K57="Muy baja",O57="Moderado"),AND(K57="Baja",O57="Menor"),AND(K57="Baja",O57="Moderado"),AND(K57="Media",O57="Leve"),AND(K57="Media",O57="Menor"),AND(K57="Media",O57="Moderado"),AND(K57="Alta",O57="Leve"),AND(K57="Alta",O57="Menor")),"Moderado",IF(OR(AND(K57="Muy Baja",O57="Mayor"),AND(K57="Baja",O57="Mayor"),AND(K57="Media",O57="Mayor"),AND(K57="Alta",O57="Moderado"),AND(K57="Alta",O57="Mayor"),AND(K57="Muy Alta",O57="Leve"),AND(K57="Muy Alta",O57="Menor"),AND(K57="Muy Alta",O57="Moderado"),AND(K57="Muy Alta",O57="Mayor")),"Alto",IF(OR(AND(K57="Muy Baja",O57="Catastrófico"),AND(K57="Baja",O57="Catastrófico"),AND(K57="Media",O57="Catastrófico"),AND(K57="Alta",O57="Catastrófico"),AND(K57="Muy Alta",O57="Catastrófico")),"Extremo",""))))</f>
        <v/>
      </c>
      <c r="R57" s="103">
        <v>1</v>
      </c>
      <c r="S57" s="104">
        <f>DOFA!E48</f>
        <v>0</v>
      </c>
      <c r="T57" s="105" t="str">
        <f t="shared" si="6"/>
        <v/>
      </c>
      <c r="U57" s="111"/>
      <c r="V57" s="111"/>
      <c r="W57" s="112" t="str">
        <f t="shared" si="7"/>
        <v/>
      </c>
      <c r="X57" s="111"/>
      <c r="Y57" s="111"/>
      <c r="Z57" s="111"/>
      <c r="AA57" s="106" t="str">
        <f>IFERROR(IF(T57="Probabilidad",(L57-(+L57*W57)),IF(T57="Impacto",L57,"")),"")</f>
        <v/>
      </c>
      <c r="AB57" s="113" t="str">
        <f t="shared" si="8"/>
        <v/>
      </c>
      <c r="AC57" s="114" t="str">
        <f t="shared" si="9"/>
        <v/>
      </c>
      <c r="AD57" s="113" t="str">
        <f t="shared" si="10"/>
        <v/>
      </c>
      <c r="AE57" s="114" t="str">
        <f>IFERROR(IF(T57="Impacto",(P57-(+P57*W57)),IF(T57="Probabilidad",P57,"")),"")</f>
        <v/>
      </c>
      <c r="AF57" s="115" t="str">
        <f t="shared" si="11"/>
        <v/>
      </c>
      <c r="AG57" s="116"/>
      <c r="AH57" s="107"/>
      <c r="AI57" s="108"/>
      <c r="AJ57" s="217"/>
      <c r="AK57" s="109"/>
      <c r="AL57" s="107"/>
      <c r="AM57" s="108"/>
      <c r="AN57" s="7"/>
      <c r="AO57" s="7"/>
      <c r="AP57" s="7"/>
      <c r="AQ57" s="7"/>
      <c r="AR57" s="7"/>
      <c r="AS57" s="7"/>
      <c r="AT57" s="7"/>
      <c r="AU57" s="7"/>
      <c r="AV57" s="7"/>
      <c r="AW57" s="7"/>
      <c r="AX57" s="378"/>
      <c r="AY57" s="7"/>
      <c r="AZ57" s="7"/>
      <c r="BA57" s="7"/>
      <c r="BB57" s="7"/>
      <c r="BC57" s="7"/>
      <c r="BD57" s="7"/>
      <c r="BE57" s="7"/>
      <c r="BF57" s="7"/>
      <c r="BG57" s="7"/>
      <c r="BH57" s="7"/>
      <c r="BI57" s="7"/>
      <c r="BJ57" s="7"/>
      <c r="BK57" s="7"/>
      <c r="BL57" s="7"/>
      <c r="BM57" s="7"/>
      <c r="BN57" s="7"/>
      <c r="BO57" s="7"/>
      <c r="BP57" s="7"/>
      <c r="BQ57" s="7"/>
      <c r="BR57" s="7"/>
      <c r="BS57" s="7"/>
      <c r="BT57" s="7"/>
    </row>
    <row r="58" spans="1:72" ht="26.25" hidden="1" customHeight="1" x14ac:dyDescent="0.25">
      <c r="A58" s="699"/>
      <c r="B58" s="702"/>
      <c r="C58" s="693"/>
      <c r="D58" s="693"/>
      <c r="E58" s="210"/>
      <c r="F58" s="696"/>
      <c r="G58" s="569"/>
      <c r="H58" s="118"/>
      <c r="I58" s="702"/>
      <c r="J58" s="729"/>
      <c r="K58" s="681"/>
      <c r="L58" s="678"/>
      <c r="M58" s="708"/>
      <c r="N58" s="678">
        <f>IF(NOT(ISERROR(MATCH(M58,_xlfn.ANCHORARRAY(F69),0))),L71&amp;"Por favor no seleccionar los criterios de impacto",M58)</f>
        <v>0</v>
      </c>
      <c r="O58" s="681"/>
      <c r="P58" s="678"/>
      <c r="Q58" s="705"/>
      <c r="R58" s="103">
        <v>2</v>
      </c>
      <c r="S58" s="104"/>
      <c r="T58" s="105" t="str">
        <f t="shared" si="6"/>
        <v/>
      </c>
      <c r="U58" s="111"/>
      <c r="V58" s="111"/>
      <c r="W58" s="112" t="str">
        <f t="shared" si="7"/>
        <v/>
      </c>
      <c r="X58" s="111"/>
      <c r="Y58" s="111"/>
      <c r="Z58" s="111"/>
      <c r="AA58" s="106" t="str">
        <f>IFERROR(IF(AND(T57="Probabilidad",T58="Probabilidad"),(AC57-(+AC57*W58)),IF(AND(T57="Impacto",T58="Probabilidad"),(L57-(+L57*W58)),IF(T58="Impacto",AC57,""))),"")</f>
        <v/>
      </c>
      <c r="AB58" s="113" t="str">
        <f t="shared" si="8"/>
        <v/>
      </c>
      <c r="AC58" s="114" t="str">
        <f t="shared" si="9"/>
        <v/>
      </c>
      <c r="AD58" s="113" t="str">
        <f t="shared" si="10"/>
        <v/>
      </c>
      <c r="AE58" s="114" t="str">
        <f>IFERROR(IF(AND(T57="Impacto",T58="Impacto"),(AE57-(+AE57*W58)),IF(AND(T57="Probabilidad",T58="Impacto"),(P57-(+P57*W58)),IF(T58="Probabilidad",AE57,""))),"")</f>
        <v/>
      </c>
      <c r="AF58" s="115" t="str">
        <f t="shared" si="11"/>
        <v/>
      </c>
      <c r="AG58" s="116"/>
      <c r="AH58" s="107"/>
      <c r="AI58" s="108"/>
      <c r="AJ58" s="217"/>
      <c r="AK58" s="109"/>
      <c r="AL58" s="107"/>
      <c r="AM58" s="108"/>
      <c r="AN58" s="7"/>
      <c r="AO58" s="7"/>
      <c r="AP58" s="7"/>
      <c r="AQ58" s="7"/>
      <c r="AR58" s="7"/>
      <c r="AS58" s="7"/>
      <c r="AT58" s="7"/>
      <c r="AU58" s="7"/>
      <c r="AV58" s="7"/>
      <c r="AW58" s="7"/>
      <c r="AX58" s="378"/>
      <c r="AY58" s="7"/>
      <c r="AZ58" s="7"/>
      <c r="BA58" s="7"/>
      <c r="BB58" s="7"/>
      <c r="BC58" s="7"/>
      <c r="BD58" s="7"/>
      <c r="BE58" s="7"/>
      <c r="BF58" s="7"/>
      <c r="BG58" s="7"/>
      <c r="BH58" s="7"/>
      <c r="BI58" s="7"/>
      <c r="BJ58" s="7"/>
      <c r="BK58" s="7"/>
      <c r="BL58" s="7"/>
      <c r="BM58" s="7"/>
      <c r="BN58" s="7"/>
      <c r="BO58" s="7"/>
      <c r="BP58" s="7"/>
      <c r="BQ58" s="7"/>
      <c r="BR58" s="7"/>
      <c r="BS58" s="7"/>
      <c r="BT58" s="7"/>
    </row>
    <row r="59" spans="1:72" ht="26.25" hidden="1" customHeight="1" x14ac:dyDescent="0.25">
      <c r="A59" s="699"/>
      <c r="B59" s="702"/>
      <c r="C59" s="693"/>
      <c r="D59" s="693"/>
      <c r="E59" s="210"/>
      <c r="F59" s="696"/>
      <c r="G59" s="569"/>
      <c r="H59" s="118"/>
      <c r="I59" s="702"/>
      <c r="J59" s="729"/>
      <c r="K59" s="681"/>
      <c r="L59" s="678"/>
      <c r="M59" s="708"/>
      <c r="N59" s="678">
        <f>IF(NOT(ISERROR(MATCH(M59,_xlfn.ANCHORARRAY(F70),0))),L72&amp;"Por favor no seleccionar los criterios de impacto",M59)</f>
        <v>0</v>
      </c>
      <c r="O59" s="681"/>
      <c r="P59" s="678"/>
      <c r="Q59" s="705"/>
      <c r="R59" s="103">
        <v>3</v>
      </c>
      <c r="S59" s="110"/>
      <c r="T59" s="105" t="str">
        <f t="shared" si="6"/>
        <v/>
      </c>
      <c r="U59" s="111"/>
      <c r="V59" s="111"/>
      <c r="W59" s="112" t="str">
        <f t="shared" si="7"/>
        <v/>
      </c>
      <c r="X59" s="111"/>
      <c r="Y59" s="111"/>
      <c r="Z59" s="111"/>
      <c r="AA59" s="106" t="str">
        <f>IFERROR(IF(AND(T58="Probabilidad",T59="Probabilidad"),(AC58-(+AC58*W59)),IF(AND(T58="Impacto",T59="Probabilidad"),(AC57-(+AC57*W59)),IF(T59="Impacto",AC58,""))),"")</f>
        <v/>
      </c>
      <c r="AB59" s="113" t="str">
        <f t="shared" si="8"/>
        <v/>
      </c>
      <c r="AC59" s="114" t="str">
        <f t="shared" si="9"/>
        <v/>
      </c>
      <c r="AD59" s="113" t="str">
        <f t="shared" si="10"/>
        <v/>
      </c>
      <c r="AE59" s="114" t="str">
        <f>IFERROR(IF(AND(T58="Impacto",T59="Impacto"),(AE58-(+AE58*W59)),IF(AND(T58="Probabilidad",T59="Impacto"),(AE57-(+AE57*W59)),IF(T59="Probabilidad",AE58,""))),"")</f>
        <v/>
      </c>
      <c r="AF59" s="115" t="str">
        <f t="shared" si="11"/>
        <v/>
      </c>
      <c r="AG59" s="116"/>
      <c r="AH59" s="107"/>
      <c r="AI59" s="108"/>
      <c r="AJ59" s="217"/>
      <c r="AK59" s="109"/>
      <c r="AL59" s="107"/>
      <c r="AM59" s="108"/>
      <c r="AN59" s="7"/>
      <c r="AO59" s="7"/>
      <c r="AP59" s="7"/>
      <c r="AQ59" s="7"/>
      <c r="AR59" s="7"/>
      <c r="AS59" s="7"/>
      <c r="AT59" s="7"/>
      <c r="AU59" s="7"/>
      <c r="AV59" s="7"/>
      <c r="AW59" s="7"/>
      <c r="AX59" s="378"/>
      <c r="AY59" s="7"/>
      <c r="AZ59" s="7"/>
      <c r="BA59" s="7"/>
      <c r="BB59" s="7"/>
      <c r="BC59" s="7"/>
      <c r="BD59" s="7"/>
      <c r="BE59" s="7"/>
      <c r="BF59" s="7"/>
      <c r="BG59" s="7"/>
      <c r="BH59" s="7"/>
      <c r="BI59" s="7"/>
      <c r="BJ59" s="7"/>
      <c r="BK59" s="7"/>
      <c r="BL59" s="7"/>
      <c r="BM59" s="7"/>
      <c r="BN59" s="7"/>
      <c r="BO59" s="7"/>
      <c r="BP59" s="7"/>
      <c r="BQ59" s="7"/>
      <c r="BR59" s="7"/>
      <c r="BS59" s="7"/>
      <c r="BT59" s="7"/>
    </row>
    <row r="60" spans="1:72" ht="26.25" hidden="1" customHeight="1" x14ac:dyDescent="0.25">
      <c r="A60" s="699"/>
      <c r="B60" s="702"/>
      <c r="C60" s="693"/>
      <c r="D60" s="693"/>
      <c r="E60" s="210"/>
      <c r="F60" s="696"/>
      <c r="G60" s="569"/>
      <c r="H60" s="118"/>
      <c r="I60" s="702"/>
      <c r="J60" s="729"/>
      <c r="K60" s="681"/>
      <c r="L60" s="678"/>
      <c r="M60" s="708"/>
      <c r="N60" s="678">
        <f>IF(NOT(ISERROR(MATCH(M60,_xlfn.ANCHORARRAY(F71),0))),L73&amp;"Por favor no seleccionar los criterios de impacto",M60)</f>
        <v>0</v>
      </c>
      <c r="O60" s="681"/>
      <c r="P60" s="678"/>
      <c r="Q60" s="705"/>
      <c r="R60" s="103">
        <v>4</v>
      </c>
      <c r="S60" s="104"/>
      <c r="T60" s="105" t="str">
        <f t="shared" si="6"/>
        <v/>
      </c>
      <c r="U60" s="111"/>
      <c r="V60" s="111"/>
      <c r="W60" s="112" t="str">
        <f t="shared" si="7"/>
        <v/>
      </c>
      <c r="X60" s="111"/>
      <c r="Y60" s="111"/>
      <c r="Z60" s="111"/>
      <c r="AA60" s="106" t="str">
        <f>IFERROR(IF(AND(T59="Probabilidad",T60="Probabilidad"),(AC59-(+AC59*W60)),IF(AND(T59="Impacto",T60="Probabilidad"),(AC58-(+AC58*W60)),IF(T60="Impacto",AC59,""))),"")</f>
        <v/>
      </c>
      <c r="AB60" s="113" t="str">
        <f t="shared" si="8"/>
        <v/>
      </c>
      <c r="AC60" s="114" t="str">
        <f t="shared" si="9"/>
        <v/>
      </c>
      <c r="AD60" s="113" t="str">
        <f t="shared" si="10"/>
        <v/>
      </c>
      <c r="AE60" s="114" t="str">
        <f>IFERROR(IF(AND(T59="Impacto",T60="Impacto"),(AE59-(+AE59*W60)),IF(AND(T59="Probabilidad",T60="Impacto"),(AE58-(+AE58*W60)),IF(T60="Probabilidad",AE59,""))),"")</f>
        <v/>
      </c>
      <c r="AF60" s="115" t="str">
        <f t="shared" si="11"/>
        <v/>
      </c>
      <c r="AG60" s="116"/>
      <c r="AH60" s="107"/>
      <c r="AI60" s="108"/>
      <c r="AJ60" s="217"/>
      <c r="AK60" s="109"/>
      <c r="AL60" s="107"/>
      <c r="AM60" s="108"/>
      <c r="AN60" s="7"/>
      <c r="AO60" s="7"/>
      <c r="AP60" s="7"/>
      <c r="AQ60" s="7"/>
      <c r="AR60" s="7"/>
      <c r="AS60" s="7"/>
      <c r="AT60" s="7"/>
      <c r="AU60" s="7"/>
      <c r="AV60" s="7"/>
      <c r="AW60" s="7"/>
      <c r="AX60" s="378"/>
      <c r="AY60" s="7"/>
      <c r="AZ60" s="7"/>
      <c r="BA60" s="7"/>
      <c r="BB60" s="7"/>
      <c r="BC60" s="7"/>
      <c r="BD60" s="7"/>
      <c r="BE60" s="7"/>
      <c r="BF60" s="7"/>
      <c r="BG60" s="7"/>
      <c r="BH60" s="7"/>
      <c r="BI60" s="7"/>
      <c r="BJ60" s="7"/>
      <c r="BK60" s="7"/>
      <c r="BL60" s="7"/>
      <c r="BM60" s="7"/>
      <c r="BN60" s="7"/>
      <c r="BO60" s="7"/>
      <c r="BP60" s="7"/>
      <c r="BQ60" s="7"/>
      <c r="BR60" s="7"/>
      <c r="BS60" s="7"/>
      <c r="BT60" s="7"/>
    </row>
    <row r="61" spans="1:72" ht="26.25" hidden="1" customHeight="1" x14ac:dyDescent="0.25">
      <c r="A61" s="699"/>
      <c r="B61" s="702"/>
      <c r="C61" s="693"/>
      <c r="D61" s="693"/>
      <c r="E61" s="210"/>
      <c r="F61" s="696"/>
      <c r="G61" s="569"/>
      <c r="H61" s="118"/>
      <c r="I61" s="702"/>
      <c r="J61" s="729"/>
      <c r="K61" s="681"/>
      <c r="L61" s="678"/>
      <c r="M61" s="708"/>
      <c r="N61" s="678">
        <f>IF(NOT(ISERROR(MATCH(M61,_xlfn.ANCHORARRAY(F72),0))),L74&amp;"Por favor no seleccionar los criterios de impacto",M61)</f>
        <v>0</v>
      </c>
      <c r="O61" s="681"/>
      <c r="P61" s="678"/>
      <c r="Q61" s="705"/>
      <c r="R61" s="103">
        <v>5</v>
      </c>
      <c r="S61" s="104"/>
      <c r="T61" s="105" t="str">
        <f t="shared" si="6"/>
        <v/>
      </c>
      <c r="U61" s="111"/>
      <c r="V61" s="111"/>
      <c r="W61" s="112" t="str">
        <f t="shared" si="7"/>
        <v/>
      </c>
      <c r="X61" s="111"/>
      <c r="Y61" s="111"/>
      <c r="Z61" s="111"/>
      <c r="AA61" s="106" t="str">
        <f>IFERROR(IF(AND(T60="Probabilidad",T61="Probabilidad"),(AC60-(+AC60*W61)),IF(AND(T60="Impacto",T61="Probabilidad"),(AC59-(+AC59*W61)),IF(T61="Impacto",AC60,""))),"")</f>
        <v/>
      </c>
      <c r="AB61" s="113" t="str">
        <f t="shared" si="8"/>
        <v/>
      </c>
      <c r="AC61" s="114" t="str">
        <f t="shared" si="9"/>
        <v/>
      </c>
      <c r="AD61" s="113" t="str">
        <f t="shared" si="10"/>
        <v/>
      </c>
      <c r="AE61" s="114" t="str">
        <f>IFERROR(IF(AND(T60="Impacto",T61="Impacto"),(AE60-(+AE60*W61)),IF(AND(T60="Probabilidad",T61="Impacto"),(AE59-(+AE59*W61)),IF(T61="Probabilidad",AE60,""))),"")</f>
        <v/>
      </c>
      <c r="AF61" s="115" t="str">
        <f t="shared" si="11"/>
        <v/>
      </c>
      <c r="AG61" s="116"/>
      <c r="AH61" s="107"/>
      <c r="AI61" s="108"/>
      <c r="AJ61" s="217"/>
      <c r="AK61" s="109"/>
      <c r="AL61" s="107"/>
      <c r="AM61" s="108"/>
      <c r="AN61" s="7"/>
      <c r="AO61" s="7"/>
      <c r="AP61" s="7"/>
      <c r="AQ61" s="7"/>
      <c r="AR61" s="7"/>
      <c r="AS61" s="7"/>
      <c r="AT61" s="7"/>
      <c r="AU61" s="7"/>
      <c r="AV61" s="7"/>
      <c r="AW61" s="7"/>
      <c r="AX61" s="378"/>
      <c r="AY61" s="7"/>
      <c r="AZ61" s="7"/>
      <c r="BA61" s="7"/>
      <c r="BB61" s="7"/>
      <c r="BC61" s="7"/>
      <c r="BD61" s="7"/>
      <c r="BE61" s="7"/>
      <c r="BF61" s="7"/>
      <c r="BG61" s="7"/>
      <c r="BH61" s="7"/>
      <c r="BI61" s="7"/>
      <c r="BJ61" s="7"/>
      <c r="BK61" s="7"/>
      <c r="BL61" s="7"/>
      <c r="BM61" s="7"/>
      <c r="BN61" s="7"/>
      <c r="BO61" s="7"/>
      <c r="BP61" s="7"/>
      <c r="BQ61" s="7"/>
      <c r="BR61" s="7"/>
      <c r="BS61" s="7"/>
      <c r="BT61" s="7"/>
    </row>
    <row r="62" spans="1:72" ht="26.25" hidden="1" customHeight="1" x14ac:dyDescent="0.25">
      <c r="A62" s="700"/>
      <c r="B62" s="703"/>
      <c r="C62" s="694"/>
      <c r="D62" s="694"/>
      <c r="E62" s="211"/>
      <c r="F62" s="697"/>
      <c r="G62" s="570"/>
      <c r="H62" s="119"/>
      <c r="I62" s="703"/>
      <c r="J62" s="730"/>
      <c r="K62" s="682"/>
      <c r="L62" s="679"/>
      <c r="M62" s="709"/>
      <c r="N62" s="679">
        <f>IF(NOT(ISERROR(MATCH(M62,_xlfn.ANCHORARRAY(F73),0))),L75&amp;"Por favor no seleccionar los criterios de impacto",M62)</f>
        <v>0</v>
      </c>
      <c r="O62" s="682"/>
      <c r="P62" s="679"/>
      <c r="Q62" s="706"/>
      <c r="R62" s="103">
        <v>6</v>
      </c>
      <c r="S62" s="104"/>
      <c r="T62" s="105" t="str">
        <f t="shared" si="6"/>
        <v/>
      </c>
      <c r="U62" s="111"/>
      <c r="V62" s="111"/>
      <c r="W62" s="112" t="str">
        <f t="shared" si="7"/>
        <v/>
      </c>
      <c r="X62" s="111"/>
      <c r="Y62" s="111"/>
      <c r="Z62" s="111"/>
      <c r="AA62" s="106" t="str">
        <f>IFERROR(IF(AND(T61="Probabilidad",T62="Probabilidad"),(AC61-(+AC61*W62)),IF(AND(T61="Impacto",T62="Probabilidad"),(AC60-(+AC60*W62)),IF(T62="Impacto",AC61,""))),"")</f>
        <v/>
      </c>
      <c r="AB62" s="113" t="str">
        <f t="shared" si="8"/>
        <v/>
      </c>
      <c r="AC62" s="114" t="str">
        <f t="shared" si="9"/>
        <v/>
      </c>
      <c r="AD62" s="113" t="str">
        <f t="shared" si="10"/>
        <v/>
      </c>
      <c r="AE62" s="114" t="str">
        <f>IFERROR(IF(AND(T61="Impacto",T62="Impacto"),(AE61-(+AE61*W62)),IF(AND(T61="Probabilidad",T62="Impacto"),(AE60-(+AE60*W62)),IF(T62="Probabilidad",AE61,""))),"")</f>
        <v/>
      </c>
      <c r="AF62" s="115" t="str">
        <f t="shared" si="11"/>
        <v/>
      </c>
      <c r="AG62" s="116"/>
      <c r="AH62" s="107"/>
      <c r="AI62" s="108"/>
      <c r="AJ62" s="217"/>
      <c r="AK62" s="109"/>
      <c r="AL62" s="107"/>
      <c r="AM62" s="108"/>
      <c r="AN62" s="7"/>
      <c r="AO62" s="7"/>
      <c r="AP62" s="7"/>
      <c r="AQ62" s="7"/>
      <c r="AR62" s="7"/>
      <c r="AS62" s="7"/>
      <c r="AT62" s="7"/>
      <c r="AU62" s="7"/>
      <c r="AV62" s="7"/>
      <c r="AW62" s="7"/>
      <c r="AX62" s="378"/>
      <c r="AY62" s="7"/>
      <c r="AZ62" s="7"/>
      <c r="BA62" s="7"/>
      <c r="BB62" s="7"/>
      <c r="BC62" s="7"/>
      <c r="BD62" s="7"/>
      <c r="BE62" s="7"/>
      <c r="BF62" s="7"/>
      <c r="BG62" s="7"/>
      <c r="BH62" s="7"/>
      <c r="BI62" s="7"/>
      <c r="BJ62" s="7"/>
      <c r="BK62" s="7"/>
      <c r="BL62" s="7"/>
      <c r="BM62" s="7"/>
      <c r="BN62" s="7"/>
      <c r="BO62" s="7"/>
      <c r="BP62" s="7"/>
      <c r="BQ62" s="7"/>
      <c r="BR62" s="7"/>
      <c r="BS62" s="7"/>
      <c r="BT62" s="7"/>
    </row>
    <row r="63" spans="1:72" ht="19.5" hidden="1" customHeight="1" x14ac:dyDescent="0.25">
      <c r="A63" s="698">
        <v>10</v>
      </c>
      <c r="B63" s="701"/>
      <c r="C63" s="692"/>
      <c r="D63" s="692"/>
      <c r="E63" s="209"/>
      <c r="F63" s="695"/>
      <c r="G63" s="568"/>
      <c r="H63" s="117"/>
      <c r="I63" s="701"/>
      <c r="J63" s="728"/>
      <c r="K63" s="680" t="str">
        <f>IF(J63&lt;=0,"",IF(J63&lt;=2,"Muy Baja",IF(J63&lt;=24,"Baja",IF(J63&lt;=500,"Media",IF(J63&lt;=5000,"Alta","Muy Alta")))))</f>
        <v/>
      </c>
      <c r="L63" s="677" t="str">
        <f>IF(K63="","",IF(K63="Muy Baja",0.2,IF(K63="Baja",0.4,IF(K63="Media",0.6,IF(K63="Alta",0.8,IF(K63="Muy Alta",1,))))))</f>
        <v/>
      </c>
      <c r="M63" s="707"/>
      <c r="N63" s="677">
        <f>IF(NOT(ISERROR(MATCH(M63,'Tabla Impacto'!$B$221:$B$223,0))),'Tabla Impacto'!$F$223&amp;"Por favor no seleccionar los criterios de impacto(Afectación Económica o presupuestal y Pérdida Reputacional)",M63)</f>
        <v>0</v>
      </c>
      <c r="O63" s="680" t="str">
        <f>IF(OR(N63='Tabla Impacto'!$C$11,N63='Tabla Impacto'!$D$11),"Leve",IF(OR(N63='Tabla Impacto'!$C$12,N63='Tabla Impacto'!$D$12),"Menor",IF(OR(N63='Tabla Impacto'!$C$13,N63='Tabla Impacto'!$D$13),"Moderado",IF(OR(N63='Tabla Impacto'!$C$14,N63='Tabla Impacto'!$D$14),"Mayor",IF(OR(N63='Tabla Impacto'!$C$15,N63='Tabla Impacto'!$D$15),"Catastrófico","")))))</f>
        <v/>
      </c>
      <c r="P63" s="677" t="str">
        <f>IF(O63="","",IF(O63="Leve",0.2,IF(O63="Menor",0.4,IF(O63="Moderado",0.6,IF(O63="Mayor",0.8,IF(O63="Catastrófico",1,))))))</f>
        <v/>
      </c>
      <c r="Q63" s="704" t="str">
        <f>IF(OR(AND(K63="Muy Baja",O63="Leve"),AND(K63="Muy Baja",O63="Menor"),AND(K63="Baja",O63="Leve")),"Bajo",IF(OR(AND(K63="Muy baja",O63="Moderado"),AND(K63="Baja",O63="Menor"),AND(K63="Baja",O63="Moderado"),AND(K63="Media",O63="Leve"),AND(K63="Media",O63="Menor"),AND(K63="Media",O63="Moderado"),AND(K63="Alta",O63="Leve"),AND(K63="Alta",O63="Menor")),"Moderado",IF(OR(AND(K63="Muy Baja",O63="Mayor"),AND(K63="Baja",O63="Mayor"),AND(K63="Media",O63="Mayor"),AND(K63="Alta",O63="Moderado"),AND(K63="Alta",O63="Mayor"),AND(K63="Muy Alta",O63="Leve"),AND(K63="Muy Alta",O63="Menor"),AND(K63="Muy Alta",O63="Moderado"),AND(K63="Muy Alta",O63="Mayor")),"Alto",IF(OR(AND(K63="Muy Baja",O63="Catastrófico"),AND(K63="Baja",O63="Catastrófico"),AND(K63="Media",O63="Catastrófico"),AND(K63="Alta",O63="Catastrófico"),AND(K63="Muy Alta",O63="Catastrófico")),"Extremo",""))))</f>
        <v/>
      </c>
      <c r="R63" s="103">
        <v>1</v>
      </c>
      <c r="S63" s="104">
        <f>DOFA!E49</f>
        <v>0</v>
      </c>
      <c r="T63" s="105" t="str">
        <f t="shared" si="6"/>
        <v/>
      </c>
      <c r="U63" s="111"/>
      <c r="V63" s="111"/>
      <c r="W63" s="112" t="str">
        <f t="shared" si="7"/>
        <v/>
      </c>
      <c r="X63" s="111"/>
      <c r="Y63" s="111"/>
      <c r="Z63" s="111"/>
      <c r="AA63" s="106" t="str">
        <f>IFERROR(IF(T63="Probabilidad",(L63-(+L63*W63)),IF(T63="Impacto",L63,"")),"")</f>
        <v/>
      </c>
      <c r="AB63" s="113" t="str">
        <f t="shared" si="8"/>
        <v/>
      </c>
      <c r="AC63" s="114" t="str">
        <f t="shared" si="9"/>
        <v/>
      </c>
      <c r="AD63" s="113" t="str">
        <f t="shared" si="10"/>
        <v/>
      </c>
      <c r="AE63" s="114" t="str">
        <f>IFERROR(IF(T63="Impacto",(P63-(+P63*W63)),IF(T63="Probabilidad",P63,"")),"")</f>
        <v/>
      </c>
      <c r="AF63" s="115" t="str">
        <f t="shared" si="11"/>
        <v/>
      </c>
      <c r="AG63" s="116"/>
      <c r="AH63" s="107"/>
      <c r="AI63" s="108"/>
      <c r="AJ63" s="217"/>
      <c r="AK63" s="109"/>
      <c r="AL63" s="107"/>
      <c r="AM63" s="108"/>
      <c r="AN63" s="7"/>
      <c r="AO63" s="7"/>
      <c r="AP63" s="7"/>
      <c r="AQ63" s="7"/>
      <c r="AR63" s="7"/>
      <c r="AS63" s="7"/>
      <c r="AT63" s="7"/>
      <c r="AU63" s="7"/>
      <c r="AV63" s="7"/>
      <c r="AW63" s="7"/>
      <c r="AX63" s="378"/>
      <c r="AY63" s="7"/>
      <c r="AZ63" s="7"/>
      <c r="BA63" s="7"/>
      <c r="BB63" s="7"/>
      <c r="BC63" s="7"/>
      <c r="BD63" s="7"/>
      <c r="BE63" s="7"/>
      <c r="BF63" s="7"/>
      <c r="BG63" s="7"/>
      <c r="BH63" s="7"/>
      <c r="BI63" s="7"/>
      <c r="BJ63" s="7"/>
      <c r="BK63" s="7"/>
      <c r="BL63" s="7"/>
      <c r="BM63" s="7"/>
      <c r="BN63" s="7"/>
      <c r="BO63" s="7"/>
      <c r="BP63" s="7"/>
      <c r="BQ63" s="7"/>
      <c r="BR63" s="7"/>
      <c r="BS63" s="7"/>
      <c r="BT63" s="7"/>
    </row>
    <row r="64" spans="1:72" ht="19.5" hidden="1" customHeight="1" x14ac:dyDescent="0.25">
      <c r="A64" s="699"/>
      <c r="B64" s="702"/>
      <c r="C64" s="693"/>
      <c r="D64" s="693"/>
      <c r="E64" s="210"/>
      <c r="F64" s="696"/>
      <c r="G64" s="569"/>
      <c r="H64" s="118"/>
      <c r="I64" s="702"/>
      <c r="J64" s="729"/>
      <c r="K64" s="681"/>
      <c r="L64" s="678"/>
      <c r="M64" s="708"/>
      <c r="N64" s="678">
        <f>IF(NOT(ISERROR(MATCH(M64,_xlfn.ANCHORARRAY(F75),0))),L77&amp;"Por favor no seleccionar los criterios de impacto",M64)</f>
        <v>0</v>
      </c>
      <c r="O64" s="681"/>
      <c r="P64" s="678"/>
      <c r="Q64" s="705"/>
      <c r="R64" s="103">
        <v>2</v>
      </c>
      <c r="S64" s="104"/>
      <c r="T64" s="105" t="str">
        <f t="shared" si="6"/>
        <v/>
      </c>
      <c r="U64" s="111"/>
      <c r="V64" s="111"/>
      <c r="W64" s="112" t="str">
        <f t="shared" si="7"/>
        <v/>
      </c>
      <c r="X64" s="111"/>
      <c r="Y64" s="111"/>
      <c r="Z64" s="111"/>
      <c r="AA64" s="106" t="str">
        <f>IFERROR(IF(AND(T63="Probabilidad",T64="Probabilidad"),(AC63-(+AC63*W64)),IF(AND(T63="Impacto",T64="Probabilidad"),(L63-(+L63*W64)),IF(T64="Impacto",AC63,""))),"")</f>
        <v/>
      </c>
      <c r="AB64" s="113" t="str">
        <f t="shared" si="8"/>
        <v/>
      </c>
      <c r="AC64" s="114" t="str">
        <f t="shared" si="9"/>
        <v/>
      </c>
      <c r="AD64" s="113" t="str">
        <f t="shared" si="10"/>
        <v/>
      </c>
      <c r="AE64" s="114" t="str">
        <f>IFERROR(IF(AND(T63="Impacto",T64="Impacto"),(AE63-(+AE63*W64)),IF(AND(T63="Probabilidad",T64="Impacto"),(P63-(+P63*W64)),IF(T64="Probabilidad",AE63,""))),"")</f>
        <v/>
      </c>
      <c r="AF64" s="115" t="str">
        <f t="shared" si="11"/>
        <v/>
      </c>
      <c r="AG64" s="116"/>
      <c r="AH64" s="107"/>
      <c r="AI64" s="108"/>
      <c r="AJ64" s="217"/>
      <c r="AK64" s="109"/>
      <c r="AL64" s="107"/>
      <c r="AM64" s="108"/>
    </row>
    <row r="65" spans="1:51" ht="19.5" hidden="1" customHeight="1" x14ac:dyDescent="0.25">
      <c r="A65" s="699"/>
      <c r="B65" s="702"/>
      <c r="C65" s="693"/>
      <c r="D65" s="693"/>
      <c r="E65" s="210"/>
      <c r="F65" s="696"/>
      <c r="G65" s="569"/>
      <c r="H65" s="118"/>
      <c r="I65" s="702"/>
      <c r="J65" s="729"/>
      <c r="K65" s="681"/>
      <c r="L65" s="678"/>
      <c r="M65" s="708"/>
      <c r="N65" s="678">
        <f>IF(NOT(ISERROR(MATCH(M65,_xlfn.ANCHORARRAY(F76),0))),L78&amp;"Por favor no seleccionar los criterios de impacto",M65)</f>
        <v>0</v>
      </c>
      <c r="O65" s="681"/>
      <c r="P65" s="678"/>
      <c r="Q65" s="705"/>
      <c r="R65" s="103">
        <v>3</v>
      </c>
      <c r="S65" s="110"/>
      <c r="T65" s="105" t="str">
        <f t="shared" si="6"/>
        <v/>
      </c>
      <c r="U65" s="111"/>
      <c r="V65" s="111"/>
      <c r="W65" s="112" t="str">
        <f t="shared" si="7"/>
        <v/>
      </c>
      <c r="X65" s="111"/>
      <c r="Y65" s="111"/>
      <c r="Z65" s="111"/>
      <c r="AA65" s="106" t="str">
        <f>IFERROR(IF(AND(T64="Probabilidad",T65="Probabilidad"),(AC64-(+AC64*W65)),IF(AND(T64="Impacto",T65="Probabilidad"),(AC63-(+AC63*W65)),IF(T65="Impacto",AC64,""))),"")</f>
        <v/>
      </c>
      <c r="AB65" s="113" t="str">
        <f t="shared" si="8"/>
        <v/>
      </c>
      <c r="AC65" s="114" t="str">
        <f t="shared" si="9"/>
        <v/>
      </c>
      <c r="AD65" s="113" t="str">
        <f t="shared" si="10"/>
        <v/>
      </c>
      <c r="AE65" s="114" t="str">
        <f>IFERROR(IF(AND(T64="Impacto",T65="Impacto"),(AE64-(+AE64*W65)),IF(AND(T64="Probabilidad",T65="Impacto"),(AE63-(+AE63*W65)),IF(T65="Probabilidad",AE64,""))),"")</f>
        <v/>
      </c>
      <c r="AF65" s="115" t="str">
        <f t="shared" si="11"/>
        <v/>
      </c>
      <c r="AG65" s="116"/>
      <c r="AH65" s="107"/>
      <c r="AI65" s="108"/>
      <c r="AJ65" s="217"/>
      <c r="AK65" s="109"/>
      <c r="AL65" s="107"/>
      <c r="AM65" s="108"/>
    </row>
    <row r="66" spans="1:51" ht="19.5" hidden="1" customHeight="1" x14ac:dyDescent="0.25">
      <c r="A66" s="699"/>
      <c r="B66" s="702"/>
      <c r="C66" s="693"/>
      <c r="D66" s="693"/>
      <c r="E66" s="210"/>
      <c r="F66" s="696"/>
      <c r="G66" s="569"/>
      <c r="H66" s="118"/>
      <c r="I66" s="702"/>
      <c r="J66" s="729"/>
      <c r="K66" s="681"/>
      <c r="L66" s="678"/>
      <c r="M66" s="708"/>
      <c r="N66" s="678">
        <f>IF(NOT(ISERROR(MATCH(M66,_xlfn.ANCHORARRAY(F77),0))),L79&amp;"Por favor no seleccionar los criterios de impacto",M66)</f>
        <v>0</v>
      </c>
      <c r="O66" s="681"/>
      <c r="P66" s="678"/>
      <c r="Q66" s="705"/>
      <c r="R66" s="103">
        <v>4</v>
      </c>
      <c r="S66" s="104"/>
      <c r="T66" s="105" t="str">
        <f t="shared" si="6"/>
        <v/>
      </c>
      <c r="U66" s="111"/>
      <c r="V66" s="111"/>
      <c r="W66" s="112" t="str">
        <f t="shared" si="7"/>
        <v/>
      </c>
      <c r="X66" s="111"/>
      <c r="Y66" s="111"/>
      <c r="Z66" s="111"/>
      <c r="AA66" s="106" t="str">
        <f>IFERROR(IF(AND(T65="Probabilidad",T66="Probabilidad"),(AC65-(+AC65*W66)),IF(AND(T65="Impacto",T66="Probabilidad"),(AC64-(+AC64*W66)),IF(T66="Impacto",AC65,""))),"")</f>
        <v/>
      </c>
      <c r="AB66" s="113" t="str">
        <f t="shared" si="8"/>
        <v/>
      </c>
      <c r="AC66" s="114" t="str">
        <f t="shared" si="9"/>
        <v/>
      </c>
      <c r="AD66" s="113" t="str">
        <f t="shared" si="10"/>
        <v/>
      </c>
      <c r="AE66" s="114" t="str">
        <f>IFERROR(IF(AND(T65="Impacto",T66="Impacto"),(AE65-(+AE65*W66)),IF(AND(T65="Probabilidad",T66="Impacto"),(AE64-(+AE64*W66)),IF(T66="Probabilidad",AE65,""))),"")</f>
        <v/>
      </c>
      <c r="AF66" s="115" t="str">
        <f t="shared" si="11"/>
        <v/>
      </c>
      <c r="AG66" s="116"/>
      <c r="AH66" s="107"/>
      <c r="AI66" s="108"/>
      <c r="AJ66" s="217"/>
      <c r="AK66" s="109"/>
      <c r="AL66" s="107"/>
      <c r="AM66" s="108"/>
    </row>
    <row r="67" spans="1:51" ht="19.5" hidden="1" customHeight="1" x14ac:dyDescent="0.25">
      <c r="A67" s="699"/>
      <c r="B67" s="702"/>
      <c r="C67" s="693"/>
      <c r="D67" s="693"/>
      <c r="E67" s="210"/>
      <c r="F67" s="696"/>
      <c r="G67" s="569"/>
      <c r="H67" s="118"/>
      <c r="I67" s="702"/>
      <c r="J67" s="729"/>
      <c r="K67" s="681"/>
      <c r="L67" s="678"/>
      <c r="M67" s="708"/>
      <c r="N67" s="678">
        <f>IF(NOT(ISERROR(MATCH(M67,_xlfn.ANCHORARRAY(F78),0))),L80&amp;"Por favor no seleccionar los criterios de impacto",M67)</f>
        <v>0</v>
      </c>
      <c r="O67" s="681"/>
      <c r="P67" s="678"/>
      <c r="Q67" s="705"/>
      <c r="R67" s="103">
        <v>5</v>
      </c>
      <c r="S67" s="104"/>
      <c r="T67" s="105" t="str">
        <f t="shared" si="6"/>
        <v/>
      </c>
      <c r="U67" s="111"/>
      <c r="V67" s="111"/>
      <c r="W67" s="112" t="str">
        <f t="shared" si="7"/>
        <v/>
      </c>
      <c r="X67" s="111"/>
      <c r="Y67" s="111"/>
      <c r="Z67" s="111"/>
      <c r="AA67" s="106" t="str">
        <f>IFERROR(IF(AND(T66="Probabilidad",T67="Probabilidad"),(AC66-(+AC66*W67)),IF(AND(T66="Impacto",T67="Probabilidad"),(AC65-(+AC65*W67)),IF(T67="Impacto",AC66,""))),"")</f>
        <v/>
      </c>
      <c r="AB67" s="113" t="str">
        <f t="shared" si="8"/>
        <v/>
      </c>
      <c r="AC67" s="114" t="str">
        <f t="shared" si="9"/>
        <v/>
      </c>
      <c r="AD67" s="113" t="str">
        <f t="shared" si="10"/>
        <v/>
      </c>
      <c r="AE67" s="114" t="str">
        <f>IFERROR(IF(AND(T66="Impacto",T67="Impacto"),(AE66-(+AE66*W67)),IF(AND(T66="Probabilidad",T67="Impacto"),(AE65-(+AE65*W67)),IF(T67="Probabilidad",AE66,""))),"")</f>
        <v/>
      </c>
      <c r="AF67" s="115" t="str">
        <f t="shared" si="11"/>
        <v/>
      </c>
      <c r="AG67" s="116"/>
      <c r="AH67" s="107"/>
      <c r="AI67" s="108"/>
      <c r="AJ67" s="217"/>
      <c r="AK67" s="109"/>
      <c r="AL67" s="107"/>
      <c r="AM67" s="108"/>
    </row>
    <row r="68" spans="1:51" ht="19.5" hidden="1" customHeight="1" x14ac:dyDescent="0.25">
      <c r="A68" s="700"/>
      <c r="B68" s="703"/>
      <c r="C68" s="694"/>
      <c r="D68" s="694"/>
      <c r="E68" s="211"/>
      <c r="F68" s="697"/>
      <c r="G68" s="570"/>
      <c r="H68" s="119"/>
      <c r="I68" s="703"/>
      <c r="J68" s="730"/>
      <c r="K68" s="682"/>
      <c r="L68" s="679"/>
      <c r="M68" s="709"/>
      <c r="N68" s="679">
        <f>IF(NOT(ISERROR(MATCH(M68,_xlfn.ANCHORARRAY(F79),0))),L81&amp;"Por favor no seleccionar los criterios de impacto",M68)</f>
        <v>0</v>
      </c>
      <c r="O68" s="682"/>
      <c r="P68" s="679"/>
      <c r="Q68" s="706"/>
      <c r="R68" s="103">
        <v>6</v>
      </c>
      <c r="S68" s="104"/>
      <c r="T68" s="105" t="str">
        <f t="shared" si="6"/>
        <v/>
      </c>
      <c r="U68" s="111"/>
      <c r="V68" s="111"/>
      <c r="W68" s="112" t="str">
        <f t="shared" si="7"/>
        <v/>
      </c>
      <c r="X68" s="111"/>
      <c r="Y68" s="111"/>
      <c r="Z68" s="111"/>
      <c r="AA68" s="106" t="str">
        <f>IFERROR(IF(AND(T67="Probabilidad",T68="Probabilidad"),(AC67-(+AC67*W68)),IF(AND(T67="Impacto",T68="Probabilidad"),(AC66-(+AC66*W68)),IF(T68="Impacto",AC67,""))),"")</f>
        <v/>
      </c>
      <c r="AB68" s="113" t="str">
        <f t="shared" si="8"/>
        <v/>
      </c>
      <c r="AC68" s="114" t="str">
        <f t="shared" si="9"/>
        <v/>
      </c>
      <c r="AD68" s="113" t="str">
        <f t="shared" si="10"/>
        <v/>
      </c>
      <c r="AE68" s="114" t="str">
        <f>IFERROR(IF(AND(T67="Impacto",T68="Impacto"),(AE67-(+AE67*W68)),IF(AND(T67="Probabilidad",T68="Impacto"),(AE66-(+AE66*W68)),IF(T68="Probabilidad",AE67,""))),"")</f>
        <v/>
      </c>
      <c r="AF68" s="115" t="str">
        <f t="shared" si="11"/>
        <v/>
      </c>
      <c r="AG68" s="116"/>
      <c r="AH68" s="107"/>
      <c r="AI68" s="108"/>
      <c r="AJ68" s="217"/>
      <c r="AK68" s="109"/>
      <c r="AL68" s="107"/>
      <c r="AM68" s="108"/>
    </row>
    <row r="69" spans="1:51" ht="281.25" customHeight="1" x14ac:dyDescent="0.25">
      <c r="A69" s="5"/>
      <c r="B69" s="731" t="s">
        <v>126</v>
      </c>
      <c r="C69" s="732"/>
      <c r="D69" s="732"/>
      <c r="E69" s="732"/>
      <c r="F69" s="732"/>
      <c r="G69" s="732"/>
      <c r="H69" s="732"/>
      <c r="I69" s="732"/>
      <c r="J69" s="732"/>
      <c r="K69" s="732"/>
      <c r="L69" s="732"/>
      <c r="M69" s="732"/>
      <c r="N69" s="732"/>
      <c r="O69" s="732"/>
      <c r="P69" s="732"/>
      <c r="Q69" s="732"/>
      <c r="R69" s="732"/>
      <c r="S69" s="732"/>
      <c r="T69" s="732"/>
      <c r="U69" s="732"/>
      <c r="V69" s="732"/>
      <c r="W69" s="732"/>
      <c r="X69" s="732"/>
      <c r="Y69" s="732"/>
      <c r="Z69" s="732"/>
      <c r="AA69" s="732"/>
      <c r="AB69" s="732"/>
      <c r="AC69" s="732"/>
      <c r="AD69" s="732"/>
      <c r="AE69" s="732"/>
      <c r="AF69" s="732"/>
      <c r="AG69" s="732"/>
      <c r="AH69" s="732"/>
      <c r="AI69" s="732"/>
      <c r="AJ69" s="732"/>
      <c r="AK69" s="732"/>
      <c r="AL69" s="732"/>
      <c r="AM69" s="733"/>
      <c r="AN69" s="545" t="s">
        <v>460</v>
      </c>
      <c r="AO69" s="279"/>
      <c r="AP69" s="545" t="s">
        <v>461</v>
      </c>
      <c r="AQ69" s="279"/>
      <c r="AR69" s="545" t="s">
        <v>462</v>
      </c>
      <c r="AS69" s="279"/>
      <c r="AT69" s="545" t="s">
        <v>463</v>
      </c>
      <c r="AU69" s="279"/>
      <c r="AV69" s="545" t="s">
        <v>464</v>
      </c>
      <c r="AW69" s="279"/>
      <c r="AX69" s="547" t="s">
        <v>477</v>
      </c>
      <c r="AY69" s="549">
        <v>0</v>
      </c>
    </row>
    <row r="70" spans="1:51" ht="261" customHeight="1" thickBot="1" x14ac:dyDescent="0.3">
      <c r="AN70" s="546"/>
      <c r="AO70" s="280"/>
      <c r="AP70" s="546"/>
      <c r="AQ70" s="280"/>
      <c r="AR70" s="546"/>
      <c r="AS70" s="280"/>
      <c r="AT70" s="546"/>
      <c r="AU70" s="280"/>
      <c r="AV70" s="546"/>
      <c r="AW70" s="280"/>
      <c r="AX70" s="548"/>
      <c r="AY70" s="550"/>
    </row>
    <row r="71" spans="1:51" x14ac:dyDescent="0.25">
      <c r="A71" s="1"/>
      <c r="B71" s="23" t="s">
        <v>138</v>
      </c>
      <c r="C71" s="205"/>
      <c r="D71" s="205"/>
      <c r="I71" s="1"/>
    </row>
  </sheetData>
  <dataConsolidate link="1"/>
  <mergeCells count="192">
    <mergeCell ref="C4:AM4"/>
    <mergeCell ref="C5:AM5"/>
    <mergeCell ref="C6:AM6"/>
    <mergeCell ref="A1:AM2"/>
    <mergeCell ref="A7:J7"/>
    <mergeCell ref="K7:Q7"/>
    <mergeCell ref="R7:Z7"/>
    <mergeCell ref="AA7:AG7"/>
    <mergeCell ref="AH7:AM7"/>
    <mergeCell ref="B69:AM69"/>
    <mergeCell ref="P57:P62"/>
    <mergeCell ref="Q57:Q62"/>
    <mergeCell ref="A63:A68"/>
    <mergeCell ref="B63:B68"/>
    <mergeCell ref="C63:C68"/>
    <mergeCell ref="D63:D68"/>
    <mergeCell ref="F63:F68"/>
    <mergeCell ref="I63:I68"/>
    <mergeCell ref="J63:J68"/>
    <mergeCell ref="K63:K68"/>
    <mergeCell ref="L63:L68"/>
    <mergeCell ref="M63:M68"/>
    <mergeCell ref="N63:N68"/>
    <mergeCell ref="O63:O68"/>
    <mergeCell ref="P63:P68"/>
    <mergeCell ref="Q63:Q68"/>
    <mergeCell ref="M57:M62"/>
    <mergeCell ref="N57:N62"/>
    <mergeCell ref="O57:O62"/>
    <mergeCell ref="A57:A62"/>
    <mergeCell ref="B57:B62"/>
    <mergeCell ref="C57:C62"/>
    <mergeCell ref="D57:D62"/>
    <mergeCell ref="A39:A44"/>
    <mergeCell ref="F57:F62"/>
    <mergeCell ref="I57:I62"/>
    <mergeCell ref="J57:J62"/>
    <mergeCell ref="K57:K62"/>
    <mergeCell ref="L57:L62"/>
    <mergeCell ref="P45:P50"/>
    <mergeCell ref="Q45:Q50"/>
    <mergeCell ref="I51:I56"/>
    <mergeCell ref="J51:J56"/>
    <mergeCell ref="K51:K56"/>
    <mergeCell ref="L51:L56"/>
    <mergeCell ref="M51:M56"/>
    <mergeCell ref="I45:I50"/>
    <mergeCell ref="J45:J50"/>
    <mergeCell ref="K45:K50"/>
    <mergeCell ref="L45:L50"/>
    <mergeCell ref="N51:N56"/>
    <mergeCell ref="O51:O56"/>
    <mergeCell ref="P51:P56"/>
    <mergeCell ref="Q51:Q56"/>
    <mergeCell ref="A51:A56"/>
    <mergeCell ref="B51:B56"/>
    <mergeCell ref="C51:C56"/>
    <mergeCell ref="D51:D56"/>
    <mergeCell ref="F51:F56"/>
    <mergeCell ref="A45:A50"/>
    <mergeCell ref="B45:B50"/>
    <mergeCell ref="C45:C50"/>
    <mergeCell ref="D45:D50"/>
    <mergeCell ref="F45:F50"/>
    <mergeCell ref="P22:P27"/>
    <mergeCell ref="Q22:Q27"/>
    <mergeCell ref="P39:P44"/>
    <mergeCell ref="Q39:Q44"/>
    <mergeCell ref="M45:M50"/>
    <mergeCell ref="N45:N50"/>
    <mergeCell ref="O45:O50"/>
    <mergeCell ref="B33:B38"/>
    <mergeCell ref="C33:C38"/>
    <mergeCell ref="B39:B44"/>
    <mergeCell ref="C39:C44"/>
    <mergeCell ref="D39:D44"/>
    <mergeCell ref="F39:F44"/>
    <mergeCell ref="I39:I44"/>
    <mergeCell ref="D33:D38"/>
    <mergeCell ref="F33:F38"/>
    <mergeCell ref="M39:M44"/>
    <mergeCell ref="D16:D21"/>
    <mergeCell ref="F16:F21"/>
    <mergeCell ref="N39:N44"/>
    <mergeCell ref="O39:O44"/>
    <mergeCell ref="I33:I38"/>
    <mergeCell ref="J39:J44"/>
    <mergeCell ref="K39:K44"/>
    <mergeCell ref="L39:L44"/>
    <mergeCell ref="N33:N38"/>
    <mergeCell ref="N16:N21"/>
    <mergeCell ref="O16:O21"/>
    <mergeCell ref="AC8:AC9"/>
    <mergeCell ref="J8:J9"/>
    <mergeCell ref="P16:P21"/>
    <mergeCell ref="Q16:Q21"/>
    <mergeCell ref="A22:A27"/>
    <mergeCell ref="B22:B27"/>
    <mergeCell ref="C22:C27"/>
    <mergeCell ref="D22:D27"/>
    <mergeCell ref="F22:F27"/>
    <mergeCell ref="I22:I27"/>
    <mergeCell ref="J22:J27"/>
    <mergeCell ref="K22:K27"/>
    <mergeCell ref="L22:L27"/>
    <mergeCell ref="M22:M27"/>
    <mergeCell ref="N22:N27"/>
    <mergeCell ref="O22:O27"/>
    <mergeCell ref="I16:I21"/>
    <mergeCell ref="J16:J21"/>
    <mergeCell ref="K16:K21"/>
    <mergeCell ref="L16:L21"/>
    <mergeCell ref="M16:M21"/>
    <mergeCell ref="A16:A21"/>
    <mergeCell ref="B16:B21"/>
    <mergeCell ref="C16:C21"/>
    <mergeCell ref="N8:N9"/>
    <mergeCell ref="T8:T9"/>
    <mergeCell ref="AH8:AH9"/>
    <mergeCell ref="AM8:AM9"/>
    <mergeCell ref="AL8:AL9"/>
    <mergeCell ref="AK8:AK9"/>
    <mergeCell ref="AJ8:AJ9"/>
    <mergeCell ref="AI8:AI9"/>
    <mergeCell ref="A4:B4"/>
    <mergeCell ref="A5:B5"/>
    <mergeCell ref="A6:B6"/>
    <mergeCell ref="A8:A9"/>
    <mergeCell ref="I8:I9"/>
    <mergeCell ref="F8:F9"/>
    <mergeCell ref="D8:D9"/>
    <mergeCell ref="C8:C9"/>
    <mergeCell ref="AG8:AG9"/>
    <mergeCell ref="R8:R9"/>
    <mergeCell ref="AF8:AF9"/>
    <mergeCell ref="AE8:AE9"/>
    <mergeCell ref="AA8:AA9"/>
    <mergeCell ref="S8:S9"/>
    <mergeCell ref="AD8:AD9"/>
    <mergeCell ref="AB8:AB9"/>
    <mergeCell ref="U8:Z8"/>
    <mergeCell ref="E8:E9"/>
    <mergeCell ref="J10:J15"/>
    <mergeCell ref="K10:K15"/>
    <mergeCell ref="A10:A15"/>
    <mergeCell ref="B10:B15"/>
    <mergeCell ref="C10:C15"/>
    <mergeCell ref="D10:D15"/>
    <mergeCell ref="F10:F15"/>
    <mergeCell ref="Q10:Q15"/>
    <mergeCell ref="L10:L15"/>
    <mergeCell ref="M10:M15"/>
    <mergeCell ref="N10:N15"/>
    <mergeCell ref="O10:O15"/>
    <mergeCell ref="P10:P15"/>
    <mergeCell ref="H10:H15"/>
    <mergeCell ref="G10:G15"/>
    <mergeCell ref="K8:K9"/>
    <mergeCell ref="L8:L9"/>
    <mergeCell ref="O8:O9"/>
    <mergeCell ref="P8:P9"/>
    <mergeCell ref="B8:B9"/>
    <mergeCell ref="Q8:Q9"/>
    <mergeCell ref="M8:M9"/>
    <mergeCell ref="G16:G21"/>
    <mergeCell ref="G22:G27"/>
    <mergeCell ref="G33:G38"/>
    <mergeCell ref="G39:G44"/>
    <mergeCell ref="G45:G50"/>
    <mergeCell ref="G51:G56"/>
    <mergeCell ref="G57:G62"/>
    <mergeCell ref="G63:G68"/>
    <mergeCell ref="I10:I15"/>
    <mergeCell ref="AN69:AN70"/>
    <mergeCell ref="AP69:AP70"/>
    <mergeCell ref="AR69:AR70"/>
    <mergeCell ref="AT69:AT70"/>
    <mergeCell ref="AV69:AV70"/>
    <mergeCell ref="AX69:AX70"/>
    <mergeCell ref="AY69:AY70"/>
    <mergeCell ref="AX8:AX9"/>
    <mergeCell ref="AY8:AY9"/>
    <mergeCell ref="AW8:AW9"/>
    <mergeCell ref="AN8:AN9"/>
    <mergeCell ref="AO8:AO9"/>
    <mergeCell ref="AP8:AP9"/>
    <mergeCell ref="AQ8:AQ9"/>
    <mergeCell ref="AR8:AR9"/>
    <mergeCell ref="AS8:AS9"/>
    <mergeCell ref="AT8:AT9"/>
    <mergeCell ref="AU8:AU9"/>
    <mergeCell ref="AV8:AV9"/>
  </mergeCells>
  <conditionalFormatting sqref="K10 AB10:AB68 K16 K22 K28 K39 K45 K51 K57 K63">
    <cfRule type="cellIs" dxfId="32" priority="655" operator="equal">
      <formula>"Muy Alta"</formula>
    </cfRule>
    <cfRule type="cellIs" dxfId="31" priority="656" operator="equal">
      <formula>"Alta"</formula>
    </cfRule>
    <cfRule type="cellIs" dxfId="30" priority="657" operator="equal">
      <formula>"Media"</formula>
    </cfRule>
    <cfRule type="cellIs" dxfId="29" priority="658" operator="equal">
      <formula>"Baja"</formula>
    </cfRule>
    <cfRule type="cellIs" dxfId="28" priority="659" operator="equal">
      <formula>"Muy Baja"</formula>
    </cfRule>
  </conditionalFormatting>
  <conditionalFormatting sqref="K33:K34">
    <cfRule type="cellIs" dxfId="27" priority="10" operator="equal">
      <formula>"Muy Alta"</formula>
    </cfRule>
    <cfRule type="cellIs" dxfId="26" priority="11" operator="equal">
      <formula>"Alta"</formula>
    </cfRule>
    <cfRule type="cellIs" dxfId="25" priority="12" operator="equal">
      <formula>"Media"</formula>
    </cfRule>
    <cfRule type="cellIs" dxfId="24" priority="13" operator="equal">
      <formula>"Baja"</formula>
    </cfRule>
    <cfRule type="cellIs" dxfId="23" priority="14" operator="equal">
      <formula>"Muy Baja"</formula>
    </cfRule>
  </conditionalFormatting>
  <conditionalFormatting sqref="N10:N68">
    <cfRule type="containsText" dxfId="22" priority="337" operator="containsText" text="❌">
      <formula>NOT(ISERROR(SEARCH("❌",N10)))</formula>
    </cfRule>
  </conditionalFormatting>
  <conditionalFormatting sqref="O10 AD10:AD68 O16 O22 O28 O39 O45 O51 O57 O63">
    <cfRule type="cellIs" dxfId="21" priority="650" operator="equal">
      <formula>"Catastrófico"</formula>
    </cfRule>
    <cfRule type="cellIs" dxfId="20" priority="651" operator="equal">
      <formula>"Mayor"</formula>
    </cfRule>
    <cfRule type="cellIs" dxfId="19" priority="652" operator="equal">
      <formula>"Moderado"</formula>
    </cfRule>
    <cfRule type="cellIs" dxfId="18" priority="653" operator="equal">
      <formula>"Menor"</formula>
    </cfRule>
    <cfRule type="cellIs" dxfId="17" priority="654" operator="equal">
      <formula>"Leve"</formula>
    </cfRule>
  </conditionalFormatting>
  <conditionalFormatting sqref="O33:O34">
    <cfRule type="cellIs" dxfId="16" priority="5" operator="equal">
      <formula>"Catastrófico"</formula>
    </cfRule>
    <cfRule type="cellIs" dxfId="15" priority="6" operator="equal">
      <formula>"Mayor"</formula>
    </cfRule>
    <cfRule type="cellIs" dxfId="14" priority="7" operator="equal">
      <formula>"Moderado"</formula>
    </cfRule>
    <cfRule type="cellIs" dxfId="13" priority="8" operator="equal">
      <formula>"Menor"</formula>
    </cfRule>
    <cfRule type="cellIs" dxfId="12" priority="9" operator="equal">
      <formula>"Leve"</formula>
    </cfRule>
  </conditionalFormatting>
  <conditionalFormatting sqref="Q10 AF10:AF68">
    <cfRule type="cellIs" dxfId="11" priority="646" operator="equal">
      <formula>"Extremo"</formula>
    </cfRule>
    <cfRule type="cellIs" dxfId="10" priority="647" operator="equal">
      <formula>"Alto"</formula>
    </cfRule>
    <cfRule type="cellIs" dxfId="9" priority="648" operator="equal">
      <formula>"Moderado"</formula>
    </cfRule>
    <cfRule type="cellIs" dxfId="8" priority="649" operator="equal">
      <formula>"Bajo"</formula>
    </cfRule>
  </conditionalFormatting>
  <conditionalFormatting sqref="Q16 Q22 Q28 Q39 Q45 Q51 Q57 Q63">
    <cfRule type="cellIs" dxfId="7" priority="576" operator="equal">
      <formula>"Extremo"</formula>
    </cfRule>
    <cfRule type="cellIs" dxfId="6" priority="577" operator="equal">
      <formula>"Alto"</formula>
    </cfRule>
    <cfRule type="cellIs" dxfId="5" priority="578" operator="equal">
      <formula>"Moderado"</formula>
    </cfRule>
    <cfRule type="cellIs" dxfId="4" priority="579" operator="equal">
      <formula>"Bajo"</formula>
    </cfRule>
  </conditionalFormatting>
  <conditionalFormatting sqref="Q33:Q34">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dataValidations count="1">
    <dataValidation type="list" allowBlank="1" showInputMessage="1" showErrorMessage="1" sqref="G10:G68" xr:uid="{00000000-0002-0000-0400-000000000000}">
      <formula1>"Gestión, FISCAL,"</formula1>
    </dataValidation>
  </dataValidations>
  <pageMargins left="0.70866141732283472" right="0.70866141732283472" top="0.74803149606299213" bottom="0.74803149606299213" header="0.31496062992125984" footer="0.31496062992125984"/>
  <pageSetup paperSize="5" scale="40" orientation="landscape" r:id="rId1"/>
  <rowBreaks count="1" manualBreakCount="1">
    <brk id="32" max="16383" man="1"/>
  </rowBreaks>
  <colBreaks count="1" manualBreakCount="1">
    <brk id="39" max="1048575" man="1"/>
  </colBreaks>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5000000}">
          <x14:formula1>
            <xm:f>'Opciones Tratamiento'!$B$9:$B$10</xm:f>
          </x14:formula1>
          <xm:sqref>AM10:AM11 AM13:AM14 AM16:AM17 AM19:AM20 AM22:AM23 AM25:AM26 AM28 AM30:AM31 AM33:AM34 AM36:AM37 AM39:AM40 AM42:AM43 AM45:AM46 AM48:AM49 AM51:AM52 AM54:AM55 AM57:AM58 AM60:AM61 AM63:AM64 AM66:AM67</xm:sqref>
        </x14:dataValidation>
        <x14:dataValidation type="list" allowBlank="1" showInputMessage="1" showErrorMessage="1" xr:uid="{00000000-0002-0000-0400-000009000000}">
          <x14:formula1>
            <xm:f>'Opciones Tratamiento'!$B$2:$B$5</xm:f>
          </x14:formula1>
          <xm:sqref>AG10 AG12:AG16 AG18:AG22 AG65:AG68 AG41:AG45 AG47:AG51 AG53:AG57 AG59:AG63 AG24:AG39</xm:sqref>
        </x14:dataValidation>
        <x14:dataValidation type="list" allowBlank="1" showInputMessage="1" showErrorMessage="1" xr:uid="{00000000-0002-0000-0400-000010000000}">
          <x14:formula1>
            <xm:f>'C:\Users\HOME\Downloads\[Formato Matriz de Riesgos 2021 (1).xlsx]Opciones Tratamiento'!#REF!</xm:f>
          </x14:formula1>
          <xm:sqref>AG11 AG17 AG23 AG64 AG40 AG46 AG52 AG58</xm:sqref>
        </x14:dataValidation>
        <x14:dataValidation type="list" allowBlank="1" showInputMessage="1" showErrorMessage="1" xr:uid="{00000000-0002-0000-0400-000001000000}">
          <x14:formula1>
            <xm:f>'Tabla Valoración controles'!$D$4:$D$6</xm:f>
          </x14:formula1>
          <xm:sqref>U10:U68</xm:sqref>
        </x14:dataValidation>
        <x14:dataValidation type="list" allowBlank="1" showInputMessage="1" showErrorMessage="1" xr:uid="{00000000-0002-0000-0400-000002000000}">
          <x14:formula1>
            <xm:f>'Tabla Valoración controles'!$D$7:$D$8</xm:f>
          </x14:formula1>
          <xm:sqref>V10:V68</xm:sqref>
        </x14:dataValidation>
        <x14:dataValidation type="list" allowBlank="1" showInputMessage="1" showErrorMessage="1" xr:uid="{00000000-0002-0000-0400-000003000000}">
          <x14:formula1>
            <xm:f>'Tabla Valoración controles'!$D$9:$D$10</xm:f>
          </x14:formula1>
          <xm:sqref>X10:X68</xm:sqref>
        </x14:dataValidation>
        <x14:dataValidation type="list" allowBlank="1" showInputMessage="1" showErrorMessage="1" xr:uid="{00000000-0002-0000-0400-000004000000}">
          <x14:formula1>
            <xm:f>'Tabla Valoración controles'!$D$11:$D$12</xm:f>
          </x14:formula1>
          <xm:sqref>Y10:Y68</xm:sqref>
        </x14:dataValidation>
        <x14:dataValidation type="list" allowBlank="1" showInputMessage="1" showErrorMessage="1" xr:uid="{00000000-0002-0000-0400-000006000000}">
          <x14:formula1>
            <xm:f>'Tabla Valoración controles'!$D$13:$D$14</xm:f>
          </x14:formula1>
          <xm:sqref>Z10:Z68</xm:sqref>
        </x14:dataValidation>
        <x14:dataValidation type="list" allowBlank="1" showInputMessage="1" showErrorMessage="1" xr:uid="{00000000-0002-0000-0400-000007000000}">
          <x14:formula1>
            <xm:f>'Opciones Tratamiento'!$B$13:$B$19</xm:f>
          </x14:formula1>
          <xm:sqref>I10:I68</xm:sqref>
        </x14:dataValidation>
        <x14:dataValidation type="list" allowBlank="1" showInputMessage="1" showErrorMessage="1" xr:uid="{00000000-0002-0000-0400-000008000000}">
          <x14:formula1>
            <xm:f>'Opciones Tratamiento'!$E$2:$E$4</xm:f>
          </x14:formula1>
          <xm:sqref>B10:B68</xm:sqref>
        </x14:dataValidation>
        <x14:dataValidation type="list" allowBlank="1" showInputMessage="1" showErrorMessage="1" xr:uid="{00000000-0002-0000-0400-00000A000000}">
          <x14:formula1>
            <xm:f>'Tabla Impacto'!$F$210:$F$221</xm:f>
          </x14:formula1>
          <xm:sqref>M10:M68</xm:sqref>
        </x14:dataValidation>
        <x14:dataValidation type="custom" allowBlank="1" showInputMessage="1" showErrorMessage="1" error="Recuerde que las acciones se generan bajo la medida de mitigar el riesgo" xr:uid="{00000000-0002-0000-0400-00000B000000}">
          <x14:formula1>
            <xm:f>IF(OR(AG10='Opciones Tratamiento'!$B$2,AG10='Opciones Tratamiento'!$B$3,AG10='Opciones Tratamiento'!$B$4),ISBLANK(AG10),ISTEXT(AG10))</xm:f>
          </x14:formula1>
          <xm:sqref>AH10:AH68</xm:sqref>
        </x14:dataValidation>
        <x14:dataValidation type="custom" allowBlank="1" showInputMessage="1" showErrorMessage="1" error="Recuerde que las acciones se generan bajo la medida de mitigar el riesgo" xr:uid="{00000000-0002-0000-0400-00000C000000}">
          <x14:formula1>
            <xm:f>IF(OR(AG10='Opciones Tratamiento'!$B$2,AG10='Opciones Tratamiento'!$B$3,AG10='Opciones Tratamiento'!$B$4),ISBLANK(AG10),ISTEXT(AG10))</xm:f>
          </x14:formula1>
          <xm:sqref>AI10:AI68</xm:sqref>
        </x14:dataValidation>
        <x14:dataValidation type="custom" allowBlank="1" showInputMessage="1" showErrorMessage="1" error="Recuerde que las acciones se generan bajo la medida de mitigar el riesgo" xr:uid="{00000000-0002-0000-0400-00000D000000}">
          <x14:formula1>
            <xm:f>IF(OR(AG10='Opciones Tratamiento'!$B$2,AG10='Opciones Tratamiento'!$B$3,AG10='Opciones Tratamiento'!$B$4),ISBLANK(AG10),ISTEXT(AG10))</xm:f>
          </x14:formula1>
          <xm:sqref>AJ10:AJ68</xm:sqref>
        </x14:dataValidation>
        <x14:dataValidation type="custom" allowBlank="1" showInputMessage="1" showErrorMessage="1" error="Recuerde que las acciones se generan bajo la medida de mitigar el riesgo" xr:uid="{00000000-0002-0000-0400-00000E000000}">
          <x14:formula1>
            <xm:f>IF(OR(AG10='Opciones Tratamiento'!$B$2,AG10='Opciones Tratamiento'!$B$3,AG10='Opciones Tratamiento'!$B$4),ISBLANK(AG10),ISTEXT(AG10))</xm:f>
          </x14:formula1>
          <xm:sqref>AK10:AK68</xm:sqref>
        </x14:dataValidation>
        <x14:dataValidation type="custom" allowBlank="1" showInputMessage="1" showErrorMessage="1" error="Recuerde que las acciones se generan bajo la medida de mitigar el riesgo" xr:uid="{00000000-0002-0000-0400-00000F000000}">
          <x14:formula1>
            <xm:f>IF(OR(AG10='Opciones Tratamiento'!$B$2,AG10='Opciones Tratamiento'!$B$3,AG10='Opciones Tratamiento'!$B$4),ISBLANK(AG10),ISTEXT(AG10))</xm:f>
          </x14:formula1>
          <xm:sqref>AL10:AL68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CU140"/>
  <sheetViews>
    <sheetView zoomScale="41" zoomScaleNormal="41" workbookViewId="0">
      <selection activeCell="AW39" sqref="AW39:AW40"/>
    </sheetView>
  </sheetViews>
  <sheetFormatPr baseColWidth="10" defaultRowHeight="14.4" x14ac:dyDescent="0.3"/>
  <cols>
    <col min="2" max="39" width="5.6640625" customWidth="1"/>
    <col min="41" max="46" width="5.6640625" customWidth="1"/>
  </cols>
  <sheetData>
    <row r="1" spans="1:99" x14ac:dyDescent="0.3">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row>
    <row r="2" spans="1:99" ht="18" customHeight="1" x14ac:dyDescent="0.3">
      <c r="A2" s="65"/>
      <c r="B2" s="746" t="s">
        <v>150</v>
      </c>
      <c r="C2" s="746"/>
      <c r="D2" s="746"/>
      <c r="E2" s="746"/>
      <c r="F2" s="746"/>
      <c r="G2" s="746"/>
      <c r="H2" s="746"/>
      <c r="I2" s="746"/>
      <c r="J2" s="783" t="s">
        <v>2</v>
      </c>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row>
    <row r="3" spans="1:99" ht="18.75" customHeight="1" x14ac:dyDescent="0.3">
      <c r="A3" s="65"/>
      <c r="B3" s="746"/>
      <c r="C3" s="746"/>
      <c r="D3" s="746"/>
      <c r="E3" s="746"/>
      <c r="F3" s="746"/>
      <c r="G3" s="746"/>
      <c r="H3" s="746"/>
      <c r="I3" s="746"/>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783"/>
      <c r="AM3" s="783"/>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row>
    <row r="4" spans="1:99" ht="15" customHeight="1" x14ac:dyDescent="0.3">
      <c r="A4" s="65"/>
      <c r="B4" s="746"/>
      <c r="C4" s="746"/>
      <c r="D4" s="746"/>
      <c r="E4" s="746"/>
      <c r="F4" s="746"/>
      <c r="G4" s="746"/>
      <c r="H4" s="746"/>
      <c r="I4" s="746"/>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row>
    <row r="5" spans="1:99" ht="15" thickBot="1" x14ac:dyDescent="0.3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row>
    <row r="6" spans="1:99" ht="15" customHeight="1" x14ac:dyDescent="0.3">
      <c r="A6" s="65"/>
      <c r="B6" s="794" t="s">
        <v>4</v>
      </c>
      <c r="C6" s="794"/>
      <c r="D6" s="795"/>
      <c r="E6" s="784" t="s">
        <v>111</v>
      </c>
      <c r="F6" s="785"/>
      <c r="G6" s="785"/>
      <c r="H6" s="785"/>
      <c r="I6" s="786"/>
      <c r="J6" s="780" t="str">
        <f>IF(AND('Mapa final'!$K$10="Muy Alta",'Mapa final'!$O$10="Leve"),CONCATENATE("R",'Mapa final'!$A$10),"")</f>
        <v/>
      </c>
      <c r="K6" s="781"/>
      <c r="L6" s="781" t="str">
        <f>IF(AND('Mapa final'!$K$16="Muy Alta",'Mapa final'!$O$16="Leve"),CONCATENATE("R",'Mapa final'!$A$16),"")</f>
        <v/>
      </c>
      <c r="M6" s="781"/>
      <c r="N6" s="781" t="str">
        <f>IF(AND('Mapa final'!$K$22="Muy Alta",'Mapa final'!$O$22="Leve"),CONCATENATE("R",'Mapa final'!$A$22),"")</f>
        <v/>
      </c>
      <c r="O6" s="782"/>
      <c r="P6" s="780" t="str">
        <f>IF(AND('Mapa final'!$K$10="Muy Alta",'Mapa final'!$O$10="Menor"),CONCATENATE("R",'Mapa final'!$A$10),"")</f>
        <v/>
      </c>
      <c r="Q6" s="781"/>
      <c r="R6" s="781" t="str">
        <f>IF(AND('Mapa final'!$K$16="Muy Alta",'Mapa final'!$O$16="Menor"),CONCATENATE("R",'Mapa final'!$A$16),"")</f>
        <v/>
      </c>
      <c r="S6" s="781"/>
      <c r="T6" s="781" t="str">
        <f>IF(AND('Mapa final'!$K$22="Muy Alta",'Mapa final'!$O$22="Menor"),CONCATENATE("R",'Mapa final'!$A$22),"")</f>
        <v/>
      </c>
      <c r="U6" s="782"/>
      <c r="V6" s="780" t="str">
        <f>IF(AND('Mapa final'!$K$10="Muy Alta",'Mapa final'!$O$10="Moderado"),CONCATENATE("R",'Mapa final'!$A$10),"")</f>
        <v/>
      </c>
      <c r="W6" s="781"/>
      <c r="X6" s="781" t="str">
        <f>IF(AND('Mapa final'!$K$16="Muy Alta",'Mapa final'!$O$16="Moderado"),CONCATENATE("R",'Mapa final'!$A$16),"")</f>
        <v>R2</v>
      </c>
      <c r="Y6" s="781"/>
      <c r="Z6" s="781" t="str">
        <f>IF(AND('Mapa final'!$K$22="Muy Alta",'Mapa final'!$O$22="Moderado"),CONCATENATE("R",'Mapa final'!$A$22),"")</f>
        <v/>
      </c>
      <c r="AA6" s="782"/>
      <c r="AB6" s="780" t="str">
        <f>IF(AND('Mapa final'!$K$10="Muy Alta",'Mapa final'!$O$10="Mayor"),CONCATENATE("R",'Mapa final'!$A$10),"")</f>
        <v/>
      </c>
      <c r="AC6" s="781"/>
      <c r="AD6" s="781" t="str">
        <f>IF(AND('Mapa final'!$K$16="Muy Alta",'Mapa final'!$O$16="Mayor"),CONCATENATE("R",'Mapa final'!$A$16),"")</f>
        <v/>
      </c>
      <c r="AE6" s="781"/>
      <c r="AF6" s="781" t="str">
        <f>IF(AND('Mapa final'!$K$22="Muy Alta",'Mapa final'!$O$22="Mayor"),CONCATENATE("R",'Mapa final'!$A$22),"")</f>
        <v/>
      </c>
      <c r="AG6" s="782"/>
      <c r="AH6" s="771" t="str">
        <f>IF(AND('Mapa final'!$K$10="Muy Alta",'Mapa final'!$O$10="Catastrófico"),CONCATENATE("R",'Mapa final'!$A$10),"")</f>
        <v/>
      </c>
      <c r="AI6" s="772"/>
      <c r="AJ6" s="772" t="str">
        <f>IF(AND('Mapa final'!$K$16="Muy Alta",'Mapa final'!$O$16="Catastrófico"),CONCATENATE("R",'Mapa final'!$A$16),"")</f>
        <v/>
      </c>
      <c r="AK6" s="772"/>
      <c r="AL6" s="772" t="str">
        <f>IF(AND('Mapa final'!$K$22="Muy Alta",'Mapa final'!$O$22="Catastrófico"),CONCATENATE("R",'Mapa final'!$A$22),"")</f>
        <v/>
      </c>
      <c r="AM6" s="773"/>
      <c r="AO6" s="796" t="s">
        <v>78</v>
      </c>
      <c r="AP6" s="797"/>
      <c r="AQ6" s="797"/>
      <c r="AR6" s="797"/>
      <c r="AS6" s="797"/>
      <c r="AT6" s="798"/>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row>
    <row r="7" spans="1:99" ht="15" customHeight="1" x14ac:dyDescent="0.3">
      <c r="A7" s="65"/>
      <c r="B7" s="794"/>
      <c r="C7" s="794"/>
      <c r="D7" s="795"/>
      <c r="E7" s="787"/>
      <c r="F7" s="788"/>
      <c r="G7" s="788"/>
      <c r="H7" s="788"/>
      <c r="I7" s="789"/>
      <c r="J7" s="774"/>
      <c r="K7" s="775"/>
      <c r="L7" s="775"/>
      <c r="M7" s="775"/>
      <c r="N7" s="775"/>
      <c r="O7" s="776"/>
      <c r="P7" s="774"/>
      <c r="Q7" s="775"/>
      <c r="R7" s="775"/>
      <c r="S7" s="775"/>
      <c r="T7" s="775"/>
      <c r="U7" s="776"/>
      <c r="V7" s="774"/>
      <c r="W7" s="775"/>
      <c r="X7" s="775"/>
      <c r="Y7" s="775"/>
      <c r="Z7" s="775"/>
      <c r="AA7" s="776"/>
      <c r="AB7" s="774"/>
      <c r="AC7" s="775"/>
      <c r="AD7" s="775"/>
      <c r="AE7" s="775"/>
      <c r="AF7" s="775"/>
      <c r="AG7" s="776"/>
      <c r="AH7" s="765"/>
      <c r="AI7" s="766"/>
      <c r="AJ7" s="766"/>
      <c r="AK7" s="766"/>
      <c r="AL7" s="766"/>
      <c r="AM7" s="767"/>
      <c r="AN7" s="65"/>
      <c r="AO7" s="799"/>
      <c r="AP7" s="800"/>
      <c r="AQ7" s="800"/>
      <c r="AR7" s="800"/>
      <c r="AS7" s="800"/>
      <c r="AT7" s="801"/>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row>
    <row r="8" spans="1:99" ht="15" customHeight="1" x14ac:dyDescent="0.3">
      <c r="A8" s="65"/>
      <c r="B8" s="794"/>
      <c r="C8" s="794"/>
      <c r="D8" s="795"/>
      <c r="E8" s="787"/>
      <c r="F8" s="788"/>
      <c r="G8" s="788"/>
      <c r="H8" s="788"/>
      <c r="I8" s="789"/>
      <c r="J8" s="774" t="str">
        <f>IF(AND('Mapa final'!$K$28="Muy Alta",'Mapa final'!$O$28="Leve"),CONCATENATE("R",'Mapa final'!$A$28),"")</f>
        <v/>
      </c>
      <c r="K8" s="775"/>
      <c r="L8" s="775" t="str">
        <f>IF(AND('Mapa final'!$K$33="Muy Alta",'Mapa final'!$O$33="Leve"),CONCATENATE("R",'Mapa final'!$A$33),"")</f>
        <v/>
      </c>
      <c r="M8" s="775"/>
      <c r="N8" s="775" t="str">
        <f>IF(AND('Mapa final'!$K$39="Muy Alta",'Mapa final'!$O$39="Leve"),CONCATENATE("R",'Mapa final'!$A$39),"")</f>
        <v/>
      </c>
      <c r="O8" s="776"/>
      <c r="P8" s="774" t="str">
        <f>IF(AND('Mapa final'!$K$28="Muy Alta",'Mapa final'!$O$28="Menor"),CONCATENATE("R",'Mapa final'!$A$28),"")</f>
        <v/>
      </c>
      <c r="Q8" s="775"/>
      <c r="R8" s="775" t="str">
        <f>IF(AND('Mapa final'!$K$33="Muy Alta",'Mapa final'!$O$33="Menor"),CONCATENATE("R",'Mapa final'!$A$33),"")</f>
        <v/>
      </c>
      <c r="S8" s="775"/>
      <c r="T8" s="775" t="str">
        <f>IF(AND('Mapa final'!$K$39="Muy Alta",'Mapa final'!$O$39="Menor"),CONCATENATE("R",'Mapa final'!$A$39),"")</f>
        <v/>
      </c>
      <c r="U8" s="776"/>
      <c r="V8" s="774" t="str">
        <f>IF(AND('Mapa final'!$K$28="Muy Alta",'Mapa final'!$O$28="Moderado"),CONCATENATE("R",'Mapa final'!$A$28),"")</f>
        <v/>
      </c>
      <c r="W8" s="775"/>
      <c r="X8" s="775" t="str">
        <f>IF(AND('Mapa final'!$K$33="Muy Alta",'Mapa final'!$O$33="Moderado"),CONCATENATE("R",'Mapa final'!$A$33),"")</f>
        <v/>
      </c>
      <c r="Y8" s="775"/>
      <c r="Z8" s="775" t="str">
        <f>IF(AND('Mapa final'!$K$39="Muy Alta",'Mapa final'!$O$39="Moderado"),CONCATENATE("R",'Mapa final'!$A$39),"")</f>
        <v/>
      </c>
      <c r="AA8" s="776"/>
      <c r="AB8" s="774" t="str">
        <f>IF(AND('Mapa final'!$K$28="Muy Alta",'Mapa final'!$O$28="Mayor"),CONCATENATE("R",'Mapa final'!$A$28),"")</f>
        <v/>
      </c>
      <c r="AC8" s="775"/>
      <c r="AD8" s="775" t="str">
        <f>IF(AND('Mapa final'!$K$33="Muy Alta",'Mapa final'!$O$33="Mayor"),CONCATENATE("R",'Mapa final'!$A$33),"")</f>
        <v/>
      </c>
      <c r="AE8" s="775"/>
      <c r="AF8" s="775" t="str">
        <f>IF(AND('Mapa final'!$K$39="Muy Alta",'Mapa final'!$O$39="Mayor"),CONCATENATE("R",'Mapa final'!$A$39),"")</f>
        <v>R7</v>
      </c>
      <c r="AG8" s="776"/>
      <c r="AH8" s="765" t="str">
        <f>IF(AND('Mapa final'!$K$28="Muy Alta",'Mapa final'!$O$28="Catastrófico"),CONCATENATE("R",'Mapa final'!$A$28),"")</f>
        <v/>
      </c>
      <c r="AI8" s="766"/>
      <c r="AJ8" s="766" t="str">
        <f>IF(AND('Mapa final'!$K$33="Muy Alta",'Mapa final'!$O$33="Catastrófico"),CONCATENATE("R",'Mapa final'!$A$33),"")</f>
        <v/>
      </c>
      <c r="AK8" s="766"/>
      <c r="AL8" s="766" t="str">
        <f>IF(AND('Mapa final'!$K$39="Muy Alta",'Mapa final'!$O$39="Catastrófico"),CONCATENATE("R",'Mapa final'!$A$39),"")</f>
        <v/>
      </c>
      <c r="AM8" s="767"/>
      <c r="AN8" s="65"/>
      <c r="AO8" s="799"/>
      <c r="AP8" s="800"/>
      <c r="AQ8" s="800"/>
      <c r="AR8" s="800"/>
      <c r="AS8" s="800"/>
      <c r="AT8" s="801"/>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row>
    <row r="9" spans="1:99" ht="15" customHeight="1" x14ac:dyDescent="0.3">
      <c r="A9" s="65"/>
      <c r="B9" s="794"/>
      <c r="C9" s="794"/>
      <c r="D9" s="795"/>
      <c r="E9" s="787"/>
      <c r="F9" s="788"/>
      <c r="G9" s="788"/>
      <c r="H9" s="788"/>
      <c r="I9" s="789"/>
      <c r="J9" s="774"/>
      <c r="K9" s="775"/>
      <c r="L9" s="775"/>
      <c r="M9" s="775"/>
      <c r="N9" s="775"/>
      <c r="O9" s="776"/>
      <c r="P9" s="774"/>
      <c r="Q9" s="775"/>
      <c r="R9" s="775"/>
      <c r="S9" s="775"/>
      <c r="T9" s="775"/>
      <c r="U9" s="776"/>
      <c r="V9" s="774"/>
      <c r="W9" s="775"/>
      <c r="X9" s="775"/>
      <c r="Y9" s="775"/>
      <c r="Z9" s="775"/>
      <c r="AA9" s="776"/>
      <c r="AB9" s="774"/>
      <c r="AC9" s="775"/>
      <c r="AD9" s="775"/>
      <c r="AE9" s="775"/>
      <c r="AF9" s="775"/>
      <c r="AG9" s="776"/>
      <c r="AH9" s="765"/>
      <c r="AI9" s="766"/>
      <c r="AJ9" s="766"/>
      <c r="AK9" s="766"/>
      <c r="AL9" s="766"/>
      <c r="AM9" s="767"/>
      <c r="AN9" s="65"/>
      <c r="AO9" s="799"/>
      <c r="AP9" s="800"/>
      <c r="AQ9" s="800"/>
      <c r="AR9" s="800"/>
      <c r="AS9" s="800"/>
      <c r="AT9" s="801"/>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row>
    <row r="10" spans="1:99" ht="15" customHeight="1" x14ac:dyDescent="0.3">
      <c r="A10" s="65"/>
      <c r="B10" s="794"/>
      <c r="C10" s="794"/>
      <c r="D10" s="795"/>
      <c r="E10" s="787"/>
      <c r="F10" s="788"/>
      <c r="G10" s="788"/>
      <c r="H10" s="788"/>
      <c r="I10" s="789"/>
      <c r="J10" s="774" t="str">
        <f>IF(AND('Mapa final'!$K$45="Muy Alta",'Mapa final'!$O$45="Leve"),CONCATENATE("R",'Mapa final'!$A$45),"")</f>
        <v/>
      </c>
      <c r="K10" s="775"/>
      <c r="L10" s="775" t="str">
        <f>IF(AND('Mapa final'!$K$51="Muy Alta",'Mapa final'!$O$51="Leve"),CONCATENATE("R",'Mapa final'!$A$51),"")</f>
        <v/>
      </c>
      <c r="M10" s="775"/>
      <c r="N10" s="775" t="str">
        <f>IF(AND('Mapa final'!$K$57="Muy Alta",'Mapa final'!$O$57="Leve"),CONCATENATE("R",'Mapa final'!$A$57),"")</f>
        <v/>
      </c>
      <c r="O10" s="776"/>
      <c r="P10" s="774" t="str">
        <f>IF(AND('Mapa final'!$K$45="Muy Alta",'Mapa final'!$O$45="Menor"),CONCATENATE("R",'Mapa final'!$A$45),"")</f>
        <v/>
      </c>
      <c r="Q10" s="775"/>
      <c r="R10" s="775" t="str">
        <f>IF(AND('Mapa final'!$K$51="Muy Alta",'Mapa final'!$O$51="Menor"),CONCATENATE("R",'Mapa final'!$A$51),"")</f>
        <v/>
      </c>
      <c r="S10" s="775"/>
      <c r="T10" s="775" t="str">
        <f>IF(AND('Mapa final'!$K$57="Muy Alta",'Mapa final'!$O$57="Menor"),CONCATENATE("R",'Mapa final'!$A$57),"")</f>
        <v/>
      </c>
      <c r="U10" s="776"/>
      <c r="V10" s="774" t="str">
        <f>IF(AND('Mapa final'!$K$45="Muy Alta",'Mapa final'!$O$45="Moderado"),CONCATENATE("R",'Mapa final'!$A$45),"")</f>
        <v/>
      </c>
      <c r="W10" s="775"/>
      <c r="X10" s="775" t="str">
        <f>IF(AND('Mapa final'!$K$51="Muy Alta",'Mapa final'!$O$51="Moderado"),CONCATENATE("R",'Mapa final'!$A$51),"")</f>
        <v/>
      </c>
      <c r="Y10" s="775"/>
      <c r="Z10" s="775" t="str">
        <f>IF(AND('Mapa final'!$K$57="Muy Alta",'Mapa final'!$O$57="Moderado"),CONCATENATE("R",'Mapa final'!$A$57),"")</f>
        <v/>
      </c>
      <c r="AA10" s="776"/>
      <c r="AB10" s="774" t="str">
        <f>IF(AND('Mapa final'!$K$45="Muy Alta",'Mapa final'!$O$45="Mayor"),CONCATENATE("R",'Mapa final'!$A$45),"")</f>
        <v/>
      </c>
      <c r="AC10" s="775"/>
      <c r="AD10" s="775" t="str">
        <f>IF(AND('Mapa final'!$K$51="Muy Alta",'Mapa final'!$O$51="Mayor"),CONCATENATE("R",'Mapa final'!$A$51),"")</f>
        <v/>
      </c>
      <c r="AE10" s="775"/>
      <c r="AF10" s="775" t="str">
        <f>IF(AND('Mapa final'!$K$57="Muy Alta",'Mapa final'!$O$57="Mayor"),CONCATENATE("R",'Mapa final'!$A$57),"")</f>
        <v/>
      </c>
      <c r="AG10" s="776"/>
      <c r="AH10" s="765" t="str">
        <f>IF(AND('Mapa final'!$K$45="Muy Alta",'Mapa final'!$O$45="Catastrófico"),CONCATENATE("R",'Mapa final'!$A$45),"")</f>
        <v/>
      </c>
      <c r="AI10" s="766"/>
      <c r="AJ10" s="766" t="str">
        <f>IF(AND('Mapa final'!$K$51="Muy Alta",'Mapa final'!$O$51="Catastrófico"),CONCATENATE("R",'Mapa final'!$A$51),"")</f>
        <v/>
      </c>
      <c r="AK10" s="766"/>
      <c r="AL10" s="766" t="str">
        <f>IF(AND('Mapa final'!$K$57="Muy Alta",'Mapa final'!$O$57="Catastrófico"),CONCATENATE("R",'Mapa final'!$A$57),"")</f>
        <v/>
      </c>
      <c r="AM10" s="767"/>
      <c r="AN10" s="65"/>
      <c r="AO10" s="799"/>
      <c r="AP10" s="800"/>
      <c r="AQ10" s="800"/>
      <c r="AR10" s="800"/>
      <c r="AS10" s="800"/>
      <c r="AT10" s="801"/>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row>
    <row r="11" spans="1:99" ht="15" customHeight="1" x14ac:dyDescent="0.3">
      <c r="A11" s="65"/>
      <c r="B11" s="794"/>
      <c r="C11" s="794"/>
      <c r="D11" s="795"/>
      <c r="E11" s="787"/>
      <c r="F11" s="788"/>
      <c r="G11" s="788"/>
      <c r="H11" s="788"/>
      <c r="I11" s="789"/>
      <c r="J11" s="774"/>
      <c r="K11" s="775"/>
      <c r="L11" s="775"/>
      <c r="M11" s="775"/>
      <c r="N11" s="775"/>
      <c r="O11" s="776"/>
      <c r="P11" s="774"/>
      <c r="Q11" s="775"/>
      <c r="R11" s="775"/>
      <c r="S11" s="775"/>
      <c r="T11" s="775"/>
      <c r="U11" s="776"/>
      <c r="V11" s="774"/>
      <c r="W11" s="775"/>
      <c r="X11" s="775"/>
      <c r="Y11" s="775"/>
      <c r="Z11" s="775"/>
      <c r="AA11" s="776"/>
      <c r="AB11" s="774"/>
      <c r="AC11" s="775"/>
      <c r="AD11" s="775"/>
      <c r="AE11" s="775"/>
      <c r="AF11" s="775"/>
      <c r="AG11" s="776"/>
      <c r="AH11" s="765"/>
      <c r="AI11" s="766"/>
      <c r="AJ11" s="766"/>
      <c r="AK11" s="766"/>
      <c r="AL11" s="766"/>
      <c r="AM11" s="767"/>
      <c r="AN11" s="65"/>
      <c r="AO11" s="799"/>
      <c r="AP11" s="800"/>
      <c r="AQ11" s="800"/>
      <c r="AR11" s="800"/>
      <c r="AS11" s="800"/>
      <c r="AT11" s="801"/>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row>
    <row r="12" spans="1:99" ht="15" customHeight="1" x14ac:dyDescent="0.3">
      <c r="A12" s="65"/>
      <c r="B12" s="794"/>
      <c r="C12" s="794"/>
      <c r="D12" s="795"/>
      <c r="E12" s="787"/>
      <c r="F12" s="788"/>
      <c r="G12" s="788"/>
      <c r="H12" s="788"/>
      <c r="I12" s="789"/>
      <c r="J12" s="774" t="str">
        <f>IF(AND('Mapa final'!$K$63="Muy Alta",'Mapa final'!$O$63="Leve"),CONCATENATE("R",'Mapa final'!$A$63),"")</f>
        <v/>
      </c>
      <c r="K12" s="775"/>
      <c r="L12" s="775" t="str">
        <f>IF(AND('Mapa final'!$K$69="Muy Alta",'Mapa final'!$O$69="Leve"),CONCATENATE("R",'Mapa final'!$A$69),"")</f>
        <v/>
      </c>
      <c r="M12" s="775"/>
      <c r="N12" s="775" t="str">
        <f>IF(AND('Mapa final'!$K$75="Muy Alta",'Mapa final'!$O$75="Leve"),CONCATENATE("R",'Mapa final'!$A$75),"")</f>
        <v/>
      </c>
      <c r="O12" s="776"/>
      <c r="P12" s="774" t="str">
        <f>IF(AND('Mapa final'!$K$63="Muy Alta",'Mapa final'!$O$63="Menor"),CONCATENATE("R",'Mapa final'!$A$63),"")</f>
        <v/>
      </c>
      <c r="Q12" s="775"/>
      <c r="R12" s="775" t="str">
        <f>IF(AND('Mapa final'!$K$69="Muy Alta",'Mapa final'!$O$69="Menor"),CONCATENATE("R",'Mapa final'!$A$69),"")</f>
        <v/>
      </c>
      <c r="S12" s="775"/>
      <c r="T12" s="775" t="str">
        <f>IF(AND('Mapa final'!$K$75="Muy Alta",'Mapa final'!$O$75="Menor"),CONCATENATE("R",'Mapa final'!$A$75),"")</f>
        <v/>
      </c>
      <c r="U12" s="776"/>
      <c r="V12" s="774" t="str">
        <f>IF(AND('Mapa final'!$K$63="Muy Alta",'Mapa final'!$O$63="Moderado"),CONCATENATE("R",'Mapa final'!$A$63),"")</f>
        <v/>
      </c>
      <c r="W12" s="775"/>
      <c r="X12" s="775" t="str">
        <f>IF(AND('Mapa final'!$K$69="Muy Alta",'Mapa final'!$O$69="Moderado"),CONCATENATE("R",'Mapa final'!$A$69),"")</f>
        <v/>
      </c>
      <c r="Y12" s="775"/>
      <c r="Z12" s="775" t="str">
        <f>IF(AND('Mapa final'!$K$75="Muy Alta",'Mapa final'!$O$75="Moderado"),CONCATENATE("R",'Mapa final'!$A$75),"")</f>
        <v/>
      </c>
      <c r="AA12" s="776"/>
      <c r="AB12" s="774" t="str">
        <f>IF(AND('Mapa final'!$K$63="Muy Alta",'Mapa final'!$O$63="Mayor"),CONCATENATE("R",'Mapa final'!$A$63),"")</f>
        <v/>
      </c>
      <c r="AC12" s="775"/>
      <c r="AD12" s="775" t="str">
        <f>IF(AND('Mapa final'!$K$69="Muy Alta",'Mapa final'!$O$69="Mayor"),CONCATENATE("R",'Mapa final'!$A$69),"")</f>
        <v/>
      </c>
      <c r="AE12" s="775"/>
      <c r="AF12" s="775" t="str">
        <f>IF(AND('Mapa final'!$K$75="Muy Alta",'Mapa final'!$O$75="Mayor"),CONCATENATE("R",'Mapa final'!$A$75),"")</f>
        <v/>
      </c>
      <c r="AG12" s="776"/>
      <c r="AH12" s="765" t="str">
        <f>IF(AND('Mapa final'!$K$63="Muy Alta",'Mapa final'!$O$63="Catastrófico"),CONCATENATE("R",'Mapa final'!$A$63),"")</f>
        <v/>
      </c>
      <c r="AI12" s="766"/>
      <c r="AJ12" s="766" t="str">
        <f>IF(AND('Mapa final'!$K$69="Muy Alta",'Mapa final'!$O$69="Catastrófico"),CONCATENATE("R",'Mapa final'!$A$69),"")</f>
        <v/>
      </c>
      <c r="AK12" s="766"/>
      <c r="AL12" s="766" t="str">
        <f>IF(AND('Mapa final'!$K$75="Muy Alta",'Mapa final'!$O$75="Catastrófico"),CONCATENATE("R",'Mapa final'!$A$75),"")</f>
        <v/>
      </c>
      <c r="AM12" s="767"/>
      <c r="AN12" s="65"/>
      <c r="AO12" s="799"/>
      <c r="AP12" s="800"/>
      <c r="AQ12" s="800"/>
      <c r="AR12" s="800"/>
      <c r="AS12" s="800"/>
      <c r="AT12" s="801"/>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row>
    <row r="13" spans="1:99" ht="15.75" customHeight="1" thickBot="1" x14ac:dyDescent="0.35">
      <c r="A13" s="65"/>
      <c r="B13" s="794"/>
      <c r="C13" s="794"/>
      <c r="D13" s="795"/>
      <c r="E13" s="790"/>
      <c r="F13" s="791"/>
      <c r="G13" s="791"/>
      <c r="H13" s="791"/>
      <c r="I13" s="792"/>
      <c r="J13" s="774"/>
      <c r="K13" s="775"/>
      <c r="L13" s="775"/>
      <c r="M13" s="775"/>
      <c r="N13" s="775"/>
      <c r="O13" s="776"/>
      <c r="P13" s="774"/>
      <c r="Q13" s="775"/>
      <c r="R13" s="775"/>
      <c r="S13" s="775"/>
      <c r="T13" s="775"/>
      <c r="U13" s="776"/>
      <c r="V13" s="774"/>
      <c r="W13" s="775"/>
      <c r="X13" s="775"/>
      <c r="Y13" s="775"/>
      <c r="Z13" s="775"/>
      <c r="AA13" s="776"/>
      <c r="AB13" s="774"/>
      <c r="AC13" s="775"/>
      <c r="AD13" s="775"/>
      <c r="AE13" s="775"/>
      <c r="AF13" s="775"/>
      <c r="AG13" s="776"/>
      <c r="AH13" s="768"/>
      <c r="AI13" s="769"/>
      <c r="AJ13" s="769"/>
      <c r="AK13" s="769"/>
      <c r="AL13" s="769"/>
      <c r="AM13" s="770"/>
      <c r="AN13" s="65"/>
      <c r="AO13" s="802"/>
      <c r="AP13" s="803"/>
      <c r="AQ13" s="803"/>
      <c r="AR13" s="803"/>
      <c r="AS13" s="803"/>
      <c r="AT13" s="804"/>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row>
    <row r="14" spans="1:99" ht="15" customHeight="1" x14ac:dyDescent="0.3">
      <c r="A14" s="65"/>
      <c r="B14" s="794"/>
      <c r="C14" s="794"/>
      <c r="D14" s="795"/>
      <c r="E14" s="784" t="s">
        <v>110</v>
      </c>
      <c r="F14" s="785"/>
      <c r="G14" s="785"/>
      <c r="H14" s="785"/>
      <c r="I14" s="785"/>
      <c r="J14" s="762" t="str">
        <f>IF(AND('Mapa final'!$K$10="Alta",'Mapa final'!$O$10="Leve"),CONCATENATE("R",'Mapa final'!$A$10),"")</f>
        <v/>
      </c>
      <c r="K14" s="763"/>
      <c r="L14" s="763" t="str">
        <f>IF(AND('Mapa final'!$K$16="Alta",'Mapa final'!$O$16="Leve"),CONCATENATE("R",'Mapa final'!$A$16),"")</f>
        <v/>
      </c>
      <c r="M14" s="763"/>
      <c r="N14" s="763" t="str">
        <f>IF(AND('Mapa final'!$K$22="Alta",'Mapa final'!$O$22="Leve"),CONCATENATE("R",'Mapa final'!$A$22),"")</f>
        <v/>
      </c>
      <c r="O14" s="764"/>
      <c r="P14" s="762" t="str">
        <f>IF(AND('Mapa final'!$K$10="Alta",'Mapa final'!$O$10="Menor"),CONCATENATE("R",'Mapa final'!$A$10),"")</f>
        <v/>
      </c>
      <c r="Q14" s="763"/>
      <c r="R14" s="763" t="str">
        <f>IF(AND('Mapa final'!$K$16="Alta",'Mapa final'!$O$16="Menor"),CONCATENATE("R",'Mapa final'!$A$16),"")</f>
        <v/>
      </c>
      <c r="S14" s="763"/>
      <c r="T14" s="763" t="str">
        <f>IF(AND('Mapa final'!$K$22="Alta",'Mapa final'!$O$22="Menor"),CONCATENATE("R",'Mapa final'!$A$22),"")</f>
        <v/>
      </c>
      <c r="U14" s="764"/>
      <c r="V14" s="780" t="str">
        <f>IF(AND('Mapa final'!$K$10="Alta",'Mapa final'!$O$10="Moderado"),CONCATENATE("R",'Mapa final'!$A$10),"")</f>
        <v/>
      </c>
      <c r="W14" s="781"/>
      <c r="X14" s="781" t="str">
        <f>IF(AND('Mapa final'!$K$16="Alta",'Mapa final'!$O$16="Moderado"),CONCATENATE("R",'Mapa final'!$A$16),"")</f>
        <v/>
      </c>
      <c r="Y14" s="781"/>
      <c r="Z14" s="781" t="str">
        <f>IF(AND('Mapa final'!$K$22="Alta",'Mapa final'!$O$22="Moderado"),CONCATENATE("R",'Mapa final'!$A$22),"")</f>
        <v/>
      </c>
      <c r="AA14" s="782"/>
      <c r="AB14" s="780" t="str">
        <f>IF(AND('Mapa final'!$K$10="Alta",'Mapa final'!$O$10="Mayor"),CONCATENATE("R",'Mapa final'!$A$10),"")</f>
        <v/>
      </c>
      <c r="AC14" s="781"/>
      <c r="AD14" s="781" t="str">
        <f>IF(AND('Mapa final'!$K$16="Alta",'Mapa final'!$O$16="Mayor"),CONCATENATE("R",'Mapa final'!$A$16),"")</f>
        <v/>
      </c>
      <c r="AE14" s="781"/>
      <c r="AF14" s="781" t="str">
        <f>IF(AND('Mapa final'!$K$22="Alta",'Mapa final'!$O$22="Mayor"),CONCATENATE("R",'Mapa final'!$A$22),"")</f>
        <v/>
      </c>
      <c r="AG14" s="782"/>
      <c r="AH14" s="771" t="str">
        <f>IF(AND('Mapa final'!$K$10="Alta",'Mapa final'!$O$10="Catastrófico"),CONCATENATE("R",'Mapa final'!$A$10),"")</f>
        <v/>
      </c>
      <c r="AI14" s="772"/>
      <c r="AJ14" s="772" t="str">
        <f>IF(AND('Mapa final'!$K$16="Alta",'Mapa final'!$O$16="Catastrófico"),CONCATENATE("R",'Mapa final'!$A$16),"")</f>
        <v/>
      </c>
      <c r="AK14" s="772"/>
      <c r="AL14" s="772" t="str">
        <f>IF(AND('Mapa final'!$K$22="Alta",'Mapa final'!$O$22="Catastrófico"),CONCATENATE("R",'Mapa final'!$A$22),"")</f>
        <v/>
      </c>
      <c r="AM14" s="773"/>
      <c r="AN14" s="65"/>
      <c r="AO14" s="805" t="s">
        <v>79</v>
      </c>
      <c r="AP14" s="806"/>
      <c r="AQ14" s="806"/>
      <c r="AR14" s="806"/>
      <c r="AS14" s="806"/>
      <c r="AT14" s="807"/>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row>
    <row r="15" spans="1:99" ht="15" customHeight="1" x14ac:dyDescent="0.3">
      <c r="A15" s="65"/>
      <c r="B15" s="794"/>
      <c r="C15" s="794"/>
      <c r="D15" s="795"/>
      <c r="E15" s="787"/>
      <c r="F15" s="788"/>
      <c r="G15" s="788"/>
      <c r="H15" s="788"/>
      <c r="I15" s="788"/>
      <c r="J15" s="756"/>
      <c r="K15" s="757"/>
      <c r="L15" s="757"/>
      <c r="M15" s="757"/>
      <c r="N15" s="757"/>
      <c r="O15" s="758"/>
      <c r="P15" s="756"/>
      <c r="Q15" s="757"/>
      <c r="R15" s="757"/>
      <c r="S15" s="757"/>
      <c r="T15" s="757"/>
      <c r="U15" s="758"/>
      <c r="V15" s="774"/>
      <c r="W15" s="775"/>
      <c r="X15" s="775"/>
      <c r="Y15" s="775"/>
      <c r="Z15" s="775"/>
      <c r="AA15" s="776"/>
      <c r="AB15" s="774"/>
      <c r="AC15" s="775"/>
      <c r="AD15" s="775"/>
      <c r="AE15" s="775"/>
      <c r="AF15" s="775"/>
      <c r="AG15" s="776"/>
      <c r="AH15" s="765"/>
      <c r="AI15" s="766"/>
      <c r="AJ15" s="766"/>
      <c r="AK15" s="766"/>
      <c r="AL15" s="766"/>
      <c r="AM15" s="767"/>
      <c r="AN15" s="65"/>
      <c r="AO15" s="808"/>
      <c r="AP15" s="809"/>
      <c r="AQ15" s="809"/>
      <c r="AR15" s="809"/>
      <c r="AS15" s="809"/>
      <c r="AT15" s="810"/>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row>
    <row r="16" spans="1:99" ht="15" customHeight="1" x14ac:dyDescent="0.3">
      <c r="A16" s="65"/>
      <c r="B16" s="794"/>
      <c r="C16" s="794"/>
      <c r="D16" s="795"/>
      <c r="E16" s="787"/>
      <c r="F16" s="788"/>
      <c r="G16" s="788"/>
      <c r="H16" s="788"/>
      <c r="I16" s="788"/>
      <c r="J16" s="756" t="str">
        <f>IF(AND('Mapa final'!$K$28="Alta",'Mapa final'!$O$28="Leve"),CONCATENATE("R",'Mapa final'!$A$28),"")</f>
        <v/>
      </c>
      <c r="K16" s="757"/>
      <c r="L16" s="757" t="str">
        <f>IF(AND('Mapa final'!$K$33="Alta",'Mapa final'!$O$33="Leve"),CONCATENATE("R",'Mapa final'!$A$33),"")</f>
        <v/>
      </c>
      <c r="M16" s="757"/>
      <c r="N16" s="757" t="str">
        <f>IF(AND('Mapa final'!$K$39="Alta",'Mapa final'!$O$39="Leve"),CONCATENATE("R",'Mapa final'!$A$39),"")</f>
        <v/>
      </c>
      <c r="O16" s="758"/>
      <c r="P16" s="756" t="str">
        <f>IF(AND('Mapa final'!$K$28="Alta",'Mapa final'!$O$28="Menor"),CONCATENATE("R",'Mapa final'!$A$28),"")</f>
        <v/>
      </c>
      <c r="Q16" s="757"/>
      <c r="R16" s="757" t="str">
        <f>IF(AND('Mapa final'!$K$33="Alta",'Mapa final'!$O$33="Menor"),CONCATENATE("R",'Mapa final'!$A$33),"")</f>
        <v/>
      </c>
      <c r="S16" s="757"/>
      <c r="T16" s="757" t="str">
        <f>IF(AND('Mapa final'!$K$39="Alta",'Mapa final'!$O$39="Menor"),CONCATENATE("R",'Mapa final'!$A$39),"")</f>
        <v/>
      </c>
      <c r="U16" s="758"/>
      <c r="V16" s="774" t="str">
        <f>IF(AND('Mapa final'!$K$28="Alta",'Mapa final'!$O$28="Moderado"),CONCATENATE("R",'Mapa final'!$A$28),"")</f>
        <v/>
      </c>
      <c r="W16" s="775"/>
      <c r="X16" s="775" t="str">
        <f>IF(AND('Mapa final'!$K$33="Alta",'Mapa final'!$O$33="Moderado"),CONCATENATE("R",'Mapa final'!$A$33),"")</f>
        <v/>
      </c>
      <c r="Y16" s="775"/>
      <c r="Z16" s="775" t="str">
        <f>IF(AND('Mapa final'!$K$39="Alta",'Mapa final'!$O$39="Moderado"),CONCATENATE("R",'Mapa final'!$A$39),"")</f>
        <v/>
      </c>
      <c r="AA16" s="776"/>
      <c r="AB16" s="774" t="str">
        <f>IF(AND('Mapa final'!$K$28="Alta",'Mapa final'!$O$28="Mayor"),CONCATENATE("R",'Mapa final'!$A$28),"")</f>
        <v/>
      </c>
      <c r="AC16" s="775"/>
      <c r="AD16" s="775" t="str">
        <f>IF(AND('Mapa final'!$K$33="Alta",'Mapa final'!$O$33="Mayor"),CONCATENATE("R",'Mapa final'!$A$33),"")</f>
        <v/>
      </c>
      <c r="AE16" s="775"/>
      <c r="AF16" s="775" t="str">
        <f>IF(AND('Mapa final'!$K$39="Alta",'Mapa final'!$O$39="Mayor"),CONCATENATE("R",'Mapa final'!$A$39),"")</f>
        <v/>
      </c>
      <c r="AG16" s="776"/>
      <c r="AH16" s="765" t="str">
        <f>IF(AND('Mapa final'!$K$28="Alta",'Mapa final'!$O$28="Catastrófico"),CONCATENATE("R",'Mapa final'!$A$28),"")</f>
        <v/>
      </c>
      <c r="AI16" s="766"/>
      <c r="AJ16" s="766" t="str">
        <f>IF(AND('Mapa final'!$K$33="Alta",'Mapa final'!$O$33="Catastrófico"),CONCATENATE("R",'Mapa final'!$A$33),"")</f>
        <v/>
      </c>
      <c r="AK16" s="766"/>
      <c r="AL16" s="766" t="str">
        <f>IF(AND('Mapa final'!$K$39="Alta",'Mapa final'!$O$39="Catastrófico"),CONCATENATE("R",'Mapa final'!$A$39),"")</f>
        <v/>
      </c>
      <c r="AM16" s="767"/>
      <c r="AN16" s="65"/>
      <c r="AO16" s="808"/>
      <c r="AP16" s="809"/>
      <c r="AQ16" s="809"/>
      <c r="AR16" s="809"/>
      <c r="AS16" s="809"/>
      <c r="AT16" s="810"/>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row>
    <row r="17" spans="1:80" ht="15" customHeight="1" x14ac:dyDescent="0.3">
      <c r="A17" s="65"/>
      <c r="B17" s="794"/>
      <c r="C17" s="794"/>
      <c r="D17" s="795"/>
      <c r="E17" s="787"/>
      <c r="F17" s="788"/>
      <c r="G17" s="788"/>
      <c r="H17" s="788"/>
      <c r="I17" s="788"/>
      <c r="J17" s="756"/>
      <c r="K17" s="757"/>
      <c r="L17" s="757"/>
      <c r="M17" s="757"/>
      <c r="N17" s="757"/>
      <c r="O17" s="758"/>
      <c r="P17" s="756"/>
      <c r="Q17" s="757"/>
      <c r="R17" s="757"/>
      <c r="S17" s="757"/>
      <c r="T17" s="757"/>
      <c r="U17" s="758"/>
      <c r="V17" s="774"/>
      <c r="W17" s="775"/>
      <c r="X17" s="775"/>
      <c r="Y17" s="775"/>
      <c r="Z17" s="775"/>
      <c r="AA17" s="776"/>
      <c r="AB17" s="774"/>
      <c r="AC17" s="775"/>
      <c r="AD17" s="775"/>
      <c r="AE17" s="775"/>
      <c r="AF17" s="775"/>
      <c r="AG17" s="776"/>
      <c r="AH17" s="765"/>
      <c r="AI17" s="766"/>
      <c r="AJ17" s="766"/>
      <c r="AK17" s="766"/>
      <c r="AL17" s="766"/>
      <c r="AM17" s="767"/>
      <c r="AN17" s="65"/>
      <c r="AO17" s="808"/>
      <c r="AP17" s="809"/>
      <c r="AQ17" s="809"/>
      <c r="AR17" s="809"/>
      <c r="AS17" s="809"/>
      <c r="AT17" s="810"/>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row>
    <row r="18" spans="1:80" ht="15" customHeight="1" x14ac:dyDescent="0.3">
      <c r="A18" s="65"/>
      <c r="B18" s="794"/>
      <c r="C18" s="794"/>
      <c r="D18" s="795"/>
      <c r="E18" s="787"/>
      <c r="F18" s="788"/>
      <c r="G18" s="788"/>
      <c r="H18" s="788"/>
      <c r="I18" s="788"/>
      <c r="J18" s="756" t="str">
        <f>IF(AND('Mapa final'!$K$45="Alta",'Mapa final'!$O$45="Leve"),CONCATENATE("R",'Mapa final'!$A$45),"")</f>
        <v/>
      </c>
      <c r="K18" s="757"/>
      <c r="L18" s="757" t="str">
        <f>IF(AND('Mapa final'!$K$51="Alta",'Mapa final'!$O$51="Leve"),CONCATENATE("R",'Mapa final'!$A$51),"")</f>
        <v/>
      </c>
      <c r="M18" s="757"/>
      <c r="N18" s="757" t="str">
        <f>IF(AND('Mapa final'!$K$57="Alta",'Mapa final'!$O$57="Leve"),CONCATENATE("R",'Mapa final'!$A$57),"")</f>
        <v/>
      </c>
      <c r="O18" s="758"/>
      <c r="P18" s="756" t="str">
        <f>IF(AND('Mapa final'!$K$45="Alta",'Mapa final'!$O$45="Menor"),CONCATENATE("R",'Mapa final'!$A$45),"")</f>
        <v/>
      </c>
      <c r="Q18" s="757"/>
      <c r="R18" s="757" t="str">
        <f>IF(AND('Mapa final'!$K$51="Alta",'Mapa final'!$O$51="Menor"),CONCATENATE("R",'Mapa final'!$A$51),"")</f>
        <v/>
      </c>
      <c r="S18" s="757"/>
      <c r="T18" s="757" t="str">
        <f>IF(AND('Mapa final'!$K$57="Alta",'Mapa final'!$O$57="Menor"),CONCATENATE("R",'Mapa final'!$A$57),"")</f>
        <v/>
      </c>
      <c r="U18" s="758"/>
      <c r="V18" s="774" t="str">
        <f>IF(AND('Mapa final'!$K$45="Alta",'Mapa final'!$O$45="Moderado"),CONCATENATE("R",'Mapa final'!$A$45),"")</f>
        <v/>
      </c>
      <c r="W18" s="775"/>
      <c r="X18" s="775" t="str">
        <f>IF(AND('Mapa final'!$K$51="Alta",'Mapa final'!$O$51="Moderado"),CONCATENATE("R",'Mapa final'!$A$51),"")</f>
        <v/>
      </c>
      <c r="Y18" s="775"/>
      <c r="Z18" s="775" t="str">
        <f>IF(AND('Mapa final'!$K$57="Alta",'Mapa final'!$O$57="Moderado"),CONCATENATE("R",'Mapa final'!$A$57),"")</f>
        <v/>
      </c>
      <c r="AA18" s="776"/>
      <c r="AB18" s="774" t="str">
        <f>IF(AND('Mapa final'!$K$45="Alta",'Mapa final'!$O$45="Mayor"),CONCATENATE("R",'Mapa final'!$A$45),"")</f>
        <v/>
      </c>
      <c r="AC18" s="775"/>
      <c r="AD18" s="775" t="str">
        <f>IF(AND('Mapa final'!$K$51="Alta",'Mapa final'!$O$51="Mayor"),CONCATENATE("R",'Mapa final'!$A$51),"")</f>
        <v/>
      </c>
      <c r="AE18" s="775"/>
      <c r="AF18" s="775" t="str">
        <f>IF(AND('Mapa final'!$K$57="Alta",'Mapa final'!$O$57="Mayor"),CONCATENATE("R",'Mapa final'!$A$57),"")</f>
        <v/>
      </c>
      <c r="AG18" s="776"/>
      <c r="AH18" s="765" t="str">
        <f>IF(AND('Mapa final'!$K$45="Alta",'Mapa final'!$O$45="Catastrófico"),CONCATENATE("R",'Mapa final'!$A$45),"")</f>
        <v/>
      </c>
      <c r="AI18" s="766"/>
      <c r="AJ18" s="766" t="str">
        <f>IF(AND('Mapa final'!$K$51="Alta",'Mapa final'!$O$51="Catastrófico"),CONCATENATE("R",'Mapa final'!$A$51),"")</f>
        <v/>
      </c>
      <c r="AK18" s="766"/>
      <c r="AL18" s="766" t="str">
        <f>IF(AND('Mapa final'!$K$57="Alta",'Mapa final'!$O$57="Catastrófico"),CONCATENATE("R",'Mapa final'!$A$57),"")</f>
        <v/>
      </c>
      <c r="AM18" s="767"/>
      <c r="AN18" s="65"/>
      <c r="AO18" s="808"/>
      <c r="AP18" s="809"/>
      <c r="AQ18" s="809"/>
      <c r="AR18" s="809"/>
      <c r="AS18" s="809"/>
      <c r="AT18" s="810"/>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row>
    <row r="19" spans="1:80" ht="15" customHeight="1" x14ac:dyDescent="0.3">
      <c r="A19" s="65"/>
      <c r="B19" s="794"/>
      <c r="C19" s="794"/>
      <c r="D19" s="795"/>
      <c r="E19" s="787"/>
      <c r="F19" s="788"/>
      <c r="G19" s="788"/>
      <c r="H19" s="788"/>
      <c r="I19" s="788"/>
      <c r="J19" s="756"/>
      <c r="K19" s="757"/>
      <c r="L19" s="757"/>
      <c r="M19" s="757"/>
      <c r="N19" s="757"/>
      <c r="O19" s="758"/>
      <c r="P19" s="756"/>
      <c r="Q19" s="757"/>
      <c r="R19" s="757"/>
      <c r="S19" s="757"/>
      <c r="T19" s="757"/>
      <c r="U19" s="758"/>
      <c r="V19" s="774"/>
      <c r="W19" s="775"/>
      <c r="X19" s="775"/>
      <c r="Y19" s="775"/>
      <c r="Z19" s="775"/>
      <c r="AA19" s="776"/>
      <c r="AB19" s="774"/>
      <c r="AC19" s="775"/>
      <c r="AD19" s="775"/>
      <c r="AE19" s="775"/>
      <c r="AF19" s="775"/>
      <c r="AG19" s="776"/>
      <c r="AH19" s="765"/>
      <c r="AI19" s="766"/>
      <c r="AJ19" s="766"/>
      <c r="AK19" s="766"/>
      <c r="AL19" s="766"/>
      <c r="AM19" s="767"/>
      <c r="AN19" s="65"/>
      <c r="AO19" s="808"/>
      <c r="AP19" s="809"/>
      <c r="AQ19" s="809"/>
      <c r="AR19" s="809"/>
      <c r="AS19" s="809"/>
      <c r="AT19" s="810"/>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row>
    <row r="20" spans="1:80" ht="15" customHeight="1" x14ac:dyDescent="0.3">
      <c r="A20" s="65"/>
      <c r="B20" s="794"/>
      <c r="C20" s="794"/>
      <c r="D20" s="795"/>
      <c r="E20" s="787"/>
      <c r="F20" s="788"/>
      <c r="G20" s="788"/>
      <c r="H20" s="788"/>
      <c r="I20" s="788"/>
      <c r="J20" s="756" t="str">
        <f>IF(AND('Mapa final'!$K$63="Alta",'Mapa final'!$O$63="Leve"),CONCATENATE("R",'Mapa final'!$A$63),"")</f>
        <v/>
      </c>
      <c r="K20" s="757"/>
      <c r="L20" s="757" t="str">
        <f>IF(AND('Mapa final'!$K$69="Alta",'Mapa final'!$O$69="Leve"),CONCATENATE("R",'Mapa final'!$A$69),"")</f>
        <v/>
      </c>
      <c r="M20" s="757"/>
      <c r="N20" s="757" t="str">
        <f>IF(AND('Mapa final'!$K$75="Alta",'Mapa final'!$O$75="Leve"),CONCATENATE("R",'Mapa final'!$A$75),"")</f>
        <v/>
      </c>
      <c r="O20" s="758"/>
      <c r="P20" s="756" t="str">
        <f>IF(AND('Mapa final'!$K$63="Alta",'Mapa final'!$O$63="Menor"),CONCATENATE("R",'Mapa final'!$A$63),"")</f>
        <v/>
      </c>
      <c r="Q20" s="757"/>
      <c r="R20" s="757" t="str">
        <f>IF(AND('Mapa final'!$K$69="Alta",'Mapa final'!$O$69="Menor"),CONCATENATE("R",'Mapa final'!$A$69),"")</f>
        <v/>
      </c>
      <c r="S20" s="757"/>
      <c r="T20" s="757" t="str">
        <f>IF(AND('Mapa final'!$K$75="Alta",'Mapa final'!$O$75="Menor"),CONCATENATE("R",'Mapa final'!$A$75),"")</f>
        <v/>
      </c>
      <c r="U20" s="758"/>
      <c r="V20" s="774" t="str">
        <f>IF(AND('Mapa final'!$K$63="Alta",'Mapa final'!$O$63="Moderado"),CONCATENATE("R",'Mapa final'!$A$63),"")</f>
        <v/>
      </c>
      <c r="W20" s="775"/>
      <c r="X20" s="775" t="str">
        <f>IF(AND('Mapa final'!$K$69="Alta",'Mapa final'!$O$69="Moderado"),CONCATENATE("R",'Mapa final'!$A$69),"")</f>
        <v/>
      </c>
      <c r="Y20" s="775"/>
      <c r="Z20" s="775" t="str">
        <f>IF(AND('Mapa final'!$K$75="Alta",'Mapa final'!$O$75="Moderado"),CONCATENATE("R",'Mapa final'!$A$75),"")</f>
        <v/>
      </c>
      <c r="AA20" s="776"/>
      <c r="AB20" s="774" t="str">
        <f>IF(AND('Mapa final'!$K$63="Alta",'Mapa final'!$O$63="Mayor"),CONCATENATE("R",'Mapa final'!$A$63),"")</f>
        <v/>
      </c>
      <c r="AC20" s="775"/>
      <c r="AD20" s="775" t="str">
        <f>IF(AND('Mapa final'!$K$69="Alta",'Mapa final'!$O$69="Mayor"),CONCATENATE("R",'Mapa final'!$A$69),"")</f>
        <v/>
      </c>
      <c r="AE20" s="775"/>
      <c r="AF20" s="775" t="str">
        <f>IF(AND('Mapa final'!$K$75="Alta",'Mapa final'!$O$75="Mayor"),CONCATENATE("R",'Mapa final'!$A$75),"")</f>
        <v/>
      </c>
      <c r="AG20" s="776"/>
      <c r="AH20" s="765" t="str">
        <f>IF(AND('Mapa final'!$K$63="Alta",'Mapa final'!$O$63="Catastrófico"),CONCATENATE("R",'Mapa final'!$A$63),"")</f>
        <v/>
      </c>
      <c r="AI20" s="766"/>
      <c r="AJ20" s="766" t="str">
        <f>IF(AND('Mapa final'!$K$69="Alta",'Mapa final'!$O$69="Catastrófico"),CONCATENATE("R",'Mapa final'!$A$69),"")</f>
        <v/>
      </c>
      <c r="AK20" s="766"/>
      <c r="AL20" s="766" t="str">
        <f>IF(AND('Mapa final'!$K$75="Alta",'Mapa final'!$O$75="Catastrófico"),CONCATENATE("R",'Mapa final'!$A$75),"")</f>
        <v/>
      </c>
      <c r="AM20" s="767"/>
      <c r="AN20" s="65"/>
      <c r="AO20" s="808"/>
      <c r="AP20" s="809"/>
      <c r="AQ20" s="809"/>
      <c r="AR20" s="809"/>
      <c r="AS20" s="809"/>
      <c r="AT20" s="810"/>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row>
    <row r="21" spans="1:80" ht="15.75" customHeight="1" thickBot="1" x14ac:dyDescent="0.35">
      <c r="A21" s="65"/>
      <c r="B21" s="794"/>
      <c r="C21" s="794"/>
      <c r="D21" s="795"/>
      <c r="E21" s="790"/>
      <c r="F21" s="791"/>
      <c r="G21" s="791"/>
      <c r="H21" s="791"/>
      <c r="I21" s="791"/>
      <c r="J21" s="759"/>
      <c r="K21" s="760"/>
      <c r="L21" s="760"/>
      <c r="M21" s="760"/>
      <c r="N21" s="760"/>
      <c r="O21" s="761"/>
      <c r="P21" s="759"/>
      <c r="Q21" s="760"/>
      <c r="R21" s="760"/>
      <c r="S21" s="760"/>
      <c r="T21" s="760"/>
      <c r="U21" s="761"/>
      <c r="V21" s="777"/>
      <c r="W21" s="778"/>
      <c r="X21" s="778"/>
      <c r="Y21" s="778"/>
      <c r="Z21" s="778"/>
      <c r="AA21" s="779"/>
      <c r="AB21" s="777"/>
      <c r="AC21" s="778"/>
      <c r="AD21" s="778"/>
      <c r="AE21" s="778"/>
      <c r="AF21" s="778"/>
      <c r="AG21" s="779"/>
      <c r="AH21" s="768"/>
      <c r="AI21" s="769"/>
      <c r="AJ21" s="769"/>
      <c r="AK21" s="769"/>
      <c r="AL21" s="769"/>
      <c r="AM21" s="770"/>
      <c r="AN21" s="65"/>
      <c r="AO21" s="811"/>
      <c r="AP21" s="812"/>
      <c r="AQ21" s="812"/>
      <c r="AR21" s="812"/>
      <c r="AS21" s="812"/>
      <c r="AT21" s="813"/>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row>
    <row r="22" spans="1:80" x14ac:dyDescent="0.3">
      <c r="A22" s="65"/>
      <c r="B22" s="794"/>
      <c r="C22" s="794"/>
      <c r="D22" s="795"/>
      <c r="E22" s="784" t="s">
        <v>112</v>
      </c>
      <c r="F22" s="785"/>
      <c r="G22" s="785"/>
      <c r="H22" s="785"/>
      <c r="I22" s="786"/>
      <c r="J22" s="762" t="str">
        <f>IF(AND('Mapa final'!$K$10="Media",'Mapa final'!$O$10="Leve"),CONCATENATE("R",'Mapa final'!$A$10),"")</f>
        <v/>
      </c>
      <c r="K22" s="763"/>
      <c r="L22" s="763" t="str">
        <f>IF(AND('Mapa final'!$K$16="Media",'Mapa final'!$O$16="Leve"),CONCATENATE("R",'Mapa final'!$A$16),"")</f>
        <v/>
      </c>
      <c r="M22" s="763"/>
      <c r="N22" s="763" t="str">
        <f>IF(AND('Mapa final'!$K$22="Media",'Mapa final'!$O$22="Leve"),CONCATENATE("R",'Mapa final'!$A$22),"")</f>
        <v/>
      </c>
      <c r="O22" s="764"/>
      <c r="P22" s="762" t="str">
        <f>IF(AND('Mapa final'!$K$10="Media",'Mapa final'!$O$10="Menor"),CONCATENATE("R",'Mapa final'!$A$10),"")</f>
        <v/>
      </c>
      <c r="Q22" s="763"/>
      <c r="R22" s="763" t="str">
        <f>IF(AND('Mapa final'!$K$16="Media",'Mapa final'!$O$16="Menor"),CONCATENATE("R",'Mapa final'!$A$16),"")</f>
        <v/>
      </c>
      <c r="S22" s="763"/>
      <c r="T22" s="763" t="str">
        <f>IF(AND('Mapa final'!$K$22="Media",'Mapa final'!$O$22="Menor"),CONCATENATE("R",'Mapa final'!$A$22),"")</f>
        <v/>
      </c>
      <c r="U22" s="764"/>
      <c r="V22" s="762" t="str">
        <f>IF(AND('Mapa final'!$K$10="Media",'Mapa final'!$O$10="Moderado"),CONCATENATE("R",'Mapa final'!$A$10),"")</f>
        <v/>
      </c>
      <c r="W22" s="763"/>
      <c r="X22" s="763" t="str">
        <f>IF(AND('Mapa final'!$K$16="Media",'Mapa final'!$O$16="Moderado"),CONCATENATE("R",'Mapa final'!$A$16),"")</f>
        <v/>
      </c>
      <c r="Y22" s="763"/>
      <c r="Z22" s="763" t="str">
        <f>IF(AND('Mapa final'!$K$22="Media",'Mapa final'!$O$22="Moderado"),CONCATENATE("R",'Mapa final'!$A$22),"")</f>
        <v/>
      </c>
      <c r="AA22" s="764"/>
      <c r="AB22" s="780" t="str">
        <f>IF(AND('Mapa final'!$K$10="Media",'Mapa final'!$O$10="Mayor"),CONCATENATE("R",'Mapa final'!$A$10),"")</f>
        <v/>
      </c>
      <c r="AC22" s="781"/>
      <c r="AD22" s="781" t="str">
        <f>IF(AND('Mapa final'!$K$16="Media",'Mapa final'!$O$16="Mayor"),CONCATENATE("R",'Mapa final'!$A$16),"")</f>
        <v/>
      </c>
      <c r="AE22" s="781"/>
      <c r="AF22" s="781" t="str">
        <f>IF(AND('Mapa final'!$K$22="Media",'Mapa final'!$O$22="Mayor"),CONCATENATE("R",'Mapa final'!$A$22),"")</f>
        <v/>
      </c>
      <c r="AG22" s="782"/>
      <c r="AH22" s="771" t="str">
        <f>IF(AND('Mapa final'!$K$10="Media",'Mapa final'!$O$10="Catastrófico"),CONCATENATE("R",'Mapa final'!$A$10),"")</f>
        <v/>
      </c>
      <c r="AI22" s="772"/>
      <c r="AJ22" s="772" t="str">
        <f>IF(AND('Mapa final'!$K$16="Media",'Mapa final'!$O$16="Catastrófico"),CONCATENATE("R",'Mapa final'!$A$16),"")</f>
        <v/>
      </c>
      <c r="AK22" s="772"/>
      <c r="AL22" s="772" t="str">
        <f>IF(AND('Mapa final'!$K$22="Media",'Mapa final'!$O$22="Catastrófico"),CONCATENATE("R",'Mapa final'!$A$22),"")</f>
        <v/>
      </c>
      <c r="AM22" s="773"/>
      <c r="AN22" s="65"/>
      <c r="AO22" s="814" t="s">
        <v>80</v>
      </c>
      <c r="AP22" s="815"/>
      <c r="AQ22" s="815"/>
      <c r="AR22" s="815"/>
      <c r="AS22" s="815"/>
      <c r="AT22" s="816"/>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row>
    <row r="23" spans="1:80" x14ac:dyDescent="0.3">
      <c r="A23" s="65"/>
      <c r="B23" s="794"/>
      <c r="C23" s="794"/>
      <c r="D23" s="795"/>
      <c r="E23" s="787"/>
      <c r="F23" s="788"/>
      <c r="G23" s="788"/>
      <c r="H23" s="788"/>
      <c r="I23" s="789"/>
      <c r="J23" s="756"/>
      <c r="K23" s="757"/>
      <c r="L23" s="757"/>
      <c r="M23" s="757"/>
      <c r="N23" s="757"/>
      <c r="O23" s="758"/>
      <c r="P23" s="756"/>
      <c r="Q23" s="757"/>
      <c r="R23" s="757"/>
      <c r="S23" s="757"/>
      <c r="T23" s="757"/>
      <c r="U23" s="758"/>
      <c r="V23" s="756"/>
      <c r="W23" s="757"/>
      <c r="X23" s="757"/>
      <c r="Y23" s="757"/>
      <c r="Z23" s="757"/>
      <c r="AA23" s="758"/>
      <c r="AB23" s="774"/>
      <c r="AC23" s="775"/>
      <c r="AD23" s="775"/>
      <c r="AE23" s="775"/>
      <c r="AF23" s="775"/>
      <c r="AG23" s="776"/>
      <c r="AH23" s="765"/>
      <c r="AI23" s="766"/>
      <c r="AJ23" s="766"/>
      <c r="AK23" s="766"/>
      <c r="AL23" s="766"/>
      <c r="AM23" s="767"/>
      <c r="AN23" s="65"/>
      <c r="AO23" s="817"/>
      <c r="AP23" s="818"/>
      <c r="AQ23" s="818"/>
      <c r="AR23" s="818"/>
      <c r="AS23" s="818"/>
      <c r="AT23" s="819"/>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row>
    <row r="24" spans="1:80" x14ac:dyDescent="0.3">
      <c r="A24" s="65"/>
      <c r="B24" s="794"/>
      <c r="C24" s="794"/>
      <c r="D24" s="795"/>
      <c r="E24" s="787"/>
      <c r="F24" s="788"/>
      <c r="G24" s="788"/>
      <c r="H24" s="788"/>
      <c r="I24" s="789"/>
      <c r="J24" s="756" t="str">
        <f>IF(AND('Mapa final'!$K$28="Media",'Mapa final'!$O$28="Leve"),CONCATENATE("R",'Mapa final'!$A$28),"")</f>
        <v/>
      </c>
      <c r="K24" s="757"/>
      <c r="L24" s="757" t="str">
        <f>IF(AND('Mapa final'!$K$33="Media",'Mapa final'!$O$33="Leve"),CONCATENATE("R",'Mapa final'!$A$33),"")</f>
        <v/>
      </c>
      <c r="M24" s="757"/>
      <c r="N24" s="757" t="str">
        <f>IF(AND('Mapa final'!$K$39="Media",'Mapa final'!$O$39="Leve"),CONCATENATE("R",'Mapa final'!$A$39),"")</f>
        <v/>
      </c>
      <c r="O24" s="758"/>
      <c r="P24" s="756" t="str">
        <f>IF(AND('Mapa final'!$K$28="Media",'Mapa final'!$O$28="Menor"),CONCATENATE("R",'Mapa final'!$A$28),"")</f>
        <v/>
      </c>
      <c r="Q24" s="757"/>
      <c r="R24" s="757" t="str">
        <f>IF(AND('Mapa final'!$K$33="Media",'Mapa final'!$O$33="Menor"),CONCATENATE("R",'Mapa final'!$A$33),"")</f>
        <v>R5</v>
      </c>
      <c r="S24" s="757"/>
      <c r="T24" s="757" t="str">
        <f>IF(AND('Mapa final'!$K$39="Media",'Mapa final'!$O$39="Menor"),CONCATENATE("R",'Mapa final'!$A$39),"")</f>
        <v/>
      </c>
      <c r="U24" s="758"/>
      <c r="V24" s="756" t="str">
        <f>IF(AND('Mapa final'!$K$28="Media",'Mapa final'!$O$28="Moderado"),CONCATENATE("R",'Mapa final'!$A$28),"")</f>
        <v/>
      </c>
      <c r="W24" s="757"/>
      <c r="X24" s="757" t="str">
        <f>IF(AND('Mapa final'!$K$33="Media",'Mapa final'!$O$33="Moderado"),CONCATENATE("R",'Mapa final'!$A$33),"")</f>
        <v/>
      </c>
      <c r="Y24" s="757"/>
      <c r="Z24" s="757" t="str">
        <f>IF(AND('Mapa final'!$K$39="Media",'Mapa final'!$O$39="Moderado"),CONCATENATE("R",'Mapa final'!$A$39),"")</f>
        <v/>
      </c>
      <c r="AA24" s="758"/>
      <c r="AB24" s="774" t="str">
        <f>IF(AND('Mapa final'!$K$28="Media",'Mapa final'!$O$28="Mayor"),CONCATENATE("R",'Mapa final'!$A$28),"")</f>
        <v/>
      </c>
      <c r="AC24" s="775"/>
      <c r="AD24" s="775" t="str">
        <f>IF(AND('Mapa final'!$K$33="Media",'Mapa final'!$O$33="Mayor"),CONCATENATE("R",'Mapa final'!$A$33),"")</f>
        <v/>
      </c>
      <c r="AE24" s="775"/>
      <c r="AF24" s="775" t="str">
        <f>IF(AND('Mapa final'!$K$39="Media",'Mapa final'!$O$39="Mayor"),CONCATENATE("R",'Mapa final'!$A$39),"")</f>
        <v/>
      </c>
      <c r="AG24" s="776"/>
      <c r="AH24" s="765" t="str">
        <f>IF(AND('Mapa final'!$K$28="Media",'Mapa final'!$O$28="Catastrófico"),CONCATENATE("R",'Mapa final'!$A$28),"")</f>
        <v/>
      </c>
      <c r="AI24" s="766"/>
      <c r="AJ24" s="766" t="str">
        <f>IF(AND('Mapa final'!$K$33="Media",'Mapa final'!$O$33="Catastrófico"),CONCATENATE("R",'Mapa final'!$A$33),"")</f>
        <v/>
      </c>
      <c r="AK24" s="766"/>
      <c r="AL24" s="766" t="str">
        <f>IF(AND('Mapa final'!$K$39="Media",'Mapa final'!$O$39="Catastrófico"),CONCATENATE("R",'Mapa final'!$A$39),"")</f>
        <v/>
      </c>
      <c r="AM24" s="767"/>
      <c r="AN24" s="65"/>
      <c r="AO24" s="817"/>
      <c r="AP24" s="818"/>
      <c r="AQ24" s="818"/>
      <c r="AR24" s="818"/>
      <c r="AS24" s="818"/>
      <c r="AT24" s="819"/>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row>
    <row r="25" spans="1:80" x14ac:dyDescent="0.3">
      <c r="A25" s="65"/>
      <c r="B25" s="794"/>
      <c r="C25" s="794"/>
      <c r="D25" s="795"/>
      <c r="E25" s="787"/>
      <c r="F25" s="788"/>
      <c r="G25" s="788"/>
      <c r="H25" s="788"/>
      <c r="I25" s="789"/>
      <c r="J25" s="756"/>
      <c r="K25" s="757"/>
      <c r="L25" s="757"/>
      <c r="M25" s="757"/>
      <c r="N25" s="757"/>
      <c r="O25" s="758"/>
      <c r="P25" s="756"/>
      <c r="Q25" s="757"/>
      <c r="R25" s="757"/>
      <c r="S25" s="757"/>
      <c r="T25" s="757"/>
      <c r="U25" s="758"/>
      <c r="V25" s="756"/>
      <c r="W25" s="757"/>
      <c r="X25" s="757"/>
      <c r="Y25" s="757"/>
      <c r="Z25" s="757"/>
      <c r="AA25" s="758"/>
      <c r="AB25" s="774"/>
      <c r="AC25" s="775"/>
      <c r="AD25" s="775"/>
      <c r="AE25" s="775"/>
      <c r="AF25" s="775"/>
      <c r="AG25" s="776"/>
      <c r="AH25" s="765"/>
      <c r="AI25" s="766"/>
      <c r="AJ25" s="766"/>
      <c r="AK25" s="766"/>
      <c r="AL25" s="766"/>
      <c r="AM25" s="767"/>
      <c r="AN25" s="65"/>
      <c r="AO25" s="817"/>
      <c r="AP25" s="818"/>
      <c r="AQ25" s="818"/>
      <c r="AR25" s="818"/>
      <c r="AS25" s="818"/>
      <c r="AT25" s="819"/>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row>
    <row r="26" spans="1:80" x14ac:dyDescent="0.3">
      <c r="A26" s="65"/>
      <c r="B26" s="794"/>
      <c r="C26" s="794"/>
      <c r="D26" s="795"/>
      <c r="E26" s="787"/>
      <c r="F26" s="788"/>
      <c r="G26" s="788"/>
      <c r="H26" s="788"/>
      <c r="I26" s="789"/>
      <c r="J26" s="756" t="str">
        <f>IF(AND('Mapa final'!$K$45="Media",'Mapa final'!$O$45="Leve"),CONCATENATE("R",'Mapa final'!$A$45),"")</f>
        <v/>
      </c>
      <c r="K26" s="757"/>
      <c r="L26" s="757" t="str">
        <f>IF(AND('Mapa final'!$K$51="Media",'Mapa final'!$O$51="Leve"),CONCATENATE("R",'Mapa final'!$A$51),"")</f>
        <v/>
      </c>
      <c r="M26" s="757"/>
      <c r="N26" s="757" t="str">
        <f>IF(AND('Mapa final'!$K$57="Media",'Mapa final'!$O$57="Leve"),CONCATENATE("R",'Mapa final'!$A$57),"")</f>
        <v/>
      </c>
      <c r="O26" s="758"/>
      <c r="P26" s="756" t="str">
        <f>IF(AND('Mapa final'!$K$45="Media",'Mapa final'!$O$45="Menor"),CONCATENATE("R",'Mapa final'!$A$45),"")</f>
        <v/>
      </c>
      <c r="Q26" s="757"/>
      <c r="R26" s="757" t="str">
        <f>IF(AND('Mapa final'!$K$51="Media",'Mapa final'!$O$51="Menor"),CONCATENATE("R",'Mapa final'!$A$51),"")</f>
        <v/>
      </c>
      <c r="S26" s="757"/>
      <c r="T26" s="757" t="str">
        <f>IF(AND('Mapa final'!$K$57="Media",'Mapa final'!$O$57="Menor"),CONCATENATE("R",'Mapa final'!$A$57),"")</f>
        <v/>
      </c>
      <c r="U26" s="758"/>
      <c r="V26" s="756" t="str">
        <f>IF(AND('Mapa final'!$K$45="Media",'Mapa final'!$O$45="Moderado"),CONCATENATE("R",'Mapa final'!$A$45),"")</f>
        <v/>
      </c>
      <c r="W26" s="757"/>
      <c r="X26" s="757" t="str">
        <f>IF(AND('Mapa final'!$K$51="Media",'Mapa final'!$O$51="Moderado"),CONCATENATE("R",'Mapa final'!$A$51),"")</f>
        <v/>
      </c>
      <c r="Y26" s="757"/>
      <c r="Z26" s="757" t="str">
        <f>IF(AND('Mapa final'!$K$57="Media",'Mapa final'!$O$57="Moderado"),CONCATENATE("R",'Mapa final'!$A$57),"")</f>
        <v/>
      </c>
      <c r="AA26" s="758"/>
      <c r="AB26" s="774" t="str">
        <f>IF(AND('Mapa final'!$K$45="Media",'Mapa final'!$O$45="Mayor"),CONCATENATE("R",'Mapa final'!$A$45),"")</f>
        <v/>
      </c>
      <c r="AC26" s="775"/>
      <c r="AD26" s="775" t="str">
        <f>IF(AND('Mapa final'!$K$51="Media",'Mapa final'!$O$51="Mayor"),CONCATENATE("R",'Mapa final'!$A$51),"")</f>
        <v/>
      </c>
      <c r="AE26" s="775"/>
      <c r="AF26" s="775" t="str">
        <f>IF(AND('Mapa final'!$K$57="Media",'Mapa final'!$O$57="Mayor"),CONCATENATE("R",'Mapa final'!$A$57),"")</f>
        <v/>
      </c>
      <c r="AG26" s="776"/>
      <c r="AH26" s="765" t="str">
        <f>IF(AND('Mapa final'!$K$45="Media",'Mapa final'!$O$45="Catastrófico"),CONCATENATE("R",'Mapa final'!$A$45),"")</f>
        <v/>
      </c>
      <c r="AI26" s="766"/>
      <c r="AJ26" s="766" t="str">
        <f>IF(AND('Mapa final'!$K$51="Media",'Mapa final'!$O$51="Catastrófico"),CONCATENATE("R",'Mapa final'!$A$51),"")</f>
        <v/>
      </c>
      <c r="AK26" s="766"/>
      <c r="AL26" s="766" t="str">
        <f>IF(AND('Mapa final'!$K$57="Media",'Mapa final'!$O$57="Catastrófico"),CONCATENATE("R",'Mapa final'!$A$57),"")</f>
        <v/>
      </c>
      <c r="AM26" s="767"/>
      <c r="AN26" s="65"/>
      <c r="AO26" s="817"/>
      <c r="AP26" s="818"/>
      <c r="AQ26" s="818"/>
      <c r="AR26" s="818"/>
      <c r="AS26" s="818"/>
      <c r="AT26" s="819"/>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row>
    <row r="27" spans="1:80" x14ac:dyDescent="0.3">
      <c r="A27" s="65"/>
      <c r="B27" s="794"/>
      <c r="C27" s="794"/>
      <c r="D27" s="795"/>
      <c r="E27" s="787"/>
      <c r="F27" s="788"/>
      <c r="G27" s="788"/>
      <c r="H27" s="788"/>
      <c r="I27" s="789"/>
      <c r="J27" s="756"/>
      <c r="K27" s="757"/>
      <c r="L27" s="757"/>
      <c r="M27" s="757"/>
      <c r="N27" s="757"/>
      <c r="O27" s="758"/>
      <c r="P27" s="756"/>
      <c r="Q27" s="757"/>
      <c r="R27" s="757"/>
      <c r="S27" s="757"/>
      <c r="T27" s="757"/>
      <c r="U27" s="758"/>
      <c r="V27" s="756"/>
      <c r="W27" s="757"/>
      <c r="X27" s="757"/>
      <c r="Y27" s="757"/>
      <c r="Z27" s="757"/>
      <c r="AA27" s="758"/>
      <c r="AB27" s="774"/>
      <c r="AC27" s="775"/>
      <c r="AD27" s="775"/>
      <c r="AE27" s="775"/>
      <c r="AF27" s="775"/>
      <c r="AG27" s="776"/>
      <c r="AH27" s="765"/>
      <c r="AI27" s="766"/>
      <c r="AJ27" s="766"/>
      <c r="AK27" s="766"/>
      <c r="AL27" s="766"/>
      <c r="AM27" s="767"/>
      <c r="AN27" s="65"/>
      <c r="AO27" s="817"/>
      <c r="AP27" s="818"/>
      <c r="AQ27" s="818"/>
      <c r="AR27" s="818"/>
      <c r="AS27" s="818"/>
      <c r="AT27" s="819"/>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row>
    <row r="28" spans="1:80" x14ac:dyDescent="0.3">
      <c r="A28" s="65"/>
      <c r="B28" s="794"/>
      <c r="C28" s="794"/>
      <c r="D28" s="795"/>
      <c r="E28" s="787"/>
      <c r="F28" s="788"/>
      <c r="G28" s="788"/>
      <c r="H28" s="788"/>
      <c r="I28" s="789"/>
      <c r="J28" s="756" t="str">
        <f>IF(AND('Mapa final'!$K$63="Media",'Mapa final'!$O$63="Leve"),CONCATENATE("R",'Mapa final'!$A$63),"")</f>
        <v/>
      </c>
      <c r="K28" s="757"/>
      <c r="L28" s="757" t="str">
        <f>IF(AND('Mapa final'!$K$69="Media",'Mapa final'!$O$69="Leve"),CONCATENATE("R",'Mapa final'!$A$69),"")</f>
        <v/>
      </c>
      <c r="M28" s="757"/>
      <c r="N28" s="757" t="str">
        <f>IF(AND('Mapa final'!$K$75="Media",'Mapa final'!$O$75="Leve"),CONCATENATE("R",'Mapa final'!$A$75),"")</f>
        <v/>
      </c>
      <c r="O28" s="758"/>
      <c r="P28" s="756" t="str">
        <f>IF(AND('Mapa final'!$K$63="Media",'Mapa final'!$O$63="Menor"),CONCATENATE("R",'Mapa final'!$A$63),"")</f>
        <v/>
      </c>
      <c r="Q28" s="757"/>
      <c r="R28" s="757" t="str">
        <f>IF(AND('Mapa final'!$K$69="Media",'Mapa final'!$O$69="Menor"),CONCATENATE("R",'Mapa final'!$A$69),"")</f>
        <v/>
      </c>
      <c r="S28" s="757"/>
      <c r="T28" s="757" t="str">
        <f>IF(AND('Mapa final'!$K$75="Media",'Mapa final'!$O$75="Menor"),CONCATENATE("R",'Mapa final'!$A$75),"")</f>
        <v/>
      </c>
      <c r="U28" s="758"/>
      <c r="V28" s="756" t="str">
        <f>IF(AND('Mapa final'!$K$63="Media",'Mapa final'!$O$63="Moderado"),CONCATENATE("R",'Mapa final'!$A$63),"")</f>
        <v/>
      </c>
      <c r="W28" s="757"/>
      <c r="X28" s="757" t="str">
        <f>IF(AND('Mapa final'!$K$69="Media",'Mapa final'!$O$69="Moderado"),CONCATENATE("R",'Mapa final'!$A$69),"")</f>
        <v/>
      </c>
      <c r="Y28" s="757"/>
      <c r="Z28" s="757" t="str">
        <f>IF(AND('Mapa final'!$K$75="Media",'Mapa final'!$O$75="Moderado"),CONCATENATE("R",'Mapa final'!$A$75),"")</f>
        <v/>
      </c>
      <c r="AA28" s="758"/>
      <c r="AB28" s="774" t="str">
        <f>IF(AND('Mapa final'!$K$63="Media",'Mapa final'!$O$63="Mayor"),CONCATENATE("R",'Mapa final'!$A$63),"")</f>
        <v/>
      </c>
      <c r="AC28" s="775"/>
      <c r="AD28" s="775" t="str">
        <f>IF(AND('Mapa final'!$K$69="Media",'Mapa final'!$O$69="Mayor"),CONCATENATE("R",'Mapa final'!$A$69),"")</f>
        <v/>
      </c>
      <c r="AE28" s="775"/>
      <c r="AF28" s="775" t="str">
        <f>IF(AND('Mapa final'!$K$75="Media",'Mapa final'!$O$75="Mayor"),CONCATENATE("R",'Mapa final'!$A$75),"")</f>
        <v/>
      </c>
      <c r="AG28" s="776"/>
      <c r="AH28" s="765" t="str">
        <f>IF(AND('Mapa final'!$K$63="Media",'Mapa final'!$O$63="Catastrófico"),CONCATENATE("R",'Mapa final'!$A$63),"")</f>
        <v/>
      </c>
      <c r="AI28" s="766"/>
      <c r="AJ28" s="766" t="str">
        <f>IF(AND('Mapa final'!$K$69="Media",'Mapa final'!$O$69="Catastrófico"),CONCATENATE("R",'Mapa final'!$A$69),"")</f>
        <v/>
      </c>
      <c r="AK28" s="766"/>
      <c r="AL28" s="766" t="str">
        <f>IF(AND('Mapa final'!$K$75="Media",'Mapa final'!$O$75="Catastrófico"),CONCATENATE("R",'Mapa final'!$A$75),"")</f>
        <v/>
      </c>
      <c r="AM28" s="767"/>
      <c r="AN28" s="65"/>
      <c r="AO28" s="817"/>
      <c r="AP28" s="818"/>
      <c r="AQ28" s="818"/>
      <c r="AR28" s="818"/>
      <c r="AS28" s="818"/>
      <c r="AT28" s="819"/>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row>
    <row r="29" spans="1:80" ht="15" thickBot="1" x14ac:dyDescent="0.35">
      <c r="A29" s="65"/>
      <c r="B29" s="794"/>
      <c r="C29" s="794"/>
      <c r="D29" s="795"/>
      <c r="E29" s="790"/>
      <c r="F29" s="791"/>
      <c r="G29" s="791"/>
      <c r="H29" s="791"/>
      <c r="I29" s="792"/>
      <c r="J29" s="756"/>
      <c r="K29" s="757"/>
      <c r="L29" s="757"/>
      <c r="M29" s="757"/>
      <c r="N29" s="757"/>
      <c r="O29" s="758"/>
      <c r="P29" s="759"/>
      <c r="Q29" s="760"/>
      <c r="R29" s="760"/>
      <c r="S29" s="760"/>
      <c r="T29" s="760"/>
      <c r="U29" s="761"/>
      <c r="V29" s="759"/>
      <c r="W29" s="760"/>
      <c r="X29" s="760"/>
      <c r="Y29" s="760"/>
      <c r="Z29" s="760"/>
      <c r="AA29" s="761"/>
      <c r="AB29" s="777"/>
      <c r="AC29" s="778"/>
      <c r="AD29" s="778"/>
      <c r="AE29" s="778"/>
      <c r="AF29" s="778"/>
      <c r="AG29" s="779"/>
      <c r="AH29" s="768"/>
      <c r="AI29" s="769"/>
      <c r="AJ29" s="769"/>
      <c r="AK29" s="769"/>
      <c r="AL29" s="769"/>
      <c r="AM29" s="770"/>
      <c r="AN29" s="65"/>
      <c r="AO29" s="820"/>
      <c r="AP29" s="821"/>
      <c r="AQ29" s="821"/>
      <c r="AR29" s="821"/>
      <c r="AS29" s="821"/>
      <c r="AT29" s="822"/>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row>
    <row r="30" spans="1:80" x14ac:dyDescent="0.3">
      <c r="A30" s="65"/>
      <c r="B30" s="794"/>
      <c r="C30" s="794"/>
      <c r="D30" s="795"/>
      <c r="E30" s="784" t="s">
        <v>109</v>
      </c>
      <c r="F30" s="785"/>
      <c r="G30" s="785"/>
      <c r="H30" s="785"/>
      <c r="I30" s="785"/>
      <c r="J30" s="753" t="str">
        <f>IF(AND('Mapa final'!$K$10="Baja",'Mapa final'!$O$10="Leve"),CONCATENATE("R",'Mapa final'!$A$10),"")</f>
        <v/>
      </c>
      <c r="K30" s="754"/>
      <c r="L30" s="754" t="str">
        <f>IF(AND('Mapa final'!$K$16="Baja",'Mapa final'!$O$16="Leve"),CONCATENATE("R",'Mapa final'!$A$16),"")</f>
        <v/>
      </c>
      <c r="M30" s="754"/>
      <c r="N30" s="754" t="str">
        <f>IF(AND('Mapa final'!$K$22="Baja",'Mapa final'!$O$22="Leve"),CONCATENATE("R",'Mapa final'!$A$22),"")</f>
        <v/>
      </c>
      <c r="O30" s="755"/>
      <c r="P30" s="763" t="str">
        <f>IF(AND('Mapa final'!$K$10="Baja",'Mapa final'!$O$10="Menor"),CONCATENATE("R",'Mapa final'!$A$10),"")</f>
        <v/>
      </c>
      <c r="Q30" s="763"/>
      <c r="R30" s="763" t="str">
        <f>IF(AND('Mapa final'!$K$16="Baja",'Mapa final'!$O$16="Menor"),CONCATENATE("R",'Mapa final'!$A$16),"")</f>
        <v/>
      </c>
      <c r="S30" s="763"/>
      <c r="T30" s="763" t="str">
        <f>IF(AND('Mapa final'!$K$22="Baja",'Mapa final'!$O$22="Menor"),CONCATENATE("R",'Mapa final'!$A$22),"")</f>
        <v/>
      </c>
      <c r="U30" s="764"/>
      <c r="V30" s="762" t="str">
        <f>IF(AND('Mapa final'!$K$10="Baja",'Mapa final'!$O$10="Moderado"),CONCATENATE("R",'Mapa final'!$A$10),"")</f>
        <v/>
      </c>
      <c r="W30" s="763"/>
      <c r="X30" s="763" t="str">
        <f>IF(AND('Mapa final'!$K$16="Baja",'Mapa final'!$O$16="Moderado"),CONCATENATE("R",'Mapa final'!$A$16),"")</f>
        <v/>
      </c>
      <c r="Y30" s="763"/>
      <c r="Z30" s="763" t="str">
        <f>IF(AND('Mapa final'!$K$22="Baja",'Mapa final'!$O$22="Moderado"),CONCATENATE("R",'Mapa final'!$A$22),"")</f>
        <v>R3</v>
      </c>
      <c r="AA30" s="764"/>
      <c r="AB30" s="780" t="str">
        <f>IF(AND('Mapa final'!$K$10="Baja",'Mapa final'!$O$10="Mayor"),CONCATENATE("R",'Mapa final'!$A$10),"")</f>
        <v/>
      </c>
      <c r="AC30" s="781"/>
      <c r="AD30" s="781" t="str">
        <f>IF(AND('Mapa final'!$K$16="Baja",'Mapa final'!$O$16="Mayor"),CONCATENATE("R",'Mapa final'!$A$16),"")</f>
        <v/>
      </c>
      <c r="AE30" s="781"/>
      <c r="AF30" s="781" t="str">
        <f>IF(AND('Mapa final'!$K$22="Baja",'Mapa final'!$O$22="Mayor"),CONCATENATE("R",'Mapa final'!$A$22),"")</f>
        <v/>
      </c>
      <c r="AG30" s="782"/>
      <c r="AH30" s="771" t="str">
        <f>IF(AND('Mapa final'!$K$10="Baja",'Mapa final'!$O$10="Catastrófico"),CONCATENATE("R",'Mapa final'!$A$10),"")</f>
        <v>R1</v>
      </c>
      <c r="AI30" s="772"/>
      <c r="AJ30" s="772" t="str">
        <f>IF(AND('Mapa final'!$K$16="Baja",'Mapa final'!$O$16="Catastrófico"),CONCATENATE("R",'Mapa final'!$A$16),"")</f>
        <v/>
      </c>
      <c r="AK30" s="772"/>
      <c r="AL30" s="772" t="str">
        <f>IF(AND('Mapa final'!$K$22="Baja",'Mapa final'!$O$22="Catastrófico"),CONCATENATE("R",'Mapa final'!$A$22),"")</f>
        <v/>
      </c>
      <c r="AM30" s="773"/>
      <c r="AN30" s="65"/>
      <c r="AO30" s="823" t="s">
        <v>81</v>
      </c>
      <c r="AP30" s="824"/>
      <c r="AQ30" s="824"/>
      <c r="AR30" s="824"/>
      <c r="AS30" s="824"/>
      <c r="AT30" s="82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row>
    <row r="31" spans="1:80" x14ac:dyDescent="0.3">
      <c r="A31" s="65"/>
      <c r="B31" s="794"/>
      <c r="C31" s="794"/>
      <c r="D31" s="795"/>
      <c r="E31" s="787"/>
      <c r="F31" s="788"/>
      <c r="G31" s="788"/>
      <c r="H31" s="788"/>
      <c r="I31" s="788"/>
      <c r="J31" s="747"/>
      <c r="K31" s="748"/>
      <c r="L31" s="748"/>
      <c r="M31" s="748"/>
      <c r="N31" s="748"/>
      <c r="O31" s="749"/>
      <c r="P31" s="757"/>
      <c r="Q31" s="757"/>
      <c r="R31" s="757"/>
      <c r="S31" s="757"/>
      <c r="T31" s="757"/>
      <c r="U31" s="758"/>
      <c r="V31" s="756"/>
      <c r="W31" s="757"/>
      <c r="X31" s="757"/>
      <c r="Y31" s="757"/>
      <c r="Z31" s="757"/>
      <c r="AA31" s="758"/>
      <c r="AB31" s="774"/>
      <c r="AC31" s="775"/>
      <c r="AD31" s="775"/>
      <c r="AE31" s="775"/>
      <c r="AF31" s="775"/>
      <c r="AG31" s="776"/>
      <c r="AH31" s="765"/>
      <c r="AI31" s="766"/>
      <c r="AJ31" s="766"/>
      <c r="AK31" s="766"/>
      <c r="AL31" s="766"/>
      <c r="AM31" s="767"/>
      <c r="AN31" s="65"/>
      <c r="AO31" s="826"/>
      <c r="AP31" s="827"/>
      <c r="AQ31" s="827"/>
      <c r="AR31" s="827"/>
      <c r="AS31" s="827"/>
      <c r="AT31" s="828"/>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row>
    <row r="32" spans="1:80" x14ac:dyDescent="0.3">
      <c r="A32" s="65"/>
      <c r="B32" s="794"/>
      <c r="C32" s="794"/>
      <c r="D32" s="795"/>
      <c r="E32" s="787"/>
      <c r="F32" s="788"/>
      <c r="G32" s="788"/>
      <c r="H32" s="788"/>
      <c r="I32" s="788"/>
      <c r="J32" s="747" t="str">
        <f>IF(AND('Mapa final'!$K$28="Baja",'Mapa final'!$O$28="Leve"),CONCATENATE("R",'Mapa final'!$A$28),"")</f>
        <v/>
      </c>
      <c r="K32" s="748"/>
      <c r="L32" s="748" t="str">
        <f>IF(AND('Mapa final'!$K$33="Baja",'Mapa final'!$O$33="Leve"),CONCATENATE("R",'Mapa final'!$A$33),"")</f>
        <v/>
      </c>
      <c r="M32" s="748"/>
      <c r="N32" s="748" t="str">
        <f>IF(AND('Mapa final'!$K$39="Baja",'Mapa final'!$O$39="Leve"),CONCATENATE("R",'Mapa final'!$A$39),"")</f>
        <v/>
      </c>
      <c r="O32" s="749"/>
      <c r="P32" s="757" t="str">
        <f>IF(AND('Mapa final'!$K$28="Baja",'Mapa final'!$O$28="Menor"),CONCATENATE("R",'Mapa final'!$A$28),"")</f>
        <v/>
      </c>
      <c r="Q32" s="757"/>
      <c r="R32" s="757" t="str">
        <f>IF(AND('Mapa final'!$K$33="Baja",'Mapa final'!$O$33="Menor"),CONCATENATE("R",'Mapa final'!$A$33),"")</f>
        <v/>
      </c>
      <c r="S32" s="757"/>
      <c r="T32" s="757" t="str">
        <f>IF(AND('Mapa final'!$K$39="Baja",'Mapa final'!$O$39="Menor"),CONCATENATE("R",'Mapa final'!$A$39),"")</f>
        <v/>
      </c>
      <c r="U32" s="758"/>
      <c r="V32" s="756" t="str">
        <f>IF(AND('Mapa final'!$K$28="Baja",'Mapa final'!$O$28="Moderado"),CONCATENATE("R",'Mapa final'!$A$28),"")</f>
        <v/>
      </c>
      <c r="W32" s="757"/>
      <c r="X32" s="757" t="str">
        <f>IF(AND('Mapa final'!$K$33="Baja",'Mapa final'!$O$33="Moderado"),CONCATENATE("R",'Mapa final'!$A$33),"")</f>
        <v/>
      </c>
      <c r="Y32" s="757"/>
      <c r="Z32" s="757" t="str">
        <f>IF(AND('Mapa final'!$K$39="Baja",'Mapa final'!$O$39="Moderado"),CONCATENATE("R",'Mapa final'!$A$39),"")</f>
        <v/>
      </c>
      <c r="AA32" s="758"/>
      <c r="AB32" s="774" t="str">
        <f>IF(AND('Mapa final'!$K$28="Baja",'Mapa final'!$O$28="Mayor"),CONCATENATE("R",'Mapa final'!$A$28),"")</f>
        <v/>
      </c>
      <c r="AC32" s="775"/>
      <c r="AD32" s="775" t="str">
        <f>IF(AND('Mapa final'!$K$33="Baja",'Mapa final'!$O$33="Mayor"),CONCATENATE("R",'Mapa final'!$A$33),"")</f>
        <v/>
      </c>
      <c r="AE32" s="775"/>
      <c r="AF32" s="775" t="str">
        <f>IF(AND('Mapa final'!$K$39="Baja",'Mapa final'!$O$39="Mayor"),CONCATENATE("R",'Mapa final'!$A$39),"")</f>
        <v/>
      </c>
      <c r="AG32" s="776"/>
      <c r="AH32" s="765" t="str">
        <f>IF(AND('Mapa final'!$K$28="Baja",'Mapa final'!$O$28="Catastrófico"),CONCATENATE("R",'Mapa final'!$A$28),"")</f>
        <v/>
      </c>
      <c r="AI32" s="766"/>
      <c r="AJ32" s="766" t="str">
        <f>IF(AND('Mapa final'!$K$33="Baja",'Mapa final'!$O$33="Catastrófico"),CONCATENATE("R",'Mapa final'!$A$33),"")</f>
        <v/>
      </c>
      <c r="AK32" s="766"/>
      <c r="AL32" s="766" t="str">
        <f>IF(AND('Mapa final'!$K$39="Baja",'Mapa final'!$O$39="Catastrófico"),CONCATENATE("R",'Mapa final'!$A$39),"")</f>
        <v/>
      </c>
      <c r="AM32" s="767"/>
      <c r="AN32" s="65"/>
      <c r="AO32" s="826"/>
      <c r="AP32" s="827"/>
      <c r="AQ32" s="827"/>
      <c r="AR32" s="827"/>
      <c r="AS32" s="827"/>
      <c r="AT32" s="828"/>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row>
    <row r="33" spans="1:80" x14ac:dyDescent="0.3">
      <c r="A33" s="65"/>
      <c r="B33" s="794"/>
      <c r="C33" s="794"/>
      <c r="D33" s="795"/>
      <c r="E33" s="787"/>
      <c r="F33" s="788"/>
      <c r="G33" s="788"/>
      <c r="H33" s="788"/>
      <c r="I33" s="788"/>
      <c r="J33" s="747"/>
      <c r="K33" s="748"/>
      <c r="L33" s="748"/>
      <c r="M33" s="748"/>
      <c r="N33" s="748"/>
      <c r="O33" s="749"/>
      <c r="P33" s="757"/>
      <c r="Q33" s="757"/>
      <c r="R33" s="757"/>
      <c r="S33" s="757"/>
      <c r="T33" s="757"/>
      <c r="U33" s="758"/>
      <c r="V33" s="756"/>
      <c r="W33" s="757"/>
      <c r="X33" s="757"/>
      <c r="Y33" s="757"/>
      <c r="Z33" s="757"/>
      <c r="AA33" s="758"/>
      <c r="AB33" s="774"/>
      <c r="AC33" s="775"/>
      <c r="AD33" s="775"/>
      <c r="AE33" s="775"/>
      <c r="AF33" s="775"/>
      <c r="AG33" s="776"/>
      <c r="AH33" s="765"/>
      <c r="AI33" s="766"/>
      <c r="AJ33" s="766"/>
      <c r="AK33" s="766"/>
      <c r="AL33" s="766"/>
      <c r="AM33" s="767"/>
      <c r="AN33" s="65"/>
      <c r="AO33" s="826"/>
      <c r="AP33" s="827"/>
      <c r="AQ33" s="827"/>
      <c r="AR33" s="827"/>
      <c r="AS33" s="827"/>
      <c r="AT33" s="828"/>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row>
    <row r="34" spans="1:80" x14ac:dyDescent="0.3">
      <c r="A34" s="65"/>
      <c r="B34" s="794"/>
      <c r="C34" s="794"/>
      <c r="D34" s="795"/>
      <c r="E34" s="787"/>
      <c r="F34" s="788"/>
      <c r="G34" s="788"/>
      <c r="H34" s="788"/>
      <c r="I34" s="788"/>
      <c r="J34" s="747" t="str">
        <f>IF(AND('Mapa final'!$K$45="Baja",'Mapa final'!$O$45="Leve"),CONCATENATE("R",'Mapa final'!$A$45),"")</f>
        <v/>
      </c>
      <c r="K34" s="748"/>
      <c r="L34" s="748" t="str">
        <f>IF(AND('Mapa final'!$K$51="Baja",'Mapa final'!$O$51="Leve"),CONCATENATE("R",'Mapa final'!$A$51),"")</f>
        <v/>
      </c>
      <c r="M34" s="748"/>
      <c r="N34" s="748" t="str">
        <f>IF(AND('Mapa final'!$K$57="Baja",'Mapa final'!$O$57="Leve"),CONCATENATE("R",'Mapa final'!$A$57),"")</f>
        <v/>
      </c>
      <c r="O34" s="749"/>
      <c r="P34" s="757" t="str">
        <f>IF(AND('Mapa final'!$K$45="Baja",'Mapa final'!$O$45="Menor"),CONCATENATE("R",'Mapa final'!$A$45),"")</f>
        <v/>
      </c>
      <c r="Q34" s="757"/>
      <c r="R34" s="757" t="str">
        <f>IF(AND('Mapa final'!$K$51="Baja",'Mapa final'!$O$51="Menor"),CONCATENATE("R",'Mapa final'!$A$51),"")</f>
        <v/>
      </c>
      <c r="S34" s="757"/>
      <c r="T34" s="757" t="str">
        <f>IF(AND('Mapa final'!$K$57="Baja",'Mapa final'!$O$57="Menor"),CONCATENATE("R",'Mapa final'!$A$57),"")</f>
        <v/>
      </c>
      <c r="U34" s="758"/>
      <c r="V34" s="756" t="str">
        <f>IF(AND('Mapa final'!$K$45="Baja",'Mapa final'!$O$45="Moderado"),CONCATENATE("R",'Mapa final'!$A$45),"")</f>
        <v/>
      </c>
      <c r="W34" s="757"/>
      <c r="X34" s="757" t="str">
        <f>IF(AND('Mapa final'!$K$51="Baja",'Mapa final'!$O$51="Moderado"),CONCATENATE("R",'Mapa final'!$A$51),"")</f>
        <v/>
      </c>
      <c r="Y34" s="757"/>
      <c r="Z34" s="757" t="str">
        <f>IF(AND('Mapa final'!$K$57="Baja",'Mapa final'!$O$57="Moderado"),CONCATENATE("R",'Mapa final'!$A$57),"")</f>
        <v/>
      </c>
      <c r="AA34" s="758"/>
      <c r="AB34" s="774" t="str">
        <f>IF(AND('Mapa final'!$K$45="Baja",'Mapa final'!$O$45="Mayor"),CONCATENATE("R",'Mapa final'!$A$45),"")</f>
        <v/>
      </c>
      <c r="AC34" s="775"/>
      <c r="AD34" s="775" t="str">
        <f>IF(AND('Mapa final'!$K$51="Baja",'Mapa final'!$O$51="Mayor"),CONCATENATE("R",'Mapa final'!$A$51),"")</f>
        <v/>
      </c>
      <c r="AE34" s="775"/>
      <c r="AF34" s="775" t="str">
        <f>IF(AND('Mapa final'!$K$57="Baja",'Mapa final'!$O$57="Mayor"),CONCATENATE("R",'Mapa final'!$A$57),"")</f>
        <v/>
      </c>
      <c r="AG34" s="776"/>
      <c r="AH34" s="765" t="str">
        <f>IF(AND('Mapa final'!$K$45="Baja",'Mapa final'!$O$45="Catastrófico"),CONCATENATE("R",'Mapa final'!$A$45),"")</f>
        <v/>
      </c>
      <c r="AI34" s="766"/>
      <c r="AJ34" s="766" t="str">
        <f>IF(AND('Mapa final'!$K$51="Baja",'Mapa final'!$O$51="Catastrófico"),CONCATENATE("R",'Mapa final'!$A$51),"")</f>
        <v/>
      </c>
      <c r="AK34" s="766"/>
      <c r="AL34" s="766" t="str">
        <f>IF(AND('Mapa final'!$K$57="Baja",'Mapa final'!$O$57="Catastrófico"),CONCATENATE("R",'Mapa final'!$A$57),"")</f>
        <v/>
      </c>
      <c r="AM34" s="767"/>
      <c r="AN34" s="65"/>
      <c r="AO34" s="826"/>
      <c r="AP34" s="827"/>
      <c r="AQ34" s="827"/>
      <c r="AR34" s="827"/>
      <c r="AS34" s="827"/>
      <c r="AT34" s="828"/>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row>
    <row r="35" spans="1:80" x14ac:dyDescent="0.3">
      <c r="A35" s="65"/>
      <c r="B35" s="794"/>
      <c r="C35" s="794"/>
      <c r="D35" s="795"/>
      <c r="E35" s="787"/>
      <c r="F35" s="788"/>
      <c r="G35" s="788"/>
      <c r="H35" s="788"/>
      <c r="I35" s="788"/>
      <c r="J35" s="747"/>
      <c r="K35" s="748"/>
      <c r="L35" s="748"/>
      <c r="M35" s="748"/>
      <c r="N35" s="748"/>
      <c r="O35" s="749"/>
      <c r="P35" s="757"/>
      <c r="Q35" s="757"/>
      <c r="R35" s="757"/>
      <c r="S35" s="757"/>
      <c r="T35" s="757"/>
      <c r="U35" s="758"/>
      <c r="V35" s="756"/>
      <c r="W35" s="757"/>
      <c r="X35" s="757"/>
      <c r="Y35" s="757"/>
      <c r="Z35" s="757"/>
      <c r="AA35" s="758"/>
      <c r="AB35" s="774"/>
      <c r="AC35" s="775"/>
      <c r="AD35" s="775"/>
      <c r="AE35" s="775"/>
      <c r="AF35" s="775"/>
      <c r="AG35" s="776"/>
      <c r="AH35" s="765"/>
      <c r="AI35" s="766"/>
      <c r="AJ35" s="766"/>
      <c r="AK35" s="766"/>
      <c r="AL35" s="766"/>
      <c r="AM35" s="767"/>
      <c r="AN35" s="65"/>
      <c r="AO35" s="826"/>
      <c r="AP35" s="827"/>
      <c r="AQ35" s="827"/>
      <c r="AR35" s="827"/>
      <c r="AS35" s="827"/>
      <c r="AT35" s="828"/>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row>
    <row r="36" spans="1:80" x14ac:dyDescent="0.3">
      <c r="A36" s="65"/>
      <c r="B36" s="794"/>
      <c r="C36" s="794"/>
      <c r="D36" s="795"/>
      <c r="E36" s="787"/>
      <c r="F36" s="788"/>
      <c r="G36" s="788"/>
      <c r="H36" s="788"/>
      <c r="I36" s="788"/>
      <c r="J36" s="747" t="str">
        <f>IF(AND('Mapa final'!$K$63="Baja",'Mapa final'!$O$63="Leve"),CONCATENATE("R",'Mapa final'!$A$63),"")</f>
        <v/>
      </c>
      <c r="K36" s="748"/>
      <c r="L36" s="748" t="str">
        <f>IF(AND('Mapa final'!$K$69="Baja",'Mapa final'!$O$69="Leve"),CONCATENATE("R",'Mapa final'!$A$69),"")</f>
        <v/>
      </c>
      <c r="M36" s="748"/>
      <c r="N36" s="748" t="str">
        <f>IF(AND('Mapa final'!$K$75="Baja",'Mapa final'!$O$75="Leve"),CONCATENATE("R",'Mapa final'!$A$75),"")</f>
        <v/>
      </c>
      <c r="O36" s="749"/>
      <c r="P36" s="757" t="str">
        <f>IF(AND('Mapa final'!$K$63="Baja",'Mapa final'!$O$63="Menor"),CONCATENATE("R",'Mapa final'!$A$63),"")</f>
        <v/>
      </c>
      <c r="Q36" s="757"/>
      <c r="R36" s="757" t="str">
        <f>IF(AND('Mapa final'!$K$69="Baja",'Mapa final'!$O$69="Menor"),CONCATENATE("R",'Mapa final'!$A$69),"")</f>
        <v/>
      </c>
      <c r="S36" s="757"/>
      <c r="T36" s="757" t="str">
        <f>IF(AND('Mapa final'!$K$75="Baja",'Mapa final'!$O$75="Menor"),CONCATENATE("R",'Mapa final'!$A$75),"")</f>
        <v/>
      </c>
      <c r="U36" s="758"/>
      <c r="V36" s="756" t="str">
        <f>IF(AND('Mapa final'!$K$63="Baja",'Mapa final'!$O$63="Moderado"),CONCATENATE("R",'Mapa final'!$A$63),"")</f>
        <v/>
      </c>
      <c r="W36" s="757"/>
      <c r="X36" s="757" t="str">
        <f>IF(AND('Mapa final'!$K$69="Baja",'Mapa final'!$O$69="Moderado"),CONCATENATE("R",'Mapa final'!$A$69),"")</f>
        <v/>
      </c>
      <c r="Y36" s="757"/>
      <c r="Z36" s="757" t="str">
        <f>IF(AND('Mapa final'!$K$75="Baja",'Mapa final'!$O$75="Moderado"),CONCATENATE("R",'Mapa final'!$A$75),"")</f>
        <v/>
      </c>
      <c r="AA36" s="758"/>
      <c r="AB36" s="774" t="str">
        <f>IF(AND('Mapa final'!$K$63="Baja",'Mapa final'!$O$63="Mayor"),CONCATENATE("R",'Mapa final'!$A$63),"")</f>
        <v/>
      </c>
      <c r="AC36" s="775"/>
      <c r="AD36" s="775" t="str">
        <f>IF(AND('Mapa final'!$K$69="Baja",'Mapa final'!$O$69="Mayor"),CONCATENATE("R",'Mapa final'!$A$69),"")</f>
        <v/>
      </c>
      <c r="AE36" s="775"/>
      <c r="AF36" s="775" t="str">
        <f>IF(AND('Mapa final'!$K$75="Baja",'Mapa final'!$O$75="Mayor"),CONCATENATE("R",'Mapa final'!$A$75),"")</f>
        <v/>
      </c>
      <c r="AG36" s="776"/>
      <c r="AH36" s="765" t="str">
        <f>IF(AND('Mapa final'!$K$63="Baja",'Mapa final'!$O$63="Catastrófico"),CONCATENATE("R",'Mapa final'!$A$63),"")</f>
        <v/>
      </c>
      <c r="AI36" s="766"/>
      <c r="AJ36" s="766" t="str">
        <f>IF(AND('Mapa final'!$K$69="Baja",'Mapa final'!$O$69="Catastrófico"),CONCATENATE("R",'Mapa final'!$A$69),"")</f>
        <v/>
      </c>
      <c r="AK36" s="766"/>
      <c r="AL36" s="766" t="str">
        <f>IF(AND('Mapa final'!$K$75="Baja",'Mapa final'!$O$75="Catastrófico"),CONCATENATE("R",'Mapa final'!$A$75),"")</f>
        <v/>
      </c>
      <c r="AM36" s="767"/>
      <c r="AN36" s="65"/>
      <c r="AO36" s="826"/>
      <c r="AP36" s="827"/>
      <c r="AQ36" s="827"/>
      <c r="AR36" s="827"/>
      <c r="AS36" s="827"/>
      <c r="AT36" s="828"/>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row>
    <row r="37" spans="1:80" ht="15" thickBot="1" x14ac:dyDescent="0.35">
      <c r="A37" s="65"/>
      <c r="B37" s="794"/>
      <c r="C37" s="794"/>
      <c r="D37" s="795"/>
      <c r="E37" s="790"/>
      <c r="F37" s="791"/>
      <c r="G37" s="791"/>
      <c r="H37" s="791"/>
      <c r="I37" s="791"/>
      <c r="J37" s="750"/>
      <c r="K37" s="751"/>
      <c r="L37" s="751"/>
      <c r="M37" s="751"/>
      <c r="N37" s="751"/>
      <c r="O37" s="752"/>
      <c r="P37" s="760"/>
      <c r="Q37" s="760"/>
      <c r="R37" s="760"/>
      <c r="S37" s="760"/>
      <c r="T37" s="760"/>
      <c r="U37" s="761"/>
      <c r="V37" s="759"/>
      <c r="W37" s="760"/>
      <c r="X37" s="760"/>
      <c r="Y37" s="760"/>
      <c r="Z37" s="760"/>
      <c r="AA37" s="761"/>
      <c r="AB37" s="777"/>
      <c r="AC37" s="778"/>
      <c r="AD37" s="778"/>
      <c r="AE37" s="778"/>
      <c r="AF37" s="778"/>
      <c r="AG37" s="779"/>
      <c r="AH37" s="768"/>
      <c r="AI37" s="769"/>
      <c r="AJ37" s="769"/>
      <c r="AK37" s="769"/>
      <c r="AL37" s="769"/>
      <c r="AM37" s="770"/>
      <c r="AN37" s="65"/>
      <c r="AO37" s="829"/>
      <c r="AP37" s="830"/>
      <c r="AQ37" s="830"/>
      <c r="AR37" s="830"/>
      <c r="AS37" s="830"/>
      <c r="AT37" s="831"/>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row>
    <row r="38" spans="1:80" x14ac:dyDescent="0.3">
      <c r="A38" s="65"/>
      <c r="B38" s="794"/>
      <c r="C38" s="794"/>
      <c r="D38" s="795"/>
      <c r="E38" s="784" t="s">
        <v>108</v>
      </c>
      <c r="F38" s="785"/>
      <c r="G38" s="785"/>
      <c r="H38" s="785"/>
      <c r="I38" s="786"/>
      <c r="J38" s="753" t="str">
        <f>IF(AND('Mapa final'!$K$10="Muy Baja",'Mapa final'!$O$10="Leve"),CONCATENATE("R",'Mapa final'!$A$10),"")</f>
        <v/>
      </c>
      <c r="K38" s="754"/>
      <c r="L38" s="754" t="str">
        <f>IF(AND('Mapa final'!$K$16="Muy Baja",'Mapa final'!$O$16="Leve"),CONCATENATE("R",'Mapa final'!$A$16),"")</f>
        <v/>
      </c>
      <c r="M38" s="754"/>
      <c r="N38" s="754" t="str">
        <f>IF(AND('Mapa final'!$K$22="Muy Baja",'Mapa final'!$O$22="Leve"),CONCATENATE("R",'Mapa final'!$A$22),"")</f>
        <v/>
      </c>
      <c r="O38" s="755"/>
      <c r="P38" s="753" t="str">
        <f>IF(AND('Mapa final'!$K$10="Muy Baja",'Mapa final'!$O$10="Menor"),CONCATENATE("R",'Mapa final'!$A$10),"")</f>
        <v/>
      </c>
      <c r="Q38" s="754"/>
      <c r="R38" s="754" t="str">
        <f>IF(AND('Mapa final'!$K$16="Muy Baja",'Mapa final'!$O$16="Menor"),CONCATENATE("R",'Mapa final'!$A$16),"")</f>
        <v/>
      </c>
      <c r="S38" s="754"/>
      <c r="T38" s="754" t="str">
        <f>IF(AND('Mapa final'!$K$22="Muy Baja",'Mapa final'!$O$22="Menor"),CONCATENATE("R",'Mapa final'!$A$22),"")</f>
        <v/>
      </c>
      <c r="U38" s="755"/>
      <c r="V38" s="762" t="str">
        <f>IF(AND('Mapa final'!$K$10="Muy Baja",'Mapa final'!$O$10="Moderado"),CONCATENATE("R",'Mapa final'!$A$10),"")</f>
        <v/>
      </c>
      <c r="W38" s="763"/>
      <c r="X38" s="763" t="str">
        <f>IF(AND('Mapa final'!$K$16="Muy Baja",'Mapa final'!$O$16="Moderado"),CONCATENATE("R",'Mapa final'!$A$16),"")</f>
        <v/>
      </c>
      <c r="Y38" s="763"/>
      <c r="Z38" s="763" t="str">
        <f>IF(AND('Mapa final'!$K$22="Muy Baja",'Mapa final'!$O$22="Moderado"),CONCATENATE("R",'Mapa final'!$A$22),"")</f>
        <v/>
      </c>
      <c r="AA38" s="764"/>
      <c r="AB38" s="780" t="str">
        <f>IF(AND('Mapa final'!$K$10="Muy Baja",'Mapa final'!$O$10="Mayor"),CONCATENATE("R",'Mapa final'!$A$10),"")</f>
        <v/>
      </c>
      <c r="AC38" s="781"/>
      <c r="AD38" s="781" t="str">
        <f>IF(AND('Mapa final'!$K$16="Muy Baja",'Mapa final'!$O$16="Mayor"),CONCATENATE("R",'Mapa final'!$A$16),"")</f>
        <v/>
      </c>
      <c r="AE38" s="781"/>
      <c r="AF38" s="781" t="str">
        <f>IF(AND('Mapa final'!$K$22="Muy Baja",'Mapa final'!$O$22="Mayor"),CONCATENATE("R",'Mapa final'!$A$22),"")</f>
        <v/>
      </c>
      <c r="AG38" s="782"/>
      <c r="AH38" s="771" t="str">
        <f>IF(AND('Mapa final'!$K$10="Muy Baja",'Mapa final'!$O$10="Catastrófico"),CONCATENATE("R",'Mapa final'!$A$10),"")</f>
        <v/>
      </c>
      <c r="AI38" s="772"/>
      <c r="AJ38" s="772" t="str">
        <f>IF(AND('Mapa final'!$K$16="Muy Baja",'Mapa final'!$O$16="Catastrófico"),CONCATENATE("R",'Mapa final'!$A$16),"")</f>
        <v/>
      </c>
      <c r="AK38" s="772"/>
      <c r="AL38" s="772" t="str">
        <f>IF(AND('Mapa final'!$K$22="Muy Baja",'Mapa final'!$O$22="Catastrófico"),CONCATENATE("R",'Mapa final'!$A$22),"")</f>
        <v/>
      </c>
      <c r="AM38" s="773"/>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row>
    <row r="39" spans="1:80" x14ac:dyDescent="0.3">
      <c r="A39" s="65"/>
      <c r="B39" s="794"/>
      <c r="C39" s="794"/>
      <c r="D39" s="795"/>
      <c r="E39" s="787"/>
      <c r="F39" s="788"/>
      <c r="G39" s="788"/>
      <c r="H39" s="788"/>
      <c r="I39" s="789"/>
      <c r="J39" s="747"/>
      <c r="K39" s="748"/>
      <c r="L39" s="748"/>
      <c r="M39" s="748"/>
      <c r="N39" s="748"/>
      <c r="O39" s="749"/>
      <c r="P39" s="747"/>
      <c r="Q39" s="748"/>
      <c r="R39" s="748"/>
      <c r="S39" s="748"/>
      <c r="T39" s="748"/>
      <c r="U39" s="749"/>
      <c r="V39" s="756"/>
      <c r="W39" s="757"/>
      <c r="X39" s="757"/>
      <c r="Y39" s="757"/>
      <c r="Z39" s="757"/>
      <c r="AA39" s="758"/>
      <c r="AB39" s="774"/>
      <c r="AC39" s="775"/>
      <c r="AD39" s="775"/>
      <c r="AE39" s="775"/>
      <c r="AF39" s="775"/>
      <c r="AG39" s="776"/>
      <c r="AH39" s="765"/>
      <c r="AI39" s="766"/>
      <c r="AJ39" s="766"/>
      <c r="AK39" s="766"/>
      <c r="AL39" s="766"/>
      <c r="AM39" s="767"/>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row>
    <row r="40" spans="1:80" x14ac:dyDescent="0.3">
      <c r="A40" s="65"/>
      <c r="B40" s="794"/>
      <c r="C40" s="794"/>
      <c r="D40" s="795"/>
      <c r="E40" s="787"/>
      <c r="F40" s="788"/>
      <c r="G40" s="788"/>
      <c r="H40" s="788"/>
      <c r="I40" s="789"/>
      <c r="J40" s="747" t="str">
        <f>IF(AND('Mapa final'!$K$28="Muy Baja",'Mapa final'!$O$28="Leve"),CONCATENATE("R",'Mapa final'!$A$28),"")</f>
        <v>R4</v>
      </c>
      <c r="K40" s="748"/>
      <c r="L40" s="748" t="str">
        <f>IF(AND('Mapa final'!$K$33="Muy Baja",'Mapa final'!$O$33="Leve"),CONCATENATE("R",'Mapa final'!$A$33),"")</f>
        <v/>
      </c>
      <c r="M40" s="748"/>
      <c r="N40" s="748" t="str">
        <f>IF(AND('Mapa final'!$K$39="Muy Baja",'Mapa final'!$O$39="Leve"),CONCATENATE("R",'Mapa final'!$A$39),"")</f>
        <v/>
      </c>
      <c r="O40" s="749"/>
      <c r="P40" s="747" t="str">
        <f>IF(AND('Mapa final'!$K$28="Muy Baja",'Mapa final'!$O$28="Menor"),CONCATENATE("R",'Mapa final'!$A$28),"")</f>
        <v/>
      </c>
      <c r="Q40" s="748"/>
      <c r="R40" s="748" t="str">
        <f>IF(AND('Mapa final'!$K$33="Muy Baja",'Mapa final'!$O$33="Menor"),CONCATENATE("R",'Mapa final'!$A$33),"")</f>
        <v/>
      </c>
      <c r="S40" s="748"/>
      <c r="T40" s="748" t="str">
        <f>IF(AND('Mapa final'!$K$39="Muy Baja",'Mapa final'!$O$39="Menor"),CONCATENATE("R",'Mapa final'!$A$39),"")</f>
        <v/>
      </c>
      <c r="U40" s="749"/>
      <c r="V40" s="756" t="str">
        <f>IF(AND('Mapa final'!$K$28="Muy Baja",'Mapa final'!$O$28="Moderado"),CONCATENATE("R",'Mapa final'!$A$28),"")</f>
        <v/>
      </c>
      <c r="W40" s="757"/>
      <c r="X40" s="757" t="str">
        <f>IF(AND('Mapa final'!$K$33="Muy Baja",'Mapa final'!$O$33="Moderado"),CONCATENATE("R",'Mapa final'!$A$33),"")</f>
        <v/>
      </c>
      <c r="Y40" s="757"/>
      <c r="Z40" s="757" t="str">
        <f>IF(AND('Mapa final'!$K$39="Muy Baja",'Mapa final'!$O$39="Moderado"),CONCATENATE("R",'Mapa final'!$A$39),"")</f>
        <v/>
      </c>
      <c r="AA40" s="758"/>
      <c r="AB40" s="774" t="str">
        <f>IF(AND('Mapa final'!$K$28="Muy Baja",'Mapa final'!$O$28="Mayor"),CONCATENATE("R",'Mapa final'!$A$28),"")</f>
        <v/>
      </c>
      <c r="AC40" s="775"/>
      <c r="AD40" s="775" t="str">
        <f>IF(AND('Mapa final'!$K$33="Muy Baja",'Mapa final'!$O$33="Mayor"),CONCATENATE("R",'Mapa final'!$A$33),"")</f>
        <v/>
      </c>
      <c r="AE40" s="775"/>
      <c r="AF40" s="775" t="str">
        <f>IF(AND('Mapa final'!$K$39="Muy Baja",'Mapa final'!$O$39="Mayor"),CONCATENATE("R",'Mapa final'!$A$39),"")</f>
        <v/>
      </c>
      <c r="AG40" s="776"/>
      <c r="AH40" s="765" t="str">
        <f>IF(AND('Mapa final'!$K$28="Muy Baja",'Mapa final'!$O$28="Catastrófico"),CONCATENATE("R",'Mapa final'!$A$28),"")</f>
        <v/>
      </c>
      <c r="AI40" s="766"/>
      <c r="AJ40" s="766" t="str">
        <f>IF(AND('Mapa final'!$K$33="Muy Baja",'Mapa final'!$O$33="Catastrófico"),CONCATENATE("R",'Mapa final'!$A$33),"")</f>
        <v/>
      </c>
      <c r="AK40" s="766"/>
      <c r="AL40" s="766" t="str">
        <f>IF(AND('Mapa final'!$K$39="Muy Baja",'Mapa final'!$O$39="Catastrófico"),CONCATENATE("R",'Mapa final'!$A$39),"")</f>
        <v/>
      </c>
      <c r="AM40" s="767"/>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row>
    <row r="41" spans="1:80" x14ac:dyDescent="0.3">
      <c r="A41" s="65"/>
      <c r="B41" s="794"/>
      <c r="C41" s="794"/>
      <c r="D41" s="795"/>
      <c r="E41" s="787"/>
      <c r="F41" s="788"/>
      <c r="G41" s="788"/>
      <c r="H41" s="788"/>
      <c r="I41" s="789"/>
      <c r="J41" s="747"/>
      <c r="K41" s="748"/>
      <c r="L41" s="748"/>
      <c r="M41" s="748"/>
      <c r="N41" s="748"/>
      <c r="O41" s="749"/>
      <c r="P41" s="747"/>
      <c r="Q41" s="748"/>
      <c r="R41" s="748"/>
      <c r="S41" s="748"/>
      <c r="T41" s="748"/>
      <c r="U41" s="749"/>
      <c r="V41" s="756"/>
      <c r="W41" s="757"/>
      <c r="X41" s="757"/>
      <c r="Y41" s="757"/>
      <c r="Z41" s="757"/>
      <c r="AA41" s="758"/>
      <c r="AB41" s="774"/>
      <c r="AC41" s="775"/>
      <c r="AD41" s="775"/>
      <c r="AE41" s="775"/>
      <c r="AF41" s="775"/>
      <c r="AG41" s="776"/>
      <c r="AH41" s="765"/>
      <c r="AI41" s="766"/>
      <c r="AJ41" s="766"/>
      <c r="AK41" s="766"/>
      <c r="AL41" s="766"/>
      <c r="AM41" s="767"/>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row>
    <row r="42" spans="1:80" x14ac:dyDescent="0.3">
      <c r="A42" s="65"/>
      <c r="B42" s="794"/>
      <c r="C42" s="794"/>
      <c r="D42" s="795"/>
      <c r="E42" s="787"/>
      <c r="F42" s="788"/>
      <c r="G42" s="788"/>
      <c r="H42" s="788"/>
      <c r="I42" s="789"/>
      <c r="J42" s="747" t="str">
        <f>IF(AND('Mapa final'!$K$45="Muy Baja",'Mapa final'!$O$45="Leve"),CONCATENATE("R",'Mapa final'!$A$45),"")</f>
        <v/>
      </c>
      <c r="K42" s="748"/>
      <c r="L42" s="748" t="str">
        <f>IF(AND('Mapa final'!$K$51="Muy Baja",'Mapa final'!$O$51="Leve"),CONCATENATE("R",'Mapa final'!$A$51),"")</f>
        <v/>
      </c>
      <c r="M42" s="748"/>
      <c r="N42" s="748" t="str">
        <f>IF(AND('Mapa final'!$K$57="Muy Baja",'Mapa final'!$O$57="Leve"),CONCATENATE("R",'Mapa final'!$A$57),"")</f>
        <v/>
      </c>
      <c r="O42" s="749"/>
      <c r="P42" s="747" t="str">
        <f>IF(AND('Mapa final'!$K$45="Muy Baja",'Mapa final'!$O$45="Menor"),CONCATENATE("R",'Mapa final'!$A$45),"")</f>
        <v/>
      </c>
      <c r="Q42" s="748"/>
      <c r="R42" s="748" t="str">
        <f>IF(AND('Mapa final'!$K$51="Muy Baja",'Mapa final'!$O$51="Menor"),CONCATENATE("R",'Mapa final'!$A$51),"")</f>
        <v/>
      </c>
      <c r="S42" s="748"/>
      <c r="T42" s="748" t="str">
        <f>IF(AND('Mapa final'!$K$57="Muy Baja",'Mapa final'!$O$57="Menor"),CONCATENATE("R",'Mapa final'!$A$57),"")</f>
        <v/>
      </c>
      <c r="U42" s="749"/>
      <c r="V42" s="756" t="str">
        <f>IF(AND('Mapa final'!$K$45="Muy Baja",'Mapa final'!$O$45="Moderado"),CONCATENATE("R",'Mapa final'!$A$45),"")</f>
        <v/>
      </c>
      <c r="W42" s="757"/>
      <c r="X42" s="757" t="str">
        <f>IF(AND('Mapa final'!$K$51="Muy Baja",'Mapa final'!$O$51="Moderado"),CONCATENATE("R",'Mapa final'!$A$51),"")</f>
        <v/>
      </c>
      <c r="Y42" s="757"/>
      <c r="Z42" s="757" t="str">
        <f>IF(AND('Mapa final'!$K$57="Muy Baja",'Mapa final'!$O$57="Moderado"),CONCATENATE("R",'Mapa final'!$A$57),"")</f>
        <v/>
      </c>
      <c r="AA42" s="758"/>
      <c r="AB42" s="774" t="str">
        <f>IF(AND('Mapa final'!$K$45="Muy Baja",'Mapa final'!$O$45="Mayor"),CONCATENATE("R",'Mapa final'!$A$45),"")</f>
        <v/>
      </c>
      <c r="AC42" s="775"/>
      <c r="AD42" s="775" t="str">
        <f>IF(AND('Mapa final'!$K$51="Muy Baja",'Mapa final'!$O$51="Mayor"),CONCATENATE("R",'Mapa final'!$A$51),"")</f>
        <v/>
      </c>
      <c r="AE42" s="775"/>
      <c r="AF42" s="775" t="str">
        <f>IF(AND('Mapa final'!$K$57="Muy Baja",'Mapa final'!$O$57="Mayor"),CONCATENATE("R",'Mapa final'!$A$57),"")</f>
        <v/>
      </c>
      <c r="AG42" s="776"/>
      <c r="AH42" s="765" t="str">
        <f>IF(AND('Mapa final'!$K$45="Muy Baja",'Mapa final'!$O$45="Catastrófico"),CONCATENATE("R",'Mapa final'!$A$45),"")</f>
        <v/>
      </c>
      <c r="AI42" s="766"/>
      <c r="AJ42" s="766" t="str">
        <f>IF(AND('Mapa final'!$K$51="Muy Baja",'Mapa final'!$O$51="Catastrófico"),CONCATENATE("R",'Mapa final'!$A$51),"")</f>
        <v/>
      </c>
      <c r="AK42" s="766"/>
      <c r="AL42" s="766" t="str">
        <f>IF(AND('Mapa final'!$K$57="Muy Baja",'Mapa final'!$O$57="Catastrófico"),CONCATENATE("R",'Mapa final'!$A$57),"")</f>
        <v/>
      </c>
      <c r="AM42" s="767"/>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row>
    <row r="43" spans="1:80" x14ac:dyDescent="0.3">
      <c r="A43" s="65"/>
      <c r="B43" s="794"/>
      <c r="C43" s="794"/>
      <c r="D43" s="795"/>
      <c r="E43" s="787"/>
      <c r="F43" s="788"/>
      <c r="G43" s="788"/>
      <c r="H43" s="788"/>
      <c r="I43" s="789"/>
      <c r="J43" s="747"/>
      <c r="K43" s="748"/>
      <c r="L43" s="748"/>
      <c r="M43" s="748"/>
      <c r="N43" s="748"/>
      <c r="O43" s="749"/>
      <c r="P43" s="747"/>
      <c r="Q43" s="748"/>
      <c r="R43" s="748"/>
      <c r="S43" s="748"/>
      <c r="T43" s="748"/>
      <c r="U43" s="749"/>
      <c r="V43" s="756"/>
      <c r="W43" s="757"/>
      <c r="X43" s="757"/>
      <c r="Y43" s="757"/>
      <c r="Z43" s="757"/>
      <c r="AA43" s="758"/>
      <c r="AB43" s="774"/>
      <c r="AC43" s="775"/>
      <c r="AD43" s="775"/>
      <c r="AE43" s="775"/>
      <c r="AF43" s="775"/>
      <c r="AG43" s="776"/>
      <c r="AH43" s="765"/>
      <c r="AI43" s="766"/>
      <c r="AJ43" s="766"/>
      <c r="AK43" s="766"/>
      <c r="AL43" s="766"/>
      <c r="AM43" s="767"/>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row>
    <row r="44" spans="1:80" x14ac:dyDescent="0.3">
      <c r="A44" s="65"/>
      <c r="B44" s="794"/>
      <c r="C44" s="794"/>
      <c r="D44" s="795"/>
      <c r="E44" s="787"/>
      <c r="F44" s="788"/>
      <c r="G44" s="788"/>
      <c r="H44" s="788"/>
      <c r="I44" s="789"/>
      <c r="J44" s="747" t="str">
        <f>IF(AND('Mapa final'!$K$63="Muy Baja",'Mapa final'!$O$63="Leve"),CONCATENATE("R",'Mapa final'!$A$63),"")</f>
        <v/>
      </c>
      <c r="K44" s="748"/>
      <c r="L44" s="748" t="str">
        <f>IF(AND('Mapa final'!$K$69="Muy Baja",'Mapa final'!$O$69="Leve"),CONCATENATE("R",'Mapa final'!$A$69),"")</f>
        <v/>
      </c>
      <c r="M44" s="748"/>
      <c r="N44" s="748" t="str">
        <f>IF(AND('Mapa final'!$K$75="Muy Baja",'Mapa final'!$O$75="Leve"),CONCATENATE("R",'Mapa final'!$A$75),"")</f>
        <v/>
      </c>
      <c r="O44" s="749"/>
      <c r="P44" s="747" t="str">
        <f>IF(AND('Mapa final'!$K$63="Muy Baja",'Mapa final'!$O$63="Menor"),CONCATENATE("R",'Mapa final'!$A$63),"")</f>
        <v/>
      </c>
      <c r="Q44" s="748"/>
      <c r="R44" s="748" t="str">
        <f>IF(AND('Mapa final'!$K$69="Muy Baja",'Mapa final'!$O$69="Menor"),CONCATENATE("R",'Mapa final'!$A$69),"")</f>
        <v/>
      </c>
      <c r="S44" s="748"/>
      <c r="T44" s="748" t="str">
        <f>IF(AND('Mapa final'!$K$75="Muy Baja",'Mapa final'!$O$75="Menor"),CONCATENATE("R",'Mapa final'!$A$75),"")</f>
        <v/>
      </c>
      <c r="U44" s="749"/>
      <c r="V44" s="756" t="str">
        <f>IF(AND('Mapa final'!$K$63="Muy Baja",'Mapa final'!$O$63="Moderado"),CONCATENATE("R",'Mapa final'!$A$63),"")</f>
        <v/>
      </c>
      <c r="W44" s="757"/>
      <c r="X44" s="757" t="str">
        <f>IF(AND('Mapa final'!$K$69="Muy Baja",'Mapa final'!$O$69="Moderado"),CONCATENATE("R",'Mapa final'!$A$69),"")</f>
        <v/>
      </c>
      <c r="Y44" s="757"/>
      <c r="Z44" s="757" t="str">
        <f>IF(AND('Mapa final'!$K$75="Muy Baja",'Mapa final'!$O$75="Moderado"),CONCATENATE("R",'Mapa final'!$A$75),"")</f>
        <v/>
      </c>
      <c r="AA44" s="758"/>
      <c r="AB44" s="774" t="str">
        <f>IF(AND('Mapa final'!$K$63="Muy Baja",'Mapa final'!$O$63="Mayor"),CONCATENATE("R",'Mapa final'!$A$63),"")</f>
        <v/>
      </c>
      <c r="AC44" s="775"/>
      <c r="AD44" s="775" t="str">
        <f>IF(AND('Mapa final'!$K$69="Muy Baja",'Mapa final'!$O$69="Mayor"),CONCATENATE("R",'Mapa final'!$A$69),"")</f>
        <v/>
      </c>
      <c r="AE44" s="775"/>
      <c r="AF44" s="775" t="str">
        <f>IF(AND('Mapa final'!$K$75="Muy Baja",'Mapa final'!$O$75="Mayor"),CONCATENATE("R",'Mapa final'!$A$75),"")</f>
        <v/>
      </c>
      <c r="AG44" s="776"/>
      <c r="AH44" s="765" t="str">
        <f>IF(AND('Mapa final'!$K$63="Muy Baja",'Mapa final'!$O$63="Catastrófico"),CONCATENATE("R",'Mapa final'!$A$63),"")</f>
        <v/>
      </c>
      <c r="AI44" s="766"/>
      <c r="AJ44" s="766" t="str">
        <f>IF(AND('Mapa final'!$K$69="Muy Baja",'Mapa final'!$O$69="Catastrófico"),CONCATENATE("R",'Mapa final'!$A$69),"")</f>
        <v/>
      </c>
      <c r="AK44" s="766"/>
      <c r="AL44" s="766" t="str">
        <f>IF(AND('Mapa final'!$K$75="Muy Baja",'Mapa final'!$O$75="Catastrófico"),CONCATENATE("R",'Mapa final'!$A$75),"")</f>
        <v/>
      </c>
      <c r="AM44" s="767"/>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row>
    <row r="45" spans="1:80" ht="15" thickBot="1" x14ac:dyDescent="0.35">
      <c r="A45" s="65"/>
      <c r="B45" s="794"/>
      <c r="C45" s="794"/>
      <c r="D45" s="795"/>
      <c r="E45" s="790"/>
      <c r="F45" s="791"/>
      <c r="G45" s="791"/>
      <c r="H45" s="791"/>
      <c r="I45" s="792"/>
      <c r="J45" s="750"/>
      <c r="K45" s="751"/>
      <c r="L45" s="751"/>
      <c r="M45" s="751"/>
      <c r="N45" s="751"/>
      <c r="O45" s="752"/>
      <c r="P45" s="750"/>
      <c r="Q45" s="751"/>
      <c r="R45" s="751"/>
      <c r="S45" s="751"/>
      <c r="T45" s="751"/>
      <c r="U45" s="752"/>
      <c r="V45" s="759"/>
      <c r="W45" s="760"/>
      <c r="X45" s="760"/>
      <c r="Y45" s="760"/>
      <c r="Z45" s="760"/>
      <c r="AA45" s="761"/>
      <c r="AB45" s="777"/>
      <c r="AC45" s="778"/>
      <c r="AD45" s="778"/>
      <c r="AE45" s="778"/>
      <c r="AF45" s="778"/>
      <c r="AG45" s="779"/>
      <c r="AH45" s="768"/>
      <c r="AI45" s="769"/>
      <c r="AJ45" s="769"/>
      <c r="AK45" s="769"/>
      <c r="AL45" s="769"/>
      <c r="AM45" s="770"/>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row>
    <row r="46" spans="1:80" x14ac:dyDescent="0.3">
      <c r="A46" s="65"/>
      <c r="B46" s="65"/>
      <c r="C46" s="65"/>
      <c r="D46" s="65"/>
      <c r="E46" s="65"/>
      <c r="F46" s="65"/>
      <c r="G46" s="65"/>
      <c r="H46" s="65"/>
      <c r="I46" s="65"/>
      <c r="J46" s="784" t="s">
        <v>107</v>
      </c>
      <c r="K46" s="785"/>
      <c r="L46" s="785"/>
      <c r="M46" s="785"/>
      <c r="N46" s="785"/>
      <c r="O46" s="786"/>
      <c r="P46" s="784" t="s">
        <v>106</v>
      </c>
      <c r="Q46" s="785"/>
      <c r="R46" s="785"/>
      <c r="S46" s="785"/>
      <c r="T46" s="785"/>
      <c r="U46" s="786"/>
      <c r="V46" s="784" t="s">
        <v>105</v>
      </c>
      <c r="W46" s="785"/>
      <c r="X46" s="785"/>
      <c r="Y46" s="785"/>
      <c r="Z46" s="785"/>
      <c r="AA46" s="786"/>
      <c r="AB46" s="784" t="s">
        <v>104</v>
      </c>
      <c r="AC46" s="793"/>
      <c r="AD46" s="785"/>
      <c r="AE46" s="785"/>
      <c r="AF46" s="785"/>
      <c r="AG46" s="786"/>
      <c r="AH46" s="784" t="s">
        <v>103</v>
      </c>
      <c r="AI46" s="785"/>
      <c r="AJ46" s="785"/>
      <c r="AK46" s="785"/>
      <c r="AL46" s="785"/>
      <c r="AM46" s="786"/>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row>
    <row r="47" spans="1:80" x14ac:dyDescent="0.3">
      <c r="A47" s="65"/>
      <c r="B47" s="65"/>
      <c r="C47" s="65"/>
      <c r="D47" s="65"/>
      <c r="E47" s="65"/>
      <c r="F47" s="65"/>
      <c r="G47" s="65"/>
      <c r="H47" s="65"/>
      <c r="I47" s="65"/>
      <c r="J47" s="787"/>
      <c r="K47" s="788"/>
      <c r="L47" s="788"/>
      <c r="M47" s="788"/>
      <c r="N47" s="788"/>
      <c r="O47" s="789"/>
      <c r="P47" s="787"/>
      <c r="Q47" s="788"/>
      <c r="R47" s="788"/>
      <c r="S47" s="788"/>
      <c r="T47" s="788"/>
      <c r="U47" s="789"/>
      <c r="V47" s="787"/>
      <c r="W47" s="788"/>
      <c r="X47" s="788"/>
      <c r="Y47" s="788"/>
      <c r="Z47" s="788"/>
      <c r="AA47" s="789"/>
      <c r="AB47" s="787"/>
      <c r="AC47" s="788"/>
      <c r="AD47" s="788"/>
      <c r="AE47" s="788"/>
      <c r="AF47" s="788"/>
      <c r="AG47" s="789"/>
      <c r="AH47" s="787"/>
      <c r="AI47" s="788"/>
      <c r="AJ47" s="788"/>
      <c r="AK47" s="788"/>
      <c r="AL47" s="788"/>
      <c r="AM47" s="789"/>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row>
    <row r="48" spans="1:80" x14ac:dyDescent="0.3">
      <c r="A48" s="65"/>
      <c r="B48" s="65"/>
      <c r="C48" s="65"/>
      <c r="D48" s="65"/>
      <c r="E48" s="65"/>
      <c r="F48" s="65"/>
      <c r="G48" s="65"/>
      <c r="H48" s="65"/>
      <c r="I48" s="65"/>
      <c r="J48" s="787"/>
      <c r="K48" s="788"/>
      <c r="L48" s="788"/>
      <c r="M48" s="788"/>
      <c r="N48" s="788"/>
      <c r="O48" s="789"/>
      <c r="P48" s="787"/>
      <c r="Q48" s="788"/>
      <c r="R48" s="788"/>
      <c r="S48" s="788"/>
      <c r="T48" s="788"/>
      <c r="U48" s="789"/>
      <c r="V48" s="787"/>
      <c r="W48" s="788"/>
      <c r="X48" s="788"/>
      <c r="Y48" s="788"/>
      <c r="Z48" s="788"/>
      <c r="AA48" s="789"/>
      <c r="AB48" s="787"/>
      <c r="AC48" s="788"/>
      <c r="AD48" s="788"/>
      <c r="AE48" s="788"/>
      <c r="AF48" s="788"/>
      <c r="AG48" s="789"/>
      <c r="AH48" s="787"/>
      <c r="AI48" s="788"/>
      <c r="AJ48" s="788"/>
      <c r="AK48" s="788"/>
      <c r="AL48" s="788"/>
      <c r="AM48" s="789"/>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row>
    <row r="49" spans="1:80" x14ac:dyDescent="0.3">
      <c r="A49" s="65"/>
      <c r="B49" s="65"/>
      <c r="C49" s="65"/>
      <c r="D49" s="65"/>
      <c r="E49" s="65"/>
      <c r="F49" s="65"/>
      <c r="G49" s="65"/>
      <c r="H49" s="65"/>
      <c r="I49" s="65"/>
      <c r="J49" s="787"/>
      <c r="K49" s="788"/>
      <c r="L49" s="788"/>
      <c r="M49" s="788"/>
      <c r="N49" s="788"/>
      <c r="O49" s="789"/>
      <c r="P49" s="787"/>
      <c r="Q49" s="788"/>
      <c r="R49" s="788"/>
      <c r="S49" s="788"/>
      <c r="T49" s="788"/>
      <c r="U49" s="789"/>
      <c r="V49" s="787"/>
      <c r="W49" s="788"/>
      <c r="X49" s="788"/>
      <c r="Y49" s="788"/>
      <c r="Z49" s="788"/>
      <c r="AA49" s="789"/>
      <c r="AB49" s="787"/>
      <c r="AC49" s="788"/>
      <c r="AD49" s="788"/>
      <c r="AE49" s="788"/>
      <c r="AF49" s="788"/>
      <c r="AG49" s="789"/>
      <c r="AH49" s="787"/>
      <c r="AI49" s="788"/>
      <c r="AJ49" s="788"/>
      <c r="AK49" s="788"/>
      <c r="AL49" s="788"/>
      <c r="AM49" s="789"/>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row>
    <row r="50" spans="1:80" x14ac:dyDescent="0.3">
      <c r="A50" s="65"/>
      <c r="B50" s="65"/>
      <c r="C50" s="65"/>
      <c r="D50" s="65"/>
      <c r="E50" s="65"/>
      <c r="F50" s="65"/>
      <c r="G50" s="65"/>
      <c r="H50" s="65"/>
      <c r="I50" s="65"/>
      <c r="J50" s="787"/>
      <c r="K50" s="788"/>
      <c r="L50" s="788"/>
      <c r="M50" s="788"/>
      <c r="N50" s="788"/>
      <c r="O50" s="789"/>
      <c r="P50" s="787"/>
      <c r="Q50" s="788"/>
      <c r="R50" s="788"/>
      <c r="S50" s="788"/>
      <c r="T50" s="788"/>
      <c r="U50" s="789"/>
      <c r="V50" s="787"/>
      <c r="W50" s="788"/>
      <c r="X50" s="788"/>
      <c r="Y50" s="788"/>
      <c r="Z50" s="788"/>
      <c r="AA50" s="789"/>
      <c r="AB50" s="787"/>
      <c r="AC50" s="788"/>
      <c r="AD50" s="788"/>
      <c r="AE50" s="788"/>
      <c r="AF50" s="788"/>
      <c r="AG50" s="789"/>
      <c r="AH50" s="787"/>
      <c r="AI50" s="788"/>
      <c r="AJ50" s="788"/>
      <c r="AK50" s="788"/>
      <c r="AL50" s="788"/>
      <c r="AM50" s="789"/>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row>
    <row r="51" spans="1:80" ht="15" thickBot="1" x14ac:dyDescent="0.35">
      <c r="A51" s="65"/>
      <c r="B51" s="65"/>
      <c r="C51" s="65"/>
      <c r="D51" s="65"/>
      <c r="E51" s="65"/>
      <c r="F51" s="65"/>
      <c r="G51" s="65"/>
      <c r="H51" s="65"/>
      <c r="I51" s="65"/>
      <c r="J51" s="790"/>
      <c r="K51" s="791"/>
      <c r="L51" s="791"/>
      <c r="M51" s="791"/>
      <c r="N51" s="791"/>
      <c r="O51" s="792"/>
      <c r="P51" s="790"/>
      <c r="Q51" s="791"/>
      <c r="R51" s="791"/>
      <c r="S51" s="791"/>
      <c r="T51" s="791"/>
      <c r="U51" s="792"/>
      <c r="V51" s="790"/>
      <c r="W51" s="791"/>
      <c r="X51" s="791"/>
      <c r="Y51" s="791"/>
      <c r="Z51" s="791"/>
      <c r="AA51" s="792"/>
      <c r="AB51" s="790"/>
      <c r="AC51" s="791"/>
      <c r="AD51" s="791"/>
      <c r="AE51" s="791"/>
      <c r="AF51" s="791"/>
      <c r="AG51" s="792"/>
      <c r="AH51" s="790"/>
      <c r="AI51" s="791"/>
      <c r="AJ51" s="791"/>
      <c r="AK51" s="791"/>
      <c r="AL51" s="791"/>
      <c r="AM51" s="792"/>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row>
    <row r="52" spans="1:80" x14ac:dyDescent="0.3">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row>
    <row r="53" spans="1:80" ht="15" customHeight="1" x14ac:dyDescent="0.3">
      <c r="A53" s="65"/>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row>
    <row r="54" spans="1:80" ht="15" customHeight="1" x14ac:dyDescent="0.3">
      <c r="A54" s="65"/>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row>
    <row r="55" spans="1:80" x14ac:dyDescent="0.3">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row>
    <row r="56" spans="1:80" x14ac:dyDescent="0.3">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row>
    <row r="57" spans="1:80" x14ac:dyDescent="0.3">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row>
    <row r="58" spans="1:80" x14ac:dyDescent="0.3">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row>
    <row r="59" spans="1:80" x14ac:dyDescent="0.3">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row>
    <row r="60" spans="1:80" x14ac:dyDescent="0.3">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row>
    <row r="61" spans="1:80" x14ac:dyDescent="0.3">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row>
    <row r="62" spans="1:80" x14ac:dyDescent="0.3">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row>
    <row r="63" spans="1:80" x14ac:dyDescent="0.3">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row>
    <row r="64" spans="1:80" x14ac:dyDescent="0.3">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row>
    <row r="65" spans="1:80" x14ac:dyDescent="0.3">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row>
    <row r="66" spans="1:80" x14ac:dyDescent="0.3">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row>
    <row r="67" spans="1:80" x14ac:dyDescent="0.3">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row>
    <row r="68" spans="1:80" x14ac:dyDescent="0.3">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row>
    <row r="69" spans="1:80" x14ac:dyDescent="0.3">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row>
    <row r="70" spans="1:80" x14ac:dyDescent="0.3">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row>
    <row r="71" spans="1:80" x14ac:dyDescent="0.3">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row>
    <row r="72" spans="1:80"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row>
    <row r="73" spans="1:80" x14ac:dyDescent="0.3">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row>
    <row r="74" spans="1:80" x14ac:dyDescent="0.3">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row>
    <row r="75" spans="1:80" x14ac:dyDescent="0.3">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row>
    <row r="76" spans="1:80" x14ac:dyDescent="0.3">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row>
    <row r="77" spans="1:80" x14ac:dyDescent="0.3">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row>
    <row r="78" spans="1:80" x14ac:dyDescent="0.3">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row>
    <row r="79" spans="1:80" x14ac:dyDescent="0.3">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row>
    <row r="80" spans="1:80" x14ac:dyDescent="0.3">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row>
    <row r="81" spans="1:63" x14ac:dyDescent="0.3">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row>
    <row r="82" spans="1:63" x14ac:dyDescent="0.3">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row>
    <row r="83" spans="1:63" x14ac:dyDescent="0.3">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row>
    <row r="84" spans="1:63" x14ac:dyDescent="0.3">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row>
    <row r="85" spans="1:63" x14ac:dyDescent="0.3">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row>
    <row r="86" spans="1:63" x14ac:dyDescent="0.3">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row>
    <row r="87" spans="1:63" x14ac:dyDescent="0.3">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row>
    <row r="88" spans="1:63" x14ac:dyDescent="0.3">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row>
    <row r="89" spans="1:63" x14ac:dyDescent="0.3">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row>
    <row r="90" spans="1:63" x14ac:dyDescent="0.3">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row>
    <row r="91" spans="1:63" x14ac:dyDescent="0.3">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row>
    <row r="92" spans="1:63" x14ac:dyDescent="0.3">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row>
    <row r="93" spans="1:63" x14ac:dyDescent="0.3">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row>
    <row r="94" spans="1:63" x14ac:dyDescent="0.3">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row>
    <row r="95" spans="1:63" x14ac:dyDescent="0.3">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row>
    <row r="96" spans="1:63" x14ac:dyDescent="0.3">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row>
    <row r="97" spans="1:63" x14ac:dyDescent="0.3">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row>
    <row r="98" spans="1:63" x14ac:dyDescent="0.3">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row>
    <row r="99" spans="1:63" x14ac:dyDescent="0.3">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row>
    <row r="100" spans="1:63" x14ac:dyDescent="0.3">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row>
    <row r="101" spans="1:63" x14ac:dyDescent="0.3">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row>
    <row r="102" spans="1:63" x14ac:dyDescent="0.3">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row>
    <row r="103" spans="1:63" x14ac:dyDescent="0.3">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row>
    <row r="104" spans="1:63" x14ac:dyDescent="0.3">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row>
    <row r="105" spans="1:63" x14ac:dyDescent="0.3">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row>
    <row r="106" spans="1:63" x14ac:dyDescent="0.3">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row>
    <row r="107" spans="1:63" x14ac:dyDescent="0.3">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row>
    <row r="108" spans="1:63" x14ac:dyDescent="0.3">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row>
    <row r="109" spans="1:63" x14ac:dyDescent="0.3">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row>
    <row r="110" spans="1:63" x14ac:dyDescent="0.3">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row>
    <row r="111" spans="1:63" x14ac:dyDescent="0.3">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row>
    <row r="112" spans="1:63" x14ac:dyDescent="0.3">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row>
    <row r="113" spans="1:63" x14ac:dyDescent="0.3">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row>
    <row r="114" spans="1:63" x14ac:dyDescent="0.3">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row>
    <row r="115" spans="1:63" x14ac:dyDescent="0.3">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row>
    <row r="116" spans="1:63" x14ac:dyDescent="0.3">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row>
    <row r="117" spans="1:63" x14ac:dyDescent="0.3">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row>
    <row r="118" spans="1:63" x14ac:dyDescent="0.3">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row>
    <row r="119" spans="1:63" x14ac:dyDescent="0.3">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row>
    <row r="120" spans="1:63" x14ac:dyDescent="0.3">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row>
    <row r="121" spans="1:63" x14ac:dyDescent="0.3">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row>
    <row r="122" spans="1:63" x14ac:dyDescent="0.3">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row>
    <row r="123" spans="1:63" x14ac:dyDescent="0.3">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row>
    <row r="124" spans="1:63" x14ac:dyDescent="0.3">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row>
    <row r="125" spans="1:63" x14ac:dyDescent="0.3">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row>
    <row r="126" spans="1:63" x14ac:dyDescent="0.3">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row>
    <row r="127" spans="1:63" x14ac:dyDescent="0.3">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row>
    <row r="128" spans="1:63" x14ac:dyDescent="0.3">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row>
    <row r="129" spans="2:63" x14ac:dyDescent="0.3">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row>
    <row r="130" spans="2:63" x14ac:dyDescent="0.3">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row>
    <row r="131" spans="2:63" x14ac:dyDescent="0.3">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row>
    <row r="132" spans="2:63" x14ac:dyDescent="0.3">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row>
    <row r="133" spans="2:63" x14ac:dyDescent="0.3">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row>
    <row r="134" spans="2:63" x14ac:dyDescent="0.3">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row>
    <row r="135" spans="2:63" x14ac:dyDescent="0.3">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row>
    <row r="136" spans="2:63" x14ac:dyDescent="0.3">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row>
    <row r="137" spans="2:63" x14ac:dyDescent="0.3">
      <c r="B137" s="65"/>
      <c r="C137" s="65"/>
      <c r="D137" s="65"/>
      <c r="E137" s="65"/>
      <c r="F137" s="65"/>
      <c r="G137" s="65"/>
      <c r="H137" s="65"/>
      <c r="I137" s="65"/>
    </row>
    <row r="138" spans="2:63" x14ac:dyDescent="0.3">
      <c r="B138" s="65"/>
      <c r="C138" s="65"/>
      <c r="D138" s="65"/>
      <c r="E138" s="65"/>
      <c r="F138" s="65"/>
      <c r="G138" s="65"/>
      <c r="H138" s="65"/>
      <c r="I138" s="65"/>
    </row>
    <row r="139" spans="2:63" x14ac:dyDescent="0.3">
      <c r="B139" s="65"/>
      <c r="C139" s="65"/>
      <c r="D139" s="65"/>
      <c r="E139" s="65"/>
      <c r="F139" s="65"/>
      <c r="G139" s="65"/>
      <c r="H139" s="65"/>
      <c r="I139" s="65"/>
    </row>
    <row r="140" spans="2:63" x14ac:dyDescent="0.3">
      <c r="B140" s="65"/>
      <c r="C140" s="65"/>
      <c r="D140" s="65"/>
      <c r="E140" s="65"/>
      <c r="F140" s="65"/>
      <c r="G140" s="65"/>
      <c r="H140" s="65"/>
      <c r="I140" s="65"/>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CM248"/>
  <sheetViews>
    <sheetView zoomScale="32" zoomScaleNormal="32" workbookViewId="0">
      <selection activeCell="AK39" sqref="AK39"/>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row>
    <row r="2" spans="1:91" ht="18" customHeight="1" x14ac:dyDescent="0.3">
      <c r="A2" s="65"/>
      <c r="B2" s="861" t="s">
        <v>149</v>
      </c>
      <c r="C2" s="862"/>
      <c r="D2" s="862"/>
      <c r="E2" s="862"/>
      <c r="F2" s="862"/>
      <c r="G2" s="862"/>
      <c r="H2" s="862"/>
      <c r="I2" s="862"/>
      <c r="J2" s="783" t="s">
        <v>2</v>
      </c>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row>
    <row r="3" spans="1:91" ht="18.75" customHeight="1" x14ac:dyDescent="0.3">
      <c r="A3" s="65"/>
      <c r="B3" s="862"/>
      <c r="C3" s="862"/>
      <c r="D3" s="862"/>
      <c r="E3" s="862"/>
      <c r="F3" s="862"/>
      <c r="G3" s="862"/>
      <c r="H3" s="862"/>
      <c r="I3" s="862"/>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783"/>
      <c r="AM3" s="783"/>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row>
    <row r="4" spans="1:91" ht="15" customHeight="1" x14ac:dyDescent="0.3">
      <c r="A4" s="65"/>
      <c r="B4" s="862"/>
      <c r="C4" s="862"/>
      <c r="D4" s="862"/>
      <c r="E4" s="862"/>
      <c r="F4" s="862"/>
      <c r="G4" s="862"/>
      <c r="H4" s="862"/>
      <c r="I4" s="862"/>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row>
    <row r="5" spans="1:91" ht="15" thickBot="1" x14ac:dyDescent="0.3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row>
    <row r="6" spans="1:91" ht="15" customHeight="1" x14ac:dyDescent="0.3">
      <c r="A6" s="65"/>
      <c r="B6" s="794" t="s">
        <v>4</v>
      </c>
      <c r="C6" s="794"/>
      <c r="D6" s="795"/>
      <c r="E6" s="832" t="s">
        <v>111</v>
      </c>
      <c r="F6" s="833"/>
      <c r="G6" s="833"/>
      <c r="H6" s="833"/>
      <c r="I6" s="834"/>
      <c r="J6" s="28" t="str">
        <f>IF(AND('Mapa final'!$AB$10="Muy Alta",'Mapa final'!$AD$10="Leve"),CONCATENATE("R1C",'Mapa final'!$R$10),"")</f>
        <v/>
      </c>
      <c r="K6" s="29" t="str">
        <f>IF(AND('Mapa final'!$AB$11="Muy Alta",'Mapa final'!$AD$11="Leve"),CONCATENATE("R1C",'Mapa final'!$R$11),"")</f>
        <v/>
      </c>
      <c r="L6" s="29" t="str">
        <f>IF(AND('Mapa final'!$AB$12="Muy Alta",'Mapa final'!$AD$12="Leve"),CONCATENATE("R1C",'Mapa final'!$R$12),"")</f>
        <v/>
      </c>
      <c r="M6" s="29" t="str">
        <f>IF(AND('Mapa final'!$AB$13="Muy Alta",'Mapa final'!$AD$13="Leve"),CONCATENATE("R1C",'Mapa final'!$R$13),"")</f>
        <v/>
      </c>
      <c r="N6" s="29" t="str">
        <f>IF(AND('Mapa final'!$AB$14="Muy Alta",'Mapa final'!$AD$14="Leve"),CONCATENATE("R1C",'Mapa final'!$R$14),"")</f>
        <v/>
      </c>
      <c r="O6" s="30" t="str">
        <f>IF(AND('Mapa final'!$AB$15="Muy Alta",'Mapa final'!$AD$15="Leve"),CONCATENATE("R1C",'Mapa final'!$R$15),"")</f>
        <v/>
      </c>
      <c r="P6" s="28" t="str">
        <f>IF(AND('Mapa final'!$AB$10="Muy Alta",'Mapa final'!$AD$10="Menor"),CONCATENATE("R1C",'Mapa final'!$R$10),"")</f>
        <v/>
      </c>
      <c r="Q6" s="29" t="str">
        <f>IF(AND('Mapa final'!$AB$11="Muy Alta",'Mapa final'!$AD$11="Menor"),CONCATENATE("R1C",'Mapa final'!$R$11),"")</f>
        <v/>
      </c>
      <c r="R6" s="29" t="str">
        <f>IF(AND('Mapa final'!$AB$12="Muy Alta",'Mapa final'!$AD$12="Menor"),CONCATENATE("R1C",'Mapa final'!$R$12),"")</f>
        <v/>
      </c>
      <c r="S6" s="29" t="str">
        <f>IF(AND('Mapa final'!$AB$13="Muy Alta",'Mapa final'!$AD$13="Menor"),CONCATENATE("R1C",'Mapa final'!$R$13),"")</f>
        <v/>
      </c>
      <c r="T6" s="29" t="str">
        <f>IF(AND('Mapa final'!$AB$14="Muy Alta",'Mapa final'!$AD$14="Menor"),CONCATENATE("R1C",'Mapa final'!$R$14),"")</f>
        <v/>
      </c>
      <c r="U6" s="30" t="str">
        <f>IF(AND('Mapa final'!$AB$15="Muy Alta",'Mapa final'!$AD$15="Menor"),CONCATENATE("R1C",'Mapa final'!$R$15),"")</f>
        <v/>
      </c>
      <c r="V6" s="28" t="str">
        <f>IF(AND('Mapa final'!$AB$10="Muy Alta",'Mapa final'!$AD$10="Moderado"),CONCATENATE("R1C",'Mapa final'!$R$10),"")</f>
        <v/>
      </c>
      <c r="W6" s="29" t="str">
        <f>IF(AND('Mapa final'!$AB$11="Muy Alta",'Mapa final'!$AD$11="Moderado"),CONCATENATE("R1C",'Mapa final'!$R$11),"")</f>
        <v/>
      </c>
      <c r="X6" s="29" t="str">
        <f>IF(AND('Mapa final'!$AB$12="Muy Alta",'Mapa final'!$AD$12="Moderado"),CONCATENATE("R1C",'Mapa final'!$R$12),"")</f>
        <v/>
      </c>
      <c r="Y6" s="29" t="str">
        <f>IF(AND('Mapa final'!$AB$13="Muy Alta",'Mapa final'!$AD$13="Moderado"),CONCATENATE("R1C",'Mapa final'!$R$13),"")</f>
        <v/>
      </c>
      <c r="Z6" s="29" t="str">
        <f>IF(AND('Mapa final'!$AB$14="Muy Alta",'Mapa final'!$AD$14="Moderado"),CONCATENATE("R1C",'Mapa final'!$R$14),"")</f>
        <v/>
      </c>
      <c r="AA6" s="30" t="str">
        <f>IF(AND('Mapa final'!$AB$15="Muy Alta",'Mapa final'!$AD$15="Moderado"),CONCATENATE("R1C",'Mapa final'!$R$15),"")</f>
        <v/>
      </c>
      <c r="AB6" s="28" t="str">
        <f>IF(AND('Mapa final'!$AB$10="Muy Alta",'Mapa final'!$AD$10="Mayor"),CONCATENATE("R1C",'Mapa final'!$R$10),"")</f>
        <v/>
      </c>
      <c r="AC6" s="29" t="str">
        <f>IF(AND('Mapa final'!$AB$11="Muy Alta",'Mapa final'!$AD$11="Mayor"),CONCATENATE("R1C",'Mapa final'!$R$11),"")</f>
        <v/>
      </c>
      <c r="AD6" s="29" t="str">
        <f>IF(AND('Mapa final'!$AB$12="Muy Alta",'Mapa final'!$AD$12="Mayor"),CONCATENATE("R1C",'Mapa final'!$R$12),"")</f>
        <v/>
      </c>
      <c r="AE6" s="29" t="str">
        <f>IF(AND('Mapa final'!$AB$13="Muy Alta",'Mapa final'!$AD$13="Mayor"),CONCATENATE("R1C",'Mapa final'!$R$13),"")</f>
        <v/>
      </c>
      <c r="AF6" s="29" t="str">
        <f>IF(AND('Mapa final'!$AB$14="Muy Alta",'Mapa final'!$AD$14="Mayor"),CONCATENATE("R1C",'Mapa final'!$R$14),"")</f>
        <v/>
      </c>
      <c r="AG6" s="30" t="str">
        <f>IF(AND('Mapa final'!$AB$15="Muy Alta",'Mapa final'!$AD$15="Mayor"),CONCATENATE("R1C",'Mapa final'!$R$15),"")</f>
        <v/>
      </c>
      <c r="AH6" s="31" t="str">
        <f>IF(AND('Mapa final'!$AB$10="Muy Alta",'Mapa final'!$AD$10="Catastrófico"),CONCATENATE("R1C",'Mapa final'!$R$10),"")</f>
        <v/>
      </c>
      <c r="AI6" s="32" t="str">
        <f>IF(AND('Mapa final'!$AB$11="Muy Alta",'Mapa final'!$AD$11="Catastrófico"),CONCATENATE("R1C",'Mapa final'!$R$11),"")</f>
        <v/>
      </c>
      <c r="AJ6" s="32" t="str">
        <f>IF(AND('Mapa final'!$AB$12="Muy Alta",'Mapa final'!$AD$12="Catastrófico"),CONCATENATE("R1C",'Mapa final'!$R$12),"")</f>
        <v/>
      </c>
      <c r="AK6" s="32" t="str">
        <f>IF(AND('Mapa final'!$AB$13="Muy Alta",'Mapa final'!$AD$13="Catastrófico"),CONCATENATE("R1C",'Mapa final'!$R$13),"")</f>
        <v/>
      </c>
      <c r="AL6" s="32" t="str">
        <f>IF(AND('Mapa final'!$AB$14="Muy Alta",'Mapa final'!$AD$14="Catastrófico"),CONCATENATE("R1C",'Mapa final'!$R$14),"")</f>
        <v/>
      </c>
      <c r="AM6" s="33" t="str">
        <f>IF(AND('Mapa final'!$AB$15="Muy Alta",'Mapa final'!$AD$15="Catastrófico"),CONCATENATE("R1C",'Mapa final'!$R$15),"")</f>
        <v/>
      </c>
      <c r="AN6" s="65"/>
      <c r="AO6" s="852" t="s">
        <v>78</v>
      </c>
      <c r="AP6" s="853"/>
      <c r="AQ6" s="853"/>
      <c r="AR6" s="853"/>
      <c r="AS6" s="853"/>
      <c r="AT6" s="854"/>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row>
    <row r="7" spans="1:91" ht="15" customHeight="1" x14ac:dyDescent="0.3">
      <c r="A7" s="65"/>
      <c r="B7" s="794"/>
      <c r="C7" s="794"/>
      <c r="D7" s="795"/>
      <c r="E7" s="835"/>
      <c r="F7" s="836"/>
      <c r="G7" s="836"/>
      <c r="H7" s="836"/>
      <c r="I7" s="837"/>
      <c r="J7" s="34" t="str">
        <f>IF(AND('Mapa final'!$AB$16="Muy Alta",'Mapa final'!$AD$16="Leve"),CONCATENATE("R2C",'Mapa final'!$R$16),"")</f>
        <v/>
      </c>
      <c r="K7" s="35" t="str">
        <f>IF(AND('Mapa final'!$AB$17="Muy Alta",'Mapa final'!$AD$17="Leve"),CONCATENATE("R2C",'Mapa final'!$R$17),"")</f>
        <v/>
      </c>
      <c r="L7" s="35" t="str">
        <f>IF(AND('Mapa final'!$AB$18="Muy Alta",'Mapa final'!$AD$18="Leve"),CONCATENATE("R2C",'Mapa final'!$R$18),"")</f>
        <v/>
      </c>
      <c r="M7" s="35" t="str">
        <f>IF(AND('Mapa final'!$AB$19="Muy Alta",'Mapa final'!$AD$19="Leve"),CONCATENATE("R2C",'Mapa final'!$R$19),"")</f>
        <v/>
      </c>
      <c r="N7" s="35" t="str">
        <f>IF(AND('Mapa final'!$AB$20="Muy Alta",'Mapa final'!$AD$20="Leve"),CONCATENATE("R2C",'Mapa final'!$R$20),"")</f>
        <v/>
      </c>
      <c r="O7" s="36" t="str">
        <f>IF(AND('Mapa final'!$AB$21="Muy Alta",'Mapa final'!$AD$21="Leve"),CONCATENATE("R2C",'Mapa final'!$R$21),"")</f>
        <v/>
      </c>
      <c r="P7" s="34" t="str">
        <f>IF(AND('Mapa final'!$AB$16="Muy Alta",'Mapa final'!$AD$16="Menor"),CONCATENATE("R2C",'Mapa final'!$R$16),"")</f>
        <v/>
      </c>
      <c r="Q7" s="35" t="str">
        <f>IF(AND('Mapa final'!$AB$17="Muy Alta",'Mapa final'!$AD$17="Menor"),CONCATENATE("R2C",'Mapa final'!$R$17),"")</f>
        <v/>
      </c>
      <c r="R7" s="35" t="str">
        <f>IF(AND('Mapa final'!$AB$18="Muy Alta",'Mapa final'!$AD$18="Menor"),CONCATENATE("R2C",'Mapa final'!$R$18),"")</f>
        <v/>
      </c>
      <c r="S7" s="35" t="str">
        <f>IF(AND('Mapa final'!$AB$19="Muy Alta",'Mapa final'!$AD$19="Menor"),CONCATENATE("R2C",'Mapa final'!$R$19),"")</f>
        <v/>
      </c>
      <c r="T7" s="35" t="str">
        <f>IF(AND('Mapa final'!$AB$20="Muy Alta",'Mapa final'!$AD$20="Menor"),CONCATENATE("R2C",'Mapa final'!$R$20),"")</f>
        <v/>
      </c>
      <c r="U7" s="36" t="str">
        <f>IF(AND('Mapa final'!$AB$21="Muy Alta",'Mapa final'!$AD$21="Menor"),CONCATENATE("R2C",'Mapa final'!$R$21),"")</f>
        <v/>
      </c>
      <c r="V7" s="34" t="str">
        <f>IF(AND('Mapa final'!$AB$16="Muy Alta",'Mapa final'!$AD$16="Moderado"),CONCATENATE("R2C",'Mapa final'!$R$16),"")</f>
        <v/>
      </c>
      <c r="W7" s="35" t="str">
        <f>IF(AND('Mapa final'!$AB$17="Muy Alta",'Mapa final'!$AD$17="Moderado"),CONCATENATE("R2C",'Mapa final'!$R$17),"")</f>
        <v/>
      </c>
      <c r="X7" s="35" t="str">
        <f>IF(AND('Mapa final'!$AB$18="Muy Alta",'Mapa final'!$AD$18="Moderado"),CONCATENATE("R2C",'Mapa final'!$R$18),"")</f>
        <v/>
      </c>
      <c r="Y7" s="35" t="str">
        <f>IF(AND('Mapa final'!$AB$19="Muy Alta",'Mapa final'!$AD$19="Moderado"),CONCATENATE("R2C",'Mapa final'!$R$19),"")</f>
        <v/>
      </c>
      <c r="Z7" s="35" t="str">
        <f>IF(AND('Mapa final'!$AB$20="Muy Alta",'Mapa final'!$AD$20="Moderado"),CONCATENATE("R2C",'Mapa final'!$R$20),"")</f>
        <v/>
      </c>
      <c r="AA7" s="36" t="str">
        <f>IF(AND('Mapa final'!$AB$21="Muy Alta",'Mapa final'!$AD$21="Moderado"),CONCATENATE("R2C",'Mapa final'!$R$21),"")</f>
        <v/>
      </c>
      <c r="AB7" s="34" t="str">
        <f>IF(AND('Mapa final'!$AB$16="Muy Alta",'Mapa final'!$AD$16="Mayor"),CONCATENATE("R2C",'Mapa final'!$R$16),"")</f>
        <v/>
      </c>
      <c r="AC7" s="35" t="str">
        <f>IF(AND('Mapa final'!$AB$17="Muy Alta",'Mapa final'!$AD$17="Mayor"),CONCATENATE("R2C",'Mapa final'!$R$17),"")</f>
        <v/>
      </c>
      <c r="AD7" s="35" t="str">
        <f>IF(AND('Mapa final'!$AB$18="Muy Alta",'Mapa final'!$AD$18="Mayor"),CONCATENATE("R2C",'Mapa final'!$R$18),"")</f>
        <v/>
      </c>
      <c r="AE7" s="35" t="str">
        <f>IF(AND('Mapa final'!$AB$19="Muy Alta",'Mapa final'!$AD$19="Mayor"),CONCATENATE("R2C",'Mapa final'!$R$19),"")</f>
        <v/>
      </c>
      <c r="AF7" s="35" t="str">
        <f>IF(AND('Mapa final'!$AB$20="Muy Alta",'Mapa final'!$AD$20="Mayor"),CONCATENATE("R2C",'Mapa final'!$R$20),"")</f>
        <v/>
      </c>
      <c r="AG7" s="36" t="str">
        <f>IF(AND('Mapa final'!$AB$21="Muy Alta",'Mapa final'!$AD$21="Mayor"),CONCATENATE("R2C",'Mapa final'!$R$21),"")</f>
        <v/>
      </c>
      <c r="AH7" s="37" t="str">
        <f>IF(AND('Mapa final'!$AB$16="Muy Alta",'Mapa final'!$AD$16="Catastrófico"),CONCATENATE("R2C",'Mapa final'!$R$16),"")</f>
        <v/>
      </c>
      <c r="AI7" s="38" t="str">
        <f>IF(AND('Mapa final'!$AB$17="Muy Alta",'Mapa final'!$AD$17="Catastrófico"),CONCATENATE("R2C",'Mapa final'!$R$17),"")</f>
        <v/>
      </c>
      <c r="AJ7" s="38" t="str">
        <f>IF(AND('Mapa final'!$AB$18="Muy Alta",'Mapa final'!$AD$18="Catastrófico"),CONCATENATE("R2C",'Mapa final'!$R$18),"")</f>
        <v/>
      </c>
      <c r="AK7" s="38" t="str">
        <f>IF(AND('Mapa final'!$AB$19="Muy Alta",'Mapa final'!$AD$19="Catastrófico"),CONCATENATE("R2C",'Mapa final'!$R$19),"")</f>
        <v/>
      </c>
      <c r="AL7" s="38" t="str">
        <f>IF(AND('Mapa final'!$AB$20="Muy Alta",'Mapa final'!$AD$20="Catastrófico"),CONCATENATE("R2C",'Mapa final'!$R$20),"")</f>
        <v/>
      </c>
      <c r="AM7" s="39" t="str">
        <f>IF(AND('Mapa final'!$AB$21="Muy Alta",'Mapa final'!$AD$21="Catastrófico"),CONCATENATE("R2C",'Mapa final'!$R$21),"")</f>
        <v/>
      </c>
      <c r="AN7" s="65"/>
      <c r="AO7" s="855"/>
      <c r="AP7" s="856"/>
      <c r="AQ7" s="856"/>
      <c r="AR7" s="856"/>
      <c r="AS7" s="856"/>
      <c r="AT7" s="857"/>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row>
    <row r="8" spans="1:91" ht="15" customHeight="1" x14ac:dyDescent="0.3">
      <c r="A8" s="65"/>
      <c r="B8" s="794"/>
      <c r="C8" s="794"/>
      <c r="D8" s="795"/>
      <c r="E8" s="835"/>
      <c r="F8" s="836"/>
      <c r="G8" s="836"/>
      <c r="H8" s="836"/>
      <c r="I8" s="837"/>
      <c r="J8" s="34" t="str">
        <f>IF(AND('Mapa final'!$AB$22="Muy Alta",'Mapa final'!$AD$22="Leve"),CONCATENATE("R3C",'Mapa final'!$R$22),"")</f>
        <v/>
      </c>
      <c r="K8" s="35" t="str">
        <f>IF(AND('Mapa final'!$AB$23="Muy Alta",'Mapa final'!$AD$23="Leve"),CONCATENATE("R3C",'Mapa final'!$R$23),"")</f>
        <v/>
      </c>
      <c r="L8" s="35" t="str">
        <f>IF(AND('Mapa final'!$AB$24="Muy Alta",'Mapa final'!$AD$24="Leve"),CONCATENATE("R3C",'Mapa final'!$R$24),"")</f>
        <v/>
      </c>
      <c r="M8" s="35" t="str">
        <f>IF(AND('Mapa final'!$AB$25="Muy Alta",'Mapa final'!$AD$25="Leve"),CONCATENATE("R3C",'Mapa final'!$R$25),"")</f>
        <v/>
      </c>
      <c r="N8" s="35" t="str">
        <f>IF(AND('Mapa final'!$AB$26="Muy Alta",'Mapa final'!$AD$26="Leve"),CONCATENATE("R3C",'Mapa final'!$R$26),"")</f>
        <v/>
      </c>
      <c r="O8" s="36" t="str">
        <f>IF(AND('Mapa final'!$AB$27="Muy Alta",'Mapa final'!$AD$27="Leve"),CONCATENATE("R3C",'Mapa final'!$R$27),"")</f>
        <v/>
      </c>
      <c r="P8" s="34" t="str">
        <f>IF(AND('Mapa final'!$AB$22="Muy Alta",'Mapa final'!$AD$22="Menor"),CONCATENATE("R3C",'Mapa final'!$R$22),"")</f>
        <v/>
      </c>
      <c r="Q8" s="35" t="str">
        <f>IF(AND('Mapa final'!$AB$23="Muy Alta",'Mapa final'!$AD$23="Menor"),CONCATENATE("R3C",'Mapa final'!$R$23),"")</f>
        <v/>
      </c>
      <c r="R8" s="35" t="str">
        <f>IF(AND('Mapa final'!$AB$24="Muy Alta",'Mapa final'!$AD$24="Menor"),CONCATENATE("R3C",'Mapa final'!$R$24),"")</f>
        <v/>
      </c>
      <c r="S8" s="35" t="str">
        <f>IF(AND('Mapa final'!$AB$25="Muy Alta",'Mapa final'!$AD$25="Menor"),CONCATENATE("R3C",'Mapa final'!$R$25),"")</f>
        <v/>
      </c>
      <c r="T8" s="35" t="str">
        <f>IF(AND('Mapa final'!$AB$26="Muy Alta",'Mapa final'!$AD$26="Menor"),CONCATENATE("R3C",'Mapa final'!$R$26),"")</f>
        <v/>
      </c>
      <c r="U8" s="36" t="str">
        <f>IF(AND('Mapa final'!$AB$27="Muy Alta",'Mapa final'!$AD$27="Menor"),CONCATENATE("R3C",'Mapa final'!$R$27),"")</f>
        <v/>
      </c>
      <c r="V8" s="34" t="str">
        <f>IF(AND('Mapa final'!$AB$22="Muy Alta",'Mapa final'!$AD$22="Moderado"),CONCATENATE("R3C",'Mapa final'!$R$22),"")</f>
        <v/>
      </c>
      <c r="W8" s="35" t="str">
        <f>IF(AND('Mapa final'!$AB$23="Muy Alta",'Mapa final'!$AD$23="Moderado"),CONCATENATE("R3C",'Mapa final'!$R$23),"")</f>
        <v/>
      </c>
      <c r="X8" s="35" t="str">
        <f>IF(AND('Mapa final'!$AB$24="Muy Alta",'Mapa final'!$AD$24="Moderado"),CONCATENATE("R3C",'Mapa final'!$R$24),"")</f>
        <v/>
      </c>
      <c r="Y8" s="35" t="str">
        <f>IF(AND('Mapa final'!$AB$25="Muy Alta",'Mapa final'!$AD$25="Moderado"),CONCATENATE("R3C",'Mapa final'!$R$25),"")</f>
        <v/>
      </c>
      <c r="Z8" s="35" t="str">
        <f>IF(AND('Mapa final'!$AB$26="Muy Alta",'Mapa final'!$AD$26="Moderado"),CONCATENATE("R3C",'Mapa final'!$R$26),"")</f>
        <v/>
      </c>
      <c r="AA8" s="36" t="str">
        <f>IF(AND('Mapa final'!$AB$27="Muy Alta",'Mapa final'!$AD$27="Moderado"),CONCATENATE("R3C",'Mapa final'!$R$27),"")</f>
        <v/>
      </c>
      <c r="AB8" s="34" t="str">
        <f>IF(AND('Mapa final'!$AB$22="Muy Alta",'Mapa final'!$AD$22="Mayor"),CONCATENATE("R3C",'Mapa final'!$R$22),"")</f>
        <v/>
      </c>
      <c r="AC8" s="35" t="str">
        <f>IF(AND('Mapa final'!$AB$23="Muy Alta",'Mapa final'!$AD$23="Mayor"),CONCATENATE("R3C",'Mapa final'!$R$23),"")</f>
        <v/>
      </c>
      <c r="AD8" s="35" t="str">
        <f>IF(AND('Mapa final'!$AB$24="Muy Alta",'Mapa final'!$AD$24="Mayor"),CONCATENATE("R3C",'Mapa final'!$R$24),"")</f>
        <v/>
      </c>
      <c r="AE8" s="35" t="str">
        <f>IF(AND('Mapa final'!$AB$25="Muy Alta",'Mapa final'!$AD$25="Mayor"),CONCATENATE("R3C",'Mapa final'!$R$25),"")</f>
        <v/>
      </c>
      <c r="AF8" s="35" t="str">
        <f>IF(AND('Mapa final'!$AB$26="Muy Alta",'Mapa final'!$AD$26="Mayor"),CONCATENATE("R3C",'Mapa final'!$R$26),"")</f>
        <v/>
      </c>
      <c r="AG8" s="36" t="str">
        <f>IF(AND('Mapa final'!$AB$27="Muy Alta",'Mapa final'!$AD$27="Mayor"),CONCATENATE("R3C",'Mapa final'!$R$27),"")</f>
        <v/>
      </c>
      <c r="AH8" s="37" t="str">
        <f>IF(AND('Mapa final'!$AB$22="Muy Alta",'Mapa final'!$AD$22="Catastrófico"),CONCATENATE("R3C",'Mapa final'!$R$22),"")</f>
        <v/>
      </c>
      <c r="AI8" s="38" t="str">
        <f>IF(AND('Mapa final'!$AB$23="Muy Alta",'Mapa final'!$AD$23="Catastrófico"),CONCATENATE("R3C",'Mapa final'!$R$23),"")</f>
        <v/>
      </c>
      <c r="AJ8" s="38" t="str">
        <f>IF(AND('Mapa final'!$AB$24="Muy Alta",'Mapa final'!$AD$24="Catastrófico"),CONCATENATE("R3C",'Mapa final'!$R$24),"")</f>
        <v/>
      </c>
      <c r="AK8" s="38" t="str">
        <f>IF(AND('Mapa final'!$AB$25="Muy Alta",'Mapa final'!$AD$25="Catastrófico"),CONCATENATE("R3C",'Mapa final'!$R$25),"")</f>
        <v/>
      </c>
      <c r="AL8" s="38" t="str">
        <f>IF(AND('Mapa final'!$AB$26="Muy Alta",'Mapa final'!$AD$26="Catastrófico"),CONCATENATE("R3C",'Mapa final'!$R$26),"")</f>
        <v/>
      </c>
      <c r="AM8" s="39" t="str">
        <f>IF(AND('Mapa final'!$AB$27="Muy Alta",'Mapa final'!$AD$27="Catastrófico"),CONCATENATE("R3C",'Mapa final'!$R$27),"")</f>
        <v/>
      </c>
      <c r="AN8" s="65"/>
      <c r="AO8" s="855"/>
      <c r="AP8" s="856"/>
      <c r="AQ8" s="856"/>
      <c r="AR8" s="856"/>
      <c r="AS8" s="856"/>
      <c r="AT8" s="857"/>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row>
    <row r="9" spans="1:91" ht="15" customHeight="1" x14ac:dyDescent="0.3">
      <c r="A9" s="65"/>
      <c r="B9" s="794"/>
      <c r="C9" s="794"/>
      <c r="D9" s="795"/>
      <c r="E9" s="835"/>
      <c r="F9" s="836"/>
      <c r="G9" s="836"/>
      <c r="H9" s="836"/>
      <c r="I9" s="837"/>
      <c r="J9" s="34" t="str">
        <f>IF(AND('Mapa final'!$AB$28="Muy Alta",'Mapa final'!$AD$28="Leve"),CONCATENATE("R4C",'Mapa final'!$R$28),"")</f>
        <v/>
      </c>
      <c r="K9" s="35" t="e">
        <f>IF(AND('Mapa final'!#REF!="Muy Alta",'Mapa final'!#REF!="Leve"),CONCATENATE("R4C",'Mapa final'!#REF!),"")</f>
        <v>#REF!</v>
      </c>
      <c r="L9" s="35" t="str">
        <f>IF(AND('Mapa final'!$AB$29="Muy Alta",'Mapa final'!$AD$29="Leve"),CONCATENATE("R4C",'Mapa final'!$R$29),"")</f>
        <v/>
      </c>
      <c r="M9" s="35" t="str">
        <f>IF(AND('Mapa final'!$AB$30="Muy Alta",'Mapa final'!$AD$30="Leve"),CONCATENATE("R4C",'Mapa final'!$R$30),"")</f>
        <v/>
      </c>
      <c r="N9" s="35" t="str">
        <f>IF(AND('Mapa final'!$AB$31="Muy Alta",'Mapa final'!$AD$31="Leve"),CONCATENATE("R4C",'Mapa final'!$R$31),"")</f>
        <v/>
      </c>
      <c r="O9" s="36" t="str">
        <f>IF(AND('Mapa final'!$AB$32="Muy Alta",'Mapa final'!$AD$32="Leve"),CONCATENATE("R4C",'Mapa final'!$R$32),"")</f>
        <v/>
      </c>
      <c r="P9" s="34" t="str">
        <f>IF(AND('Mapa final'!$AB$28="Muy Alta",'Mapa final'!$AD$28="Menor"),CONCATENATE("R4C",'Mapa final'!$R$28),"")</f>
        <v/>
      </c>
      <c r="Q9" s="35" t="e">
        <f>IF(AND('Mapa final'!#REF!="Muy Alta",'Mapa final'!#REF!="Menor"),CONCATENATE("R4C",'Mapa final'!#REF!),"")</f>
        <v>#REF!</v>
      </c>
      <c r="R9" s="35" t="str">
        <f>IF(AND('Mapa final'!$AB$29="Muy Alta",'Mapa final'!$AD$29="Menor"),CONCATENATE("R4C",'Mapa final'!$R$29),"")</f>
        <v/>
      </c>
      <c r="S9" s="35" t="str">
        <f>IF(AND('Mapa final'!$AB$30="Muy Alta",'Mapa final'!$AD$30="Menor"),CONCATENATE("R4C",'Mapa final'!$R$30),"")</f>
        <v/>
      </c>
      <c r="T9" s="35" t="str">
        <f>IF(AND('Mapa final'!$AB$31="Muy Alta",'Mapa final'!$AD$31="Menor"),CONCATENATE("R4C",'Mapa final'!$R$31),"")</f>
        <v/>
      </c>
      <c r="U9" s="36" t="str">
        <f>IF(AND('Mapa final'!$AB$32="Muy Alta",'Mapa final'!$AD$32="Menor"),CONCATENATE("R4C",'Mapa final'!$R$32),"")</f>
        <v/>
      </c>
      <c r="V9" s="34" t="str">
        <f>IF(AND('Mapa final'!$AB$28="Muy Alta",'Mapa final'!$AD$28="Moderado"),CONCATENATE("R4C",'Mapa final'!$R$28),"")</f>
        <v/>
      </c>
      <c r="W9" s="35" t="e">
        <f>IF(AND('Mapa final'!#REF!="Muy Alta",'Mapa final'!#REF!="Moderado"),CONCATENATE("R4C",'Mapa final'!#REF!),"")</f>
        <v>#REF!</v>
      </c>
      <c r="X9" s="35" t="str">
        <f>IF(AND('Mapa final'!$AB$29="Muy Alta",'Mapa final'!$AD$29="Moderado"),CONCATENATE("R4C",'Mapa final'!$R$29),"")</f>
        <v/>
      </c>
      <c r="Y9" s="35" t="str">
        <f>IF(AND('Mapa final'!$AB$30="Muy Alta",'Mapa final'!$AD$30="Moderado"),CONCATENATE("R4C",'Mapa final'!$R$30),"")</f>
        <v/>
      </c>
      <c r="Z9" s="35" t="str">
        <f>IF(AND('Mapa final'!$AB$31="Muy Alta",'Mapa final'!$AD$31="Moderado"),CONCATENATE("R4C",'Mapa final'!$R$31),"")</f>
        <v/>
      </c>
      <c r="AA9" s="36" t="str">
        <f>IF(AND('Mapa final'!$AB$32="Muy Alta",'Mapa final'!$AD$32="Moderado"),CONCATENATE("R4C",'Mapa final'!$R$32),"")</f>
        <v/>
      </c>
      <c r="AB9" s="34" t="str">
        <f>IF(AND('Mapa final'!$AB$28="Muy Alta",'Mapa final'!$AD$28="Mayor"),CONCATENATE("R4C",'Mapa final'!$R$28),"")</f>
        <v/>
      </c>
      <c r="AC9" s="35" t="e">
        <f>IF(AND('Mapa final'!#REF!="Muy Alta",'Mapa final'!#REF!="Mayor"),CONCATENATE("R4C",'Mapa final'!#REF!),"")</f>
        <v>#REF!</v>
      </c>
      <c r="AD9" s="35" t="str">
        <f>IF(AND('Mapa final'!$AB$29="Muy Alta",'Mapa final'!$AD$29="Mayor"),CONCATENATE("R4C",'Mapa final'!$R$29),"")</f>
        <v/>
      </c>
      <c r="AE9" s="35" t="str">
        <f>IF(AND('Mapa final'!$AB$30="Muy Alta",'Mapa final'!$AD$30="Mayor"),CONCATENATE("R4C",'Mapa final'!$R$30),"")</f>
        <v/>
      </c>
      <c r="AF9" s="35" t="str">
        <f>IF(AND('Mapa final'!$AB$31="Muy Alta",'Mapa final'!$AD$31="Mayor"),CONCATENATE("R4C",'Mapa final'!$R$31),"")</f>
        <v/>
      </c>
      <c r="AG9" s="36" t="str">
        <f>IF(AND('Mapa final'!$AB$32="Muy Alta",'Mapa final'!$AD$32="Mayor"),CONCATENATE("R4C",'Mapa final'!$R$32),"")</f>
        <v/>
      </c>
      <c r="AH9" s="37" t="str">
        <f>IF(AND('Mapa final'!$AB$28="Muy Alta",'Mapa final'!$AD$28="Catastrófico"),CONCATENATE("R4C",'Mapa final'!$R$28),"")</f>
        <v/>
      </c>
      <c r="AI9" s="38" t="e">
        <f>IF(AND('Mapa final'!#REF!="Muy Alta",'Mapa final'!#REF!="Catastrófico"),CONCATENATE("R4C",'Mapa final'!#REF!),"")</f>
        <v>#REF!</v>
      </c>
      <c r="AJ9" s="38" t="str">
        <f>IF(AND('Mapa final'!$AB$29="Muy Alta",'Mapa final'!$AD$29="Catastrófico"),CONCATENATE("R4C",'Mapa final'!$R$29),"")</f>
        <v/>
      </c>
      <c r="AK9" s="38" t="str">
        <f>IF(AND('Mapa final'!$AB$30="Muy Alta",'Mapa final'!$AD$30="Catastrófico"),CONCATENATE("R4C",'Mapa final'!$R$30),"")</f>
        <v/>
      </c>
      <c r="AL9" s="38" t="str">
        <f>IF(AND('Mapa final'!$AB$31="Muy Alta",'Mapa final'!$AD$31="Catastrófico"),CONCATENATE("R4C",'Mapa final'!$R$31),"")</f>
        <v/>
      </c>
      <c r="AM9" s="39" t="str">
        <f>IF(AND('Mapa final'!$AB$32="Muy Alta",'Mapa final'!$AD$32="Catastrófico"),CONCATENATE("R4C",'Mapa final'!$R$32),"")</f>
        <v/>
      </c>
      <c r="AN9" s="65"/>
      <c r="AO9" s="855"/>
      <c r="AP9" s="856"/>
      <c r="AQ9" s="856"/>
      <c r="AR9" s="856"/>
      <c r="AS9" s="856"/>
      <c r="AT9" s="857"/>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row>
    <row r="10" spans="1:91" ht="15" customHeight="1" x14ac:dyDescent="0.3">
      <c r="A10" s="65"/>
      <c r="B10" s="794"/>
      <c r="C10" s="794"/>
      <c r="D10" s="795"/>
      <c r="E10" s="835"/>
      <c r="F10" s="836"/>
      <c r="G10" s="836"/>
      <c r="H10" s="836"/>
      <c r="I10" s="837"/>
      <c r="J10" s="34" t="str">
        <f>IF(AND('Mapa final'!$AB$33="Muy Alta",'Mapa final'!$AD$33="Leve"),CONCATENATE("R5C",'Mapa final'!$R$33),"")</f>
        <v/>
      </c>
      <c r="K10" s="35" t="str">
        <f>IF(AND('Mapa final'!$AB$34="Muy Alta",'Mapa final'!$AD$34="Leve"),CONCATENATE("R5C",'Mapa final'!$R$34),"")</f>
        <v/>
      </c>
      <c r="L10" s="35" t="str">
        <f>IF(AND('Mapa final'!$AB$35="Muy Alta",'Mapa final'!$AD$35="Leve"),CONCATENATE("R5C",'Mapa final'!$R$35),"")</f>
        <v/>
      </c>
      <c r="M10" s="35" t="str">
        <f>IF(AND('Mapa final'!$AB$36="Muy Alta",'Mapa final'!$AD$36="Leve"),CONCATENATE("R5C",'Mapa final'!$R$36),"")</f>
        <v/>
      </c>
      <c r="N10" s="35" t="str">
        <f>IF(AND('Mapa final'!$AB$37="Muy Alta",'Mapa final'!$AD$37="Leve"),CONCATENATE("R5C",'Mapa final'!$R$37),"")</f>
        <v/>
      </c>
      <c r="O10" s="36" t="str">
        <f>IF(AND('Mapa final'!$AB$38="Muy Alta",'Mapa final'!$AD$38="Leve"),CONCATENATE("R5C",'Mapa final'!$R$38),"")</f>
        <v/>
      </c>
      <c r="P10" s="34" t="str">
        <f>IF(AND('Mapa final'!$AB$33="Muy Alta",'Mapa final'!$AD$33="Menor"),CONCATENATE("R5C",'Mapa final'!$R$33),"")</f>
        <v/>
      </c>
      <c r="Q10" s="35" t="str">
        <f>IF(AND('Mapa final'!$AB$34="Muy Alta",'Mapa final'!$AD$34="Menor"),CONCATENATE("R5C",'Mapa final'!$R$34),"")</f>
        <v/>
      </c>
      <c r="R10" s="35" t="str">
        <f>IF(AND('Mapa final'!$AB$35="Muy Alta",'Mapa final'!$AD$35="Menor"),CONCATENATE("R5C",'Mapa final'!$R$35),"")</f>
        <v/>
      </c>
      <c r="S10" s="35" t="str">
        <f>IF(AND('Mapa final'!$AB$36="Muy Alta",'Mapa final'!$AD$36="Menor"),CONCATENATE("R5C",'Mapa final'!$R$36),"")</f>
        <v/>
      </c>
      <c r="T10" s="35" t="str">
        <f>IF(AND('Mapa final'!$AB$37="Muy Alta",'Mapa final'!$AD$37="Menor"),CONCATENATE("R5C",'Mapa final'!$R$37),"")</f>
        <v/>
      </c>
      <c r="U10" s="36" t="str">
        <f>IF(AND('Mapa final'!$AB$38="Muy Alta",'Mapa final'!$AD$38="Menor"),CONCATENATE("R5C",'Mapa final'!$R$38),"")</f>
        <v/>
      </c>
      <c r="V10" s="34" t="str">
        <f>IF(AND('Mapa final'!$AB$33="Muy Alta",'Mapa final'!$AD$33="Moderado"),CONCATENATE("R5C",'Mapa final'!$R$33),"")</f>
        <v/>
      </c>
      <c r="W10" s="35" t="str">
        <f>IF(AND('Mapa final'!$AB$34="Muy Alta",'Mapa final'!$AD$34="Moderado"),CONCATENATE("R5C",'Mapa final'!$R$34),"")</f>
        <v/>
      </c>
      <c r="X10" s="35" t="str">
        <f>IF(AND('Mapa final'!$AB$35="Muy Alta",'Mapa final'!$AD$35="Moderado"),CONCATENATE("R5C",'Mapa final'!$R$35),"")</f>
        <v/>
      </c>
      <c r="Y10" s="35" t="str">
        <f>IF(AND('Mapa final'!$AB$36="Muy Alta",'Mapa final'!$AD$36="Moderado"),CONCATENATE("R5C",'Mapa final'!$R$36),"")</f>
        <v/>
      </c>
      <c r="Z10" s="35" t="str">
        <f>IF(AND('Mapa final'!$AB$37="Muy Alta",'Mapa final'!$AD$37="Moderado"),CONCATENATE("R5C",'Mapa final'!$R$37),"")</f>
        <v/>
      </c>
      <c r="AA10" s="36" t="str">
        <f>IF(AND('Mapa final'!$AB$38="Muy Alta",'Mapa final'!$AD$38="Moderado"),CONCATENATE("R5C",'Mapa final'!$R$38),"")</f>
        <v/>
      </c>
      <c r="AB10" s="34" t="str">
        <f>IF(AND('Mapa final'!$AB$33="Muy Alta",'Mapa final'!$AD$33="Mayor"),CONCATENATE("R5C",'Mapa final'!$R$33),"")</f>
        <v/>
      </c>
      <c r="AC10" s="35" t="str">
        <f>IF(AND('Mapa final'!$AB$34="Muy Alta",'Mapa final'!$AD$34="Mayor"),CONCATENATE("R5C",'Mapa final'!$R$34),"")</f>
        <v/>
      </c>
      <c r="AD10" s="35" t="str">
        <f>IF(AND('Mapa final'!$AB$35="Muy Alta",'Mapa final'!$AD$35="Mayor"),CONCATENATE("R5C",'Mapa final'!$R$35),"")</f>
        <v/>
      </c>
      <c r="AE10" s="35" t="str">
        <f>IF(AND('Mapa final'!$AB$36="Muy Alta",'Mapa final'!$AD$36="Mayor"),CONCATENATE("R5C",'Mapa final'!$R$36),"")</f>
        <v/>
      </c>
      <c r="AF10" s="35" t="str">
        <f>IF(AND('Mapa final'!$AB$37="Muy Alta",'Mapa final'!$AD$37="Mayor"),CONCATENATE("R5C",'Mapa final'!$R$37),"")</f>
        <v/>
      </c>
      <c r="AG10" s="36" t="str">
        <f>IF(AND('Mapa final'!$AB$38="Muy Alta",'Mapa final'!$AD$38="Mayor"),CONCATENATE("R5C",'Mapa final'!$R$38),"")</f>
        <v/>
      </c>
      <c r="AH10" s="37" t="str">
        <f>IF(AND('Mapa final'!$AB$33="Muy Alta",'Mapa final'!$AD$33="Catastrófico"),CONCATENATE("R5C",'Mapa final'!$R$33),"")</f>
        <v/>
      </c>
      <c r="AI10" s="38" t="str">
        <f>IF(AND('Mapa final'!$AB$34="Muy Alta",'Mapa final'!$AD$34="Catastrófico"),CONCATENATE("R5C",'Mapa final'!$R$34),"")</f>
        <v/>
      </c>
      <c r="AJ10" s="38" t="str">
        <f>IF(AND('Mapa final'!$AB$35="Muy Alta",'Mapa final'!$AD$35="Catastrófico"),CONCATENATE("R5C",'Mapa final'!$R$35),"")</f>
        <v/>
      </c>
      <c r="AK10" s="38" t="str">
        <f>IF(AND('Mapa final'!$AB$36="Muy Alta",'Mapa final'!$AD$36="Catastrófico"),CONCATENATE("R5C",'Mapa final'!$R$36),"")</f>
        <v/>
      </c>
      <c r="AL10" s="38" t="str">
        <f>IF(AND('Mapa final'!$AB$37="Muy Alta",'Mapa final'!$AD$37="Catastrófico"),CONCATENATE("R5C",'Mapa final'!$R$37),"")</f>
        <v/>
      </c>
      <c r="AM10" s="39" t="str">
        <f>IF(AND('Mapa final'!$AB$38="Muy Alta",'Mapa final'!$AD$38="Catastrófico"),CONCATENATE("R5C",'Mapa final'!$R$38),"")</f>
        <v/>
      </c>
      <c r="AN10" s="65"/>
      <c r="AO10" s="855"/>
      <c r="AP10" s="856"/>
      <c r="AQ10" s="856"/>
      <c r="AR10" s="856"/>
      <c r="AS10" s="856"/>
      <c r="AT10" s="857"/>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row>
    <row r="11" spans="1:91" ht="15" customHeight="1" x14ac:dyDescent="0.3">
      <c r="A11" s="65"/>
      <c r="B11" s="794"/>
      <c r="C11" s="794"/>
      <c r="D11" s="795"/>
      <c r="E11" s="835"/>
      <c r="F11" s="836"/>
      <c r="G11" s="836"/>
      <c r="H11" s="836"/>
      <c r="I11" s="837"/>
      <c r="J11" s="34" t="str">
        <f>IF(AND('Mapa final'!$AB$39="Muy Alta",'Mapa final'!$AD$39="Leve"),CONCATENATE("R6C",'Mapa final'!$R$39),"")</f>
        <v/>
      </c>
      <c r="K11" s="35" t="str">
        <f>IF(AND('Mapa final'!$AB$40="Muy Alta",'Mapa final'!$AD$40="Leve"),CONCATENATE("R6C",'Mapa final'!$R$40),"")</f>
        <v/>
      </c>
      <c r="L11" s="35" t="str">
        <f>IF(AND('Mapa final'!$AB$41="Muy Alta",'Mapa final'!$AD$41="Leve"),CONCATENATE("R6C",'Mapa final'!$R$41),"")</f>
        <v/>
      </c>
      <c r="M11" s="35" t="str">
        <f>IF(AND('Mapa final'!$AB$42="Muy Alta",'Mapa final'!$AD$42="Leve"),CONCATENATE("R6C",'Mapa final'!$R$42),"")</f>
        <v/>
      </c>
      <c r="N11" s="35" t="str">
        <f>IF(AND('Mapa final'!$AB$43="Muy Alta",'Mapa final'!$AD$43="Leve"),CONCATENATE("R6C",'Mapa final'!$R$43),"")</f>
        <v/>
      </c>
      <c r="O11" s="36" t="str">
        <f>IF(AND('Mapa final'!$AB$44="Muy Alta",'Mapa final'!$AD$44="Leve"),CONCATENATE("R6C",'Mapa final'!$R$44),"")</f>
        <v/>
      </c>
      <c r="P11" s="34" t="str">
        <f>IF(AND('Mapa final'!$AB$39="Muy Alta",'Mapa final'!$AD$39="Menor"),CONCATENATE("R6C",'Mapa final'!$R$39),"")</f>
        <v/>
      </c>
      <c r="Q11" s="35" t="str">
        <f>IF(AND('Mapa final'!$AB$40="Muy Alta",'Mapa final'!$AD$40="Menor"),CONCATENATE("R6C",'Mapa final'!$R$40),"")</f>
        <v/>
      </c>
      <c r="R11" s="35" t="str">
        <f>IF(AND('Mapa final'!$AB$41="Muy Alta",'Mapa final'!$AD$41="Menor"),CONCATENATE("R6C",'Mapa final'!$R$41),"")</f>
        <v/>
      </c>
      <c r="S11" s="35" t="str">
        <f>IF(AND('Mapa final'!$AB$42="Muy Alta",'Mapa final'!$AD$42="Menor"),CONCATENATE("R6C",'Mapa final'!$R$42),"")</f>
        <v/>
      </c>
      <c r="T11" s="35" t="str">
        <f>IF(AND('Mapa final'!$AB$43="Muy Alta",'Mapa final'!$AD$43="Menor"),CONCATENATE("R6C",'Mapa final'!$R$43),"")</f>
        <v/>
      </c>
      <c r="U11" s="36" t="str">
        <f>IF(AND('Mapa final'!$AB$44="Muy Alta",'Mapa final'!$AD$44="Menor"),CONCATENATE("R6C",'Mapa final'!$R$44),"")</f>
        <v/>
      </c>
      <c r="V11" s="34" t="str">
        <f>IF(AND('Mapa final'!$AB$39="Muy Alta",'Mapa final'!$AD$39="Moderado"),CONCATENATE("R6C",'Mapa final'!$R$39),"")</f>
        <v/>
      </c>
      <c r="W11" s="35" t="str">
        <f>IF(AND('Mapa final'!$AB$40="Muy Alta",'Mapa final'!$AD$40="Moderado"),CONCATENATE("R6C",'Mapa final'!$R$40),"")</f>
        <v/>
      </c>
      <c r="X11" s="35" t="str">
        <f>IF(AND('Mapa final'!$AB$41="Muy Alta",'Mapa final'!$AD$41="Moderado"),CONCATENATE("R6C",'Mapa final'!$R$41),"")</f>
        <v/>
      </c>
      <c r="Y11" s="35" t="str">
        <f>IF(AND('Mapa final'!$AB$42="Muy Alta",'Mapa final'!$AD$42="Moderado"),CONCATENATE("R6C",'Mapa final'!$R$42),"")</f>
        <v/>
      </c>
      <c r="Z11" s="35" t="str">
        <f>IF(AND('Mapa final'!$AB$43="Muy Alta",'Mapa final'!$AD$43="Moderado"),CONCATENATE("R6C",'Mapa final'!$R$43),"")</f>
        <v/>
      </c>
      <c r="AA11" s="36" t="str">
        <f>IF(AND('Mapa final'!$AB$44="Muy Alta",'Mapa final'!$AD$44="Moderado"),CONCATENATE("R6C",'Mapa final'!$R$44),"")</f>
        <v/>
      </c>
      <c r="AB11" s="34" t="str">
        <f>IF(AND('Mapa final'!$AB$39="Muy Alta",'Mapa final'!$AD$39="Mayor"),CONCATENATE("R6C",'Mapa final'!$R$39),"")</f>
        <v/>
      </c>
      <c r="AC11" s="35" t="str">
        <f>IF(AND('Mapa final'!$AB$40="Muy Alta",'Mapa final'!$AD$40="Mayor"),CONCATENATE("R6C",'Mapa final'!$R$40),"")</f>
        <v/>
      </c>
      <c r="AD11" s="35" t="str">
        <f>IF(AND('Mapa final'!$AB$41="Muy Alta",'Mapa final'!$AD$41="Mayor"),CONCATENATE("R6C",'Mapa final'!$R$41),"")</f>
        <v/>
      </c>
      <c r="AE11" s="35" t="str">
        <f>IF(AND('Mapa final'!$AB$42="Muy Alta",'Mapa final'!$AD$42="Mayor"),CONCATENATE("R6C",'Mapa final'!$R$42),"")</f>
        <v/>
      </c>
      <c r="AF11" s="35" t="str">
        <f>IF(AND('Mapa final'!$AB$43="Muy Alta",'Mapa final'!$AD$43="Mayor"),CONCATENATE("R6C",'Mapa final'!$R$43),"")</f>
        <v/>
      </c>
      <c r="AG11" s="36" t="str">
        <f>IF(AND('Mapa final'!$AB$44="Muy Alta",'Mapa final'!$AD$44="Mayor"),CONCATENATE("R6C",'Mapa final'!$R$44),"")</f>
        <v/>
      </c>
      <c r="AH11" s="37" t="str">
        <f>IF(AND('Mapa final'!$AB$39="Muy Alta",'Mapa final'!$AD$39="Catastrófico"),CONCATENATE("R6C",'Mapa final'!$R$39),"")</f>
        <v/>
      </c>
      <c r="AI11" s="38" t="str">
        <f>IF(AND('Mapa final'!$AB$40="Muy Alta",'Mapa final'!$AD$40="Catastrófico"),CONCATENATE("R6C",'Mapa final'!$R$40),"")</f>
        <v/>
      </c>
      <c r="AJ11" s="38" t="str">
        <f>IF(AND('Mapa final'!$AB$41="Muy Alta",'Mapa final'!$AD$41="Catastrófico"),CONCATENATE("R6C",'Mapa final'!$R$41),"")</f>
        <v/>
      </c>
      <c r="AK11" s="38" t="str">
        <f>IF(AND('Mapa final'!$AB$42="Muy Alta",'Mapa final'!$AD$42="Catastrófico"),CONCATENATE("R6C",'Mapa final'!$R$42),"")</f>
        <v/>
      </c>
      <c r="AL11" s="38" t="str">
        <f>IF(AND('Mapa final'!$AB$43="Muy Alta",'Mapa final'!$AD$43="Catastrófico"),CONCATENATE("R6C",'Mapa final'!$R$43),"")</f>
        <v/>
      </c>
      <c r="AM11" s="39" t="str">
        <f>IF(AND('Mapa final'!$AB$44="Muy Alta",'Mapa final'!$AD$44="Catastrófico"),CONCATENATE("R6C",'Mapa final'!$R$44),"")</f>
        <v/>
      </c>
      <c r="AN11" s="65"/>
      <c r="AO11" s="855"/>
      <c r="AP11" s="856"/>
      <c r="AQ11" s="856"/>
      <c r="AR11" s="856"/>
      <c r="AS11" s="856"/>
      <c r="AT11" s="857"/>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row>
    <row r="12" spans="1:91" ht="15" customHeight="1" x14ac:dyDescent="0.3">
      <c r="A12" s="65"/>
      <c r="B12" s="794"/>
      <c r="C12" s="794"/>
      <c r="D12" s="795"/>
      <c r="E12" s="835"/>
      <c r="F12" s="836"/>
      <c r="G12" s="836"/>
      <c r="H12" s="836"/>
      <c r="I12" s="837"/>
      <c r="J12" s="34" t="str">
        <f>IF(AND('Mapa final'!$AB$45="Muy Alta",'Mapa final'!$AD$45="Leve"),CONCATENATE("R7C",'Mapa final'!$R$45),"")</f>
        <v/>
      </c>
      <c r="K12" s="35" t="str">
        <f>IF(AND('Mapa final'!$AB$46="Muy Alta",'Mapa final'!$AD$46="Leve"),CONCATENATE("R7C",'Mapa final'!$R$46),"")</f>
        <v/>
      </c>
      <c r="L12" s="35" t="str">
        <f>IF(AND('Mapa final'!$AB$47="Muy Alta",'Mapa final'!$AD$47="Leve"),CONCATENATE("R7C",'Mapa final'!$R$47),"")</f>
        <v/>
      </c>
      <c r="M12" s="35" t="str">
        <f>IF(AND('Mapa final'!$AB$48="Muy Alta",'Mapa final'!$AD$48="Leve"),CONCATENATE("R7C",'Mapa final'!$R$48),"")</f>
        <v/>
      </c>
      <c r="N12" s="35" t="str">
        <f>IF(AND('Mapa final'!$AB$49="Muy Alta",'Mapa final'!$AD$49="Leve"),CONCATENATE("R7C",'Mapa final'!$R$49),"")</f>
        <v/>
      </c>
      <c r="O12" s="36" t="str">
        <f>IF(AND('Mapa final'!$AB$50="Muy Alta",'Mapa final'!$AD$50="Leve"),CONCATENATE("R7C",'Mapa final'!$R$50),"")</f>
        <v/>
      </c>
      <c r="P12" s="34" t="str">
        <f>IF(AND('Mapa final'!$AB$45="Muy Alta",'Mapa final'!$AD$45="Menor"),CONCATENATE("R7C",'Mapa final'!$R$45),"")</f>
        <v/>
      </c>
      <c r="Q12" s="35" t="str">
        <f>IF(AND('Mapa final'!$AB$46="Muy Alta",'Mapa final'!$AD$46="Menor"),CONCATENATE("R7C",'Mapa final'!$R$46),"")</f>
        <v/>
      </c>
      <c r="R12" s="35" t="str">
        <f>IF(AND('Mapa final'!$AB$47="Muy Alta",'Mapa final'!$AD$47="Menor"),CONCATENATE("R7C",'Mapa final'!$R$47),"")</f>
        <v/>
      </c>
      <c r="S12" s="35" t="str">
        <f>IF(AND('Mapa final'!$AB$48="Muy Alta",'Mapa final'!$AD$48="Menor"),CONCATENATE("R7C",'Mapa final'!$R$48),"")</f>
        <v/>
      </c>
      <c r="T12" s="35" t="str">
        <f>IF(AND('Mapa final'!$AB$49="Muy Alta",'Mapa final'!$AD$49="Menor"),CONCATENATE("R7C",'Mapa final'!$R$49),"")</f>
        <v/>
      </c>
      <c r="U12" s="36" t="str">
        <f>IF(AND('Mapa final'!$AB$50="Muy Alta",'Mapa final'!$AD$50="Menor"),CONCATENATE("R7C",'Mapa final'!$R$50),"")</f>
        <v/>
      </c>
      <c r="V12" s="34" t="str">
        <f>IF(AND('Mapa final'!$AB$45="Muy Alta",'Mapa final'!$AD$45="Moderado"),CONCATENATE("R7C",'Mapa final'!$R$45),"")</f>
        <v/>
      </c>
      <c r="W12" s="35" t="str">
        <f>IF(AND('Mapa final'!$AB$46="Muy Alta",'Mapa final'!$AD$46="Moderado"),CONCATENATE("R7C",'Mapa final'!$R$46),"")</f>
        <v/>
      </c>
      <c r="X12" s="35" t="str">
        <f>IF(AND('Mapa final'!$AB$47="Muy Alta",'Mapa final'!$AD$47="Moderado"),CONCATENATE("R7C",'Mapa final'!$R$47),"")</f>
        <v/>
      </c>
      <c r="Y12" s="35" t="str">
        <f>IF(AND('Mapa final'!$AB$48="Muy Alta",'Mapa final'!$AD$48="Moderado"),CONCATENATE("R7C",'Mapa final'!$R$48),"")</f>
        <v/>
      </c>
      <c r="Z12" s="35" t="str">
        <f>IF(AND('Mapa final'!$AB$49="Muy Alta",'Mapa final'!$AD$49="Moderado"),CONCATENATE("R7C",'Mapa final'!$R$49),"")</f>
        <v/>
      </c>
      <c r="AA12" s="36" t="str">
        <f>IF(AND('Mapa final'!$AB$50="Muy Alta",'Mapa final'!$AD$50="Moderado"),CONCATENATE("R7C",'Mapa final'!$R$50),"")</f>
        <v/>
      </c>
      <c r="AB12" s="34" t="str">
        <f>IF(AND('Mapa final'!$AB$45="Muy Alta",'Mapa final'!$AD$45="Mayor"),CONCATENATE("R7C",'Mapa final'!$R$45),"")</f>
        <v/>
      </c>
      <c r="AC12" s="35" t="str">
        <f>IF(AND('Mapa final'!$AB$46="Muy Alta",'Mapa final'!$AD$46="Mayor"),CONCATENATE("R7C",'Mapa final'!$R$46),"")</f>
        <v/>
      </c>
      <c r="AD12" s="35" t="str">
        <f>IF(AND('Mapa final'!$AB$47="Muy Alta",'Mapa final'!$AD$47="Mayor"),CONCATENATE("R7C",'Mapa final'!$R$47),"")</f>
        <v/>
      </c>
      <c r="AE12" s="35" t="str">
        <f>IF(AND('Mapa final'!$AB$48="Muy Alta",'Mapa final'!$AD$48="Mayor"),CONCATENATE("R7C",'Mapa final'!$R$48),"")</f>
        <v/>
      </c>
      <c r="AF12" s="35" t="str">
        <f>IF(AND('Mapa final'!$AB$49="Muy Alta",'Mapa final'!$AD$49="Mayor"),CONCATENATE("R7C",'Mapa final'!$R$49),"")</f>
        <v/>
      </c>
      <c r="AG12" s="36" t="str">
        <f>IF(AND('Mapa final'!$AB$50="Muy Alta",'Mapa final'!$AD$50="Mayor"),CONCATENATE("R7C",'Mapa final'!$R$50),"")</f>
        <v/>
      </c>
      <c r="AH12" s="37" t="str">
        <f>IF(AND('Mapa final'!$AB$45="Muy Alta",'Mapa final'!$AD$45="Catastrófico"),CONCATENATE("R7C",'Mapa final'!$R$45),"")</f>
        <v/>
      </c>
      <c r="AI12" s="38" t="str">
        <f>IF(AND('Mapa final'!$AB$46="Muy Alta",'Mapa final'!$AD$46="Catastrófico"),CONCATENATE("R7C",'Mapa final'!$R$46),"")</f>
        <v/>
      </c>
      <c r="AJ12" s="38" t="str">
        <f>IF(AND('Mapa final'!$AB$47="Muy Alta",'Mapa final'!$AD$47="Catastrófico"),CONCATENATE("R7C",'Mapa final'!$R$47),"")</f>
        <v/>
      </c>
      <c r="AK12" s="38" t="str">
        <f>IF(AND('Mapa final'!$AB$48="Muy Alta",'Mapa final'!$AD$48="Catastrófico"),CONCATENATE("R7C",'Mapa final'!$R$48),"")</f>
        <v/>
      </c>
      <c r="AL12" s="38" t="str">
        <f>IF(AND('Mapa final'!$AB$49="Muy Alta",'Mapa final'!$AD$49="Catastrófico"),CONCATENATE("R7C",'Mapa final'!$R$49),"")</f>
        <v/>
      </c>
      <c r="AM12" s="39" t="str">
        <f>IF(AND('Mapa final'!$AB$50="Muy Alta",'Mapa final'!$AD$50="Catastrófico"),CONCATENATE("R7C",'Mapa final'!$R$50),"")</f>
        <v/>
      </c>
      <c r="AN12" s="65"/>
      <c r="AO12" s="855"/>
      <c r="AP12" s="856"/>
      <c r="AQ12" s="856"/>
      <c r="AR12" s="856"/>
      <c r="AS12" s="856"/>
      <c r="AT12" s="857"/>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row>
    <row r="13" spans="1:91" ht="15" customHeight="1" x14ac:dyDescent="0.3">
      <c r="A13" s="65"/>
      <c r="B13" s="794"/>
      <c r="C13" s="794"/>
      <c r="D13" s="795"/>
      <c r="E13" s="835"/>
      <c r="F13" s="836"/>
      <c r="G13" s="836"/>
      <c r="H13" s="836"/>
      <c r="I13" s="837"/>
      <c r="J13" s="34" t="str">
        <f>IF(AND('Mapa final'!$AB$51="Muy Alta",'Mapa final'!$AD$51="Leve"),CONCATENATE("R8C",'Mapa final'!$R$51),"")</f>
        <v/>
      </c>
      <c r="K13" s="35" t="str">
        <f>IF(AND('Mapa final'!$AB$52="Muy Alta",'Mapa final'!$AD$52="Leve"),CONCATENATE("R8C",'Mapa final'!$R$52),"")</f>
        <v/>
      </c>
      <c r="L13" s="35" t="str">
        <f>IF(AND('Mapa final'!$AB$53="Muy Alta",'Mapa final'!$AD$53="Leve"),CONCATENATE("R8C",'Mapa final'!$R$53),"")</f>
        <v/>
      </c>
      <c r="M13" s="35" t="str">
        <f>IF(AND('Mapa final'!$AB$54="Muy Alta",'Mapa final'!$AD$54="Leve"),CONCATENATE("R8C",'Mapa final'!$R$54),"")</f>
        <v/>
      </c>
      <c r="N13" s="35" t="str">
        <f>IF(AND('Mapa final'!$AB$55="Muy Alta",'Mapa final'!$AD$55="Leve"),CONCATENATE("R8C",'Mapa final'!$R$55),"")</f>
        <v/>
      </c>
      <c r="O13" s="36" t="str">
        <f>IF(AND('Mapa final'!$AB$56="Muy Alta",'Mapa final'!$AD$56="Leve"),CONCATENATE("R8C",'Mapa final'!$R$56),"")</f>
        <v/>
      </c>
      <c r="P13" s="34" t="str">
        <f>IF(AND('Mapa final'!$AB$51="Muy Alta",'Mapa final'!$AD$51="Menor"),CONCATENATE("R8C",'Mapa final'!$R$51),"")</f>
        <v/>
      </c>
      <c r="Q13" s="35" t="str">
        <f>IF(AND('Mapa final'!$AB$52="Muy Alta",'Mapa final'!$AD$52="Menor"),CONCATENATE("R8C",'Mapa final'!$R$52),"")</f>
        <v/>
      </c>
      <c r="R13" s="35" t="str">
        <f>IF(AND('Mapa final'!$AB$53="Muy Alta",'Mapa final'!$AD$53="Menor"),CONCATENATE("R8C",'Mapa final'!$R$53),"")</f>
        <v/>
      </c>
      <c r="S13" s="35" t="str">
        <f>IF(AND('Mapa final'!$AB$54="Muy Alta",'Mapa final'!$AD$54="Menor"),CONCATENATE("R8C",'Mapa final'!$R$54),"")</f>
        <v/>
      </c>
      <c r="T13" s="35" t="str">
        <f>IF(AND('Mapa final'!$AB$55="Muy Alta",'Mapa final'!$AD$55="Menor"),CONCATENATE("R8C",'Mapa final'!$R$55),"")</f>
        <v/>
      </c>
      <c r="U13" s="36" t="str">
        <f>IF(AND('Mapa final'!$AB$56="Muy Alta",'Mapa final'!$AD$56="Menor"),CONCATENATE("R8C",'Mapa final'!$R$56),"")</f>
        <v/>
      </c>
      <c r="V13" s="34" t="str">
        <f>IF(AND('Mapa final'!$AB$51="Muy Alta",'Mapa final'!$AD$51="Moderado"),CONCATENATE("R8C",'Mapa final'!$R$51),"")</f>
        <v/>
      </c>
      <c r="W13" s="35" t="str">
        <f>IF(AND('Mapa final'!$AB$52="Muy Alta",'Mapa final'!$AD$52="Moderado"),CONCATENATE("R8C",'Mapa final'!$R$52),"")</f>
        <v/>
      </c>
      <c r="X13" s="35" t="str">
        <f>IF(AND('Mapa final'!$AB$53="Muy Alta",'Mapa final'!$AD$53="Moderado"),CONCATENATE("R8C",'Mapa final'!$R$53),"")</f>
        <v/>
      </c>
      <c r="Y13" s="35" t="str">
        <f>IF(AND('Mapa final'!$AB$54="Muy Alta",'Mapa final'!$AD$54="Moderado"),CONCATENATE("R8C",'Mapa final'!$R$54),"")</f>
        <v/>
      </c>
      <c r="Z13" s="35" t="str">
        <f>IF(AND('Mapa final'!$AB$55="Muy Alta",'Mapa final'!$AD$55="Moderado"),CONCATENATE("R8C",'Mapa final'!$R$55),"")</f>
        <v/>
      </c>
      <c r="AA13" s="36" t="str">
        <f>IF(AND('Mapa final'!$AB$56="Muy Alta",'Mapa final'!$AD$56="Moderado"),CONCATENATE("R8C",'Mapa final'!$R$56),"")</f>
        <v/>
      </c>
      <c r="AB13" s="34" t="str">
        <f>IF(AND('Mapa final'!$AB$51="Muy Alta",'Mapa final'!$AD$51="Mayor"),CONCATENATE("R8C",'Mapa final'!$R$51),"")</f>
        <v/>
      </c>
      <c r="AC13" s="35" t="str">
        <f>IF(AND('Mapa final'!$AB$52="Muy Alta",'Mapa final'!$AD$52="Mayor"),CONCATENATE("R8C",'Mapa final'!$R$52),"")</f>
        <v/>
      </c>
      <c r="AD13" s="35" t="str">
        <f>IF(AND('Mapa final'!$AB$53="Muy Alta",'Mapa final'!$AD$53="Mayor"),CONCATENATE("R8C",'Mapa final'!$R$53),"")</f>
        <v/>
      </c>
      <c r="AE13" s="35" t="str">
        <f>IF(AND('Mapa final'!$AB$54="Muy Alta",'Mapa final'!$AD$54="Mayor"),CONCATENATE("R8C",'Mapa final'!$R$54),"")</f>
        <v/>
      </c>
      <c r="AF13" s="35" t="str">
        <f>IF(AND('Mapa final'!$AB$55="Muy Alta",'Mapa final'!$AD$55="Mayor"),CONCATENATE("R8C",'Mapa final'!$R$55),"")</f>
        <v/>
      </c>
      <c r="AG13" s="36" t="str">
        <f>IF(AND('Mapa final'!$AB$56="Muy Alta",'Mapa final'!$AD$56="Mayor"),CONCATENATE("R8C",'Mapa final'!$R$56),"")</f>
        <v/>
      </c>
      <c r="AH13" s="37" t="str">
        <f>IF(AND('Mapa final'!$AB$51="Muy Alta",'Mapa final'!$AD$51="Catastrófico"),CONCATENATE("R8C",'Mapa final'!$R$51),"")</f>
        <v/>
      </c>
      <c r="AI13" s="38" t="str">
        <f>IF(AND('Mapa final'!$AB$52="Muy Alta",'Mapa final'!$AD$52="Catastrófico"),CONCATENATE("R8C",'Mapa final'!$R$52),"")</f>
        <v/>
      </c>
      <c r="AJ13" s="38" t="str">
        <f>IF(AND('Mapa final'!$AB$53="Muy Alta",'Mapa final'!$AD$53="Catastrófico"),CONCATENATE("R8C",'Mapa final'!$R$53),"")</f>
        <v/>
      </c>
      <c r="AK13" s="38" t="str">
        <f>IF(AND('Mapa final'!$AB$54="Muy Alta",'Mapa final'!$AD$54="Catastrófico"),CONCATENATE("R8C",'Mapa final'!$R$54),"")</f>
        <v/>
      </c>
      <c r="AL13" s="38" t="str">
        <f>IF(AND('Mapa final'!$AB$55="Muy Alta",'Mapa final'!$AD$55="Catastrófico"),CONCATENATE("R8C",'Mapa final'!$R$55),"")</f>
        <v/>
      </c>
      <c r="AM13" s="39" t="str">
        <f>IF(AND('Mapa final'!$AB$56="Muy Alta",'Mapa final'!$AD$56="Catastrófico"),CONCATENATE("R8C",'Mapa final'!$R$56),"")</f>
        <v/>
      </c>
      <c r="AN13" s="65"/>
      <c r="AO13" s="855"/>
      <c r="AP13" s="856"/>
      <c r="AQ13" s="856"/>
      <c r="AR13" s="856"/>
      <c r="AS13" s="856"/>
      <c r="AT13" s="857"/>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row>
    <row r="14" spans="1:91" ht="15" customHeight="1" x14ac:dyDescent="0.3">
      <c r="A14" s="65"/>
      <c r="B14" s="794"/>
      <c r="C14" s="794"/>
      <c r="D14" s="795"/>
      <c r="E14" s="835"/>
      <c r="F14" s="836"/>
      <c r="G14" s="836"/>
      <c r="H14" s="836"/>
      <c r="I14" s="837"/>
      <c r="J14" s="34" t="str">
        <f>IF(AND('Mapa final'!$AB$57="Muy Alta",'Mapa final'!$AD$57="Leve"),CONCATENATE("R9C",'Mapa final'!$R$57),"")</f>
        <v/>
      </c>
      <c r="K14" s="35" t="str">
        <f>IF(AND('Mapa final'!$AB$58="Muy Alta",'Mapa final'!$AD$58="Leve"),CONCATENATE("R9C",'Mapa final'!$R$58),"")</f>
        <v/>
      </c>
      <c r="L14" s="35" t="str">
        <f>IF(AND('Mapa final'!$AB$59="Muy Alta",'Mapa final'!$AD$59="Leve"),CONCATENATE("R9C",'Mapa final'!$R$59),"")</f>
        <v/>
      </c>
      <c r="M14" s="35" t="str">
        <f>IF(AND('Mapa final'!$AB$60="Muy Alta",'Mapa final'!$AD$60="Leve"),CONCATENATE("R9C",'Mapa final'!$R$60),"")</f>
        <v/>
      </c>
      <c r="N14" s="35" t="str">
        <f>IF(AND('Mapa final'!$AB$61="Muy Alta",'Mapa final'!$AD$61="Leve"),CONCATENATE("R9C",'Mapa final'!$R$61),"")</f>
        <v/>
      </c>
      <c r="O14" s="36" t="str">
        <f>IF(AND('Mapa final'!$AB$62="Muy Alta",'Mapa final'!$AD$62="Leve"),CONCATENATE("R9C",'Mapa final'!$R$62),"")</f>
        <v/>
      </c>
      <c r="P14" s="34" t="str">
        <f>IF(AND('Mapa final'!$AB$57="Muy Alta",'Mapa final'!$AD$57="Menor"),CONCATENATE("R9C",'Mapa final'!$R$57),"")</f>
        <v/>
      </c>
      <c r="Q14" s="35" t="str">
        <f>IF(AND('Mapa final'!$AB$58="Muy Alta",'Mapa final'!$AD$58="Menor"),CONCATENATE("R9C",'Mapa final'!$R$58),"")</f>
        <v/>
      </c>
      <c r="R14" s="35" t="str">
        <f>IF(AND('Mapa final'!$AB$59="Muy Alta",'Mapa final'!$AD$59="Menor"),CONCATENATE("R9C",'Mapa final'!$R$59),"")</f>
        <v/>
      </c>
      <c r="S14" s="35" t="str">
        <f>IF(AND('Mapa final'!$AB$60="Muy Alta",'Mapa final'!$AD$60="Menor"),CONCATENATE("R9C",'Mapa final'!$R$60),"")</f>
        <v/>
      </c>
      <c r="T14" s="35" t="str">
        <f>IF(AND('Mapa final'!$AB$61="Muy Alta",'Mapa final'!$AD$61="Menor"),CONCATENATE("R9C",'Mapa final'!$R$61),"")</f>
        <v/>
      </c>
      <c r="U14" s="36" t="str">
        <f>IF(AND('Mapa final'!$AB$62="Muy Alta",'Mapa final'!$AD$62="Menor"),CONCATENATE("R9C",'Mapa final'!$R$62),"")</f>
        <v/>
      </c>
      <c r="V14" s="34" t="str">
        <f>IF(AND('Mapa final'!$AB$57="Muy Alta",'Mapa final'!$AD$57="Moderado"),CONCATENATE("R9C",'Mapa final'!$R$57),"")</f>
        <v/>
      </c>
      <c r="W14" s="35" t="str">
        <f>IF(AND('Mapa final'!$AB$58="Muy Alta",'Mapa final'!$AD$58="Moderado"),CONCATENATE("R9C",'Mapa final'!$R$58),"")</f>
        <v/>
      </c>
      <c r="X14" s="35" t="str">
        <f>IF(AND('Mapa final'!$AB$59="Muy Alta",'Mapa final'!$AD$59="Moderado"),CONCATENATE("R9C",'Mapa final'!$R$59),"")</f>
        <v/>
      </c>
      <c r="Y14" s="35" t="str">
        <f>IF(AND('Mapa final'!$AB$60="Muy Alta",'Mapa final'!$AD$60="Moderado"),CONCATENATE("R9C",'Mapa final'!$R$60),"")</f>
        <v/>
      </c>
      <c r="Z14" s="35" t="str">
        <f>IF(AND('Mapa final'!$AB$61="Muy Alta",'Mapa final'!$AD$61="Moderado"),CONCATENATE("R9C",'Mapa final'!$R$61),"")</f>
        <v/>
      </c>
      <c r="AA14" s="36" t="str">
        <f>IF(AND('Mapa final'!$AB$62="Muy Alta",'Mapa final'!$AD$62="Moderado"),CONCATENATE("R9C",'Mapa final'!$R$62),"")</f>
        <v/>
      </c>
      <c r="AB14" s="34" t="str">
        <f>IF(AND('Mapa final'!$AB$57="Muy Alta",'Mapa final'!$AD$57="Mayor"),CONCATENATE("R9C",'Mapa final'!$R$57),"")</f>
        <v/>
      </c>
      <c r="AC14" s="35" t="str">
        <f>IF(AND('Mapa final'!$AB$58="Muy Alta",'Mapa final'!$AD$58="Mayor"),CONCATENATE("R9C",'Mapa final'!$R$58),"")</f>
        <v/>
      </c>
      <c r="AD14" s="35" t="str">
        <f>IF(AND('Mapa final'!$AB$59="Muy Alta",'Mapa final'!$AD$59="Mayor"),CONCATENATE("R9C",'Mapa final'!$R$59),"")</f>
        <v/>
      </c>
      <c r="AE14" s="35" t="str">
        <f>IF(AND('Mapa final'!$AB$60="Muy Alta",'Mapa final'!$AD$60="Mayor"),CONCATENATE("R9C",'Mapa final'!$R$60),"")</f>
        <v/>
      </c>
      <c r="AF14" s="35" t="str">
        <f>IF(AND('Mapa final'!$AB$61="Muy Alta",'Mapa final'!$AD$61="Mayor"),CONCATENATE("R9C",'Mapa final'!$R$61),"")</f>
        <v/>
      </c>
      <c r="AG14" s="36" t="str">
        <f>IF(AND('Mapa final'!$AB$62="Muy Alta",'Mapa final'!$AD$62="Mayor"),CONCATENATE("R9C",'Mapa final'!$R$62),"")</f>
        <v/>
      </c>
      <c r="AH14" s="37" t="str">
        <f>IF(AND('Mapa final'!$AB$57="Muy Alta",'Mapa final'!$AD$57="Catastrófico"),CONCATENATE("R9C",'Mapa final'!$R$57),"")</f>
        <v/>
      </c>
      <c r="AI14" s="38" t="str">
        <f>IF(AND('Mapa final'!$AB$58="Muy Alta",'Mapa final'!$AD$58="Catastrófico"),CONCATENATE("R9C",'Mapa final'!$R$58),"")</f>
        <v/>
      </c>
      <c r="AJ14" s="38" t="str">
        <f>IF(AND('Mapa final'!$AB$59="Muy Alta",'Mapa final'!$AD$59="Catastrófico"),CONCATENATE("R9C",'Mapa final'!$R$59),"")</f>
        <v/>
      </c>
      <c r="AK14" s="38" t="str">
        <f>IF(AND('Mapa final'!$AB$60="Muy Alta",'Mapa final'!$AD$60="Catastrófico"),CONCATENATE("R9C",'Mapa final'!$R$60),"")</f>
        <v/>
      </c>
      <c r="AL14" s="38" t="str">
        <f>IF(AND('Mapa final'!$AB$61="Muy Alta",'Mapa final'!$AD$61="Catastrófico"),CONCATENATE("R9C",'Mapa final'!$R$61),"")</f>
        <v/>
      </c>
      <c r="AM14" s="39" t="str">
        <f>IF(AND('Mapa final'!$AB$62="Muy Alta",'Mapa final'!$AD$62="Catastrófico"),CONCATENATE("R9C",'Mapa final'!$R$62),"")</f>
        <v/>
      </c>
      <c r="AN14" s="65"/>
      <c r="AO14" s="855"/>
      <c r="AP14" s="856"/>
      <c r="AQ14" s="856"/>
      <c r="AR14" s="856"/>
      <c r="AS14" s="856"/>
      <c r="AT14" s="857"/>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row>
    <row r="15" spans="1:91" ht="15.75" customHeight="1" thickBot="1" x14ac:dyDescent="0.35">
      <c r="A15" s="65"/>
      <c r="B15" s="794"/>
      <c r="C15" s="794"/>
      <c r="D15" s="795"/>
      <c r="E15" s="838"/>
      <c r="F15" s="839"/>
      <c r="G15" s="839"/>
      <c r="H15" s="839"/>
      <c r="I15" s="840"/>
      <c r="J15" s="40" t="str">
        <f>IF(AND('Mapa final'!$AB$63="Muy Alta",'Mapa final'!$AD$63="Leve"),CONCATENATE("R10C",'Mapa final'!$R$63),"")</f>
        <v/>
      </c>
      <c r="K15" s="41" t="str">
        <f>IF(AND('Mapa final'!$AB$64="Muy Alta",'Mapa final'!$AD$64="Leve"),CONCATENATE("R10C",'Mapa final'!$R$64),"")</f>
        <v/>
      </c>
      <c r="L15" s="41" t="str">
        <f>IF(AND('Mapa final'!$AB$65="Muy Alta",'Mapa final'!$AD$65="Leve"),CONCATENATE("R10C",'Mapa final'!$R$65),"")</f>
        <v/>
      </c>
      <c r="M15" s="41" t="str">
        <f>IF(AND('Mapa final'!$AB$66="Muy Alta",'Mapa final'!$AD$66="Leve"),CONCATENATE("R10C",'Mapa final'!$R$66),"")</f>
        <v/>
      </c>
      <c r="N15" s="41" t="str">
        <f>IF(AND('Mapa final'!$AB$67="Muy Alta",'Mapa final'!$AD$67="Leve"),CONCATENATE("R10C",'Mapa final'!$R$67),"")</f>
        <v/>
      </c>
      <c r="O15" s="42" t="str">
        <f>IF(AND('Mapa final'!$AB$68="Muy Alta",'Mapa final'!$AD$68="Leve"),CONCATENATE("R10C",'Mapa final'!$R$68),"")</f>
        <v/>
      </c>
      <c r="P15" s="34" t="str">
        <f>IF(AND('Mapa final'!$AB$63="Muy Alta",'Mapa final'!$AD$63="Menor"),CONCATENATE("R10C",'Mapa final'!$R$63),"")</f>
        <v/>
      </c>
      <c r="Q15" s="35" t="str">
        <f>IF(AND('Mapa final'!$AB$64="Muy Alta",'Mapa final'!$AD$64="Menor"),CONCATENATE("R10C",'Mapa final'!$R$64),"")</f>
        <v/>
      </c>
      <c r="R15" s="35" t="str">
        <f>IF(AND('Mapa final'!$AB$65="Muy Alta",'Mapa final'!$AD$65="Menor"),CONCATENATE("R10C",'Mapa final'!$R$65),"")</f>
        <v/>
      </c>
      <c r="S15" s="35" t="str">
        <f>IF(AND('Mapa final'!$AB$66="Muy Alta",'Mapa final'!$AD$66="Menor"),CONCATENATE("R10C",'Mapa final'!$R$66),"")</f>
        <v/>
      </c>
      <c r="T15" s="35" t="str">
        <f>IF(AND('Mapa final'!$AB$67="Muy Alta",'Mapa final'!$AD$67="Menor"),CONCATENATE("R10C",'Mapa final'!$R$67),"")</f>
        <v/>
      </c>
      <c r="U15" s="36" t="str">
        <f>IF(AND('Mapa final'!$AB$68="Muy Alta",'Mapa final'!$AD$68="Menor"),CONCATENATE("R10C",'Mapa final'!$R$68),"")</f>
        <v/>
      </c>
      <c r="V15" s="40" t="str">
        <f>IF(AND('Mapa final'!$AB$63="Muy Alta",'Mapa final'!$AD$63="Moderado"),CONCATENATE("R10C",'Mapa final'!$R$63),"")</f>
        <v/>
      </c>
      <c r="W15" s="41" t="str">
        <f>IF(AND('Mapa final'!$AB$64="Muy Alta",'Mapa final'!$AD$64="Moderado"),CONCATENATE("R10C",'Mapa final'!$R$64),"")</f>
        <v/>
      </c>
      <c r="X15" s="41" t="str">
        <f>IF(AND('Mapa final'!$AB$65="Muy Alta",'Mapa final'!$AD$65="Moderado"),CONCATENATE("R10C",'Mapa final'!$R$65),"")</f>
        <v/>
      </c>
      <c r="Y15" s="41" t="str">
        <f>IF(AND('Mapa final'!$AB$66="Muy Alta",'Mapa final'!$AD$66="Moderado"),CONCATENATE("R10C",'Mapa final'!$R$66),"")</f>
        <v/>
      </c>
      <c r="Z15" s="41" t="str">
        <f>IF(AND('Mapa final'!$AB$67="Muy Alta",'Mapa final'!$AD$67="Moderado"),CONCATENATE("R10C",'Mapa final'!$R$67),"")</f>
        <v/>
      </c>
      <c r="AA15" s="42" t="str">
        <f>IF(AND('Mapa final'!$AB$68="Muy Alta",'Mapa final'!$AD$68="Moderado"),CONCATENATE("R10C",'Mapa final'!$R$68),"")</f>
        <v/>
      </c>
      <c r="AB15" s="34" t="str">
        <f>IF(AND('Mapa final'!$AB$63="Muy Alta",'Mapa final'!$AD$63="Mayor"),CONCATENATE("R10C",'Mapa final'!$R$63),"")</f>
        <v/>
      </c>
      <c r="AC15" s="35" t="str">
        <f>IF(AND('Mapa final'!$AB$64="Muy Alta",'Mapa final'!$AD$64="Mayor"),CONCATENATE("R10C",'Mapa final'!$R$64),"")</f>
        <v/>
      </c>
      <c r="AD15" s="35" t="str">
        <f>IF(AND('Mapa final'!$AB$65="Muy Alta",'Mapa final'!$AD$65="Mayor"),CONCATENATE("R10C",'Mapa final'!$R$65),"")</f>
        <v/>
      </c>
      <c r="AE15" s="35" t="str">
        <f>IF(AND('Mapa final'!$AB$66="Muy Alta",'Mapa final'!$AD$66="Mayor"),CONCATENATE("R10C",'Mapa final'!$R$66),"")</f>
        <v/>
      </c>
      <c r="AF15" s="35" t="str">
        <f>IF(AND('Mapa final'!$AB$67="Muy Alta",'Mapa final'!$AD$67="Mayor"),CONCATENATE("R10C",'Mapa final'!$R$67),"")</f>
        <v/>
      </c>
      <c r="AG15" s="36" t="str">
        <f>IF(AND('Mapa final'!$AB$68="Muy Alta",'Mapa final'!$AD$68="Mayor"),CONCATENATE("R10C",'Mapa final'!$R$68),"")</f>
        <v/>
      </c>
      <c r="AH15" s="43" t="str">
        <f>IF(AND('Mapa final'!$AB$63="Muy Alta",'Mapa final'!$AD$63="Catastrófico"),CONCATENATE("R10C",'Mapa final'!$R$63),"")</f>
        <v/>
      </c>
      <c r="AI15" s="44" t="str">
        <f>IF(AND('Mapa final'!$AB$64="Muy Alta",'Mapa final'!$AD$64="Catastrófico"),CONCATENATE("R10C",'Mapa final'!$R$64),"")</f>
        <v/>
      </c>
      <c r="AJ15" s="44" t="str">
        <f>IF(AND('Mapa final'!$AB$65="Muy Alta",'Mapa final'!$AD$65="Catastrófico"),CONCATENATE("R10C",'Mapa final'!$R$65),"")</f>
        <v/>
      </c>
      <c r="AK15" s="44" t="str">
        <f>IF(AND('Mapa final'!$AB$66="Muy Alta",'Mapa final'!$AD$66="Catastrófico"),CONCATENATE("R10C",'Mapa final'!$R$66),"")</f>
        <v/>
      </c>
      <c r="AL15" s="44" t="str">
        <f>IF(AND('Mapa final'!$AB$67="Muy Alta",'Mapa final'!$AD$67="Catastrófico"),CONCATENATE("R10C",'Mapa final'!$R$67),"")</f>
        <v/>
      </c>
      <c r="AM15" s="45" t="str">
        <f>IF(AND('Mapa final'!$AB$68="Muy Alta",'Mapa final'!$AD$68="Catastrófico"),CONCATENATE("R10C",'Mapa final'!$R$68),"")</f>
        <v/>
      </c>
      <c r="AN15" s="65"/>
      <c r="AO15" s="858"/>
      <c r="AP15" s="859"/>
      <c r="AQ15" s="859"/>
      <c r="AR15" s="859"/>
      <c r="AS15" s="859"/>
      <c r="AT15" s="860"/>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row>
    <row r="16" spans="1:91" ht="15" customHeight="1" x14ac:dyDescent="0.3">
      <c r="A16" s="65"/>
      <c r="B16" s="794"/>
      <c r="C16" s="794"/>
      <c r="D16" s="795"/>
      <c r="E16" s="832" t="s">
        <v>110</v>
      </c>
      <c r="F16" s="833"/>
      <c r="G16" s="833"/>
      <c r="H16" s="833"/>
      <c r="I16" s="833"/>
      <c r="J16" s="46" t="str">
        <f>IF(AND('Mapa final'!$AB$10="Alta",'Mapa final'!$AD$10="Leve"),CONCATENATE("R1C",'Mapa final'!$R$10),"")</f>
        <v/>
      </c>
      <c r="K16" s="47" t="str">
        <f>IF(AND('Mapa final'!$AB$11="Alta",'Mapa final'!$AD$11="Leve"),CONCATENATE("R1C",'Mapa final'!$R$11),"")</f>
        <v/>
      </c>
      <c r="L16" s="47" t="str">
        <f>IF(AND('Mapa final'!$AB$12="Alta",'Mapa final'!$AD$12="Leve"),CONCATENATE("R1C",'Mapa final'!$R$12),"")</f>
        <v/>
      </c>
      <c r="M16" s="47" t="str">
        <f>IF(AND('Mapa final'!$AB$13="Alta",'Mapa final'!$AD$13="Leve"),CONCATENATE("R1C",'Mapa final'!$R$13),"")</f>
        <v/>
      </c>
      <c r="N16" s="47" t="str">
        <f>IF(AND('Mapa final'!$AB$14="Alta",'Mapa final'!$AD$14="Leve"),CONCATENATE("R1C",'Mapa final'!$R$14),"")</f>
        <v/>
      </c>
      <c r="O16" s="48" t="str">
        <f>IF(AND('Mapa final'!$AB$15="Alta",'Mapa final'!$AD$15="Leve"),CONCATENATE("R1C",'Mapa final'!$R$15),"")</f>
        <v/>
      </c>
      <c r="P16" s="46" t="str">
        <f>IF(AND('Mapa final'!$AB$10="Alta",'Mapa final'!$AD$10="Menor"),CONCATENATE("R1C",'Mapa final'!$R$10),"")</f>
        <v/>
      </c>
      <c r="Q16" s="47" t="str">
        <f>IF(AND('Mapa final'!$AB$11="Alta",'Mapa final'!$AD$11="Menor"),CONCATENATE("R1C",'Mapa final'!$R$11),"")</f>
        <v/>
      </c>
      <c r="R16" s="47" t="str">
        <f>IF(AND('Mapa final'!$AB$12="Alta",'Mapa final'!$AD$12="Menor"),CONCATENATE("R1C",'Mapa final'!$R$12),"")</f>
        <v/>
      </c>
      <c r="S16" s="47" t="str">
        <f>IF(AND('Mapa final'!$AB$13="Alta",'Mapa final'!$AD$13="Menor"),CONCATENATE("R1C",'Mapa final'!$R$13),"")</f>
        <v/>
      </c>
      <c r="T16" s="47" t="str">
        <f>IF(AND('Mapa final'!$AB$14="Alta",'Mapa final'!$AD$14="Menor"),CONCATENATE("R1C",'Mapa final'!$R$14),"")</f>
        <v/>
      </c>
      <c r="U16" s="48" t="str">
        <f>IF(AND('Mapa final'!$AB$15="Alta",'Mapa final'!$AD$15="Menor"),CONCATENATE("R1C",'Mapa final'!$R$15),"")</f>
        <v/>
      </c>
      <c r="V16" s="28" t="str">
        <f>IF(AND('Mapa final'!$AB$10="Alta",'Mapa final'!$AD$10="Moderado"),CONCATENATE("R1C",'Mapa final'!$R$10),"")</f>
        <v/>
      </c>
      <c r="W16" s="29" t="str">
        <f>IF(AND('Mapa final'!$AB$11="Alta",'Mapa final'!$AD$11="Moderado"),CONCATENATE("R1C",'Mapa final'!$R$11),"")</f>
        <v/>
      </c>
      <c r="X16" s="29" t="str">
        <f>IF(AND('Mapa final'!$AB$12="Alta",'Mapa final'!$AD$12="Moderado"),CONCATENATE("R1C",'Mapa final'!$R$12),"")</f>
        <v/>
      </c>
      <c r="Y16" s="29" t="str">
        <f>IF(AND('Mapa final'!$AB$13="Alta",'Mapa final'!$AD$13="Moderado"),CONCATENATE("R1C",'Mapa final'!$R$13),"")</f>
        <v/>
      </c>
      <c r="Z16" s="29" t="str">
        <f>IF(AND('Mapa final'!$AB$14="Alta",'Mapa final'!$AD$14="Moderado"),CONCATENATE("R1C",'Mapa final'!$R$14),"")</f>
        <v/>
      </c>
      <c r="AA16" s="30" t="str">
        <f>IF(AND('Mapa final'!$AB$15="Alta",'Mapa final'!$AD$15="Moderado"),CONCATENATE("R1C",'Mapa final'!$R$15),"")</f>
        <v/>
      </c>
      <c r="AB16" s="28" t="str">
        <f>IF(AND('Mapa final'!$AB$10="Alta",'Mapa final'!$AD$10="Mayor"),CONCATENATE("R1C",'Mapa final'!$R$10),"")</f>
        <v/>
      </c>
      <c r="AC16" s="29" t="str">
        <f>IF(AND('Mapa final'!$AB$11="Alta",'Mapa final'!$AD$11="Mayor"),CONCATENATE("R1C",'Mapa final'!$R$11),"")</f>
        <v/>
      </c>
      <c r="AD16" s="29" t="str">
        <f>IF(AND('Mapa final'!$AB$12="Alta",'Mapa final'!$AD$12="Mayor"),CONCATENATE("R1C",'Mapa final'!$R$12),"")</f>
        <v/>
      </c>
      <c r="AE16" s="29" t="str">
        <f>IF(AND('Mapa final'!$AB$13="Alta",'Mapa final'!$AD$13="Mayor"),CONCATENATE("R1C",'Mapa final'!$R$13),"")</f>
        <v/>
      </c>
      <c r="AF16" s="29" t="str">
        <f>IF(AND('Mapa final'!$AB$14="Alta",'Mapa final'!$AD$14="Mayor"),CONCATENATE("R1C",'Mapa final'!$R$14),"")</f>
        <v/>
      </c>
      <c r="AG16" s="30" t="str">
        <f>IF(AND('Mapa final'!$AB$15="Alta",'Mapa final'!$AD$15="Mayor"),CONCATENATE("R1C",'Mapa final'!$R$15),"")</f>
        <v/>
      </c>
      <c r="AH16" s="31" t="str">
        <f>IF(AND('Mapa final'!$AB$10="Alta",'Mapa final'!$AD$10="Catastrófico"),CONCATENATE("R1C",'Mapa final'!$R$10),"")</f>
        <v/>
      </c>
      <c r="AI16" s="32" t="str">
        <f>IF(AND('Mapa final'!$AB$11="Alta",'Mapa final'!$AD$11="Catastrófico"),CONCATENATE("R1C",'Mapa final'!$R$11),"")</f>
        <v/>
      </c>
      <c r="AJ16" s="32" t="str">
        <f>IF(AND('Mapa final'!$AB$12="Alta",'Mapa final'!$AD$12="Catastrófico"),CONCATENATE("R1C",'Mapa final'!$R$12),"")</f>
        <v/>
      </c>
      <c r="AK16" s="32" t="str">
        <f>IF(AND('Mapa final'!$AB$13="Alta",'Mapa final'!$AD$13="Catastrófico"),CONCATENATE("R1C",'Mapa final'!$R$13),"")</f>
        <v/>
      </c>
      <c r="AL16" s="32" t="str">
        <f>IF(AND('Mapa final'!$AB$14="Alta",'Mapa final'!$AD$14="Catastrófico"),CONCATENATE("R1C",'Mapa final'!$R$14),"")</f>
        <v/>
      </c>
      <c r="AM16" s="33" t="str">
        <f>IF(AND('Mapa final'!$AB$15="Alta",'Mapa final'!$AD$15="Catastrófico"),CONCATENATE("R1C",'Mapa final'!$R$15),"")</f>
        <v/>
      </c>
      <c r="AN16" s="65"/>
      <c r="AO16" s="842" t="s">
        <v>79</v>
      </c>
      <c r="AP16" s="843"/>
      <c r="AQ16" s="843"/>
      <c r="AR16" s="843"/>
      <c r="AS16" s="843"/>
      <c r="AT16" s="844"/>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row>
    <row r="17" spans="1:76" ht="15" customHeight="1" x14ac:dyDescent="0.3">
      <c r="A17" s="65"/>
      <c r="B17" s="794"/>
      <c r="C17" s="794"/>
      <c r="D17" s="795"/>
      <c r="E17" s="851"/>
      <c r="F17" s="836"/>
      <c r="G17" s="836"/>
      <c r="H17" s="836"/>
      <c r="I17" s="836"/>
      <c r="J17" s="49" t="str">
        <f>IF(AND('Mapa final'!$AB$16="Alta",'Mapa final'!$AD$16="Leve"),CONCATENATE("R2C",'Mapa final'!$R$16),"")</f>
        <v/>
      </c>
      <c r="K17" s="50" t="str">
        <f>IF(AND('Mapa final'!$AB$17="Alta",'Mapa final'!$AD$17="Leve"),CONCATENATE("R2C",'Mapa final'!$R$17),"")</f>
        <v/>
      </c>
      <c r="L17" s="50" t="str">
        <f>IF(AND('Mapa final'!$AB$18="Alta",'Mapa final'!$AD$18="Leve"),CONCATENATE("R2C",'Mapa final'!$R$18),"")</f>
        <v/>
      </c>
      <c r="M17" s="50" t="str">
        <f>IF(AND('Mapa final'!$AB$19="Alta",'Mapa final'!$AD$19="Leve"),CONCATENATE("R2C",'Mapa final'!$R$19),"")</f>
        <v/>
      </c>
      <c r="N17" s="50" t="str">
        <f>IF(AND('Mapa final'!$AB$20="Alta",'Mapa final'!$AD$20="Leve"),CONCATENATE("R2C",'Mapa final'!$R$20),"")</f>
        <v/>
      </c>
      <c r="O17" s="51" t="str">
        <f>IF(AND('Mapa final'!$AB$21="Alta",'Mapa final'!$AD$21="Leve"),CONCATENATE("R2C",'Mapa final'!$R$21),"")</f>
        <v/>
      </c>
      <c r="P17" s="49" t="str">
        <f>IF(AND('Mapa final'!$AB$16="Alta",'Mapa final'!$AD$16="Menor"),CONCATENATE("R2C",'Mapa final'!$R$16),"")</f>
        <v/>
      </c>
      <c r="Q17" s="50" t="str">
        <f>IF(AND('Mapa final'!$AB$17="Alta",'Mapa final'!$AD$17="Menor"),CONCATENATE("R2C",'Mapa final'!$R$17),"")</f>
        <v/>
      </c>
      <c r="R17" s="50" t="str">
        <f>IF(AND('Mapa final'!$AB$18="Alta",'Mapa final'!$AD$18="Menor"),CONCATENATE("R2C",'Mapa final'!$R$18),"")</f>
        <v/>
      </c>
      <c r="S17" s="50" t="str">
        <f>IF(AND('Mapa final'!$AB$19="Alta",'Mapa final'!$AD$19="Menor"),CONCATENATE("R2C",'Mapa final'!$R$19),"")</f>
        <v/>
      </c>
      <c r="T17" s="50" t="str">
        <f>IF(AND('Mapa final'!$AB$20="Alta",'Mapa final'!$AD$20="Menor"),CONCATENATE("R2C",'Mapa final'!$R$20),"")</f>
        <v/>
      </c>
      <c r="U17" s="51" t="str">
        <f>IF(AND('Mapa final'!$AB$21="Alta",'Mapa final'!$AD$21="Menor"),CONCATENATE("R2C",'Mapa final'!$R$21),"")</f>
        <v/>
      </c>
      <c r="V17" s="34" t="str">
        <f>IF(AND('Mapa final'!$AB$16="Alta",'Mapa final'!$AD$16="Moderado"),CONCATENATE("R2C",'Mapa final'!$R$16),"")</f>
        <v/>
      </c>
      <c r="W17" s="35" t="str">
        <f>IF(AND('Mapa final'!$AB$17="Alta",'Mapa final'!$AD$17="Moderado"),CONCATENATE("R2C",'Mapa final'!$R$17),"")</f>
        <v/>
      </c>
      <c r="X17" s="35" t="str">
        <f>IF(AND('Mapa final'!$AB$18="Alta",'Mapa final'!$AD$18="Moderado"),CONCATENATE("R2C",'Mapa final'!$R$18),"")</f>
        <v/>
      </c>
      <c r="Y17" s="35" t="str">
        <f>IF(AND('Mapa final'!$AB$19="Alta",'Mapa final'!$AD$19="Moderado"),CONCATENATE("R2C",'Mapa final'!$R$19),"")</f>
        <v/>
      </c>
      <c r="Z17" s="35" t="str">
        <f>IF(AND('Mapa final'!$AB$20="Alta",'Mapa final'!$AD$20="Moderado"),CONCATENATE("R2C",'Mapa final'!$R$20),"")</f>
        <v/>
      </c>
      <c r="AA17" s="36" t="str">
        <f>IF(AND('Mapa final'!$AB$21="Alta",'Mapa final'!$AD$21="Moderado"),CONCATENATE("R2C",'Mapa final'!$R$21),"")</f>
        <v/>
      </c>
      <c r="AB17" s="34" t="str">
        <f>IF(AND('Mapa final'!$AB$16="Alta",'Mapa final'!$AD$16="Mayor"),CONCATENATE("R2C",'Mapa final'!$R$16),"")</f>
        <v/>
      </c>
      <c r="AC17" s="35" t="str">
        <f>IF(AND('Mapa final'!$AB$17="Alta",'Mapa final'!$AD$17="Mayor"),CONCATENATE("R2C",'Mapa final'!$R$17),"")</f>
        <v/>
      </c>
      <c r="AD17" s="35" t="str">
        <f>IF(AND('Mapa final'!$AB$18="Alta",'Mapa final'!$AD$18="Mayor"),CONCATENATE("R2C",'Mapa final'!$R$18),"")</f>
        <v/>
      </c>
      <c r="AE17" s="35" t="str">
        <f>IF(AND('Mapa final'!$AB$19="Alta",'Mapa final'!$AD$19="Mayor"),CONCATENATE("R2C",'Mapa final'!$R$19),"")</f>
        <v/>
      </c>
      <c r="AF17" s="35" t="str">
        <f>IF(AND('Mapa final'!$AB$20="Alta",'Mapa final'!$AD$20="Mayor"),CONCATENATE("R2C",'Mapa final'!$R$20),"")</f>
        <v/>
      </c>
      <c r="AG17" s="36" t="str">
        <f>IF(AND('Mapa final'!$AB$21="Alta",'Mapa final'!$AD$21="Mayor"),CONCATENATE("R2C",'Mapa final'!$R$21),"")</f>
        <v/>
      </c>
      <c r="AH17" s="37" t="str">
        <f>IF(AND('Mapa final'!$AB$16="Alta",'Mapa final'!$AD$16="Catastrófico"),CONCATENATE("R2C",'Mapa final'!$R$16),"")</f>
        <v/>
      </c>
      <c r="AI17" s="38" t="str">
        <f>IF(AND('Mapa final'!$AB$17="Alta",'Mapa final'!$AD$17="Catastrófico"),CONCATENATE("R2C",'Mapa final'!$R$17),"")</f>
        <v/>
      </c>
      <c r="AJ17" s="38" t="str">
        <f>IF(AND('Mapa final'!$AB$18="Alta",'Mapa final'!$AD$18="Catastrófico"),CONCATENATE("R2C",'Mapa final'!$R$18),"")</f>
        <v/>
      </c>
      <c r="AK17" s="38" t="str">
        <f>IF(AND('Mapa final'!$AB$19="Alta",'Mapa final'!$AD$19="Catastrófico"),CONCATENATE("R2C",'Mapa final'!$R$19),"")</f>
        <v/>
      </c>
      <c r="AL17" s="38" t="str">
        <f>IF(AND('Mapa final'!$AB$20="Alta",'Mapa final'!$AD$20="Catastrófico"),CONCATENATE("R2C",'Mapa final'!$R$20),"")</f>
        <v/>
      </c>
      <c r="AM17" s="39" t="str">
        <f>IF(AND('Mapa final'!$AB$21="Alta",'Mapa final'!$AD$21="Catastrófico"),CONCATENATE("R2C",'Mapa final'!$R$21),"")</f>
        <v/>
      </c>
      <c r="AN17" s="65"/>
      <c r="AO17" s="845"/>
      <c r="AP17" s="846"/>
      <c r="AQ17" s="846"/>
      <c r="AR17" s="846"/>
      <c r="AS17" s="846"/>
      <c r="AT17" s="847"/>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row>
    <row r="18" spans="1:76" ht="15" customHeight="1" x14ac:dyDescent="0.3">
      <c r="A18" s="65"/>
      <c r="B18" s="794"/>
      <c r="C18" s="794"/>
      <c r="D18" s="795"/>
      <c r="E18" s="835"/>
      <c r="F18" s="836"/>
      <c r="G18" s="836"/>
      <c r="H18" s="836"/>
      <c r="I18" s="836"/>
      <c r="J18" s="49" t="str">
        <f>IF(AND('Mapa final'!$AB$22="Alta",'Mapa final'!$AD$22="Leve"),CONCATENATE("R3C",'Mapa final'!$R$22),"")</f>
        <v/>
      </c>
      <c r="K18" s="50" t="str">
        <f>IF(AND('Mapa final'!$AB$23="Alta",'Mapa final'!$AD$23="Leve"),CONCATENATE("R3C",'Mapa final'!$R$23),"")</f>
        <v/>
      </c>
      <c r="L18" s="50" t="str">
        <f>IF(AND('Mapa final'!$AB$24="Alta",'Mapa final'!$AD$24="Leve"),CONCATENATE("R3C",'Mapa final'!$R$24),"")</f>
        <v/>
      </c>
      <c r="M18" s="50" t="str">
        <f>IF(AND('Mapa final'!$AB$25="Alta",'Mapa final'!$AD$25="Leve"),CONCATENATE("R3C",'Mapa final'!$R$25),"")</f>
        <v/>
      </c>
      <c r="N18" s="50" t="str">
        <f>IF(AND('Mapa final'!$AB$26="Alta",'Mapa final'!$AD$26="Leve"),CONCATENATE("R3C",'Mapa final'!$R$26),"")</f>
        <v/>
      </c>
      <c r="O18" s="51" t="str">
        <f>IF(AND('Mapa final'!$AB$27="Alta",'Mapa final'!$AD$27="Leve"),CONCATENATE("R3C",'Mapa final'!$R$27),"")</f>
        <v/>
      </c>
      <c r="P18" s="49" t="str">
        <f>IF(AND('Mapa final'!$AB$22="Alta",'Mapa final'!$AD$22="Menor"),CONCATENATE("R3C",'Mapa final'!$R$22),"")</f>
        <v/>
      </c>
      <c r="Q18" s="50" t="str">
        <f>IF(AND('Mapa final'!$AB$23="Alta",'Mapa final'!$AD$23="Menor"),CONCATENATE("R3C",'Mapa final'!$R$23),"")</f>
        <v/>
      </c>
      <c r="R18" s="50" t="str">
        <f>IF(AND('Mapa final'!$AB$24="Alta",'Mapa final'!$AD$24="Menor"),CONCATENATE("R3C",'Mapa final'!$R$24),"")</f>
        <v/>
      </c>
      <c r="S18" s="50" t="str">
        <f>IF(AND('Mapa final'!$AB$25="Alta",'Mapa final'!$AD$25="Menor"),CONCATENATE("R3C",'Mapa final'!$R$25),"")</f>
        <v/>
      </c>
      <c r="T18" s="50" t="str">
        <f>IF(AND('Mapa final'!$AB$26="Alta",'Mapa final'!$AD$26="Menor"),CONCATENATE("R3C",'Mapa final'!$R$26),"")</f>
        <v/>
      </c>
      <c r="U18" s="51" t="str">
        <f>IF(AND('Mapa final'!$AB$27="Alta",'Mapa final'!$AD$27="Menor"),CONCATENATE("R3C",'Mapa final'!$R$27),"")</f>
        <v/>
      </c>
      <c r="V18" s="34" t="str">
        <f>IF(AND('Mapa final'!$AB$22="Alta",'Mapa final'!$AD$22="Moderado"),CONCATENATE("R3C",'Mapa final'!$R$22),"")</f>
        <v/>
      </c>
      <c r="W18" s="35" t="str">
        <f>IF(AND('Mapa final'!$AB$23="Alta",'Mapa final'!$AD$23="Moderado"),CONCATENATE("R3C",'Mapa final'!$R$23),"")</f>
        <v/>
      </c>
      <c r="X18" s="35" t="str">
        <f>IF(AND('Mapa final'!$AB$24="Alta",'Mapa final'!$AD$24="Moderado"),CONCATENATE("R3C",'Mapa final'!$R$24),"")</f>
        <v/>
      </c>
      <c r="Y18" s="35" t="str">
        <f>IF(AND('Mapa final'!$AB$25="Alta",'Mapa final'!$AD$25="Moderado"),CONCATENATE("R3C",'Mapa final'!$R$25),"")</f>
        <v/>
      </c>
      <c r="Z18" s="35" t="str">
        <f>IF(AND('Mapa final'!$AB$26="Alta",'Mapa final'!$AD$26="Moderado"),CONCATENATE("R3C",'Mapa final'!$R$26),"")</f>
        <v/>
      </c>
      <c r="AA18" s="36" t="str">
        <f>IF(AND('Mapa final'!$AB$27="Alta",'Mapa final'!$AD$27="Moderado"),CONCATENATE("R3C",'Mapa final'!$R$27),"")</f>
        <v/>
      </c>
      <c r="AB18" s="34" t="str">
        <f>IF(AND('Mapa final'!$AB$22="Alta",'Mapa final'!$AD$22="Mayor"),CONCATENATE("R3C",'Mapa final'!$R$22),"")</f>
        <v/>
      </c>
      <c r="AC18" s="35" t="str">
        <f>IF(AND('Mapa final'!$AB$23="Alta",'Mapa final'!$AD$23="Mayor"),CONCATENATE("R3C",'Mapa final'!$R$23),"")</f>
        <v/>
      </c>
      <c r="AD18" s="35" t="str">
        <f>IF(AND('Mapa final'!$AB$24="Alta",'Mapa final'!$AD$24="Mayor"),CONCATENATE("R3C",'Mapa final'!$R$24),"")</f>
        <v/>
      </c>
      <c r="AE18" s="35" t="str">
        <f>IF(AND('Mapa final'!$AB$25="Alta",'Mapa final'!$AD$25="Mayor"),CONCATENATE("R3C",'Mapa final'!$R$25),"")</f>
        <v/>
      </c>
      <c r="AF18" s="35" t="str">
        <f>IF(AND('Mapa final'!$AB$26="Alta",'Mapa final'!$AD$26="Mayor"),CONCATENATE("R3C",'Mapa final'!$R$26),"")</f>
        <v/>
      </c>
      <c r="AG18" s="36" t="str">
        <f>IF(AND('Mapa final'!$AB$27="Alta",'Mapa final'!$AD$27="Mayor"),CONCATENATE("R3C",'Mapa final'!$R$27),"")</f>
        <v/>
      </c>
      <c r="AH18" s="37" t="str">
        <f>IF(AND('Mapa final'!$AB$22="Alta",'Mapa final'!$AD$22="Catastrófico"),CONCATENATE("R3C",'Mapa final'!$R$22),"")</f>
        <v/>
      </c>
      <c r="AI18" s="38" t="str">
        <f>IF(AND('Mapa final'!$AB$23="Alta",'Mapa final'!$AD$23="Catastrófico"),CONCATENATE("R3C",'Mapa final'!$R$23),"")</f>
        <v/>
      </c>
      <c r="AJ18" s="38" t="str">
        <f>IF(AND('Mapa final'!$AB$24="Alta",'Mapa final'!$AD$24="Catastrófico"),CONCATENATE("R3C",'Mapa final'!$R$24),"")</f>
        <v/>
      </c>
      <c r="AK18" s="38" t="str">
        <f>IF(AND('Mapa final'!$AB$25="Alta",'Mapa final'!$AD$25="Catastrófico"),CONCATENATE("R3C",'Mapa final'!$R$25),"")</f>
        <v/>
      </c>
      <c r="AL18" s="38" t="str">
        <f>IF(AND('Mapa final'!$AB$26="Alta",'Mapa final'!$AD$26="Catastrófico"),CONCATENATE("R3C",'Mapa final'!$R$26),"")</f>
        <v/>
      </c>
      <c r="AM18" s="39" t="str">
        <f>IF(AND('Mapa final'!$AB$27="Alta",'Mapa final'!$AD$27="Catastrófico"),CONCATENATE("R3C",'Mapa final'!$R$27),"")</f>
        <v/>
      </c>
      <c r="AN18" s="65"/>
      <c r="AO18" s="845"/>
      <c r="AP18" s="846"/>
      <c r="AQ18" s="846"/>
      <c r="AR18" s="846"/>
      <c r="AS18" s="846"/>
      <c r="AT18" s="847"/>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row>
    <row r="19" spans="1:76" ht="15" customHeight="1" x14ac:dyDescent="0.3">
      <c r="A19" s="65"/>
      <c r="B19" s="794"/>
      <c r="C19" s="794"/>
      <c r="D19" s="795"/>
      <c r="E19" s="835"/>
      <c r="F19" s="836"/>
      <c r="G19" s="836"/>
      <c r="H19" s="836"/>
      <c r="I19" s="836"/>
      <c r="J19" s="49" t="str">
        <f>IF(AND('Mapa final'!$AB$28="Alta",'Mapa final'!$AD$28="Leve"),CONCATENATE("R4C",'Mapa final'!$R$28),"")</f>
        <v/>
      </c>
      <c r="K19" s="50" t="e">
        <f>IF(AND('Mapa final'!#REF!="Alta",'Mapa final'!#REF!="Leve"),CONCATENATE("R4C",'Mapa final'!#REF!),"")</f>
        <v>#REF!</v>
      </c>
      <c r="L19" s="50" t="str">
        <f>IF(AND('Mapa final'!$AB$29="Alta",'Mapa final'!$AD$29="Leve"),CONCATENATE("R4C",'Mapa final'!$R$29),"")</f>
        <v/>
      </c>
      <c r="M19" s="50" t="str">
        <f>IF(AND('Mapa final'!$AB$30="Alta",'Mapa final'!$AD$30="Leve"),CONCATENATE("R4C",'Mapa final'!$R$30),"")</f>
        <v/>
      </c>
      <c r="N19" s="50" t="str">
        <f>IF(AND('Mapa final'!$AB$31="Alta",'Mapa final'!$AD$31="Leve"),CONCATENATE("R4C",'Mapa final'!$R$31),"")</f>
        <v/>
      </c>
      <c r="O19" s="51" t="str">
        <f>IF(AND('Mapa final'!$AB$32="Alta",'Mapa final'!$AD$32="Leve"),CONCATENATE("R4C",'Mapa final'!$R$32),"")</f>
        <v/>
      </c>
      <c r="P19" s="49" t="str">
        <f>IF(AND('Mapa final'!$AB$28="Alta",'Mapa final'!$AD$28="Menor"),CONCATENATE("R4C",'Mapa final'!$R$28),"")</f>
        <v/>
      </c>
      <c r="Q19" s="50" t="e">
        <f>IF(AND('Mapa final'!#REF!="Alta",'Mapa final'!#REF!="Menor"),CONCATENATE("R4C",'Mapa final'!#REF!),"")</f>
        <v>#REF!</v>
      </c>
      <c r="R19" s="50" t="str">
        <f>IF(AND('Mapa final'!$AB$29="Alta",'Mapa final'!$AD$29="Menor"),CONCATENATE("R4C",'Mapa final'!$R$29),"")</f>
        <v/>
      </c>
      <c r="S19" s="50" t="str">
        <f>IF(AND('Mapa final'!$AB$30="Alta",'Mapa final'!$AD$30="Menor"),CONCATENATE("R4C",'Mapa final'!$R$30),"")</f>
        <v/>
      </c>
      <c r="T19" s="50" t="str">
        <f>IF(AND('Mapa final'!$AB$31="Alta",'Mapa final'!$AD$31="Menor"),CONCATENATE("R4C",'Mapa final'!$R$31),"")</f>
        <v/>
      </c>
      <c r="U19" s="51" t="str">
        <f>IF(AND('Mapa final'!$AB$32="Alta",'Mapa final'!$AD$32="Menor"),CONCATENATE("R4C",'Mapa final'!$R$32),"")</f>
        <v/>
      </c>
      <c r="V19" s="34" t="str">
        <f>IF(AND('Mapa final'!$AB$28="Alta",'Mapa final'!$AD$28="Moderado"),CONCATENATE("R4C",'Mapa final'!$R$28),"")</f>
        <v/>
      </c>
      <c r="W19" s="35" t="e">
        <f>IF(AND('Mapa final'!#REF!="Alta",'Mapa final'!#REF!="Moderado"),CONCATENATE("R4C",'Mapa final'!#REF!),"")</f>
        <v>#REF!</v>
      </c>
      <c r="X19" s="35" t="str">
        <f>IF(AND('Mapa final'!$AB$29="Alta",'Mapa final'!$AD$29="Moderado"),CONCATENATE("R4C",'Mapa final'!$R$29),"")</f>
        <v/>
      </c>
      <c r="Y19" s="35" t="str">
        <f>IF(AND('Mapa final'!$AB$30="Alta",'Mapa final'!$AD$30="Moderado"),CONCATENATE("R4C",'Mapa final'!$R$30),"")</f>
        <v/>
      </c>
      <c r="Z19" s="35" t="str">
        <f>IF(AND('Mapa final'!$AB$31="Alta",'Mapa final'!$AD$31="Moderado"),CONCATENATE("R4C",'Mapa final'!$R$31),"")</f>
        <v/>
      </c>
      <c r="AA19" s="36" t="str">
        <f>IF(AND('Mapa final'!$AB$32="Alta",'Mapa final'!$AD$32="Moderado"),CONCATENATE("R4C",'Mapa final'!$R$32),"")</f>
        <v/>
      </c>
      <c r="AB19" s="34" t="str">
        <f>IF(AND('Mapa final'!$AB$28="Alta",'Mapa final'!$AD$28="Mayor"),CONCATENATE("R4C",'Mapa final'!$R$28),"")</f>
        <v/>
      </c>
      <c r="AC19" s="35" t="e">
        <f>IF(AND('Mapa final'!#REF!="Alta",'Mapa final'!#REF!="Mayor"),CONCATENATE("R4C",'Mapa final'!#REF!),"")</f>
        <v>#REF!</v>
      </c>
      <c r="AD19" s="35" t="str">
        <f>IF(AND('Mapa final'!$AB$29="Alta",'Mapa final'!$AD$29="Mayor"),CONCATENATE("R4C",'Mapa final'!$R$29),"")</f>
        <v/>
      </c>
      <c r="AE19" s="35" t="str">
        <f>IF(AND('Mapa final'!$AB$30="Alta",'Mapa final'!$AD$30="Mayor"),CONCATENATE("R4C",'Mapa final'!$R$30),"")</f>
        <v/>
      </c>
      <c r="AF19" s="35" t="str">
        <f>IF(AND('Mapa final'!$AB$31="Alta",'Mapa final'!$AD$31="Mayor"),CONCATENATE("R4C",'Mapa final'!$R$31),"")</f>
        <v/>
      </c>
      <c r="AG19" s="36" t="str">
        <f>IF(AND('Mapa final'!$AB$32="Alta",'Mapa final'!$AD$32="Mayor"),CONCATENATE("R4C",'Mapa final'!$R$32),"")</f>
        <v/>
      </c>
      <c r="AH19" s="37" t="str">
        <f>IF(AND('Mapa final'!$AB$28="Alta",'Mapa final'!$AD$28="Catastrófico"),CONCATENATE("R4C",'Mapa final'!$R$28),"")</f>
        <v/>
      </c>
      <c r="AI19" s="38" t="e">
        <f>IF(AND('Mapa final'!#REF!="Alta",'Mapa final'!#REF!="Catastrófico"),CONCATENATE("R4C",'Mapa final'!#REF!),"")</f>
        <v>#REF!</v>
      </c>
      <c r="AJ19" s="38" t="str">
        <f>IF(AND('Mapa final'!$AB$29="Alta",'Mapa final'!$AD$29="Catastrófico"),CONCATENATE("R4C",'Mapa final'!$R$29),"")</f>
        <v/>
      </c>
      <c r="AK19" s="38" t="str">
        <f>IF(AND('Mapa final'!$AB$30="Alta",'Mapa final'!$AD$30="Catastrófico"),CONCATENATE("R4C",'Mapa final'!$R$30),"")</f>
        <v/>
      </c>
      <c r="AL19" s="38" t="str">
        <f>IF(AND('Mapa final'!$AB$31="Alta",'Mapa final'!$AD$31="Catastrófico"),CONCATENATE("R4C",'Mapa final'!$R$31),"")</f>
        <v/>
      </c>
      <c r="AM19" s="39" t="str">
        <f>IF(AND('Mapa final'!$AB$32="Alta",'Mapa final'!$AD$32="Catastrófico"),CONCATENATE("R4C",'Mapa final'!$R$32),"")</f>
        <v/>
      </c>
      <c r="AN19" s="65"/>
      <c r="AO19" s="845"/>
      <c r="AP19" s="846"/>
      <c r="AQ19" s="846"/>
      <c r="AR19" s="846"/>
      <c r="AS19" s="846"/>
      <c r="AT19" s="847"/>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row>
    <row r="20" spans="1:76" ht="15" customHeight="1" x14ac:dyDescent="0.3">
      <c r="A20" s="65"/>
      <c r="B20" s="794"/>
      <c r="C20" s="794"/>
      <c r="D20" s="795"/>
      <c r="E20" s="835"/>
      <c r="F20" s="836"/>
      <c r="G20" s="836"/>
      <c r="H20" s="836"/>
      <c r="I20" s="836"/>
      <c r="J20" s="49" t="str">
        <f>IF(AND('Mapa final'!$AB$33="Alta",'Mapa final'!$AD$33="Leve"),CONCATENATE("R5C",'Mapa final'!$R$33),"")</f>
        <v/>
      </c>
      <c r="K20" s="50" t="str">
        <f>IF(AND('Mapa final'!$AB$34="Alta",'Mapa final'!$AD$34="Leve"),CONCATENATE("R5C",'Mapa final'!$R$34),"")</f>
        <v/>
      </c>
      <c r="L20" s="50" t="str">
        <f>IF(AND('Mapa final'!$AB$35="Alta",'Mapa final'!$AD$35="Leve"),CONCATENATE("R5C",'Mapa final'!$R$35),"")</f>
        <v/>
      </c>
      <c r="M20" s="50" t="str">
        <f>IF(AND('Mapa final'!$AB$36="Alta",'Mapa final'!$AD$36="Leve"),CONCATENATE("R5C",'Mapa final'!$R$36),"")</f>
        <v/>
      </c>
      <c r="N20" s="50" t="str">
        <f>IF(AND('Mapa final'!$AB$37="Alta",'Mapa final'!$AD$37="Leve"),CONCATENATE("R5C",'Mapa final'!$R$37),"")</f>
        <v/>
      </c>
      <c r="O20" s="51" t="str">
        <f>IF(AND('Mapa final'!$AB$38="Alta",'Mapa final'!$AD$38="Leve"),CONCATENATE("R5C",'Mapa final'!$R$38),"")</f>
        <v/>
      </c>
      <c r="P20" s="49" t="str">
        <f>IF(AND('Mapa final'!$AB$33="Alta",'Mapa final'!$AD$33="Menor"),CONCATENATE("R5C",'Mapa final'!$R$33),"")</f>
        <v/>
      </c>
      <c r="Q20" s="50" t="str">
        <f>IF(AND('Mapa final'!$AB$34="Alta",'Mapa final'!$AD$34="Menor"),CONCATENATE("R5C",'Mapa final'!$R$34),"")</f>
        <v/>
      </c>
      <c r="R20" s="50" t="str">
        <f>IF(AND('Mapa final'!$AB$35="Alta",'Mapa final'!$AD$35="Menor"),CONCATENATE("R5C",'Mapa final'!$R$35),"")</f>
        <v/>
      </c>
      <c r="S20" s="50" t="str">
        <f>IF(AND('Mapa final'!$AB$36="Alta",'Mapa final'!$AD$36="Menor"),CONCATENATE("R5C",'Mapa final'!$R$36),"")</f>
        <v/>
      </c>
      <c r="T20" s="50" t="str">
        <f>IF(AND('Mapa final'!$AB$37="Alta",'Mapa final'!$AD$37="Menor"),CONCATENATE("R5C",'Mapa final'!$R$37),"")</f>
        <v/>
      </c>
      <c r="U20" s="51" t="str">
        <f>IF(AND('Mapa final'!$AB$38="Alta",'Mapa final'!$AD$38="Menor"),CONCATENATE("R5C",'Mapa final'!$R$38),"")</f>
        <v/>
      </c>
      <c r="V20" s="34" t="str">
        <f>IF(AND('Mapa final'!$AB$33="Alta",'Mapa final'!$AD$33="Moderado"),CONCATENATE("R5C",'Mapa final'!$R$33),"")</f>
        <v/>
      </c>
      <c r="W20" s="35" t="str">
        <f>IF(AND('Mapa final'!$AB$34="Alta",'Mapa final'!$AD$34="Moderado"),CONCATENATE("R5C",'Mapa final'!$R$34),"")</f>
        <v/>
      </c>
      <c r="X20" s="35" t="str">
        <f>IF(AND('Mapa final'!$AB$35="Alta",'Mapa final'!$AD$35="Moderado"),CONCATENATE("R5C",'Mapa final'!$R$35),"")</f>
        <v/>
      </c>
      <c r="Y20" s="35" t="str">
        <f>IF(AND('Mapa final'!$AB$36="Alta",'Mapa final'!$AD$36="Moderado"),CONCATENATE("R5C",'Mapa final'!$R$36),"")</f>
        <v/>
      </c>
      <c r="Z20" s="35" t="str">
        <f>IF(AND('Mapa final'!$AB$37="Alta",'Mapa final'!$AD$37="Moderado"),CONCATENATE("R5C",'Mapa final'!$R$37),"")</f>
        <v/>
      </c>
      <c r="AA20" s="36" t="str">
        <f>IF(AND('Mapa final'!$AB$38="Alta",'Mapa final'!$AD$38="Moderado"),CONCATENATE("R5C",'Mapa final'!$R$38),"")</f>
        <v/>
      </c>
      <c r="AB20" s="34" t="str">
        <f>IF(AND('Mapa final'!$AB$33="Alta",'Mapa final'!$AD$33="Mayor"),CONCATENATE("R5C",'Mapa final'!$R$33),"")</f>
        <v/>
      </c>
      <c r="AC20" s="35" t="str">
        <f>IF(AND('Mapa final'!$AB$34="Alta",'Mapa final'!$AD$34="Mayor"),CONCATENATE("R5C",'Mapa final'!$R$34),"")</f>
        <v/>
      </c>
      <c r="AD20" s="35" t="str">
        <f>IF(AND('Mapa final'!$AB$35="Alta",'Mapa final'!$AD$35="Mayor"),CONCATENATE("R5C",'Mapa final'!$R$35),"")</f>
        <v/>
      </c>
      <c r="AE20" s="35" t="str">
        <f>IF(AND('Mapa final'!$AB$36="Alta",'Mapa final'!$AD$36="Mayor"),CONCATENATE("R5C",'Mapa final'!$R$36),"")</f>
        <v/>
      </c>
      <c r="AF20" s="35" t="str">
        <f>IF(AND('Mapa final'!$AB$37="Alta",'Mapa final'!$AD$37="Mayor"),CONCATENATE("R5C",'Mapa final'!$R$37),"")</f>
        <v/>
      </c>
      <c r="AG20" s="36" t="str">
        <f>IF(AND('Mapa final'!$AB$38="Alta",'Mapa final'!$AD$38="Mayor"),CONCATENATE("R5C",'Mapa final'!$R$38),"")</f>
        <v/>
      </c>
      <c r="AH20" s="37" t="str">
        <f>IF(AND('Mapa final'!$AB$33="Alta",'Mapa final'!$AD$33="Catastrófico"),CONCATENATE("R5C",'Mapa final'!$R$33),"")</f>
        <v/>
      </c>
      <c r="AI20" s="38" t="str">
        <f>IF(AND('Mapa final'!$AB$34="Alta",'Mapa final'!$AD$34="Catastrófico"),CONCATENATE("R5C",'Mapa final'!$R$34),"")</f>
        <v/>
      </c>
      <c r="AJ20" s="38" t="str">
        <f>IF(AND('Mapa final'!$AB$35="Alta",'Mapa final'!$AD$35="Catastrófico"),CONCATENATE("R5C",'Mapa final'!$R$35),"")</f>
        <v/>
      </c>
      <c r="AK20" s="38" t="str">
        <f>IF(AND('Mapa final'!$AB$36="Alta",'Mapa final'!$AD$36="Catastrófico"),CONCATENATE("R5C",'Mapa final'!$R$36),"")</f>
        <v/>
      </c>
      <c r="AL20" s="38" t="str">
        <f>IF(AND('Mapa final'!$AB$37="Alta",'Mapa final'!$AD$37="Catastrófico"),CONCATENATE("R5C",'Mapa final'!$R$37),"")</f>
        <v/>
      </c>
      <c r="AM20" s="39" t="str">
        <f>IF(AND('Mapa final'!$AB$38="Alta",'Mapa final'!$AD$38="Catastrófico"),CONCATENATE("R5C",'Mapa final'!$R$38),"")</f>
        <v/>
      </c>
      <c r="AN20" s="65"/>
      <c r="AO20" s="845"/>
      <c r="AP20" s="846"/>
      <c r="AQ20" s="846"/>
      <c r="AR20" s="846"/>
      <c r="AS20" s="846"/>
      <c r="AT20" s="847"/>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row>
    <row r="21" spans="1:76" ht="15" customHeight="1" x14ac:dyDescent="0.3">
      <c r="A21" s="65"/>
      <c r="B21" s="794"/>
      <c r="C21" s="794"/>
      <c r="D21" s="795"/>
      <c r="E21" s="835"/>
      <c r="F21" s="836"/>
      <c r="G21" s="836"/>
      <c r="H21" s="836"/>
      <c r="I21" s="836"/>
      <c r="J21" s="49" t="str">
        <f>IF(AND('Mapa final'!$AB$39="Alta",'Mapa final'!$AD$39="Leve"),CONCATENATE("R6C",'Mapa final'!$R$39),"")</f>
        <v/>
      </c>
      <c r="K21" s="50" t="str">
        <f>IF(AND('Mapa final'!$AB$40="Alta",'Mapa final'!$AD$40="Leve"),CONCATENATE("R6C",'Mapa final'!$R$40),"")</f>
        <v/>
      </c>
      <c r="L21" s="50" t="str">
        <f>IF(AND('Mapa final'!$AB$41="Alta",'Mapa final'!$AD$41="Leve"),CONCATENATE("R6C",'Mapa final'!$R$41),"")</f>
        <v/>
      </c>
      <c r="M21" s="50" t="str">
        <f>IF(AND('Mapa final'!$AB$42="Alta",'Mapa final'!$AD$42="Leve"),CONCATENATE("R6C",'Mapa final'!$R$42),"")</f>
        <v/>
      </c>
      <c r="N21" s="50" t="str">
        <f>IF(AND('Mapa final'!$AB$43="Alta",'Mapa final'!$AD$43="Leve"),CONCATENATE("R6C",'Mapa final'!$R$43),"")</f>
        <v/>
      </c>
      <c r="O21" s="51" t="str">
        <f>IF(AND('Mapa final'!$AB$44="Alta",'Mapa final'!$AD$44="Leve"),CONCATENATE("R6C",'Mapa final'!$R$44),"")</f>
        <v/>
      </c>
      <c r="P21" s="49" t="str">
        <f>IF(AND('Mapa final'!$AB$39="Alta",'Mapa final'!$AD$39="Menor"),CONCATENATE("R6C",'Mapa final'!$R$39),"")</f>
        <v/>
      </c>
      <c r="Q21" s="50" t="str">
        <f>IF(AND('Mapa final'!$AB$40="Alta",'Mapa final'!$AD$40="Menor"),CONCATENATE("R6C",'Mapa final'!$R$40),"")</f>
        <v/>
      </c>
      <c r="R21" s="50" t="str">
        <f>IF(AND('Mapa final'!$AB$41="Alta",'Mapa final'!$AD$41="Menor"),CONCATENATE("R6C",'Mapa final'!$R$41),"")</f>
        <v/>
      </c>
      <c r="S21" s="50" t="str">
        <f>IF(AND('Mapa final'!$AB$42="Alta",'Mapa final'!$AD$42="Menor"),CONCATENATE("R6C",'Mapa final'!$R$42),"")</f>
        <v/>
      </c>
      <c r="T21" s="50" t="str">
        <f>IF(AND('Mapa final'!$AB$43="Alta",'Mapa final'!$AD$43="Menor"),CONCATENATE("R6C",'Mapa final'!$R$43),"")</f>
        <v/>
      </c>
      <c r="U21" s="51" t="str">
        <f>IF(AND('Mapa final'!$AB$44="Alta",'Mapa final'!$AD$44="Menor"),CONCATENATE("R6C",'Mapa final'!$R$44),"")</f>
        <v/>
      </c>
      <c r="V21" s="34" t="str">
        <f>IF(AND('Mapa final'!$AB$39="Alta",'Mapa final'!$AD$39="Moderado"),CONCATENATE("R6C",'Mapa final'!$R$39),"")</f>
        <v/>
      </c>
      <c r="W21" s="35" t="str">
        <f>IF(AND('Mapa final'!$AB$40="Alta",'Mapa final'!$AD$40="Moderado"),CONCATENATE("R6C",'Mapa final'!$R$40),"")</f>
        <v/>
      </c>
      <c r="X21" s="35" t="str">
        <f>IF(AND('Mapa final'!$AB$41="Alta",'Mapa final'!$AD$41="Moderado"),CONCATENATE("R6C",'Mapa final'!$R$41),"")</f>
        <v/>
      </c>
      <c r="Y21" s="35" t="str">
        <f>IF(AND('Mapa final'!$AB$42="Alta",'Mapa final'!$AD$42="Moderado"),CONCATENATE("R6C",'Mapa final'!$R$42),"")</f>
        <v/>
      </c>
      <c r="Z21" s="35" t="str">
        <f>IF(AND('Mapa final'!$AB$43="Alta",'Mapa final'!$AD$43="Moderado"),CONCATENATE("R6C",'Mapa final'!$R$43),"")</f>
        <v/>
      </c>
      <c r="AA21" s="36" t="str">
        <f>IF(AND('Mapa final'!$AB$44="Alta",'Mapa final'!$AD$44="Moderado"),CONCATENATE("R6C",'Mapa final'!$R$44),"")</f>
        <v/>
      </c>
      <c r="AB21" s="34" t="str">
        <f>IF(AND('Mapa final'!$AB$39="Alta",'Mapa final'!$AD$39="Mayor"),CONCATENATE("R6C",'Mapa final'!$R$39),"")</f>
        <v/>
      </c>
      <c r="AC21" s="35" t="str">
        <f>IF(AND('Mapa final'!$AB$40="Alta",'Mapa final'!$AD$40="Mayor"),CONCATENATE("R6C",'Mapa final'!$R$40),"")</f>
        <v/>
      </c>
      <c r="AD21" s="35" t="str">
        <f>IF(AND('Mapa final'!$AB$41="Alta",'Mapa final'!$AD$41="Mayor"),CONCATENATE("R6C",'Mapa final'!$R$41),"")</f>
        <v/>
      </c>
      <c r="AE21" s="35" t="str">
        <f>IF(AND('Mapa final'!$AB$42="Alta",'Mapa final'!$AD$42="Mayor"),CONCATENATE("R6C",'Mapa final'!$R$42),"")</f>
        <v/>
      </c>
      <c r="AF21" s="35" t="str">
        <f>IF(AND('Mapa final'!$AB$43="Alta",'Mapa final'!$AD$43="Mayor"),CONCATENATE("R6C",'Mapa final'!$R$43),"")</f>
        <v/>
      </c>
      <c r="AG21" s="36" t="str">
        <f>IF(AND('Mapa final'!$AB$44="Alta",'Mapa final'!$AD$44="Mayor"),CONCATENATE("R6C",'Mapa final'!$R$44),"")</f>
        <v/>
      </c>
      <c r="AH21" s="37" t="str">
        <f>IF(AND('Mapa final'!$AB$39="Alta",'Mapa final'!$AD$39="Catastrófico"),CONCATENATE("R6C",'Mapa final'!$R$39),"")</f>
        <v/>
      </c>
      <c r="AI21" s="38" t="str">
        <f>IF(AND('Mapa final'!$AB$40="Alta",'Mapa final'!$AD$40="Catastrófico"),CONCATENATE("R6C",'Mapa final'!$R$40),"")</f>
        <v/>
      </c>
      <c r="AJ21" s="38" t="str">
        <f>IF(AND('Mapa final'!$AB$41="Alta",'Mapa final'!$AD$41="Catastrófico"),CONCATENATE("R6C",'Mapa final'!$R$41),"")</f>
        <v/>
      </c>
      <c r="AK21" s="38" t="str">
        <f>IF(AND('Mapa final'!$AB$42="Alta",'Mapa final'!$AD$42="Catastrófico"),CONCATENATE("R6C",'Mapa final'!$R$42),"")</f>
        <v/>
      </c>
      <c r="AL21" s="38" t="str">
        <f>IF(AND('Mapa final'!$AB$43="Alta",'Mapa final'!$AD$43="Catastrófico"),CONCATENATE("R6C",'Mapa final'!$R$43),"")</f>
        <v/>
      </c>
      <c r="AM21" s="39" t="str">
        <f>IF(AND('Mapa final'!$AB$44="Alta",'Mapa final'!$AD$44="Catastrófico"),CONCATENATE("R6C",'Mapa final'!$R$44),"")</f>
        <v/>
      </c>
      <c r="AN21" s="65"/>
      <c r="AO21" s="845"/>
      <c r="AP21" s="846"/>
      <c r="AQ21" s="846"/>
      <c r="AR21" s="846"/>
      <c r="AS21" s="846"/>
      <c r="AT21" s="847"/>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row>
    <row r="22" spans="1:76" ht="15" customHeight="1" x14ac:dyDescent="0.3">
      <c r="A22" s="65"/>
      <c r="B22" s="794"/>
      <c r="C22" s="794"/>
      <c r="D22" s="795"/>
      <c r="E22" s="835"/>
      <c r="F22" s="836"/>
      <c r="G22" s="836"/>
      <c r="H22" s="836"/>
      <c r="I22" s="836"/>
      <c r="J22" s="49" t="str">
        <f>IF(AND('Mapa final'!$AB$45="Alta",'Mapa final'!$AD$45="Leve"),CONCATENATE("R7C",'Mapa final'!$R$45),"")</f>
        <v/>
      </c>
      <c r="K22" s="50" t="str">
        <f>IF(AND('Mapa final'!$AB$46="Alta",'Mapa final'!$AD$46="Leve"),CONCATENATE("R7C",'Mapa final'!$R$46),"")</f>
        <v/>
      </c>
      <c r="L22" s="50" t="str">
        <f>IF(AND('Mapa final'!$AB$47="Alta",'Mapa final'!$AD$47="Leve"),CONCATENATE("R7C",'Mapa final'!$R$47),"")</f>
        <v/>
      </c>
      <c r="M22" s="50" t="str">
        <f>IF(AND('Mapa final'!$AB$48="Alta",'Mapa final'!$AD$48="Leve"),CONCATENATE("R7C",'Mapa final'!$R$48),"")</f>
        <v/>
      </c>
      <c r="N22" s="50" t="str">
        <f>IF(AND('Mapa final'!$AB$49="Alta",'Mapa final'!$AD$49="Leve"),CONCATENATE("R7C",'Mapa final'!$R$49),"")</f>
        <v/>
      </c>
      <c r="O22" s="51" t="str">
        <f>IF(AND('Mapa final'!$AB$50="Alta",'Mapa final'!$AD$50="Leve"),CONCATENATE("R7C",'Mapa final'!$R$50),"")</f>
        <v/>
      </c>
      <c r="P22" s="49" t="str">
        <f>IF(AND('Mapa final'!$AB$45="Alta",'Mapa final'!$AD$45="Menor"),CONCATENATE("R7C",'Mapa final'!$R$45),"")</f>
        <v/>
      </c>
      <c r="Q22" s="50" t="str">
        <f>IF(AND('Mapa final'!$AB$46="Alta",'Mapa final'!$AD$46="Menor"),CONCATENATE("R7C",'Mapa final'!$R$46),"")</f>
        <v/>
      </c>
      <c r="R22" s="50" t="str">
        <f>IF(AND('Mapa final'!$AB$47="Alta",'Mapa final'!$AD$47="Menor"),CONCATENATE("R7C",'Mapa final'!$R$47),"")</f>
        <v/>
      </c>
      <c r="S22" s="50" t="str">
        <f>IF(AND('Mapa final'!$AB$48="Alta",'Mapa final'!$AD$48="Menor"),CONCATENATE("R7C",'Mapa final'!$R$48),"")</f>
        <v/>
      </c>
      <c r="T22" s="50" t="str">
        <f>IF(AND('Mapa final'!$AB$49="Alta",'Mapa final'!$AD$49="Menor"),CONCATENATE("R7C",'Mapa final'!$R$49),"")</f>
        <v/>
      </c>
      <c r="U22" s="51" t="str">
        <f>IF(AND('Mapa final'!$AB$50="Alta",'Mapa final'!$AD$50="Menor"),CONCATENATE("R7C",'Mapa final'!$R$50),"")</f>
        <v/>
      </c>
      <c r="V22" s="34" t="str">
        <f>IF(AND('Mapa final'!$AB$45="Alta",'Mapa final'!$AD$45="Moderado"),CONCATENATE("R7C",'Mapa final'!$R$45),"")</f>
        <v/>
      </c>
      <c r="W22" s="35" t="str">
        <f>IF(AND('Mapa final'!$AB$46="Alta",'Mapa final'!$AD$46="Moderado"),CONCATENATE("R7C",'Mapa final'!$R$46),"")</f>
        <v/>
      </c>
      <c r="X22" s="35" t="str">
        <f>IF(AND('Mapa final'!$AB$47="Alta",'Mapa final'!$AD$47="Moderado"),CONCATENATE("R7C",'Mapa final'!$R$47),"")</f>
        <v/>
      </c>
      <c r="Y22" s="35" t="str">
        <f>IF(AND('Mapa final'!$AB$48="Alta",'Mapa final'!$AD$48="Moderado"),CONCATENATE("R7C",'Mapa final'!$R$48),"")</f>
        <v/>
      </c>
      <c r="Z22" s="35" t="str">
        <f>IF(AND('Mapa final'!$AB$49="Alta",'Mapa final'!$AD$49="Moderado"),CONCATENATE("R7C",'Mapa final'!$R$49),"")</f>
        <v/>
      </c>
      <c r="AA22" s="36" t="str">
        <f>IF(AND('Mapa final'!$AB$50="Alta",'Mapa final'!$AD$50="Moderado"),CONCATENATE("R7C",'Mapa final'!$R$50),"")</f>
        <v/>
      </c>
      <c r="AB22" s="34" t="str">
        <f>IF(AND('Mapa final'!$AB$45="Alta",'Mapa final'!$AD$45="Mayor"),CONCATENATE("R7C",'Mapa final'!$R$45),"")</f>
        <v/>
      </c>
      <c r="AC22" s="35" t="str">
        <f>IF(AND('Mapa final'!$AB$46="Alta",'Mapa final'!$AD$46="Mayor"),CONCATENATE("R7C",'Mapa final'!$R$46),"")</f>
        <v/>
      </c>
      <c r="AD22" s="35" t="str">
        <f>IF(AND('Mapa final'!$AB$47="Alta",'Mapa final'!$AD$47="Mayor"),CONCATENATE("R7C",'Mapa final'!$R$47),"")</f>
        <v/>
      </c>
      <c r="AE22" s="35" t="str">
        <f>IF(AND('Mapa final'!$AB$48="Alta",'Mapa final'!$AD$48="Mayor"),CONCATENATE("R7C",'Mapa final'!$R$48),"")</f>
        <v/>
      </c>
      <c r="AF22" s="35" t="str">
        <f>IF(AND('Mapa final'!$AB$49="Alta",'Mapa final'!$AD$49="Mayor"),CONCATENATE("R7C",'Mapa final'!$R$49),"")</f>
        <v/>
      </c>
      <c r="AG22" s="36" t="str">
        <f>IF(AND('Mapa final'!$AB$50="Alta",'Mapa final'!$AD$50="Mayor"),CONCATENATE("R7C",'Mapa final'!$R$50),"")</f>
        <v/>
      </c>
      <c r="AH22" s="37" t="str">
        <f>IF(AND('Mapa final'!$AB$45="Alta",'Mapa final'!$AD$45="Catastrófico"),CONCATENATE("R7C",'Mapa final'!$R$45),"")</f>
        <v/>
      </c>
      <c r="AI22" s="38" t="str">
        <f>IF(AND('Mapa final'!$AB$46="Alta",'Mapa final'!$AD$46="Catastrófico"),CONCATENATE("R7C",'Mapa final'!$R$46),"")</f>
        <v/>
      </c>
      <c r="AJ22" s="38" t="str">
        <f>IF(AND('Mapa final'!$AB$47="Alta",'Mapa final'!$AD$47="Catastrófico"),CONCATENATE("R7C",'Mapa final'!$R$47),"")</f>
        <v/>
      </c>
      <c r="AK22" s="38" t="str">
        <f>IF(AND('Mapa final'!$AB$48="Alta",'Mapa final'!$AD$48="Catastrófico"),CONCATENATE("R7C",'Mapa final'!$R$48),"")</f>
        <v/>
      </c>
      <c r="AL22" s="38" t="str">
        <f>IF(AND('Mapa final'!$AB$49="Alta",'Mapa final'!$AD$49="Catastrófico"),CONCATENATE("R7C",'Mapa final'!$R$49),"")</f>
        <v/>
      </c>
      <c r="AM22" s="39" t="str">
        <f>IF(AND('Mapa final'!$AB$50="Alta",'Mapa final'!$AD$50="Catastrófico"),CONCATENATE("R7C",'Mapa final'!$R$50),"")</f>
        <v/>
      </c>
      <c r="AN22" s="65"/>
      <c r="AO22" s="845"/>
      <c r="AP22" s="846"/>
      <c r="AQ22" s="846"/>
      <c r="AR22" s="846"/>
      <c r="AS22" s="846"/>
      <c r="AT22" s="847"/>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row>
    <row r="23" spans="1:76" ht="15" customHeight="1" x14ac:dyDescent="0.3">
      <c r="A23" s="65"/>
      <c r="B23" s="794"/>
      <c r="C23" s="794"/>
      <c r="D23" s="795"/>
      <c r="E23" s="835"/>
      <c r="F23" s="836"/>
      <c r="G23" s="836"/>
      <c r="H23" s="836"/>
      <c r="I23" s="836"/>
      <c r="J23" s="49" t="str">
        <f>IF(AND('Mapa final'!$AB$51="Alta",'Mapa final'!$AD$51="Leve"),CONCATENATE("R8C",'Mapa final'!$R$51),"")</f>
        <v/>
      </c>
      <c r="K23" s="50" t="str">
        <f>IF(AND('Mapa final'!$AB$52="Alta",'Mapa final'!$AD$52="Leve"),CONCATENATE("R8C",'Mapa final'!$R$52),"")</f>
        <v/>
      </c>
      <c r="L23" s="50" t="str">
        <f>IF(AND('Mapa final'!$AB$53="Alta",'Mapa final'!$AD$53="Leve"),CONCATENATE("R8C",'Mapa final'!$R$53),"")</f>
        <v/>
      </c>
      <c r="M23" s="50" t="str">
        <f>IF(AND('Mapa final'!$AB$54="Alta",'Mapa final'!$AD$54="Leve"),CONCATENATE("R8C",'Mapa final'!$R$54),"")</f>
        <v/>
      </c>
      <c r="N23" s="50" t="str">
        <f>IF(AND('Mapa final'!$AB$55="Alta",'Mapa final'!$AD$55="Leve"),CONCATENATE("R8C",'Mapa final'!$R$55),"")</f>
        <v/>
      </c>
      <c r="O23" s="51" t="str">
        <f>IF(AND('Mapa final'!$AB$56="Alta",'Mapa final'!$AD$56="Leve"),CONCATENATE("R8C",'Mapa final'!$R$56),"")</f>
        <v/>
      </c>
      <c r="P23" s="49" t="str">
        <f>IF(AND('Mapa final'!$AB$51="Alta",'Mapa final'!$AD$51="Menor"),CONCATENATE("R8C",'Mapa final'!$R$51),"")</f>
        <v/>
      </c>
      <c r="Q23" s="50" t="str">
        <f>IF(AND('Mapa final'!$AB$52="Alta",'Mapa final'!$AD$52="Menor"),CONCATENATE("R8C",'Mapa final'!$R$52),"")</f>
        <v/>
      </c>
      <c r="R23" s="50" t="str">
        <f>IF(AND('Mapa final'!$AB$53="Alta",'Mapa final'!$AD$53="Menor"),CONCATENATE("R8C",'Mapa final'!$R$53),"")</f>
        <v/>
      </c>
      <c r="S23" s="50" t="str">
        <f>IF(AND('Mapa final'!$AB$54="Alta",'Mapa final'!$AD$54="Menor"),CONCATENATE("R8C",'Mapa final'!$R$54),"")</f>
        <v/>
      </c>
      <c r="T23" s="50" t="str">
        <f>IF(AND('Mapa final'!$AB$55="Alta",'Mapa final'!$AD$55="Menor"),CONCATENATE("R8C",'Mapa final'!$R$55),"")</f>
        <v/>
      </c>
      <c r="U23" s="51" t="str">
        <f>IF(AND('Mapa final'!$AB$56="Alta",'Mapa final'!$AD$56="Menor"),CONCATENATE("R8C",'Mapa final'!$R$56),"")</f>
        <v/>
      </c>
      <c r="V23" s="34" t="str">
        <f>IF(AND('Mapa final'!$AB$51="Alta",'Mapa final'!$AD$51="Moderado"),CONCATENATE("R8C",'Mapa final'!$R$51),"")</f>
        <v/>
      </c>
      <c r="W23" s="35" t="str">
        <f>IF(AND('Mapa final'!$AB$52="Alta",'Mapa final'!$AD$52="Moderado"),CONCATENATE("R8C",'Mapa final'!$R$52),"")</f>
        <v/>
      </c>
      <c r="X23" s="35" t="str">
        <f>IF(AND('Mapa final'!$AB$53="Alta",'Mapa final'!$AD$53="Moderado"),CONCATENATE("R8C",'Mapa final'!$R$53),"")</f>
        <v/>
      </c>
      <c r="Y23" s="35" t="str">
        <f>IF(AND('Mapa final'!$AB$54="Alta",'Mapa final'!$AD$54="Moderado"),CONCATENATE("R8C",'Mapa final'!$R$54),"")</f>
        <v/>
      </c>
      <c r="Z23" s="35" t="str">
        <f>IF(AND('Mapa final'!$AB$55="Alta",'Mapa final'!$AD$55="Moderado"),CONCATENATE("R8C",'Mapa final'!$R$55),"")</f>
        <v/>
      </c>
      <c r="AA23" s="36" t="str">
        <f>IF(AND('Mapa final'!$AB$56="Alta",'Mapa final'!$AD$56="Moderado"),CONCATENATE("R8C",'Mapa final'!$R$56),"")</f>
        <v/>
      </c>
      <c r="AB23" s="34" t="str">
        <f>IF(AND('Mapa final'!$AB$51="Alta",'Mapa final'!$AD$51="Mayor"),CONCATENATE("R8C",'Mapa final'!$R$51),"")</f>
        <v/>
      </c>
      <c r="AC23" s="35" t="str">
        <f>IF(AND('Mapa final'!$AB$52="Alta",'Mapa final'!$AD$52="Mayor"),CONCATENATE("R8C",'Mapa final'!$R$52),"")</f>
        <v/>
      </c>
      <c r="AD23" s="35" t="str">
        <f>IF(AND('Mapa final'!$AB$53="Alta",'Mapa final'!$AD$53="Mayor"),CONCATENATE("R8C",'Mapa final'!$R$53),"")</f>
        <v/>
      </c>
      <c r="AE23" s="35" t="str">
        <f>IF(AND('Mapa final'!$AB$54="Alta",'Mapa final'!$AD$54="Mayor"),CONCATENATE("R8C",'Mapa final'!$R$54),"")</f>
        <v/>
      </c>
      <c r="AF23" s="35" t="str">
        <f>IF(AND('Mapa final'!$AB$55="Alta",'Mapa final'!$AD$55="Mayor"),CONCATENATE("R8C",'Mapa final'!$R$55),"")</f>
        <v/>
      </c>
      <c r="AG23" s="36" t="str">
        <f>IF(AND('Mapa final'!$AB$56="Alta",'Mapa final'!$AD$56="Mayor"),CONCATENATE("R8C",'Mapa final'!$R$56),"")</f>
        <v/>
      </c>
      <c r="AH23" s="37" t="str">
        <f>IF(AND('Mapa final'!$AB$51="Alta",'Mapa final'!$AD$51="Catastrófico"),CONCATENATE("R8C",'Mapa final'!$R$51),"")</f>
        <v/>
      </c>
      <c r="AI23" s="38" t="str">
        <f>IF(AND('Mapa final'!$AB$52="Alta",'Mapa final'!$AD$52="Catastrófico"),CONCATENATE("R8C",'Mapa final'!$R$52),"")</f>
        <v/>
      </c>
      <c r="AJ23" s="38" t="str">
        <f>IF(AND('Mapa final'!$AB$53="Alta",'Mapa final'!$AD$53="Catastrófico"),CONCATENATE("R8C",'Mapa final'!$R$53),"")</f>
        <v/>
      </c>
      <c r="AK23" s="38" t="str">
        <f>IF(AND('Mapa final'!$AB$54="Alta",'Mapa final'!$AD$54="Catastrófico"),CONCATENATE("R8C",'Mapa final'!$R$54),"")</f>
        <v/>
      </c>
      <c r="AL23" s="38" t="str">
        <f>IF(AND('Mapa final'!$AB$55="Alta",'Mapa final'!$AD$55="Catastrófico"),CONCATENATE("R8C",'Mapa final'!$R$55),"")</f>
        <v/>
      </c>
      <c r="AM23" s="39" t="str">
        <f>IF(AND('Mapa final'!$AB$56="Alta",'Mapa final'!$AD$56="Catastrófico"),CONCATENATE("R8C",'Mapa final'!$R$56),"")</f>
        <v/>
      </c>
      <c r="AN23" s="65"/>
      <c r="AO23" s="845"/>
      <c r="AP23" s="846"/>
      <c r="AQ23" s="846"/>
      <c r="AR23" s="846"/>
      <c r="AS23" s="846"/>
      <c r="AT23" s="847"/>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row>
    <row r="24" spans="1:76" ht="15" customHeight="1" x14ac:dyDescent="0.3">
      <c r="A24" s="65"/>
      <c r="B24" s="794"/>
      <c r="C24" s="794"/>
      <c r="D24" s="795"/>
      <c r="E24" s="835"/>
      <c r="F24" s="836"/>
      <c r="G24" s="836"/>
      <c r="H24" s="836"/>
      <c r="I24" s="836"/>
      <c r="J24" s="49" t="str">
        <f>IF(AND('Mapa final'!$AB$57="Alta",'Mapa final'!$AD$57="Leve"),CONCATENATE("R9C",'Mapa final'!$R$57),"")</f>
        <v/>
      </c>
      <c r="K24" s="50" t="str">
        <f>IF(AND('Mapa final'!$AB$58="Alta",'Mapa final'!$AD$58="Leve"),CONCATENATE("R9C",'Mapa final'!$R$58),"")</f>
        <v/>
      </c>
      <c r="L24" s="50" t="str">
        <f>IF(AND('Mapa final'!$AB$59="Alta",'Mapa final'!$AD$59="Leve"),CONCATENATE("R9C",'Mapa final'!$R$59),"")</f>
        <v/>
      </c>
      <c r="M24" s="50" t="str">
        <f>IF(AND('Mapa final'!$AB$60="Alta",'Mapa final'!$AD$60="Leve"),CONCATENATE("R9C",'Mapa final'!$R$60),"")</f>
        <v/>
      </c>
      <c r="N24" s="50" t="str">
        <f>IF(AND('Mapa final'!$AB$61="Alta",'Mapa final'!$AD$61="Leve"),CONCATENATE("R9C",'Mapa final'!$R$61),"")</f>
        <v/>
      </c>
      <c r="O24" s="51" t="str">
        <f>IF(AND('Mapa final'!$AB$62="Alta",'Mapa final'!$AD$62="Leve"),CONCATENATE("R9C",'Mapa final'!$R$62),"")</f>
        <v/>
      </c>
      <c r="P24" s="49" t="str">
        <f>IF(AND('Mapa final'!$AB$57="Alta",'Mapa final'!$AD$57="Menor"),CONCATENATE("R9C",'Mapa final'!$R$57),"")</f>
        <v/>
      </c>
      <c r="Q24" s="50" t="str">
        <f>IF(AND('Mapa final'!$AB$58="Alta",'Mapa final'!$AD$58="Menor"),CONCATENATE("R9C",'Mapa final'!$R$58),"")</f>
        <v/>
      </c>
      <c r="R24" s="50" t="str">
        <f>IF(AND('Mapa final'!$AB$59="Alta",'Mapa final'!$AD$59="Menor"),CONCATENATE("R9C",'Mapa final'!$R$59),"")</f>
        <v/>
      </c>
      <c r="S24" s="50" t="str">
        <f>IF(AND('Mapa final'!$AB$60="Alta",'Mapa final'!$AD$60="Menor"),CONCATENATE("R9C",'Mapa final'!$R$60),"")</f>
        <v/>
      </c>
      <c r="T24" s="50" t="str">
        <f>IF(AND('Mapa final'!$AB$61="Alta",'Mapa final'!$AD$61="Menor"),CONCATENATE("R9C",'Mapa final'!$R$61),"")</f>
        <v/>
      </c>
      <c r="U24" s="51" t="str">
        <f>IF(AND('Mapa final'!$AB$62="Alta",'Mapa final'!$AD$62="Menor"),CONCATENATE("R9C",'Mapa final'!$R$62),"")</f>
        <v/>
      </c>
      <c r="V24" s="34" t="str">
        <f>IF(AND('Mapa final'!$AB$57="Alta",'Mapa final'!$AD$57="Moderado"),CONCATENATE("R9C",'Mapa final'!$R$57),"")</f>
        <v/>
      </c>
      <c r="W24" s="35" t="str">
        <f>IF(AND('Mapa final'!$AB$58="Alta",'Mapa final'!$AD$58="Moderado"),CONCATENATE("R9C",'Mapa final'!$R$58),"")</f>
        <v/>
      </c>
      <c r="X24" s="35" t="str">
        <f>IF(AND('Mapa final'!$AB$59="Alta",'Mapa final'!$AD$59="Moderado"),CONCATENATE("R9C",'Mapa final'!$R$59),"")</f>
        <v/>
      </c>
      <c r="Y24" s="35" t="str">
        <f>IF(AND('Mapa final'!$AB$60="Alta",'Mapa final'!$AD$60="Moderado"),CONCATENATE("R9C",'Mapa final'!$R$60),"")</f>
        <v/>
      </c>
      <c r="Z24" s="35" t="str">
        <f>IF(AND('Mapa final'!$AB$61="Alta",'Mapa final'!$AD$61="Moderado"),CONCATENATE("R9C",'Mapa final'!$R$61),"")</f>
        <v/>
      </c>
      <c r="AA24" s="36" t="str">
        <f>IF(AND('Mapa final'!$AB$62="Alta",'Mapa final'!$AD$62="Moderado"),CONCATENATE("R9C",'Mapa final'!$R$62),"")</f>
        <v/>
      </c>
      <c r="AB24" s="34" t="str">
        <f>IF(AND('Mapa final'!$AB$57="Alta",'Mapa final'!$AD$57="Mayor"),CONCATENATE("R9C",'Mapa final'!$R$57),"")</f>
        <v/>
      </c>
      <c r="AC24" s="35" t="str">
        <f>IF(AND('Mapa final'!$AB$58="Alta",'Mapa final'!$AD$58="Mayor"),CONCATENATE("R9C",'Mapa final'!$R$58),"")</f>
        <v/>
      </c>
      <c r="AD24" s="35" t="str">
        <f>IF(AND('Mapa final'!$AB$59="Alta",'Mapa final'!$AD$59="Mayor"),CONCATENATE("R9C",'Mapa final'!$R$59),"")</f>
        <v/>
      </c>
      <c r="AE24" s="35" t="str">
        <f>IF(AND('Mapa final'!$AB$60="Alta",'Mapa final'!$AD$60="Mayor"),CONCATENATE("R9C",'Mapa final'!$R$60),"")</f>
        <v/>
      </c>
      <c r="AF24" s="35" t="str">
        <f>IF(AND('Mapa final'!$AB$61="Alta",'Mapa final'!$AD$61="Mayor"),CONCATENATE("R9C",'Mapa final'!$R$61),"")</f>
        <v/>
      </c>
      <c r="AG24" s="36" t="str">
        <f>IF(AND('Mapa final'!$AB$62="Alta",'Mapa final'!$AD$62="Mayor"),CONCATENATE("R9C",'Mapa final'!$R$62),"")</f>
        <v/>
      </c>
      <c r="AH24" s="37" t="str">
        <f>IF(AND('Mapa final'!$AB$57="Alta",'Mapa final'!$AD$57="Catastrófico"),CONCATENATE("R9C",'Mapa final'!$R$57),"")</f>
        <v/>
      </c>
      <c r="AI24" s="38" t="str">
        <f>IF(AND('Mapa final'!$AB$58="Alta",'Mapa final'!$AD$58="Catastrófico"),CONCATENATE("R9C",'Mapa final'!$R$58),"")</f>
        <v/>
      </c>
      <c r="AJ24" s="38" t="str">
        <f>IF(AND('Mapa final'!$AB$59="Alta",'Mapa final'!$AD$59="Catastrófico"),CONCATENATE("R9C",'Mapa final'!$R$59),"")</f>
        <v/>
      </c>
      <c r="AK24" s="38" t="str">
        <f>IF(AND('Mapa final'!$AB$60="Alta",'Mapa final'!$AD$60="Catastrófico"),CONCATENATE("R9C",'Mapa final'!$R$60),"")</f>
        <v/>
      </c>
      <c r="AL24" s="38" t="str">
        <f>IF(AND('Mapa final'!$AB$61="Alta",'Mapa final'!$AD$61="Catastrófico"),CONCATENATE("R9C",'Mapa final'!$R$61),"")</f>
        <v/>
      </c>
      <c r="AM24" s="39" t="str">
        <f>IF(AND('Mapa final'!$AB$62="Alta",'Mapa final'!$AD$62="Catastrófico"),CONCATENATE("R9C",'Mapa final'!$R$62),"")</f>
        <v/>
      </c>
      <c r="AN24" s="65"/>
      <c r="AO24" s="845"/>
      <c r="AP24" s="846"/>
      <c r="AQ24" s="846"/>
      <c r="AR24" s="846"/>
      <c r="AS24" s="846"/>
      <c r="AT24" s="847"/>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row>
    <row r="25" spans="1:76" ht="15.75" customHeight="1" thickBot="1" x14ac:dyDescent="0.35">
      <c r="A25" s="65"/>
      <c r="B25" s="794"/>
      <c r="C25" s="794"/>
      <c r="D25" s="795"/>
      <c r="E25" s="838"/>
      <c r="F25" s="839"/>
      <c r="G25" s="839"/>
      <c r="H25" s="839"/>
      <c r="I25" s="839"/>
      <c r="J25" s="52" t="str">
        <f>IF(AND('Mapa final'!$AB$63="Alta",'Mapa final'!$AD$63="Leve"),CONCATENATE("R10C",'Mapa final'!$R$63),"")</f>
        <v/>
      </c>
      <c r="K25" s="53" t="str">
        <f>IF(AND('Mapa final'!$AB$64="Alta",'Mapa final'!$AD$64="Leve"),CONCATENATE("R10C",'Mapa final'!$R$64),"")</f>
        <v/>
      </c>
      <c r="L25" s="53" t="str">
        <f>IF(AND('Mapa final'!$AB$65="Alta",'Mapa final'!$AD$65="Leve"),CONCATENATE("R10C",'Mapa final'!$R$65),"")</f>
        <v/>
      </c>
      <c r="M25" s="53" t="str">
        <f>IF(AND('Mapa final'!$AB$66="Alta",'Mapa final'!$AD$66="Leve"),CONCATENATE("R10C",'Mapa final'!$R$66),"")</f>
        <v/>
      </c>
      <c r="N25" s="53" t="str">
        <f>IF(AND('Mapa final'!$AB$67="Alta",'Mapa final'!$AD$67="Leve"),CONCATENATE("R10C",'Mapa final'!$R$67),"")</f>
        <v/>
      </c>
      <c r="O25" s="54" t="str">
        <f>IF(AND('Mapa final'!$AB$68="Alta",'Mapa final'!$AD$68="Leve"),CONCATENATE("R10C",'Mapa final'!$R$68),"")</f>
        <v/>
      </c>
      <c r="P25" s="52" t="str">
        <f>IF(AND('Mapa final'!$AB$63="Alta",'Mapa final'!$AD$63="Menor"),CONCATENATE("R10C",'Mapa final'!$R$63),"")</f>
        <v/>
      </c>
      <c r="Q25" s="53" t="str">
        <f>IF(AND('Mapa final'!$AB$64="Alta",'Mapa final'!$AD$64="Menor"),CONCATENATE("R10C",'Mapa final'!$R$64),"")</f>
        <v/>
      </c>
      <c r="R25" s="53" t="str">
        <f>IF(AND('Mapa final'!$AB$65="Alta",'Mapa final'!$AD$65="Menor"),CONCATENATE("R10C",'Mapa final'!$R$65),"")</f>
        <v/>
      </c>
      <c r="S25" s="53" t="str">
        <f>IF(AND('Mapa final'!$AB$66="Alta",'Mapa final'!$AD$66="Menor"),CONCATENATE("R10C",'Mapa final'!$R$66),"")</f>
        <v/>
      </c>
      <c r="T25" s="53" t="str">
        <f>IF(AND('Mapa final'!$AB$67="Alta",'Mapa final'!$AD$67="Menor"),CONCATENATE("R10C",'Mapa final'!$R$67),"")</f>
        <v/>
      </c>
      <c r="U25" s="54" t="str">
        <f>IF(AND('Mapa final'!$AB$68="Alta",'Mapa final'!$AD$68="Menor"),CONCATENATE("R10C",'Mapa final'!$R$68),"")</f>
        <v/>
      </c>
      <c r="V25" s="40" t="str">
        <f>IF(AND('Mapa final'!$AB$63="Alta",'Mapa final'!$AD$63="Moderado"),CONCATENATE("R10C",'Mapa final'!$R$63),"")</f>
        <v/>
      </c>
      <c r="W25" s="41" t="str">
        <f>IF(AND('Mapa final'!$AB$64="Alta",'Mapa final'!$AD$64="Moderado"),CONCATENATE("R10C",'Mapa final'!$R$64),"")</f>
        <v/>
      </c>
      <c r="X25" s="41" t="str">
        <f>IF(AND('Mapa final'!$AB$65="Alta",'Mapa final'!$AD$65="Moderado"),CONCATENATE("R10C",'Mapa final'!$R$65),"")</f>
        <v/>
      </c>
      <c r="Y25" s="41" t="str">
        <f>IF(AND('Mapa final'!$AB$66="Alta",'Mapa final'!$AD$66="Moderado"),CONCATENATE("R10C",'Mapa final'!$R$66),"")</f>
        <v/>
      </c>
      <c r="Z25" s="41" t="str">
        <f>IF(AND('Mapa final'!$AB$67="Alta",'Mapa final'!$AD$67="Moderado"),CONCATENATE("R10C",'Mapa final'!$R$67),"")</f>
        <v/>
      </c>
      <c r="AA25" s="42" t="str">
        <f>IF(AND('Mapa final'!$AB$68="Alta",'Mapa final'!$AD$68="Moderado"),CONCATENATE("R10C",'Mapa final'!$R$68),"")</f>
        <v/>
      </c>
      <c r="AB25" s="40" t="str">
        <f>IF(AND('Mapa final'!$AB$63="Alta",'Mapa final'!$AD$63="Mayor"),CONCATENATE("R10C",'Mapa final'!$R$63),"")</f>
        <v/>
      </c>
      <c r="AC25" s="41" t="str">
        <f>IF(AND('Mapa final'!$AB$64="Alta",'Mapa final'!$AD$64="Mayor"),CONCATENATE("R10C",'Mapa final'!$R$64),"")</f>
        <v/>
      </c>
      <c r="AD25" s="41" t="str">
        <f>IF(AND('Mapa final'!$AB$65="Alta",'Mapa final'!$AD$65="Mayor"),CONCATENATE("R10C",'Mapa final'!$R$65),"")</f>
        <v/>
      </c>
      <c r="AE25" s="41" t="str">
        <f>IF(AND('Mapa final'!$AB$66="Alta",'Mapa final'!$AD$66="Mayor"),CONCATENATE("R10C",'Mapa final'!$R$66),"")</f>
        <v/>
      </c>
      <c r="AF25" s="41" t="str">
        <f>IF(AND('Mapa final'!$AB$67="Alta",'Mapa final'!$AD$67="Mayor"),CONCATENATE("R10C",'Mapa final'!$R$67),"")</f>
        <v/>
      </c>
      <c r="AG25" s="42" t="str">
        <f>IF(AND('Mapa final'!$AB$68="Alta",'Mapa final'!$AD$68="Mayor"),CONCATENATE("R10C",'Mapa final'!$R$68),"")</f>
        <v/>
      </c>
      <c r="AH25" s="43" t="str">
        <f>IF(AND('Mapa final'!$AB$63="Alta",'Mapa final'!$AD$63="Catastrófico"),CONCATENATE("R10C",'Mapa final'!$R$63),"")</f>
        <v/>
      </c>
      <c r="AI25" s="44" t="str">
        <f>IF(AND('Mapa final'!$AB$64="Alta",'Mapa final'!$AD$64="Catastrófico"),CONCATENATE("R10C",'Mapa final'!$R$64),"")</f>
        <v/>
      </c>
      <c r="AJ25" s="44" t="str">
        <f>IF(AND('Mapa final'!$AB$65="Alta",'Mapa final'!$AD$65="Catastrófico"),CONCATENATE("R10C",'Mapa final'!$R$65),"")</f>
        <v/>
      </c>
      <c r="AK25" s="44" t="str">
        <f>IF(AND('Mapa final'!$AB$66="Alta",'Mapa final'!$AD$66="Catastrófico"),CONCATENATE("R10C",'Mapa final'!$R$66),"")</f>
        <v/>
      </c>
      <c r="AL25" s="44" t="str">
        <f>IF(AND('Mapa final'!$AB$67="Alta",'Mapa final'!$AD$67="Catastrófico"),CONCATENATE("R10C",'Mapa final'!$R$67),"")</f>
        <v/>
      </c>
      <c r="AM25" s="45" t="str">
        <f>IF(AND('Mapa final'!$AB$68="Alta",'Mapa final'!$AD$68="Catastrófico"),CONCATENATE("R10C",'Mapa final'!$R$68),"")</f>
        <v/>
      </c>
      <c r="AN25" s="65"/>
      <c r="AO25" s="848"/>
      <c r="AP25" s="849"/>
      <c r="AQ25" s="849"/>
      <c r="AR25" s="849"/>
      <c r="AS25" s="849"/>
      <c r="AT25" s="850"/>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row>
    <row r="26" spans="1:76" ht="15" customHeight="1" x14ac:dyDescent="0.3">
      <c r="A26" s="65"/>
      <c r="B26" s="794"/>
      <c r="C26" s="794"/>
      <c r="D26" s="795"/>
      <c r="E26" s="832" t="s">
        <v>112</v>
      </c>
      <c r="F26" s="833"/>
      <c r="G26" s="833"/>
      <c r="H26" s="833"/>
      <c r="I26" s="834"/>
      <c r="J26" s="46" t="str">
        <f>IF(AND('Mapa final'!$AB$10="Media",'Mapa final'!$AD$10="Leve"),CONCATENATE("R1C",'Mapa final'!$R$10),"")</f>
        <v/>
      </c>
      <c r="K26" s="47" t="str">
        <f>IF(AND('Mapa final'!$AB$11="Media",'Mapa final'!$AD$11="Leve"),CONCATENATE("R1C",'Mapa final'!$R$11),"")</f>
        <v/>
      </c>
      <c r="L26" s="47" t="str">
        <f>IF(AND('Mapa final'!$AB$12="Media",'Mapa final'!$AD$12="Leve"),CONCATENATE("R1C",'Mapa final'!$R$12),"")</f>
        <v/>
      </c>
      <c r="M26" s="47" t="str">
        <f>IF(AND('Mapa final'!$AB$13="Media",'Mapa final'!$AD$13="Leve"),CONCATENATE("R1C",'Mapa final'!$R$13),"")</f>
        <v/>
      </c>
      <c r="N26" s="47" t="str">
        <f>IF(AND('Mapa final'!$AB$14="Media",'Mapa final'!$AD$14="Leve"),CONCATENATE("R1C",'Mapa final'!$R$14),"")</f>
        <v/>
      </c>
      <c r="O26" s="48" t="str">
        <f>IF(AND('Mapa final'!$AB$15="Media",'Mapa final'!$AD$15="Leve"),CONCATENATE("R1C",'Mapa final'!$R$15),"")</f>
        <v/>
      </c>
      <c r="P26" s="46" t="str">
        <f>IF(AND('Mapa final'!$AB$10="Media",'Mapa final'!$AD$10="Menor"),CONCATENATE("R1C",'Mapa final'!$R$10),"")</f>
        <v/>
      </c>
      <c r="Q26" s="47" t="str">
        <f>IF(AND('Mapa final'!$AB$11="Media",'Mapa final'!$AD$11="Menor"),CONCATENATE("R1C",'Mapa final'!$R$11),"")</f>
        <v/>
      </c>
      <c r="R26" s="47" t="str">
        <f>IF(AND('Mapa final'!$AB$12="Media",'Mapa final'!$AD$12="Menor"),CONCATENATE("R1C",'Mapa final'!$R$12),"")</f>
        <v/>
      </c>
      <c r="S26" s="47" t="str">
        <f>IF(AND('Mapa final'!$AB$13="Media",'Mapa final'!$AD$13="Menor"),CONCATENATE("R1C",'Mapa final'!$R$13),"")</f>
        <v/>
      </c>
      <c r="T26" s="47" t="str">
        <f>IF(AND('Mapa final'!$AB$14="Media",'Mapa final'!$AD$14="Menor"),CONCATENATE("R1C",'Mapa final'!$R$14),"")</f>
        <v/>
      </c>
      <c r="U26" s="48" t="str">
        <f>IF(AND('Mapa final'!$AB$15="Media",'Mapa final'!$AD$15="Menor"),CONCATENATE("R1C",'Mapa final'!$R$15),"")</f>
        <v/>
      </c>
      <c r="V26" s="46" t="str">
        <f>IF(AND('Mapa final'!$AB$10="Media",'Mapa final'!$AD$10="Moderado"),CONCATENATE("R1C",'Mapa final'!$R$10),"")</f>
        <v/>
      </c>
      <c r="W26" s="47" t="str">
        <f>IF(AND('Mapa final'!$AB$11="Media",'Mapa final'!$AD$11="Moderado"),CONCATENATE("R1C",'Mapa final'!$R$11),"")</f>
        <v/>
      </c>
      <c r="X26" s="47" t="str">
        <f>IF(AND('Mapa final'!$AB$12="Media",'Mapa final'!$AD$12="Moderado"),CONCATENATE("R1C",'Mapa final'!$R$12),"")</f>
        <v/>
      </c>
      <c r="Y26" s="47" t="str">
        <f>IF(AND('Mapa final'!$AB$13="Media",'Mapa final'!$AD$13="Moderado"),CONCATENATE("R1C",'Mapa final'!$R$13),"")</f>
        <v/>
      </c>
      <c r="Z26" s="47" t="str">
        <f>IF(AND('Mapa final'!$AB$14="Media",'Mapa final'!$AD$14="Moderado"),CONCATENATE("R1C",'Mapa final'!$R$14),"")</f>
        <v/>
      </c>
      <c r="AA26" s="48" t="str">
        <f>IF(AND('Mapa final'!$AB$15="Media",'Mapa final'!$AD$15="Moderado"),CONCATENATE("R1C",'Mapa final'!$R$15),"")</f>
        <v/>
      </c>
      <c r="AB26" s="28" t="str">
        <f>IF(AND('Mapa final'!$AB$10="Media",'Mapa final'!$AD$10="Mayor"),CONCATENATE("R1C",'Mapa final'!$R$10),"")</f>
        <v/>
      </c>
      <c r="AC26" s="29" t="str">
        <f>IF(AND('Mapa final'!$AB$11="Media",'Mapa final'!$AD$11="Mayor"),CONCATENATE("R1C",'Mapa final'!$R$11),"")</f>
        <v/>
      </c>
      <c r="AD26" s="29" t="str">
        <f>IF(AND('Mapa final'!$AB$12="Media",'Mapa final'!$AD$12="Mayor"),CONCATENATE("R1C",'Mapa final'!$R$12),"")</f>
        <v/>
      </c>
      <c r="AE26" s="29" t="str">
        <f>IF(AND('Mapa final'!$AB$13="Media",'Mapa final'!$AD$13="Mayor"),CONCATENATE("R1C",'Mapa final'!$R$13),"")</f>
        <v/>
      </c>
      <c r="AF26" s="29" t="str">
        <f>IF(AND('Mapa final'!$AB$14="Media",'Mapa final'!$AD$14="Mayor"),CONCATENATE("R1C",'Mapa final'!$R$14),"")</f>
        <v/>
      </c>
      <c r="AG26" s="30" t="str">
        <f>IF(AND('Mapa final'!$AB$15="Media",'Mapa final'!$AD$15="Mayor"),CONCATENATE("R1C",'Mapa final'!$R$15),"")</f>
        <v/>
      </c>
      <c r="AH26" s="31" t="str">
        <f>IF(AND('Mapa final'!$AB$10="Media",'Mapa final'!$AD$10="Catastrófico"),CONCATENATE("R1C",'Mapa final'!$R$10),"")</f>
        <v/>
      </c>
      <c r="AI26" s="32" t="str">
        <f>IF(AND('Mapa final'!$AB$11="Media",'Mapa final'!$AD$11="Catastrófico"),CONCATENATE("R1C",'Mapa final'!$R$11),"")</f>
        <v/>
      </c>
      <c r="AJ26" s="32" t="str">
        <f>IF(AND('Mapa final'!$AB$12="Media",'Mapa final'!$AD$12="Catastrófico"),CONCATENATE("R1C",'Mapa final'!$R$12),"")</f>
        <v/>
      </c>
      <c r="AK26" s="32" t="str">
        <f>IF(AND('Mapa final'!$AB$13="Media",'Mapa final'!$AD$13="Catastrófico"),CONCATENATE("R1C",'Mapa final'!$R$13),"")</f>
        <v/>
      </c>
      <c r="AL26" s="32" t="str">
        <f>IF(AND('Mapa final'!$AB$14="Media",'Mapa final'!$AD$14="Catastrófico"),CONCATENATE("R1C",'Mapa final'!$R$14),"")</f>
        <v/>
      </c>
      <c r="AM26" s="33" t="str">
        <f>IF(AND('Mapa final'!$AB$15="Media",'Mapa final'!$AD$15="Catastrófico"),CONCATENATE("R1C",'Mapa final'!$R$15),"")</f>
        <v/>
      </c>
      <c r="AN26" s="65"/>
      <c r="AO26" s="872" t="s">
        <v>80</v>
      </c>
      <c r="AP26" s="873"/>
      <c r="AQ26" s="873"/>
      <c r="AR26" s="873"/>
      <c r="AS26" s="873"/>
      <c r="AT26" s="874"/>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row>
    <row r="27" spans="1:76" ht="15" customHeight="1" x14ac:dyDescent="0.3">
      <c r="A27" s="65"/>
      <c r="B27" s="794"/>
      <c r="C27" s="794"/>
      <c r="D27" s="795"/>
      <c r="E27" s="851"/>
      <c r="F27" s="836"/>
      <c r="G27" s="836"/>
      <c r="H27" s="836"/>
      <c r="I27" s="837"/>
      <c r="J27" s="49" t="str">
        <f>IF(AND('Mapa final'!$AB$16="Media",'Mapa final'!$AD$16="Leve"),CONCATENATE("R2C",'Mapa final'!$R$16),"")</f>
        <v/>
      </c>
      <c r="K27" s="50" t="str">
        <f>IF(AND('Mapa final'!$AB$17="Media",'Mapa final'!$AD$17="Leve"),CONCATENATE("R2C",'Mapa final'!$R$17),"")</f>
        <v/>
      </c>
      <c r="L27" s="50" t="str">
        <f>IF(AND('Mapa final'!$AB$18="Media",'Mapa final'!$AD$18="Leve"),CONCATENATE("R2C",'Mapa final'!$R$18),"")</f>
        <v/>
      </c>
      <c r="M27" s="50" t="str">
        <f>IF(AND('Mapa final'!$AB$19="Media",'Mapa final'!$AD$19="Leve"),CONCATENATE("R2C",'Mapa final'!$R$19),"")</f>
        <v/>
      </c>
      <c r="N27" s="50" t="str">
        <f>IF(AND('Mapa final'!$AB$20="Media",'Mapa final'!$AD$20="Leve"),CONCATENATE("R2C",'Mapa final'!$R$20),"")</f>
        <v/>
      </c>
      <c r="O27" s="51" t="str">
        <f>IF(AND('Mapa final'!$AB$21="Media",'Mapa final'!$AD$21="Leve"),CONCATENATE("R2C",'Mapa final'!$R$21),"")</f>
        <v/>
      </c>
      <c r="P27" s="49" t="str">
        <f>IF(AND('Mapa final'!$AB$16="Media",'Mapa final'!$AD$16="Menor"),CONCATENATE("R2C",'Mapa final'!$R$16),"")</f>
        <v/>
      </c>
      <c r="Q27" s="50" t="str">
        <f>IF(AND('Mapa final'!$AB$17="Media",'Mapa final'!$AD$17="Menor"),CONCATENATE("R2C",'Mapa final'!$R$17),"")</f>
        <v/>
      </c>
      <c r="R27" s="50" t="str">
        <f>IF(AND('Mapa final'!$AB$18="Media",'Mapa final'!$AD$18="Menor"),CONCATENATE("R2C",'Mapa final'!$R$18),"")</f>
        <v/>
      </c>
      <c r="S27" s="50" t="str">
        <f>IF(AND('Mapa final'!$AB$19="Media",'Mapa final'!$AD$19="Menor"),CONCATENATE("R2C",'Mapa final'!$R$19),"")</f>
        <v/>
      </c>
      <c r="T27" s="50" t="str">
        <f>IF(AND('Mapa final'!$AB$20="Media",'Mapa final'!$AD$20="Menor"),CONCATENATE("R2C",'Mapa final'!$R$20),"")</f>
        <v/>
      </c>
      <c r="U27" s="51" t="str">
        <f>IF(AND('Mapa final'!$AB$21="Media",'Mapa final'!$AD$21="Menor"),CONCATENATE("R2C",'Mapa final'!$R$21),"")</f>
        <v/>
      </c>
      <c r="V27" s="49" t="str">
        <f>IF(AND('Mapa final'!$AB$16="Media",'Mapa final'!$AD$16="Moderado"),CONCATENATE("R2C",'Mapa final'!$R$16),"")</f>
        <v>R2C1</v>
      </c>
      <c r="W27" s="50" t="str">
        <f>IF(AND('Mapa final'!$AB$17="Media",'Mapa final'!$AD$17="Moderado"),CONCATENATE("R2C",'Mapa final'!$R$17),"")</f>
        <v/>
      </c>
      <c r="X27" s="50" t="str">
        <f>IF(AND('Mapa final'!$AB$18="Media",'Mapa final'!$AD$18="Moderado"),CONCATENATE("R2C",'Mapa final'!$R$18),"")</f>
        <v/>
      </c>
      <c r="Y27" s="50" t="str">
        <f>IF(AND('Mapa final'!$AB$19="Media",'Mapa final'!$AD$19="Moderado"),CONCATENATE("R2C",'Mapa final'!$R$19),"")</f>
        <v/>
      </c>
      <c r="Z27" s="50" t="str">
        <f>IF(AND('Mapa final'!$AB$20="Media",'Mapa final'!$AD$20="Moderado"),CONCATENATE("R2C",'Mapa final'!$R$20),"")</f>
        <v/>
      </c>
      <c r="AA27" s="51" t="str">
        <f>IF(AND('Mapa final'!$AB$21="Media",'Mapa final'!$AD$21="Moderado"),CONCATENATE("R2C",'Mapa final'!$R$21),"")</f>
        <v/>
      </c>
      <c r="AB27" s="34" t="str">
        <f>IF(AND('Mapa final'!$AB$16="Media",'Mapa final'!$AD$16="Mayor"),CONCATENATE("R2C",'Mapa final'!$R$16),"")</f>
        <v/>
      </c>
      <c r="AC27" s="35" t="str">
        <f>IF(AND('Mapa final'!$AB$17="Media",'Mapa final'!$AD$17="Mayor"),CONCATENATE("R2C",'Mapa final'!$R$17),"")</f>
        <v/>
      </c>
      <c r="AD27" s="35" t="str">
        <f>IF(AND('Mapa final'!$AB$18="Media",'Mapa final'!$AD$18="Mayor"),CONCATENATE("R2C",'Mapa final'!$R$18),"")</f>
        <v/>
      </c>
      <c r="AE27" s="35" t="str">
        <f>IF(AND('Mapa final'!$AB$19="Media",'Mapa final'!$AD$19="Mayor"),CONCATENATE("R2C",'Mapa final'!$R$19),"")</f>
        <v/>
      </c>
      <c r="AF27" s="35" t="str">
        <f>IF(AND('Mapa final'!$AB$20="Media",'Mapa final'!$AD$20="Mayor"),CONCATENATE("R2C",'Mapa final'!$R$20),"")</f>
        <v/>
      </c>
      <c r="AG27" s="36" t="str">
        <f>IF(AND('Mapa final'!$AB$21="Media",'Mapa final'!$AD$21="Mayor"),CONCATENATE("R2C",'Mapa final'!$R$21),"")</f>
        <v/>
      </c>
      <c r="AH27" s="37" t="str">
        <f>IF(AND('Mapa final'!$AB$16="Media",'Mapa final'!$AD$16="Catastrófico"),CONCATENATE("R2C",'Mapa final'!$R$16),"")</f>
        <v/>
      </c>
      <c r="AI27" s="38" t="str">
        <f>IF(AND('Mapa final'!$AB$17="Media",'Mapa final'!$AD$17="Catastrófico"),CONCATENATE("R2C",'Mapa final'!$R$17),"")</f>
        <v/>
      </c>
      <c r="AJ27" s="38" t="str">
        <f>IF(AND('Mapa final'!$AB$18="Media",'Mapa final'!$AD$18="Catastrófico"),CONCATENATE("R2C",'Mapa final'!$R$18),"")</f>
        <v/>
      </c>
      <c r="AK27" s="38" t="str">
        <f>IF(AND('Mapa final'!$AB$19="Media",'Mapa final'!$AD$19="Catastrófico"),CONCATENATE("R2C",'Mapa final'!$R$19),"")</f>
        <v/>
      </c>
      <c r="AL27" s="38" t="str">
        <f>IF(AND('Mapa final'!$AB$20="Media",'Mapa final'!$AD$20="Catastrófico"),CONCATENATE("R2C",'Mapa final'!$R$20),"")</f>
        <v/>
      </c>
      <c r="AM27" s="39" t="str">
        <f>IF(AND('Mapa final'!$AB$21="Media",'Mapa final'!$AD$21="Catastrófico"),CONCATENATE("R2C",'Mapa final'!$R$21),"")</f>
        <v/>
      </c>
      <c r="AN27" s="65"/>
      <c r="AO27" s="875"/>
      <c r="AP27" s="876"/>
      <c r="AQ27" s="876"/>
      <c r="AR27" s="876"/>
      <c r="AS27" s="876"/>
      <c r="AT27" s="877"/>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row>
    <row r="28" spans="1:76" ht="15" customHeight="1" x14ac:dyDescent="0.3">
      <c r="A28" s="65"/>
      <c r="B28" s="794"/>
      <c r="C28" s="794"/>
      <c r="D28" s="795"/>
      <c r="E28" s="835"/>
      <c r="F28" s="836"/>
      <c r="G28" s="836"/>
      <c r="H28" s="836"/>
      <c r="I28" s="837"/>
      <c r="J28" s="49" t="str">
        <f>IF(AND('Mapa final'!$AB$22="Media",'Mapa final'!$AD$22="Leve"),CONCATENATE("R3C",'Mapa final'!$R$22),"")</f>
        <v/>
      </c>
      <c r="K28" s="50" t="str">
        <f>IF(AND('Mapa final'!$AB$23="Media",'Mapa final'!$AD$23="Leve"),CONCATENATE("R3C",'Mapa final'!$R$23),"")</f>
        <v/>
      </c>
      <c r="L28" s="50" t="str">
        <f>IF(AND('Mapa final'!$AB$24="Media",'Mapa final'!$AD$24="Leve"),CONCATENATE("R3C",'Mapa final'!$R$24),"")</f>
        <v/>
      </c>
      <c r="M28" s="50" t="str">
        <f>IF(AND('Mapa final'!$AB$25="Media",'Mapa final'!$AD$25="Leve"),CONCATENATE("R3C",'Mapa final'!$R$25),"")</f>
        <v/>
      </c>
      <c r="N28" s="50" t="str">
        <f>IF(AND('Mapa final'!$AB$26="Media",'Mapa final'!$AD$26="Leve"),CONCATENATE("R3C",'Mapa final'!$R$26),"")</f>
        <v/>
      </c>
      <c r="O28" s="51" t="str">
        <f>IF(AND('Mapa final'!$AB$27="Media",'Mapa final'!$AD$27="Leve"),CONCATENATE("R3C",'Mapa final'!$R$27),"")</f>
        <v/>
      </c>
      <c r="P28" s="49" t="str">
        <f>IF(AND('Mapa final'!$AB$22="Media",'Mapa final'!$AD$22="Menor"),CONCATENATE("R3C",'Mapa final'!$R$22),"")</f>
        <v/>
      </c>
      <c r="Q28" s="50" t="str">
        <f>IF(AND('Mapa final'!$AB$23="Media",'Mapa final'!$AD$23="Menor"),CONCATENATE("R3C",'Mapa final'!$R$23),"")</f>
        <v/>
      </c>
      <c r="R28" s="50" t="str">
        <f>IF(AND('Mapa final'!$AB$24="Media",'Mapa final'!$AD$24="Menor"),CONCATENATE("R3C",'Mapa final'!$R$24),"")</f>
        <v/>
      </c>
      <c r="S28" s="50" t="str">
        <f>IF(AND('Mapa final'!$AB$25="Media",'Mapa final'!$AD$25="Menor"),CONCATENATE("R3C",'Mapa final'!$R$25),"")</f>
        <v/>
      </c>
      <c r="T28" s="50" t="str">
        <f>IF(AND('Mapa final'!$AB$26="Media",'Mapa final'!$AD$26="Menor"),CONCATENATE("R3C",'Mapa final'!$R$26),"")</f>
        <v/>
      </c>
      <c r="U28" s="51" t="str">
        <f>IF(AND('Mapa final'!$AB$27="Media",'Mapa final'!$AD$27="Menor"),CONCATENATE("R3C",'Mapa final'!$R$27),"")</f>
        <v/>
      </c>
      <c r="V28" s="49" t="str">
        <f>IF(AND('Mapa final'!$AB$22="Media",'Mapa final'!$AD$22="Moderado"),CONCATENATE("R3C",'Mapa final'!$R$22),"")</f>
        <v/>
      </c>
      <c r="W28" s="50" t="str">
        <f>IF(AND('Mapa final'!$AB$23="Media",'Mapa final'!$AD$23="Moderado"),CONCATENATE("R3C",'Mapa final'!$R$23),"")</f>
        <v/>
      </c>
      <c r="X28" s="50" t="str">
        <f>IF(AND('Mapa final'!$AB$24="Media",'Mapa final'!$AD$24="Moderado"),CONCATENATE("R3C",'Mapa final'!$R$24),"")</f>
        <v/>
      </c>
      <c r="Y28" s="50" t="str">
        <f>IF(AND('Mapa final'!$AB$25="Media",'Mapa final'!$AD$25="Moderado"),CONCATENATE("R3C",'Mapa final'!$R$25),"")</f>
        <v/>
      </c>
      <c r="Z28" s="50" t="str">
        <f>IF(AND('Mapa final'!$AB$26="Media",'Mapa final'!$AD$26="Moderado"),CONCATENATE("R3C",'Mapa final'!$R$26),"")</f>
        <v/>
      </c>
      <c r="AA28" s="51" t="str">
        <f>IF(AND('Mapa final'!$AB$27="Media",'Mapa final'!$AD$27="Moderado"),CONCATENATE("R3C",'Mapa final'!$R$27),"")</f>
        <v/>
      </c>
      <c r="AB28" s="34" t="str">
        <f>IF(AND('Mapa final'!$AB$22="Media",'Mapa final'!$AD$22="Mayor"),CONCATENATE("R3C",'Mapa final'!$R$22),"")</f>
        <v/>
      </c>
      <c r="AC28" s="35" t="str">
        <f>IF(AND('Mapa final'!$AB$23="Media",'Mapa final'!$AD$23="Mayor"),CONCATENATE("R3C",'Mapa final'!$R$23),"")</f>
        <v/>
      </c>
      <c r="AD28" s="35" t="str">
        <f>IF(AND('Mapa final'!$AB$24="Media",'Mapa final'!$AD$24="Mayor"),CONCATENATE("R3C",'Mapa final'!$R$24),"")</f>
        <v/>
      </c>
      <c r="AE28" s="35" t="str">
        <f>IF(AND('Mapa final'!$AB$25="Media",'Mapa final'!$AD$25="Mayor"),CONCATENATE("R3C",'Mapa final'!$R$25),"")</f>
        <v/>
      </c>
      <c r="AF28" s="35" t="str">
        <f>IF(AND('Mapa final'!$AB$26="Media",'Mapa final'!$AD$26="Mayor"),CONCATENATE("R3C",'Mapa final'!$R$26),"")</f>
        <v/>
      </c>
      <c r="AG28" s="36" t="str">
        <f>IF(AND('Mapa final'!$AB$27="Media",'Mapa final'!$AD$27="Mayor"),CONCATENATE("R3C",'Mapa final'!$R$27),"")</f>
        <v/>
      </c>
      <c r="AH28" s="37" t="str">
        <f>IF(AND('Mapa final'!$AB$22="Media",'Mapa final'!$AD$22="Catastrófico"),CONCATENATE("R3C",'Mapa final'!$R$22),"")</f>
        <v/>
      </c>
      <c r="AI28" s="38" t="str">
        <f>IF(AND('Mapa final'!$AB$23="Media",'Mapa final'!$AD$23="Catastrófico"),CONCATENATE("R3C",'Mapa final'!$R$23),"")</f>
        <v/>
      </c>
      <c r="AJ28" s="38" t="str">
        <f>IF(AND('Mapa final'!$AB$24="Media",'Mapa final'!$AD$24="Catastrófico"),CONCATENATE("R3C",'Mapa final'!$R$24),"")</f>
        <v/>
      </c>
      <c r="AK28" s="38" t="str">
        <f>IF(AND('Mapa final'!$AB$25="Media",'Mapa final'!$AD$25="Catastrófico"),CONCATENATE("R3C",'Mapa final'!$R$25),"")</f>
        <v/>
      </c>
      <c r="AL28" s="38" t="str">
        <f>IF(AND('Mapa final'!$AB$26="Media",'Mapa final'!$AD$26="Catastrófico"),CONCATENATE("R3C",'Mapa final'!$R$26),"")</f>
        <v/>
      </c>
      <c r="AM28" s="39" t="str">
        <f>IF(AND('Mapa final'!$AB$27="Media",'Mapa final'!$AD$27="Catastrófico"),CONCATENATE("R3C",'Mapa final'!$R$27),"")</f>
        <v/>
      </c>
      <c r="AN28" s="65"/>
      <c r="AO28" s="875"/>
      <c r="AP28" s="876"/>
      <c r="AQ28" s="876"/>
      <c r="AR28" s="876"/>
      <c r="AS28" s="876"/>
      <c r="AT28" s="877"/>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row>
    <row r="29" spans="1:76" ht="15" customHeight="1" x14ac:dyDescent="0.3">
      <c r="A29" s="65"/>
      <c r="B29" s="794"/>
      <c r="C29" s="794"/>
      <c r="D29" s="795"/>
      <c r="E29" s="835"/>
      <c r="F29" s="836"/>
      <c r="G29" s="836"/>
      <c r="H29" s="836"/>
      <c r="I29" s="837"/>
      <c r="J29" s="49" t="str">
        <f>IF(AND('Mapa final'!$AB$28="Media",'Mapa final'!$AD$28="Leve"),CONCATENATE("R4C",'Mapa final'!$R$28),"")</f>
        <v/>
      </c>
      <c r="K29" s="50" t="e">
        <f>IF(AND('Mapa final'!#REF!="Media",'Mapa final'!#REF!="Leve"),CONCATENATE("R4C",'Mapa final'!#REF!),"")</f>
        <v>#REF!</v>
      </c>
      <c r="L29" s="50" t="str">
        <f>IF(AND('Mapa final'!$AB$29="Media",'Mapa final'!$AD$29="Leve"),CONCATENATE("R4C",'Mapa final'!$R$29),"")</f>
        <v/>
      </c>
      <c r="M29" s="50" t="str">
        <f>IF(AND('Mapa final'!$AB$30="Media",'Mapa final'!$AD$30="Leve"),CONCATENATE("R4C",'Mapa final'!$R$30),"")</f>
        <v/>
      </c>
      <c r="N29" s="50" t="str">
        <f>IF(AND('Mapa final'!$AB$31="Media",'Mapa final'!$AD$31="Leve"),CONCATENATE("R4C",'Mapa final'!$R$31),"")</f>
        <v/>
      </c>
      <c r="O29" s="51" t="str">
        <f>IF(AND('Mapa final'!$AB$32="Media",'Mapa final'!$AD$32="Leve"),CONCATENATE("R4C",'Mapa final'!$R$32),"")</f>
        <v/>
      </c>
      <c r="P29" s="49" t="str">
        <f>IF(AND('Mapa final'!$AB$28="Media",'Mapa final'!$AD$28="Menor"),CONCATENATE("R4C",'Mapa final'!$R$28),"")</f>
        <v/>
      </c>
      <c r="Q29" s="50" t="e">
        <f>IF(AND('Mapa final'!#REF!="Media",'Mapa final'!#REF!="Menor"),CONCATENATE("R4C",'Mapa final'!#REF!),"")</f>
        <v>#REF!</v>
      </c>
      <c r="R29" s="50" t="str">
        <f>IF(AND('Mapa final'!$AB$29="Media",'Mapa final'!$AD$29="Menor"),CONCATENATE("R4C",'Mapa final'!$R$29),"")</f>
        <v/>
      </c>
      <c r="S29" s="50" t="str">
        <f>IF(AND('Mapa final'!$AB$30="Media",'Mapa final'!$AD$30="Menor"),CONCATENATE("R4C",'Mapa final'!$R$30),"")</f>
        <v/>
      </c>
      <c r="T29" s="50" t="str">
        <f>IF(AND('Mapa final'!$AB$31="Media",'Mapa final'!$AD$31="Menor"),CONCATENATE("R4C",'Mapa final'!$R$31),"")</f>
        <v/>
      </c>
      <c r="U29" s="51" t="str">
        <f>IF(AND('Mapa final'!$AB$32="Media",'Mapa final'!$AD$32="Menor"),CONCATENATE("R4C",'Mapa final'!$R$32),"")</f>
        <v/>
      </c>
      <c r="V29" s="49" t="str">
        <f>IF(AND('Mapa final'!$AB$28="Media",'Mapa final'!$AD$28="Moderado"),CONCATENATE("R4C",'Mapa final'!$R$28),"")</f>
        <v/>
      </c>
      <c r="W29" s="50" t="e">
        <f>IF(AND('Mapa final'!#REF!="Media",'Mapa final'!#REF!="Moderado"),CONCATENATE("R4C",'Mapa final'!#REF!),"")</f>
        <v>#REF!</v>
      </c>
      <c r="X29" s="50" t="str">
        <f>IF(AND('Mapa final'!$AB$29="Media",'Mapa final'!$AD$29="Moderado"),CONCATENATE("R4C",'Mapa final'!$R$29),"")</f>
        <v/>
      </c>
      <c r="Y29" s="50" t="str">
        <f>IF(AND('Mapa final'!$AB$30="Media",'Mapa final'!$AD$30="Moderado"),CONCATENATE("R4C",'Mapa final'!$R$30),"")</f>
        <v/>
      </c>
      <c r="Z29" s="50" t="str">
        <f>IF(AND('Mapa final'!$AB$31="Media",'Mapa final'!$AD$31="Moderado"),CONCATENATE("R4C",'Mapa final'!$R$31),"")</f>
        <v/>
      </c>
      <c r="AA29" s="51" t="str">
        <f>IF(AND('Mapa final'!$AB$32="Media",'Mapa final'!$AD$32="Moderado"),CONCATENATE("R4C",'Mapa final'!$R$32),"")</f>
        <v/>
      </c>
      <c r="AB29" s="34" t="str">
        <f>IF(AND('Mapa final'!$AB$28="Media",'Mapa final'!$AD$28="Mayor"),CONCATENATE("R4C",'Mapa final'!$R$28),"")</f>
        <v/>
      </c>
      <c r="AC29" s="35" t="e">
        <f>IF(AND('Mapa final'!#REF!="Media",'Mapa final'!#REF!="Mayor"),CONCATENATE("R4C",'Mapa final'!#REF!),"")</f>
        <v>#REF!</v>
      </c>
      <c r="AD29" s="35" t="str">
        <f>IF(AND('Mapa final'!$AB$29="Media",'Mapa final'!$AD$29="Mayor"),CONCATENATE("R4C",'Mapa final'!$R$29),"")</f>
        <v/>
      </c>
      <c r="AE29" s="35" t="str">
        <f>IF(AND('Mapa final'!$AB$30="Media",'Mapa final'!$AD$30="Mayor"),CONCATENATE("R4C",'Mapa final'!$R$30),"")</f>
        <v/>
      </c>
      <c r="AF29" s="35" t="str">
        <f>IF(AND('Mapa final'!$AB$31="Media",'Mapa final'!$AD$31="Mayor"),CONCATENATE("R4C",'Mapa final'!$R$31),"")</f>
        <v/>
      </c>
      <c r="AG29" s="36" t="str">
        <f>IF(AND('Mapa final'!$AB$32="Media",'Mapa final'!$AD$32="Mayor"),CONCATENATE("R4C",'Mapa final'!$R$32),"")</f>
        <v/>
      </c>
      <c r="AH29" s="37" t="str">
        <f>IF(AND('Mapa final'!$AB$28="Media",'Mapa final'!$AD$28="Catastrófico"),CONCATENATE("R4C",'Mapa final'!$R$28),"")</f>
        <v/>
      </c>
      <c r="AI29" s="38" t="e">
        <f>IF(AND('Mapa final'!#REF!="Media",'Mapa final'!#REF!="Catastrófico"),CONCATENATE("R4C",'Mapa final'!#REF!),"")</f>
        <v>#REF!</v>
      </c>
      <c r="AJ29" s="38" t="str">
        <f>IF(AND('Mapa final'!$AB$29="Media",'Mapa final'!$AD$29="Catastrófico"),CONCATENATE("R4C",'Mapa final'!$R$29),"")</f>
        <v/>
      </c>
      <c r="AK29" s="38" t="str">
        <f>IF(AND('Mapa final'!$AB$30="Media",'Mapa final'!$AD$30="Catastrófico"),CONCATENATE("R4C",'Mapa final'!$R$30),"")</f>
        <v/>
      </c>
      <c r="AL29" s="38" t="str">
        <f>IF(AND('Mapa final'!$AB$31="Media",'Mapa final'!$AD$31="Catastrófico"),CONCATENATE("R4C",'Mapa final'!$R$31),"")</f>
        <v/>
      </c>
      <c r="AM29" s="39" t="str">
        <f>IF(AND('Mapa final'!$AB$32="Media",'Mapa final'!$AD$32="Catastrófico"),CONCATENATE("R4C",'Mapa final'!$R$32),"")</f>
        <v/>
      </c>
      <c r="AN29" s="65"/>
      <c r="AO29" s="875"/>
      <c r="AP29" s="876"/>
      <c r="AQ29" s="876"/>
      <c r="AR29" s="876"/>
      <c r="AS29" s="876"/>
      <c r="AT29" s="877"/>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row>
    <row r="30" spans="1:76" ht="15" customHeight="1" x14ac:dyDescent="0.3">
      <c r="A30" s="65"/>
      <c r="B30" s="794"/>
      <c r="C30" s="794"/>
      <c r="D30" s="795"/>
      <c r="E30" s="835"/>
      <c r="F30" s="836"/>
      <c r="G30" s="836"/>
      <c r="H30" s="836"/>
      <c r="I30" s="837"/>
      <c r="J30" s="49" t="str">
        <f>IF(AND('Mapa final'!$AB$33="Media",'Mapa final'!$AD$33="Leve"),CONCATENATE("R5C",'Mapa final'!$R$33),"")</f>
        <v/>
      </c>
      <c r="K30" s="50" t="str">
        <f>IF(AND('Mapa final'!$AB$34="Media",'Mapa final'!$AD$34="Leve"),CONCATENATE("R5C",'Mapa final'!$R$34),"")</f>
        <v/>
      </c>
      <c r="L30" s="50" t="str">
        <f>IF(AND('Mapa final'!$AB$35="Media",'Mapa final'!$AD$35="Leve"),CONCATENATE("R5C",'Mapa final'!$R$35),"")</f>
        <v/>
      </c>
      <c r="M30" s="50" t="str">
        <f>IF(AND('Mapa final'!$AB$36="Media",'Mapa final'!$AD$36="Leve"),CONCATENATE("R5C",'Mapa final'!$R$36),"")</f>
        <v/>
      </c>
      <c r="N30" s="50" t="str">
        <f>IF(AND('Mapa final'!$AB$37="Media",'Mapa final'!$AD$37="Leve"),CONCATENATE("R5C",'Mapa final'!$R$37),"")</f>
        <v/>
      </c>
      <c r="O30" s="51" t="str">
        <f>IF(AND('Mapa final'!$AB$38="Media",'Mapa final'!$AD$38="Leve"),CONCATENATE("R5C",'Mapa final'!$R$38),"")</f>
        <v/>
      </c>
      <c r="P30" s="49" t="str">
        <f>IF(AND('Mapa final'!$AB$33="Media",'Mapa final'!$AD$33="Menor"),CONCATENATE("R5C",'Mapa final'!$R$33),"")</f>
        <v/>
      </c>
      <c r="Q30" s="50" t="str">
        <f>IF(AND('Mapa final'!$AB$34="Media",'Mapa final'!$AD$34="Menor"),CONCATENATE("R5C",'Mapa final'!$R$34),"")</f>
        <v/>
      </c>
      <c r="R30" s="50" t="str">
        <f>IF(AND('Mapa final'!$AB$35="Media",'Mapa final'!$AD$35="Menor"),CONCATENATE("R5C",'Mapa final'!$R$35),"")</f>
        <v/>
      </c>
      <c r="S30" s="50" t="str">
        <f>IF(AND('Mapa final'!$AB$36="Media",'Mapa final'!$AD$36="Menor"),CONCATENATE("R5C",'Mapa final'!$R$36),"")</f>
        <v/>
      </c>
      <c r="T30" s="50" t="str">
        <f>IF(AND('Mapa final'!$AB$37="Media",'Mapa final'!$AD$37="Menor"),CONCATENATE("R5C",'Mapa final'!$R$37),"")</f>
        <v/>
      </c>
      <c r="U30" s="51" t="str">
        <f>IF(AND('Mapa final'!$AB$38="Media",'Mapa final'!$AD$38="Menor"),CONCATENATE("R5C",'Mapa final'!$R$38),"")</f>
        <v/>
      </c>
      <c r="V30" s="49" t="str">
        <f>IF(AND('Mapa final'!$AB$33="Media",'Mapa final'!$AD$33="Moderado"),CONCATENATE("R5C",'Mapa final'!$R$33),"")</f>
        <v/>
      </c>
      <c r="W30" s="50" t="str">
        <f>IF(AND('Mapa final'!$AB$34="Media",'Mapa final'!$AD$34="Moderado"),CONCATENATE("R5C",'Mapa final'!$R$34),"")</f>
        <v/>
      </c>
      <c r="X30" s="50" t="str">
        <f>IF(AND('Mapa final'!$AB$35="Media",'Mapa final'!$AD$35="Moderado"),CONCATENATE("R5C",'Mapa final'!$R$35),"")</f>
        <v/>
      </c>
      <c r="Y30" s="50" t="str">
        <f>IF(AND('Mapa final'!$AB$36="Media",'Mapa final'!$AD$36="Moderado"),CONCATENATE("R5C",'Mapa final'!$R$36),"")</f>
        <v/>
      </c>
      <c r="Z30" s="50" t="str">
        <f>IF(AND('Mapa final'!$AB$37="Media",'Mapa final'!$AD$37="Moderado"),CONCATENATE("R5C",'Mapa final'!$R$37),"")</f>
        <v/>
      </c>
      <c r="AA30" s="51" t="str">
        <f>IF(AND('Mapa final'!$AB$38="Media",'Mapa final'!$AD$38="Moderado"),CONCATENATE("R5C",'Mapa final'!$R$38),"")</f>
        <v/>
      </c>
      <c r="AB30" s="34" t="str">
        <f>IF(AND('Mapa final'!$AB$33="Media",'Mapa final'!$AD$33="Mayor"),CONCATENATE("R5C",'Mapa final'!$R$33),"")</f>
        <v/>
      </c>
      <c r="AC30" s="35" t="str">
        <f>IF(AND('Mapa final'!$AB$34="Media",'Mapa final'!$AD$34="Mayor"),CONCATENATE("R5C",'Mapa final'!$R$34),"")</f>
        <v/>
      </c>
      <c r="AD30" s="35" t="str">
        <f>IF(AND('Mapa final'!$AB$35="Media",'Mapa final'!$AD$35="Mayor"),CONCATENATE("R5C",'Mapa final'!$R$35),"")</f>
        <v/>
      </c>
      <c r="AE30" s="35" t="str">
        <f>IF(AND('Mapa final'!$AB$36="Media",'Mapa final'!$AD$36="Mayor"),CONCATENATE("R5C",'Mapa final'!$R$36),"")</f>
        <v/>
      </c>
      <c r="AF30" s="35" t="str">
        <f>IF(AND('Mapa final'!$AB$37="Media",'Mapa final'!$AD$37="Mayor"),CONCATENATE("R5C",'Mapa final'!$R$37),"")</f>
        <v/>
      </c>
      <c r="AG30" s="36" t="str">
        <f>IF(AND('Mapa final'!$AB$38="Media",'Mapa final'!$AD$38="Mayor"),CONCATENATE("R5C",'Mapa final'!$R$38),"")</f>
        <v/>
      </c>
      <c r="AH30" s="37" t="str">
        <f>IF(AND('Mapa final'!$AB$33="Media",'Mapa final'!$AD$33="Catastrófico"),CONCATENATE("R5C",'Mapa final'!$R$33),"")</f>
        <v/>
      </c>
      <c r="AI30" s="38" t="str">
        <f>IF(AND('Mapa final'!$AB$34="Media",'Mapa final'!$AD$34="Catastrófico"),CONCATENATE("R5C",'Mapa final'!$R$34),"")</f>
        <v/>
      </c>
      <c r="AJ30" s="38" t="str">
        <f>IF(AND('Mapa final'!$AB$35="Media",'Mapa final'!$AD$35="Catastrófico"),CONCATENATE("R5C",'Mapa final'!$R$35),"")</f>
        <v/>
      </c>
      <c r="AK30" s="38" t="str">
        <f>IF(AND('Mapa final'!$AB$36="Media",'Mapa final'!$AD$36="Catastrófico"),CONCATENATE("R5C",'Mapa final'!$R$36),"")</f>
        <v/>
      </c>
      <c r="AL30" s="38" t="str">
        <f>IF(AND('Mapa final'!$AB$37="Media",'Mapa final'!$AD$37="Catastrófico"),CONCATENATE("R5C",'Mapa final'!$R$37),"")</f>
        <v/>
      </c>
      <c r="AM30" s="39" t="str">
        <f>IF(AND('Mapa final'!$AB$38="Media",'Mapa final'!$AD$38="Catastrófico"),CONCATENATE("R5C",'Mapa final'!$R$38),"")</f>
        <v/>
      </c>
      <c r="AN30" s="65"/>
      <c r="AO30" s="875"/>
      <c r="AP30" s="876"/>
      <c r="AQ30" s="876"/>
      <c r="AR30" s="876"/>
      <c r="AS30" s="876"/>
      <c r="AT30" s="877"/>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row>
    <row r="31" spans="1:76" ht="15" customHeight="1" x14ac:dyDescent="0.3">
      <c r="A31" s="65"/>
      <c r="B31" s="794"/>
      <c r="C31" s="794"/>
      <c r="D31" s="795"/>
      <c r="E31" s="835"/>
      <c r="F31" s="836"/>
      <c r="G31" s="836"/>
      <c r="H31" s="836"/>
      <c r="I31" s="837"/>
      <c r="J31" s="49" t="str">
        <f>IF(AND('Mapa final'!$AB$39="Media",'Mapa final'!$AD$39="Leve"),CONCATENATE("R6C",'Mapa final'!$R$39),"")</f>
        <v/>
      </c>
      <c r="K31" s="50" t="str">
        <f>IF(AND('Mapa final'!$AB$40="Media",'Mapa final'!$AD$40="Leve"),CONCATENATE("R6C",'Mapa final'!$R$40),"")</f>
        <v/>
      </c>
      <c r="L31" s="50" t="str">
        <f>IF(AND('Mapa final'!$AB$41="Media",'Mapa final'!$AD$41="Leve"),CONCATENATE("R6C",'Mapa final'!$R$41),"")</f>
        <v/>
      </c>
      <c r="M31" s="50" t="str">
        <f>IF(AND('Mapa final'!$AB$42="Media",'Mapa final'!$AD$42="Leve"),CONCATENATE("R6C",'Mapa final'!$R$42),"")</f>
        <v/>
      </c>
      <c r="N31" s="50" t="str">
        <f>IF(AND('Mapa final'!$AB$43="Media",'Mapa final'!$AD$43="Leve"),CONCATENATE("R6C",'Mapa final'!$R$43),"")</f>
        <v/>
      </c>
      <c r="O31" s="51" t="str">
        <f>IF(AND('Mapa final'!$AB$44="Media",'Mapa final'!$AD$44="Leve"),CONCATENATE("R6C",'Mapa final'!$R$44),"")</f>
        <v/>
      </c>
      <c r="P31" s="49" t="str">
        <f>IF(AND('Mapa final'!$AB$39="Media",'Mapa final'!$AD$39="Menor"),CONCATENATE("R6C",'Mapa final'!$R$39),"")</f>
        <v/>
      </c>
      <c r="Q31" s="50" t="str">
        <f>IF(AND('Mapa final'!$AB$40="Media",'Mapa final'!$AD$40="Menor"),CONCATENATE("R6C",'Mapa final'!$R$40),"")</f>
        <v/>
      </c>
      <c r="R31" s="50" t="str">
        <f>IF(AND('Mapa final'!$AB$41="Media",'Mapa final'!$AD$41="Menor"),CONCATENATE("R6C",'Mapa final'!$R$41),"")</f>
        <v/>
      </c>
      <c r="S31" s="50" t="str">
        <f>IF(AND('Mapa final'!$AB$42="Media",'Mapa final'!$AD$42="Menor"),CONCATENATE("R6C",'Mapa final'!$R$42),"")</f>
        <v/>
      </c>
      <c r="T31" s="50" t="str">
        <f>IF(AND('Mapa final'!$AB$43="Media",'Mapa final'!$AD$43="Menor"),CONCATENATE("R6C",'Mapa final'!$R$43),"")</f>
        <v/>
      </c>
      <c r="U31" s="51" t="str">
        <f>IF(AND('Mapa final'!$AB$44="Media",'Mapa final'!$AD$44="Menor"),CONCATENATE("R6C",'Mapa final'!$R$44),"")</f>
        <v/>
      </c>
      <c r="V31" s="49" t="str">
        <f>IF(AND('Mapa final'!$AB$39="Media",'Mapa final'!$AD$39="Moderado"),CONCATENATE("R6C",'Mapa final'!$R$39),"")</f>
        <v/>
      </c>
      <c r="W31" s="50" t="str">
        <f>IF(AND('Mapa final'!$AB$40="Media",'Mapa final'!$AD$40="Moderado"),CONCATENATE("R6C",'Mapa final'!$R$40),"")</f>
        <v/>
      </c>
      <c r="X31" s="50" t="str">
        <f>IF(AND('Mapa final'!$AB$41="Media",'Mapa final'!$AD$41="Moderado"),CONCATENATE("R6C",'Mapa final'!$R$41),"")</f>
        <v/>
      </c>
      <c r="Y31" s="50" t="str">
        <f>IF(AND('Mapa final'!$AB$42="Media",'Mapa final'!$AD$42="Moderado"),CONCATENATE("R6C",'Mapa final'!$R$42),"")</f>
        <v/>
      </c>
      <c r="Z31" s="50" t="str">
        <f>IF(AND('Mapa final'!$AB$43="Media",'Mapa final'!$AD$43="Moderado"),CONCATENATE("R6C",'Mapa final'!$R$43),"")</f>
        <v/>
      </c>
      <c r="AA31" s="51" t="str">
        <f>IF(AND('Mapa final'!$AB$44="Media",'Mapa final'!$AD$44="Moderado"),CONCATENATE("R6C",'Mapa final'!$R$44),"")</f>
        <v/>
      </c>
      <c r="AB31" s="34" t="str">
        <f>IF(AND('Mapa final'!$AB$39="Media",'Mapa final'!$AD$39="Mayor"),CONCATENATE("R6C",'Mapa final'!$R$39),"")</f>
        <v>R6C1</v>
      </c>
      <c r="AC31" s="35" t="str">
        <f>IF(AND('Mapa final'!$AB$40="Media",'Mapa final'!$AD$40="Mayor"),CONCATENATE("R6C",'Mapa final'!$R$40),"")</f>
        <v/>
      </c>
      <c r="AD31" s="35" t="str">
        <f>IF(AND('Mapa final'!$AB$41="Media",'Mapa final'!$AD$41="Mayor"),CONCATENATE("R6C",'Mapa final'!$R$41),"")</f>
        <v/>
      </c>
      <c r="AE31" s="35" t="str">
        <f>IF(AND('Mapa final'!$AB$42="Media",'Mapa final'!$AD$42="Mayor"),CONCATENATE("R6C",'Mapa final'!$R$42),"")</f>
        <v/>
      </c>
      <c r="AF31" s="35" t="str">
        <f>IF(AND('Mapa final'!$AB$43="Media",'Mapa final'!$AD$43="Mayor"),CONCATENATE("R6C",'Mapa final'!$R$43),"")</f>
        <v/>
      </c>
      <c r="AG31" s="36" t="str">
        <f>IF(AND('Mapa final'!$AB$44="Media",'Mapa final'!$AD$44="Mayor"),CONCATENATE("R6C",'Mapa final'!$R$44),"")</f>
        <v/>
      </c>
      <c r="AH31" s="37" t="str">
        <f>IF(AND('Mapa final'!$AB$39="Media",'Mapa final'!$AD$39="Catastrófico"),CONCATENATE("R6C",'Mapa final'!$R$39),"")</f>
        <v/>
      </c>
      <c r="AI31" s="38" t="str">
        <f>IF(AND('Mapa final'!$AB$40="Media",'Mapa final'!$AD$40="Catastrófico"),CONCATENATE("R6C",'Mapa final'!$R$40),"")</f>
        <v/>
      </c>
      <c r="AJ31" s="38" t="str">
        <f>IF(AND('Mapa final'!$AB$41="Media",'Mapa final'!$AD$41="Catastrófico"),CONCATENATE("R6C",'Mapa final'!$R$41),"")</f>
        <v/>
      </c>
      <c r="AK31" s="38" t="str">
        <f>IF(AND('Mapa final'!$AB$42="Media",'Mapa final'!$AD$42="Catastrófico"),CONCATENATE("R6C",'Mapa final'!$R$42),"")</f>
        <v/>
      </c>
      <c r="AL31" s="38" t="str">
        <f>IF(AND('Mapa final'!$AB$43="Media",'Mapa final'!$AD$43="Catastrófico"),CONCATENATE("R6C",'Mapa final'!$R$43),"")</f>
        <v/>
      </c>
      <c r="AM31" s="39" t="str">
        <f>IF(AND('Mapa final'!$AB$44="Media",'Mapa final'!$AD$44="Catastrófico"),CONCATENATE("R6C",'Mapa final'!$R$44),"")</f>
        <v/>
      </c>
      <c r="AN31" s="65"/>
      <c r="AO31" s="875"/>
      <c r="AP31" s="876"/>
      <c r="AQ31" s="876"/>
      <c r="AR31" s="876"/>
      <c r="AS31" s="876"/>
      <c r="AT31" s="877"/>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row>
    <row r="32" spans="1:76" ht="15" customHeight="1" x14ac:dyDescent="0.3">
      <c r="A32" s="65"/>
      <c r="B32" s="794"/>
      <c r="C32" s="794"/>
      <c r="D32" s="795"/>
      <c r="E32" s="835"/>
      <c r="F32" s="836"/>
      <c r="G32" s="836"/>
      <c r="H32" s="836"/>
      <c r="I32" s="837"/>
      <c r="J32" s="49" t="str">
        <f>IF(AND('Mapa final'!$AB$45="Media",'Mapa final'!$AD$45="Leve"),CONCATENATE("R7C",'Mapa final'!$R$45),"")</f>
        <v/>
      </c>
      <c r="K32" s="50" t="str">
        <f>IF(AND('Mapa final'!$AB$46="Media",'Mapa final'!$AD$46="Leve"),CONCATENATE("R7C",'Mapa final'!$R$46),"")</f>
        <v/>
      </c>
      <c r="L32" s="50" t="str">
        <f>IF(AND('Mapa final'!$AB$47="Media",'Mapa final'!$AD$47="Leve"),CONCATENATE("R7C",'Mapa final'!$R$47),"")</f>
        <v/>
      </c>
      <c r="M32" s="50" t="str">
        <f>IF(AND('Mapa final'!$AB$48="Media",'Mapa final'!$AD$48="Leve"),CONCATENATE("R7C",'Mapa final'!$R$48),"")</f>
        <v/>
      </c>
      <c r="N32" s="50" t="str">
        <f>IF(AND('Mapa final'!$AB$49="Media",'Mapa final'!$AD$49="Leve"),CONCATENATE("R7C",'Mapa final'!$R$49),"")</f>
        <v/>
      </c>
      <c r="O32" s="51" t="str">
        <f>IF(AND('Mapa final'!$AB$50="Media",'Mapa final'!$AD$50="Leve"),CONCATENATE("R7C",'Mapa final'!$R$50),"")</f>
        <v/>
      </c>
      <c r="P32" s="49" t="str">
        <f>IF(AND('Mapa final'!$AB$45="Media",'Mapa final'!$AD$45="Menor"),CONCATENATE("R7C",'Mapa final'!$R$45),"")</f>
        <v/>
      </c>
      <c r="Q32" s="50" t="str">
        <f>IF(AND('Mapa final'!$AB$46="Media",'Mapa final'!$AD$46="Menor"),CONCATENATE("R7C",'Mapa final'!$R$46),"")</f>
        <v/>
      </c>
      <c r="R32" s="50" t="str">
        <f>IF(AND('Mapa final'!$AB$47="Media",'Mapa final'!$AD$47="Menor"),CONCATENATE("R7C",'Mapa final'!$R$47),"")</f>
        <v/>
      </c>
      <c r="S32" s="50" t="str">
        <f>IF(AND('Mapa final'!$AB$48="Media",'Mapa final'!$AD$48="Menor"),CONCATENATE("R7C",'Mapa final'!$R$48),"")</f>
        <v/>
      </c>
      <c r="T32" s="50" t="str">
        <f>IF(AND('Mapa final'!$AB$49="Media",'Mapa final'!$AD$49="Menor"),CONCATENATE("R7C",'Mapa final'!$R$49),"")</f>
        <v/>
      </c>
      <c r="U32" s="51" t="str">
        <f>IF(AND('Mapa final'!$AB$50="Media",'Mapa final'!$AD$50="Menor"),CONCATENATE("R7C",'Mapa final'!$R$50),"")</f>
        <v/>
      </c>
      <c r="V32" s="49" t="str">
        <f>IF(AND('Mapa final'!$AB$45="Media",'Mapa final'!$AD$45="Moderado"),CONCATENATE("R7C",'Mapa final'!$R$45),"")</f>
        <v/>
      </c>
      <c r="W32" s="50" t="str">
        <f>IF(AND('Mapa final'!$AB$46="Media",'Mapa final'!$AD$46="Moderado"),CONCATENATE("R7C",'Mapa final'!$R$46),"")</f>
        <v/>
      </c>
      <c r="X32" s="50" t="str">
        <f>IF(AND('Mapa final'!$AB$47="Media",'Mapa final'!$AD$47="Moderado"),CONCATENATE("R7C",'Mapa final'!$R$47),"")</f>
        <v/>
      </c>
      <c r="Y32" s="50" t="str">
        <f>IF(AND('Mapa final'!$AB$48="Media",'Mapa final'!$AD$48="Moderado"),CONCATENATE("R7C",'Mapa final'!$R$48),"")</f>
        <v/>
      </c>
      <c r="Z32" s="50" t="str">
        <f>IF(AND('Mapa final'!$AB$49="Media",'Mapa final'!$AD$49="Moderado"),CONCATENATE("R7C",'Mapa final'!$R$49),"")</f>
        <v/>
      </c>
      <c r="AA32" s="51" t="str">
        <f>IF(AND('Mapa final'!$AB$50="Media",'Mapa final'!$AD$50="Moderado"),CONCATENATE("R7C",'Mapa final'!$R$50),"")</f>
        <v/>
      </c>
      <c r="AB32" s="34" t="str">
        <f>IF(AND('Mapa final'!$AB$45="Media",'Mapa final'!$AD$45="Mayor"),CONCATENATE("R7C",'Mapa final'!$R$45),"")</f>
        <v/>
      </c>
      <c r="AC32" s="35" t="str">
        <f>IF(AND('Mapa final'!$AB$46="Media",'Mapa final'!$AD$46="Mayor"),CONCATENATE("R7C",'Mapa final'!$R$46),"")</f>
        <v/>
      </c>
      <c r="AD32" s="35" t="str">
        <f>IF(AND('Mapa final'!$AB$47="Media",'Mapa final'!$AD$47="Mayor"),CONCATENATE("R7C",'Mapa final'!$R$47),"")</f>
        <v/>
      </c>
      <c r="AE32" s="35" t="str">
        <f>IF(AND('Mapa final'!$AB$48="Media",'Mapa final'!$AD$48="Mayor"),CONCATENATE("R7C",'Mapa final'!$R$48),"")</f>
        <v/>
      </c>
      <c r="AF32" s="35" t="str">
        <f>IF(AND('Mapa final'!$AB$49="Media",'Mapa final'!$AD$49="Mayor"),CONCATENATE("R7C",'Mapa final'!$R$49),"")</f>
        <v/>
      </c>
      <c r="AG32" s="36" t="str">
        <f>IF(AND('Mapa final'!$AB$50="Media",'Mapa final'!$AD$50="Mayor"),CONCATENATE("R7C",'Mapa final'!$R$50),"")</f>
        <v/>
      </c>
      <c r="AH32" s="37" t="str">
        <f>IF(AND('Mapa final'!$AB$45="Media",'Mapa final'!$AD$45="Catastrófico"),CONCATENATE("R7C",'Mapa final'!$R$45),"")</f>
        <v/>
      </c>
      <c r="AI32" s="38" t="str">
        <f>IF(AND('Mapa final'!$AB$46="Media",'Mapa final'!$AD$46="Catastrófico"),CONCATENATE("R7C",'Mapa final'!$R$46),"")</f>
        <v/>
      </c>
      <c r="AJ32" s="38" t="str">
        <f>IF(AND('Mapa final'!$AB$47="Media",'Mapa final'!$AD$47="Catastrófico"),CONCATENATE("R7C",'Mapa final'!$R$47),"")</f>
        <v/>
      </c>
      <c r="AK32" s="38" t="str">
        <f>IF(AND('Mapa final'!$AB$48="Media",'Mapa final'!$AD$48="Catastrófico"),CONCATENATE("R7C",'Mapa final'!$R$48),"")</f>
        <v/>
      </c>
      <c r="AL32" s="38" t="str">
        <f>IF(AND('Mapa final'!$AB$49="Media",'Mapa final'!$AD$49="Catastrófico"),CONCATENATE("R7C",'Mapa final'!$R$49),"")</f>
        <v/>
      </c>
      <c r="AM32" s="39" t="str">
        <f>IF(AND('Mapa final'!$AB$50="Media",'Mapa final'!$AD$50="Catastrófico"),CONCATENATE("R7C",'Mapa final'!$R$50),"")</f>
        <v/>
      </c>
      <c r="AN32" s="65"/>
      <c r="AO32" s="875"/>
      <c r="AP32" s="876"/>
      <c r="AQ32" s="876"/>
      <c r="AR32" s="876"/>
      <c r="AS32" s="876"/>
      <c r="AT32" s="877"/>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row>
    <row r="33" spans="1:80" ht="15" customHeight="1" x14ac:dyDescent="0.3">
      <c r="A33" s="65"/>
      <c r="B33" s="794"/>
      <c r="C33" s="794"/>
      <c r="D33" s="795"/>
      <c r="E33" s="835"/>
      <c r="F33" s="836"/>
      <c r="G33" s="836"/>
      <c r="H33" s="836"/>
      <c r="I33" s="837"/>
      <c r="J33" s="49" t="str">
        <f>IF(AND('Mapa final'!$AB$51="Media",'Mapa final'!$AD$51="Leve"),CONCATENATE("R8C",'Mapa final'!$R$51),"")</f>
        <v/>
      </c>
      <c r="K33" s="50" t="str">
        <f>IF(AND('Mapa final'!$AB$52="Media",'Mapa final'!$AD$52="Leve"),CONCATENATE("R8C",'Mapa final'!$R$52),"")</f>
        <v/>
      </c>
      <c r="L33" s="50" t="str">
        <f>IF(AND('Mapa final'!$AB$53="Media",'Mapa final'!$AD$53="Leve"),CONCATENATE("R8C",'Mapa final'!$R$53),"")</f>
        <v/>
      </c>
      <c r="M33" s="50" t="str">
        <f>IF(AND('Mapa final'!$AB$54="Media",'Mapa final'!$AD$54="Leve"),CONCATENATE("R8C",'Mapa final'!$R$54),"")</f>
        <v/>
      </c>
      <c r="N33" s="50" t="str">
        <f>IF(AND('Mapa final'!$AB$55="Media",'Mapa final'!$AD$55="Leve"),CONCATENATE("R8C",'Mapa final'!$R$55),"")</f>
        <v/>
      </c>
      <c r="O33" s="51" t="str">
        <f>IF(AND('Mapa final'!$AB$56="Media",'Mapa final'!$AD$56="Leve"),CONCATENATE("R8C",'Mapa final'!$R$56),"")</f>
        <v/>
      </c>
      <c r="P33" s="49" t="str">
        <f>IF(AND('Mapa final'!$AB$51="Media",'Mapa final'!$AD$51="Menor"),CONCATENATE("R8C",'Mapa final'!$R$51),"")</f>
        <v/>
      </c>
      <c r="Q33" s="50" t="str">
        <f>IF(AND('Mapa final'!$AB$52="Media",'Mapa final'!$AD$52="Menor"),CONCATENATE("R8C",'Mapa final'!$R$52),"")</f>
        <v/>
      </c>
      <c r="R33" s="50" t="str">
        <f>IF(AND('Mapa final'!$AB$53="Media",'Mapa final'!$AD$53="Menor"),CONCATENATE("R8C",'Mapa final'!$R$53),"")</f>
        <v/>
      </c>
      <c r="S33" s="50" t="str">
        <f>IF(AND('Mapa final'!$AB$54="Media",'Mapa final'!$AD$54="Menor"),CONCATENATE("R8C",'Mapa final'!$R$54),"")</f>
        <v/>
      </c>
      <c r="T33" s="50" t="str">
        <f>IF(AND('Mapa final'!$AB$55="Media",'Mapa final'!$AD$55="Menor"),CONCATENATE("R8C",'Mapa final'!$R$55),"")</f>
        <v/>
      </c>
      <c r="U33" s="51" t="str">
        <f>IF(AND('Mapa final'!$AB$56="Media",'Mapa final'!$AD$56="Menor"),CONCATENATE("R8C",'Mapa final'!$R$56),"")</f>
        <v/>
      </c>
      <c r="V33" s="49" t="str">
        <f>IF(AND('Mapa final'!$AB$51="Media",'Mapa final'!$AD$51="Moderado"),CONCATENATE("R8C",'Mapa final'!$R$51),"")</f>
        <v/>
      </c>
      <c r="W33" s="50" t="str">
        <f>IF(AND('Mapa final'!$AB$52="Media",'Mapa final'!$AD$52="Moderado"),CONCATENATE("R8C",'Mapa final'!$R$52),"")</f>
        <v/>
      </c>
      <c r="X33" s="50" t="str">
        <f>IF(AND('Mapa final'!$AB$53="Media",'Mapa final'!$AD$53="Moderado"),CONCATENATE("R8C",'Mapa final'!$R$53),"")</f>
        <v/>
      </c>
      <c r="Y33" s="50" t="str">
        <f>IF(AND('Mapa final'!$AB$54="Media",'Mapa final'!$AD$54="Moderado"),CONCATENATE("R8C",'Mapa final'!$R$54),"")</f>
        <v/>
      </c>
      <c r="Z33" s="50" t="str">
        <f>IF(AND('Mapa final'!$AB$55="Media",'Mapa final'!$AD$55="Moderado"),CONCATENATE("R8C",'Mapa final'!$R$55),"")</f>
        <v/>
      </c>
      <c r="AA33" s="51" t="str">
        <f>IF(AND('Mapa final'!$AB$56="Media",'Mapa final'!$AD$56="Moderado"),CONCATENATE("R8C",'Mapa final'!$R$56),"")</f>
        <v/>
      </c>
      <c r="AB33" s="34" t="str">
        <f>IF(AND('Mapa final'!$AB$51="Media",'Mapa final'!$AD$51="Mayor"),CONCATENATE("R8C",'Mapa final'!$R$51),"")</f>
        <v/>
      </c>
      <c r="AC33" s="35" t="str">
        <f>IF(AND('Mapa final'!$AB$52="Media",'Mapa final'!$AD$52="Mayor"),CONCATENATE("R8C",'Mapa final'!$R$52),"")</f>
        <v/>
      </c>
      <c r="AD33" s="35" t="str">
        <f>IF(AND('Mapa final'!$AB$53="Media",'Mapa final'!$AD$53="Mayor"),CONCATENATE("R8C",'Mapa final'!$R$53),"")</f>
        <v/>
      </c>
      <c r="AE33" s="35" t="str">
        <f>IF(AND('Mapa final'!$AB$54="Media",'Mapa final'!$AD$54="Mayor"),CONCATENATE("R8C",'Mapa final'!$R$54),"")</f>
        <v/>
      </c>
      <c r="AF33" s="35" t="str">
        <f>IF(AND('Mapa final'!$AB$55="Media",'Mapa final'!$AD$55="Mayor"),CONCATENATE("R8C",'Mapa final'!$R$55),"")</f>
        <v/>
      </c>
      <c r="AG33" s="36" t="str">
        <f>IF(AND('Mapa final'!$AB$56="Media",'Mapa final'!$AD$56="Mayor"),CONCATENATE("R8C",'Mapa final'!$R$56),"")</f>
        <v/>
      </c>
      <c r="AH33" s="37" t="str">
        <f>IF(AND('Mapa final'!$AB$51="Media",'Mapa final'!$AD$51="Catastrófico"),CONCATENATE("R8C",'Mapa final'!$R$51),"")</f>
        <v/>
      </c>
      <c r="AI33" s="38" t="str">
        <f>IF(AND('Mapa final'!$AB$52="Media",'Mapa final'!$AD$52="Catastrófico"),CONCATENATE("R8C",'Mapa final'!$R$52),"")</f>
        <v/>
      </c>
      <c r="AJ33" s="38" t="str">
        <f>IF(AND('Mapa final'!$AB$53="Media",'Mapa final'!$AD$53="Catastrófico"),CONCATENATE("R8C",'Mapa final'!$R$53),"")</f>
        <v/>
      </c>
      <c r="AK33" s="38" t="str">
        <f>IF(AND('Mapa final'!$AB$54="Media",'Mapa final'!$AD$54="Catastrófico"),CONCATENATE("R8C",'Mapa final'!$R$54),"")</f>
        <v/>
      </c>
      <c r="AL33" s="38" t="str">
        <f>IF(AND('Mapa final'!$AB$55="Media",'Mapa final'!$AD$55="Catastrófico"),CONCATENATE("R8C",'Mapa final'!$R$55),"")</f>
        <v/>
      </c>
      <c r="AM33" s="39" t="str">
        <f>IF(AND('Mapa final'!$AB$56="Media",'Mapa final'!$AD$56="Catastrófico"),CONCATENATE("R8C",'Mapa final'!$R$56),"")</f>
        <v/>
      </c>
      <c r="AN33" s="65"/>
      <c r="AO33" s="875"/>
      <c r="AP33" s="876"/>
      <c r="AQ33" s="876"/>
      <c r="AR33" s="876"/>
      <c r="AS33" s="876"/>
      <c r="AT33" s="877"/>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row>
    <row r="34" spans="1:80" ht="15" customHeight="1" x14ac:dyDescent="0.3">
      <c r="A34" s="65"/>
      <c r="B34" s="794"/>
      <c r="C34" s="794"/>
      <c r="D34" s="795"/>
      <c r="E34" s="835"/>
      <c r="F34" s="836"/>
      <c r="G34" s="836"/>
      <c r="H34" s="836"/>
      <c r="I34" s="837"/>
      <c r="J34" s="49" t="str">
        <f>IF(AND('Mapa final'!$AB$57="Media",'Mapa final'!$AD$57="Leve"),CONCATENATE("R9C",'Mapa final'!$R$57),"")</f>
        <v/>
      </c>
      <c r="K34" s="50" t="str">
        <f>IF(AND('Mapa final'!$AB$58="Media",'Mapa final'!$AD$58="Leve"),CONCATENATE("R9C",'Mapa final'!$R$58),"")</f>
        <v/>
      </c>
      <c r="L34" s="50" t="str">
        <f>IF(AND('Mapa final'!$AB$59="Media",'Mapa final'!$AD$59="Leve"),CONCATENATE("R9C",'Mapa final'!$R$59),"")</f>
        <v/>
      </c>
      <c r="M34" s="50" t="str">
        <f>IF(AND('Mapa final'!$AB$60="Media",'Mapa final'!$AD$60="Leve"),CONCATENATE("R9C",'Mapa final'!$R$60),"")</f>
        <v/>
      </c>
      <c r="N34" s="50" t="str">
        <f>IF(AND('Mapa final'!$AB$61="Media",'Mapa final'!$AD$61="Leve"),CONCATENATE("R9C",'Mapa final'!$R$61),"")</f>
        <v/>
      </c>
      <c r="O34" s="51" t="str">
        <f>IF(AND('Mapa final'!$AB$62="Media",'Mapa final'!$AD$62="Leve"),CONCATENATE("R9C",'Mapa final'!$R$62),"")</f>
        <v/>
      </c>
      <c r="P34" s="49" t="str">
        <f>IF(AND('Mapa final'!$AB$57="Media",'Mapa final'!$AD$57="Menor"),CONCATENATE("R9C",'Mapa final'!$R$57),"")</f>
        <v/>
      </c>
      <c r="Q34" s="50" t="str">
        <f>IF(AND('Mapa final'!$AB$58="Media",'Mapa final'!$AD$58="Menor"),CONCATENATE("R9C",'Mapa final'!$R$58),"")</f>
        <v/>
      </c>
      <c r="R34" s="50" t="str">
        <f>IF(AND('Mapa final'!$AB$59="Media",'Mapa final'!$AD$59="Menor"),CONCATENATE("R9C",'Mapa final'!$R$59),"")</f>
        <v/>
      </c>
      <c r="S34" s="50" t="str">
        <f>IF(AND('Mapa final'!$AB$60="Media",'Mapa final'!$AD$60="Menor"),CONCATENATE("R9C",'Mapa final'!$R$60),"")</f>
        <v/>
      </c>
      <c r="T34" s="50" t="str">
        <f>IF(AND('Mapa final'!$AB$61="Media",'Mapa final'!$AD$61="Menor"),CONCATENATE("R9C",'Mapa final'!$R$61),"")</f>
        <v/>
      </c>
      <c r="U34" s="51" t="str">
        <f>IF(AND('Mapa final'!$AB$62="Media",'Mapa final'!$AD$62="Menor"),CONCATENATE("R9C",'Mapa final'!$R$62),"")</f>
        <v/>
      </c>
      <c r="V34" s="49" t="str">
        <f>IF(AND('Mapa final'!$AB$57="Media",'Mapa final'!$AD$57="Moderado"),CONCATENATE("R9C",'Mapa final'!$R$57),"")</f>
        <v/>
      </c>
      <c r="W34" s="50" t="str">
        <f>IF(AND('Mapa final'!$AB$58="Media",'Mapa final'!$AD$58="Moderado"),CONCATENATE("R9C",'Mapa final'!$R$58),"")</f>
        <v/>
      </c>
      <c r="X34" s="50" t="str">
        <f>IF(AND('Mapa final'!$AB$59="Media",'Mapa final'!$AD$59="Moderado"),CONCATENATE("R9C",'Mapa final'!$R$59),"")</f>
        <v/>
      </c>
      <c r="Y34" s="50" t="str">
        <f>IF(AND('Mapa final'!$AB$60="Media",'Mapa final'!$AD$60="Moderado"),CONCATENATE("R9C",'Mapa final'!$R$60),"")</f>
        <v/>
      </c>
      <c r="Z34" s="50" t="str">
        <f>IF(AND('Mapa final'!$AB$61="Media",'Mapa final'!$AD$61="Moderado"),CONCATENATE("R9C",'Mapa final'!$R$61),"")</f>
        <v/>
      </c>
      <c r="AA34" s="51" t="str">
        <f>IF(AND('Mapa final'!$AB$62="Media",'Mapa final'!$AD$62="Moderado"),CONCATENATE("R9C",'Mapa final'!$R$62),"")</f>
        <v/>
      </c>
      <c r="AB34" s="34" t="str">
        <f>IF(AND('Mapa final'!$AB$57="Media",'Mapa final'!$AD$57="Mayor"),CONCATENATE("R9C",'Mapa final'!$R$57),"")</f>
        <v/>
      </c>
      <c r="AC34" s="35" t="str">
        <f>IF(AND('Mapa final'!$AB$58="Media",'Mapa final'!$AD$58="Mayor"),CONCATENATE("R9C",'Mapa final'!$R$58),"")</f>
        <v/>
      </c>
      <c r="AD34" s="35" t="str">
        <f>IF(AND('Mapa final'!$AB$59="Media",'Mapa final'!$AD$59="Mayor"),CONCATENATE("R9C",'Mapa final'!$R$59),"")</f>
        <v/>
      </c>
      <c r="AE34" s="35" t="str">
        <f>IF(AND('Mapa final'!$AB$60="Media",'Mapa final'!$AD$60="Mayor"),CONCATENATE("R9C",'Mapa final'!$R$60),"")</f>
        <v/>
      </c>
      <c r="AF34" s="35" t="str">
        <f>IF(AND('Mapa final'!$AB$61="Media",'Mapa final'!$AD$61="Mayor"),CONCATENATE("R9C",'Mapa final'!$R$61),"")</f>
        <v/>
      </c>
      <c r="AG34" s="36" t="str">
        <f>IF(AND('Mapa final'!$AB$62="Media",'Mapa final'!$AD$62="Mayor"),CONCATENATE("R9C",'Mapa final'!$R$62),"")</f>
        <v/>
      </c>
      <c r="AH34" s="37" t="str">
        <f>IF(AND('Mapa final'!$AB$57="Media",'Mapa final'!$AD$57="Catastrófico"),CONCATENATE("R9C",'Mapa final'!$R$57),"")</f>
        <v/>
      </c>
      <c r="AI34" s="38" t="str">
        <f>IF(AND('Mapa final'!$AB$58="Media",'Mapa final'!$AD$58="Catastrófico"),CONCATENATE("R9C",'Mapa final'!$R$58),"")</f>
        <v/>
      </c>
      <c r="AJ34" s="38" t="str">
        <f>IF(AND('Mapa final'!$AB$59="Media",'Mapa final'!$AD$59="Catastrófico"),CONCATENATE("R9C",'Mapa final'!$R$59),"")</f>
        <v/>
      </c>
      <c r="AK34" s="38" t="str">
        <f>IF(AND('Mapa final'!$AB$60="Media",'Mapa final'!$AD$60="Catastrófico"),CONCATENATE("R9C",'Mapa final'!$R$60),"")</f>
        <v/>
      </c>
      <c r="AL34" s="38" t="str">
        <f>IF(AND('Mapa final'!$AB$61="Media",'Mapa final'!$AD$61="Catastrófico"),CONCATENATE("R9C",'Mapa final'!$R$61),"")</f>
        <v/>
      </c>
      <c r="AM34" s="39" t="str">
        <f>IF(AND('Mapa final'!$AB$62="Media",'Mapa final'!$AD$62="Catastrófico"),CONCATENATE("R9C",'Mapa final'!$R$62),"")</f>
        <v/>
      </c>
      <c r="AN34" s="65"/>
      <c r="AO34" s="875"/>
      <c r="AP34" s="876"/>
      <c r="AQ34" s="876"/>
      <c r="AR34" s="876"/>
      <c r="AS34" s="876"/>
      <c r="AT34" s="877"/>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row>
    <row r="35" spans="1:80" ht="15.75" customHeight="1" thickBot="1" x14ac:dyDescent="0.35">
      <c r="A35" s="65"/>
      <c r="B35" s="794"/>
      <c r="C35" s="794"/>
      <c r="D35" s="795"/>
      <c r="E35" s="838"/>
      <c r="F35" s="839"/>
      <c r="G35" s="839"/>
      <c r="H35" s="839"/>
      <c r="I35" s="840"/>
      <c r="J35" s="49" t="str">
        <f>IF(AND('Mapa final'!$AB$63="Media",'Mapa final'!$AD$63="Leve"),CONCATENATE("R10C",'Mapa final'!$R$63),"")</f>
        <v/>
      </c>
      <c r="K35" s="50" t="str">
        <f>IF(AND('Mapa final'!$AB$64="Media",'Mapa final'!$AD$64="Leve"),CONCATENATE("R10C",'Mapa final'!$R$64),"")</f>
        <v/>
      </c>
      <c r="L35" s="50" t="str">
        <f>IF(AND('Mapa final'!$AB$65="Media",'Mapa final'!$AD$65="Leve"),CONCATENATE("R10C",'Mapa final'!$R$65),"")</f>
        <v/>
      </c>
      <c r="M35" s="50" t="str">
        <f>IF(AND('Mapa final'!$AB$66="Media",'Mapa final'!$AD$66="Leve"),CONCATENATE("R10C",'Mapa final'!$R$66),"")</f>
        <v/>
      </c>
      <c r="N35" s="50" t="str">
        <f>IF(AND('Mapa final'!$AB$67="Media",'Mapa final'!$AD$67="Leve"),CONCATENATE("R10C",'Mapa final'!$R$67),"")</f>
        <v/>
      </c>
      <c r="O35" s="51" t="str">
        <f>IF(AND('Mapa final'!$AB$68="Media",'Mapa final'!$AD$68="Leve"),CONCATENATE("R10C",'Mapa final'!$R$68),"")</f>
        <v/>
      </c>
      <c r="P35" s="49" t="str">
        <f>IF(AND('Mapa final'!$AB$63="Media",'Mapa final'!$AD$63="Menor"),CONCATENATE("R10C",'Mapa final'!$R$63),"")</f>
        <v/>
      </c>
      <c r="Q35" s="50" t="str">
        <f>IF(AND('Mapa final'!$AB$64="Media",'Mapa final'!$AD$64="Menor"),CONCATENATE("R10C",'Mapa final'!$R$64),"")</f>
        <v/>
      </c>
      <c r="R35" s="50" t="str">
        <f>IF(AND('Mapa final'!$AB$65="Media",'Mapa final'!$AD$65="Menor"),CONCATENATE("R10C",'Mapa final'!$R$65),"")</f>
        <v/>
      </c>
      <c r="S35" s="50" t="str">
        <f>IF(AND('Mapa final'!$AB$66="Media",'Mapa final'!$AD$66="Menor"),CONCATENATE("R10C",'Mapa final'!$R$66),"")</f>
        <v/>
      </c>
      <c r="T35" s="50" t="str">
        <f>IF(AND('Mapa final'!$AB$67="Media",'Mapa final'!$AD$67="Menor"),CONCATENATE("R10C",'Mapa final'!$R$67),"")</f>
        <v/>
      </c>
      <c r="U35" s="51" t="str">
        <f>IF(AND('Mapa final'!$AB$68="Media",'Mapa final'!$AD$68="Menor"),CONCATENATE("R10C",'Mapa final'!$R$68),"")</f>
        <v/>
      </c>
      <c r="V35" s="49" t="str">
        <f>IF(AND('Mapa final'!$AB$63="Media",'Mapa final'!$AD$63="Moderado"),CONCATENATE("R10C",'Mapa final'!$R$63),"")</f>
        <v/>
      </c>
      <c r="W35" s="50" t="str">
        <f>IF(AND('Mapa final'!$AB$64="Media",'Mapa final'!$AD$64="Moderado"),CONCATENATE("R10C",'Mapa final'!$R$64),"")</f>
        <v/>
      </c>
      <c r="X35" s="50" t="str">
        <f>IF(AND('Mapa final'!$AB$65="Media",'Mapa final'!$AD$65="Moderado"),CONCATENATE("R10C",'Mapa final'!$R$65),"")</f>
        <v/>
      </c>
      <c r="Y35" s="50" t="str">
        <f>IF(AND('Mapa final'!$AB$66="Media",'Mapa final'!$AD$66="Moderado"),CONCATENATE("R10C",'Mapa final'!$R$66),"")</f>
        <v/>
      </c>
      <c r="Z35" s="50" t="str">
        <f>IF(AND('Mapa final'!$AB$67="Media",'Mapa final'!$AD$67="Moderado"),CONCATENATE("R10C",'Mapa final'!$R$67),"")</f>
        <v/>
      </c>
      <c r="AA35" s="51" t="str">
        <f>IF(AND('Mapa final'!$AB$68="Media",'Mapa final'!$AD$68="Moderado"),CONCATENATE("R10C",'Mapa final'!$R$68),"")</f>
        <v/>
      </c>
      <c r="AB35" s="40" t="str">
        <f>IF(AND('Mapa final'!$AB$63="Media",'Mapa final'!$AD$63="Mayor"),CONCATENATE("R10C",'Mapa final'!$R$63),"")</f>
        <v/>
      </c>
      <c r="AC35" s="41" t="str">
        <f>IF(AND('Mapa final'!$AB$64="Media",'Mapa final'!$AD$64="Mayor"),CONCATENATE("R10C",'Mapa final'!$R$64),"")</f>
        <v/>
      </c>
      <c r="AD35" s="41" t="str">
        <f>IF(AND('Mapa final'!$AB$65="Media",'Mapa final'!$AD$65="Mayor"),CONCATENATE("R10C",'Mapa final'!$R$65),"")</f>
        <v/>
      </c>
      <c r="AE35" s="41" t="str">
        <f>IF(AND('Mapa final'!$AB$66="Media",'Mapa final'!$AD$66="Mayor"),CONCATENATE("R10C",'Mapa final'!$R$66),"")</f>
        <v/>
      </c>
      <c r="AF35" s="41" t="str">
        <f>IF(AND('Mapa final'!$AB$67="Media",'Mapa final'!$AD$67="Mayor"),CONCATENATE("R10C",'Mapa final'!$R$67),"")</f>
        <v/>
      </c>
      <c r="AG35" s="42" t="str">
        <f>IF(AND('Mapa final'!$AB$68="Media",'Mapa final'!$AD$68="Mayor"),CONCATENATE("R10C",'Mapa final'!$R$68),"")</f>
        <v/>
      </c>
      <c r="AH35" s="43" t="str">
        <f>IF(AND('Mapa final'!$AB$63="Media",'Mapa final'!$AD$63="Catastrófico"),CONCATENATE("R10C",'Mapa final'!$R$63),"")</f>
        <v/>
      </c>
      <c r="AI35" s="44" t="str">
        <f>IF(AND('Mapa final'!$AB$64="Media",'Mapa final'!$AD$64="Catastrófico"),CONCATENATE("R10C",'Mapa final'!$R$64),"")</f>
        <v/>
      </c>
      <c r="AJ35" s="44" t="str">
        <f>IF(AND('Mapa final'!$AB$65="Media",'Mapa final'!$AD$65="Catastrófico"),CONCATENATE("R10C",'Mapa final'!$R$65),"")</f>
        <v/>
      </c>
      <c r="AK35" s="44" t="str">
        <f>IF(AND('Mapa final'!$AB$66="Media",'Mapa final'!$AD$66="Catastrófico"),CONCATENATE("R10C",'Mapa final'!$R$66),"")</f>
        <v/>
      </c>
      <c r="AL35" s="44" t="str">
        <f>IF(AND('Mapa final'!$AB$67="Media",'Mapa final'!$AD$67="Catastrófico"),CONCATENATE("R10C",'Mapa final'!$R$67),"")</f>
        <v/>
      </c>
      <c r="AM35" s="45" t="str">
        <f>IF(AND('Mapa final'!$AB$68="Media",'Mapa final'!$AD$68="Catastrófico"),CONCATENATE("R10C",'Mapa final'!$R$68),"")</f>
        <v/>
      </c>
      <c r="AN35" s="65"/>
      <c r="AO35" s="878"/>
      <c r="AP35" s="879"/>
      <c r="AQ35" s="879"/>
      <c r="AR35" s="879"/>
      <c r="AS35" s="879"/>
      <c r="AT35" s="880"/>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row>
    <row r="36" spans="1:80" ht="15" customHeight="1" x14ac:dyDescent="0.3">
      <c r="A36" s="65"/>
      <c r="B36" s="794"/>
      <c r="C36" s="794"/>
      <c r="D36" s="795"/>
      <c r="E36" s="832" t="s">
        <v>109</v>
      </c>
      <c r="F36" s="833"/>
      <c r="G36" s="833"/>
      <c r="H36" s="833"/>
      <c r="I36" s="833"/>
      <c r="J36" s="55" t="str">
        <f>IF(AND('Mapa final'!$AB$10="Baja",'Mapa final'!$AD$10="Leve"),CONCATENATE("R1C",'Mapa final'!$R$10),"")</f>
        <v/>
      </c>
      <c r="K36" s="56" t="str">
        <f>IF(AND('Mapa final'!$AB$11="Baja",'Mapa final'!$AD$11="Leve"),CONCATENATE("R1C",'Mapa final'!$R$11),"")</f>
        <v/>
      </c>
      <c r="L36" s="56" t="str">
        <f>IF(AND('Mapa final'!$AB$12="Baja",'Mapa final'!$AD$12="Leve"),CONCATENATE("R1C",'Mapa final'!$R$12),"")</f>
        <v/>
      </c>
      <c r="M36" s="56" t="str">
        <f>IF(AND('Mapa final'!$AB$13="Baja",'Mapa final'!$AD$13="Leve"),CONCATENATE("R1C",'Mapa final'!$R$13),"")</f>
        <v/>
      </c>
      <c r="N36" s="56" t="str">
        <f>IF(AND('Mapa final'!$AB$14="Baja",'Mapa final'!$AD$14="Leve"),CONCATENATE("R1C",'Mapa final'!$R$14),"")</f>
        <v/>
      </c>
      <c r="O36" s="57" t="str">
        <f>IF(AND('Mapa final'!$AB$15="Baja",'Mapa final'!$AD$15="Leve"),CONCATENATE("R1C",'Mapa final'!$R$15),"")</f>
        <v/>
      </c>
      <c r="P36" s="46" t="str">
        <f>IF(AND('Mapa final'!$AB$10="Baja",'Mapa final'!$AD$10="Menor"),CONCATENATE("R1C",'Mapa final'!$R$10),"")</f>
        <v/>
      </c>
      <c r="Q36" s="47" t="str">
        <f>IF(AND('Mapa final'!$AB$11="Baja",'Mapa final'!$AD$11="Menor"),CONCATENATE("R1C",'Mapa final'!$R$11),"")</f>
        <v/>
      </c>
      <c r="R36" s="47" t="str">
        <f>IF(AND('Mapa final'!$AB$12="Baja",'Mapa final'!$AD$12="Menor"),CONCATENATE("R1C",'Mapa final'!$R$12),"")</f>
        <v/>
      </c>
      <c r="S36" s="47" t="str">
        <f>IF(AND('Mapa final'!$AB$13="Baja",'Mapa final'!$AD$13="Menor"),CONCATENATE("R1C",'Mapa final'!$R$13),"")</f>
        <v/>
      </c>
      <c r="T36" s="47" t="str">
        <f>IF(AND('Mapa final'!$AB$14="Baja",'Mapa final'!$AD$14="Menor"),CONCATENATE("R1C",'Mapa final'!$R$14),"")</f>
        <v/>
      </c>
      <c r="U36" s="48" t="str">
        <f>IF(AND('Mapa final'!$AB$15="Baja",'Mapa final'!$AD$15="Menor"),CONCATENATE("R1C",'Mapa final'!$R$15),"")</f>
        <v/>
      </c>
      <c r="V36" s="46" t="str">
        <f>IF(AND('Mapa final'!$AB$10="Baja",'Mapa final'!$AD$10="Moderado"),CONCATENATE("R1C",'Mapa final'!$R$10),"")</f>
        <v/>
      </c>
      <c r="W36" s="47" t="str">
        <f>IF(AND('Mapa final'!$AB$11="Baja",'Mapa final'!$AD$11="Moderado"),CONCATENATE("R1C",'Mapa final'!$R$11),"")</f>
        <v/>
      </c>
      <c r="X36" s="47" t="str">
        <f>IF(AND('Mapa final'!$AB$12="Baja",'Mapa final'!$AD$12="Moderado"),CONCATENATE("R1C",'Mapa final'!$R$12),"")</f>
        <v/>
      </c>
      <c r="Y36" s="47" t="str">
        <f>IF(AND('Mapa final'!$AB$13="Baja",'Mapa final'!$AD$13="Moderado"),CONCATENATE("R1C",'Mapa final'!$R$13),"")</f>
        <v/>
      </c>
      <c r="Z36" s="47" t="str">
        <f>IF(AND('Mapa final'!$AB$14="Baja",'Mapa final'!$AD$14="Moderado"),CONCATENATE("R1C",'Mapa final'!$R$14),"")</f>
        <v/>
      </c>
      <c r="AA36" s="48" t="str">
        <f>IF(AND('Mapa final'!$AB$15="Baja",'Mapa final'!$AD$15="Moderado"),CONCATENATE("R1C",'Mapa final'!$R$15),"")</f>
        <v/>
      </c>
      <c r="AB36" s="28" t="str">
        <f>IF(AND('Mapa final'!$AB$10="Baja",'Mapa final'!$AD$10="Mayor"),CONCATENATE("R1C",'Mapa final'!$R$10),"")</f>
        <v/>
      </c>
      <c r="AC36" s="29" t="str">
        <f>IF(AND('Mapa final'!$AB$11="Baja",'Mapa final'!$AD$11="Mayor"),CONCATENATE("R1C",'Mapa final'!$R$11),"")</f>
        <v/>
      </c>
      <c r="AD36" s="29" t="str">
        <f>IF(AND('Mapa final'!$AB$12="Baja",'Mapa final'!$AD$12="Mayor"),CONCATENATE("R1C",'Mapa final'!$R$12),"")</f>
        <v/>
      </c>
      <c r="AE36" s="29" t="str">
        <f>IF(AND('Mapa final'!$AB$13="Baja",'Mapa final'!$AD$13="Mayor"),CONCATENATE("R1C",'Mapa final'!$R$13),"")</f>
        <v/>
      </c>
      <c r="AF36" s="29" t="str">
        <f>IF(AND('Mapa final'!$AB$14="Baja",'Mapa final'!$AD$14="Mayor"),CONCATENATE("R1C",'Mapa final'!$R$14),"")</f>
        <v/>
      </c>
      <c r="AG36" s="30" t="str">
        <f>IF(AND('Mapa final'!$AB$15="Baja",'Mapa final'!$AD$15="Mayor"),CONCATENATE("R1C",'Mapa final'!$R$15),"")</f>
        <v/>
      </c>
      <c r="AH36" s="31" t="str">
        <f>IF(AND('Mapa final'!$AB$10="Baja",'Mapa final'!$AD$10="Catastrófico"),CONCATENATE("R1C",'Mapa final'!$R$10),"")</f>
        <v>R1C1</v>
      </c>
      <c r="AI36" s="32" t="str">
        <f>IF(AND('Mapa final'!$AB$11="Baja",'Mapa final'!$AD$11="Catastrófico"),CONCATENATE("R1C",'Mapa final'!$R$11),"")</f>
        <v/>
      </c>
      <c r="AJ36" s="32" t="str">
        <f>IF(AND('Mapa final'!$AB$12="Baja",'Mapa final'!$AD$12="Catastrófico"),CONCATENATE("R1C",'Mapa final'!$R$12),"")</f>
        <v/>
      </c>
      <c r="AK36" s="32" t="str">
        <f>IF(AND('Mapa final'!$AB$13="Baja",'Mapa final'!$AD$13="Catastrófico"),CONCATENATE("R1C",'Mapa final'!$R$13),"")</f>
        <v/>
      </c>
      <c r="AL36" s="32" t="str">
        <f>IF(AND('Mapa final'!$AB$14="Baja",'Mapa final'!$AD$14="Catastrófico"),CONCATENATE("R1C",'Mapa final'!$R$14),"")</f>
        <v/>
      </c>
      <c r="AM36" s="33" t="str">
        <f>IF(AND('Mapa final'!$AB$15="Baja",'Mapa final'!$AD$15="Catastrófico"),CONCATENATE("R1C",'Mapa final'!$R$15),"")</f>
        <v/>
      </c>
      <c r="AN36" s="65"/>
      <c r="AO36" s="863" t="s">
        <v>81</v>
      </c>
      <c r="AP36" s="864"/>
      <c r="AQ36" s="864"/>
      <c r="AR36" s="864"/>
      <c r="AS36" s="864"/>
      <c r="AT36" s="8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row>
    <row r="37" spans="1:80" ht="15" customHeight="1" x14ac:dyDescent="0.3">
      <c r="A37" s="65"/>
      <c r="B37" s="794"/>
      <c r="C37" s="794"/>
      <c r="D37" s="795"/>
      <c r="E37" s="851"/>
      <c r="F37" s="836"/>
      <c r="G37" s="836"/>
      <c r="H37" s="836"/>
      <c r="I37" s="836"/>
      <c r="J37" s="58" t="str">
        <f>IF(AND('Mapa final'!$AB$16="Baja",'Mapa final'!$AD$16="Leve"),CONCATENATE("R2C",'Mapa final'!$R$16),"")</f>
        <v/>
      </c>
      <c r="K37" s="59" t="str">
        <f>IF(AND('Mapa final'!$AB$17="Baja",'Mapa final'!$AD$17="Leve"),CONCATENATE("R2C",'Mapa final'!$R$17),"")</f>
        <v/>
      </c>
      <c r="L37" s="59" t="str">
        <f>IF(AND('Mapa final'!$AB$18="Baja",'Mapa final'!$AD$18="Leve"),CONCATENATE("R2C",'Mapa final'!$R$18),"")</f>
        <v/>
      </c>
      <c r="M37" s="59" t="str">
        <f>IF(AND('Mapa final'!$AB$19="Baja",'Mapa final'!$AD$19="Leve"),CONCATENATE("R2C",'Mapa final'!$R$19),"")</f>
        <v/>
      </c>
      <c r="N37" s="59" t="str">
        <f>IF(AND('Mapa final'!$AB$20="Baja",'Mapa final'!$AD$20="Leve"),CONCATENATE("R2C",'Mapa final'!$R$20),"")</f>
        <v/>
      </c>
      <c r="O37" s="60" t="str">
        <f>IF(AND('Mapa final'!$AB$21="Baja",'Mapa final'!$AD$21="Leve"),CONCATENATE("R2C",'Mapa final'!$R$21),"")</f>
        <v/>
      </c>
      <c r="P37" s="49" t="str">
        <f>IF(AND('Mapa final'!$AB$16="Baja",'Mapa final'!$AD$16="Menor"),CONCATENATE("R2C",'Mapa final'!$R$16),"")</f>
        <v/>
      </c>
      <c r="Q37" s="50" t="str">
        <f>IF(AND('Mapa final'!$AB$17="Baja",'Mapa final'!$AD$17="Menor"),CONCATENATE("R2C",'Mapa final'!$R$17),"")</f>
        <v/>
      </c>
      <c r="R37" s="50" t="str">
        <f>IF(AND('Mapa final'!$AB$18="Baja",'Mapa final'!$AD$18="Menor"),CONCATENATE("R2C",'Mapa final'!$R$18),"")</f>
        <v/>
      </c>
      <c r="S37" s="50" t="str">
        <f>IF(AND('Mapa final'!$AB$19="Baja",'Mapa final'!$AD$19="Menor"),CONCATENATE("R2C",'Mapa final'!$R$19),"")</f>
        <v/>
      </c>
      <c r="T37" s="50" t="str">
        <f>IF(AND('Mapa final'!$AB$20="Baja",'Mapa final'!$AD$20="Menor"),CONCATENATE("R2C",'Mapa final'!$R$20),"")</f>
        <v/>
      </c>
      <c r="U37" s="51" t="str">
        <f>IF(AND('Mapa final'!$AB$21="Baja",'Mapa final'!$AD$21="Menor"),CONCATENATE("R2C",'Mapa final'!$R$21),"")</f>
        <v/>
      </c>
      <c r="V37" s="49" t="str">
        <f>IF(AND('Mapa final'!$AB$16="Baja",'Mapa final'!$AD$16="Moderado"),CONCATENATE("R2C",'Mapa final'!$R$16),"")</f>
        <v/>
      </c>
      <c r="W37" s="50" t="str">
        <f>IF(AND('Mapa final'!$AB$17="Baja",'Mapa final'!$AD$17="Moderado"),CONCATENATE("R2C",'Mapa final'!$R$17),"")</f>
        <v/>
      </c>
      <c r="X37" s="50" t="str">
        <f>IF(AND('Mapa final'!$AB$18="Baja",'Mapa final'!$AD$18="Moderado"),CONCATENATE("R2C",'Mapa final'!$R$18),"")</f>
        <v/>
      </c>
      <c r="Y37" s="50" t="str">
        <f>IF(AND('Mapa final'!$AB$19="Baja",'Mapa final'!$AD$19="Moderado"),CONCATENATE("R2C",'Mapa final'!$R$19),"")</f>
        <v/>
      </c>
      <c r="Z37" s="50" t="str">
        <f>IF(AND('Mapa final'!$AB$20="Baja",'Mapa final'!$AD$20="Moderado"),CONCATENATE("R2C",'Mapa final'!$R$20),"")</f>
        <v/>
      </c>
      <c r="AA37" s="51" t="str">
        <f>IF(AND('Mapa final'!$AB$21="Baja",'Mapa final'!$AD$21="Moderado"),CONCATENATE("R2C",'Mapa final'!$R$21),"")</f>
        <v/>
      </c>
      <c r="AB37" s="34" t="str">
        <f>IF(AND('Mapa final'!$AB$16="Baja",'Mapa final'!$AD$16="Mayor"),CONCATENATE("R2C",'Mapa final'!$R$16),"")</f>
        <v/>
      </c>
      <c r="AC37" s="35" t="str">
        <f>IF(AND('Mapa final'!$AB$17="Baja",'Mapa final'!$AD$17="Mayor"),CONCATENATE("R2C",'Mapa final'!$R$17),"")</f>
        <v/>
      </c>
      <c r="AD37" s="35" t="str">
        <f>IF(AND('Mapa final'!$AB$18="Baja",'Mapa final'!$AD$18="Mayor"),CONCATENATE("R2C",'Mapa final'!$R$18),"")</f>
        <v/>
      </c>
      <c r="AE37" s="35" t="str">
        <f>IF(AND('Mapa final'!$AB$19="Baja",'Mapa final'!$AD$19="Mayor"),CONCATENATE("R2C",'Mapa final'!$R$19),"")</f>
        <v/>
      </c>
      <c r="AF37" s="35" t="str">
        <f>IF(AND('Mapa final'!$AB$20="Baja",'Mapa final'!$AD$20="Mayor"),CONCATENATE("R2C",'Mapa final'!$R$20),"")</f>
        <v/>
      </c>
      <c r="AG37" s="36" t="str">
        <f>IF(AND('Mapa final'!$AB$21="Baja",'Mapa final'!$AD$21="Mayor"),CONCATENATE("R2C",'Mapa final'!$R$21),"")</f>
        <v/>
      </c>
      <c r="AH37" s="37" t="str">
        <f>IF(AND('Mapa final'!$AB$16="Baja",'Mapa final'!$AD$16="Catastrófico"),CONCATENATE("R2C",'Mapa final'!$R$16),"")</f>
        <v/>
      </c>
      <c r="AI37" s="38" t="str">
        <f>IF(AND('Mapa final'!$AB$17="Baja",'Mapa final'!$AD$17="Catastrófico"),CONCATENATE("R2C",'Mapa final'!$R$17),"")</f>
        <v/>
      </c>
      <c r="AJ37" s="38" t="str">
        <f>IF(AND('Mapa final'!$AB$18="Baja",'Mapa final'!$AD$18="Catastrófico"),CONCATENATE("R2C",'Mapa final'!$R$18),"")</f>
        <v/>
      </c>
      <c r="AK37" s="38" t="str">
        <f>IF(AND('Mapa final'!$AB$19="Baja",'Mapa final'!$AD$19="Catastrófico"),CONCATENATE("R2C",'Mapa final'!$R$19),"")</f>
        <v/>
      </c>
      <c r="AL37" s="38" t="str">
        <f>IF(AND('Mapa final'!$AB$20="Baja",'Mapa final'!$AD$20="Catastrófico"),CONCATENATE("R2C",'Mapa final'!$R$20),"")</f>
        <v/>
      </c>
      <c r="AM37" s="39" t="str">
        <f>IF(AND('Mapa final'!$AB$21="Baja",'Mapa final'!$AD$21="Catastrófico"),CONCATENATE("R2C",'Mapa final'!$R$21),"")</f>
        <v/>
      </c>
      <c r="AN37" s="65"/>
      <c r="AO37" s="866"/>
      <c r="AP37" s="867"/>
      <c r="AQ37" s="867"/>
      <c r="AR37" s="867"/>
      <c r="AS37" s="867"/>
      <c r="AT37" s="868"/>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row>
    <row r="38" spans="1:80" ht="15" customHeight="1" x14ac:dyDescent="0.3">
      <c r="A38" s="65"/>
      <c r="B38" s="794"/>
      <c r="C38" s="794"/>
      <c r="D38" s="795"/>
      <c r="E38" s="835"/>
      <c r="F38" s="836"/>
      <c r="G38" s="836"/>
      <c r="H38" s="836"/>
      <c r="I38" s="836"/>
      <c r="J38" s="58" t="str">
        <f>IF(AND('Mapa final'!$AB$22="Baja",'Mapa final'!$AD$22="Leve"),CONCATENATE("R3C",'Mapa final'!$R$22),"")</f>
        <v/>
      </c>
      <c r="K38" s="59" t="str">
        <f>IF(AND('Mapa final'!$AB$23="Baja",'Mapa final'!$AD$23="Leve"),CONCATENATE("R3C",'Mapa final'!$R$23),"")</f>
        <v/>
      </c>
      <c r="L38" s="59" t="str">
        <f>IF(AND('Mapa final'!$AB$24="Baja",'Mapa final'!$AD$24="Leve"),CONCATENATE("R3C",'Mapa final'!$R$24),"")</f>
        <v/>
      </c>
      <c r="M38" s="59" t="str">
        <f>IF(AND('Mapa final'!$AB$25="Baja",'Mapa final'!$AD$25="Leve"),CONCATENATE("R3C",'Mapa final'!$R$25),"")</f>
        <v/>
      </c>
      <c r="N38" s="59" t="str">
        <f>IF(AND('Mapa final'!$AB$26="Baja",'Mapa final'!$AD$26="Leve"),CONCATENATE("R3C",'Mapa final'!$R$26),"")</f>
        <v/>
      </c>
      <c r="O38" s="60" t="str">
        <f>IF(AND('Mapa final'!$AB$27="Baja",'Mapa final'!$AD$27="Leve"),CONCATENATE("R3C",'Mapa final'!$R$27),"")</f>
        <v/>
      </c>
      <c r="P38" s="49" t="str">
        <f>IF(AND('Mapa final'!$AB$22="Baja",'Mapa final'!$AD$22="Menor"),CONCATENATE("R3C",'Mapa final'!$R$22),"")</f>
        <v/>
      </c>
      <c r="Q38" s="50" t="str">
        <f>IF(AND('Mapa final'!$AB$23="Baja",'Mapa final'!$AD$23="Menor"),CONCATENATE("R3C",'Mapa final'!$R$23),"")</f>
        <v/>
      </c>
      <c r="R38" s="50" t="str">
        <f>IF(AND('Mapa final'!$AB$24="Baja",'Mapa final'!$AD$24="Menor"),CONCATENATE("R3C",'Mapa final'!$R$24),"")</f>
        <v/>
      </c>
      <c r="S38" s="50" t="str">
        <f>IF(AND('Mapa final'!$AB$25="Baja",'Mapa final'!$AD$25="Menor"),CONCATENATE("R3C",'Mapa final'!$R$25),"")</f>
        <v/>
      </c>
      <c r="T38" s="50" t="str">
        <f>IF(AND('Mapa final'!$AB$26="Baja",'Mapa final'!$AD$26="Menor"),CONCATENATE("R3C",'Mapa final'!$R$26),"")</f>
        <v/>
      </c>
      <c r="U38" s="51" t="str">
        <f>IF(AND('Mapa final'!$AB$27="Baja",'Mapa final'!$AD$27="Menor"),CONCATENATE("R3C",'Mapa final'!$R$27),"")</f>
        <v/>
      </c>
      <c r="V38" s="49" t="str">
        <f>IF(AND('Mapa final'!$AB$22="Baja",'Mapa final'!$AD$22="Moderado"),CONCATENATE("R3C",'Mapa final'!$R$22),"")</f>
        <v>R3C1</v>
      </c>
      <c r="W38" s="50" t="str">
        <f>IF(AND('Mapa final'!$AB$23="Baja",'Mapa final'!$AD$23="Moderado"),CONCATENATE("R3C",'Mapa final'!$R$23),"")</f>
        <v/>
      </c>
      <c r="X38" s="50" t="str">
        <f>IF(AND('Mapa final'!$AB$24="Baja",'Mapa final'!$AD$24="Moderado"),CONCATENATE("R3C",'Mapa final'!$R$24),"")</f>
        <v/>
      </c>
      <c r="Y38" s="50" t="str">
        <f>IF(AND('Mapa final'!$AB$25="Baja",'Mapa final'!$AD$25="Moderado"),CONCATENATE("R3C",'Mapa final'!$R$25),"")</f>
        <v/>
      </c>
      <c r="Z38" s="50" t="str">
        <f>IF(AND('Mapa final'!$AB$26="Baja",'Mapa final'!$AD$26="Moderado"),CONCATENATE("R3C",'Mapa final'!$R$26),"")</f>
        <v/>
      </c>
      <c r="AA38" s="51" t="str">
        <f>IF(AND('Mapa final'!$AB$27="Baja",'Mapa final'!$AD$27="Moderado"),CONCATENATE("R3C",'Mapa final'!$R$27),"")</f>
        <v/>
      </c>
      <c r="AB38" s="34" t="str">
        <f>IF(AND('Mapa final'!$AB$22="Baja",'Mapa final'!$AD$22="Mayor"),CONCATENATE("R3C",'Mapa final'!$R$22),"")</f>
        <v/>
      </c>
      <c r="AC38" s="35" t="str">
        <f>IF(AND('Mapa final'!$AB$23="Baja",'Mapa final'!$AD$23="Mayor"),CONCATENATE("R3C",'Mapa final'!$R$23),"")</f>
        <v/>
      </c>
      <c r="AD38" s="35" t="str">
        <f>IF(AND('Mapa final'!$AB$24="Baja",'Mapa final'!$AD$24="Mayor"),CONCATENATE("R3C",'Mapa final'!$R$24),"")</f>
        <v/>
      </c>
      <c r="AE38" s="35" t="str">
        <f>IF(AND('Mapa final'!$AB$25="Baja",'Mapa final'!$AD$25="Mayor"),CONCATENATE("R3C",'Mapa final'!$R$25),"")</f>
        <v/>
      </c>
      <c r="AF38" s="35" t="str">
        <f>IF(AND('Mapa final'!$AB$26="Baja",'Mapa final'!$AD$26="Mayor"),CONCATENATE("R3C",'Mapa final'!$R$26),"")</f>
        <v/>
      </c>
      <c r="AG38" s="36" t="str">
        <f>IF(AND('Mapa final'!$AB$27="Baja",'Mapa final'!$AD$27="Mayor"),CONCATENATE("R3C",'Mapa final'!$R$27),"")</f>
        <v/>
      </c>
      <c r="AH38" s="37" t="str">
        <f>IF(AND('Mapa final'!$AB$22="Baja",'Mapa final'!$AD$22="Catastrófico"),CONCATENATE("R3C",'Mapa final'!$R$22),"")</f>
        <v/>
      </c>
      <c r="AI38" s="38" t="str">
        <f>IF(AND('Mapa final'!$AB$23="Baja",'Mapa final'!$AD$23="Catastrófico"),CONCATENATE("R3C",'Mapa final'!$R$23),"")</f>
        <v/>
      </c>
      <c r="AJ38" s="38" t="str">
        <f>IF(AND('Mapa final'!$AB$24="Baja",'Mapa final'!$AD$24="Catastrófico"),CONCATENATE("R3C",'Mapa final'!$R$24),"")</f>
        <v/>
      </c>
      <c r="AK38" s="38" t="str">
        <f>IF(AND('Mapa final'!$AB$25="Baja",'Mapa final'!$AD$25="Catastrófico"),CONCATENATE("R3C",'Mapa final'!$R$25),"")</f>
        <v/>
      </c>
      <c r="AL38" s="38" t="str">
        <f>IF(AND('Mapa final'!$AB$26="Baja",'Mapa final'!$AD$26="Catastrófico"),CONCATENATE("R3C",'Mapa final'!$R$26),"")</f>
        <v/>
      </c>
      <c r="AM38" s="39" t="str">
        <f>IF(AND('Mapa final'!$AB$27="Baja",'Mapa final'!$AD$27="Catastrófico"),CONCATENATE("R3C",'Mapa final'!$R$27),"")</f>
        <v/>
      </c>
      <c r="AN38" s="65"/>
      <c r="AO38" s="866"/>
      <c r="AP38" s="867"/>
      <c r="AQ38" s="867"/>
      <c r="AR38" s="867"/>
      <c r="AS38" s="867"/>
      <c r="AT38" s="868"/>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row>
    <row r="39" spans="1:80" ht="15" customHeight="1" x14ac:dyDescent="0.3">
      <c r="A39" s="65"/>
      <c r="B39" s="794"/>
      <c r="C39" s="794"/>
      <c r="D39" s="795"/>
      <c r="E39" s="835"/>
      <c r="F39" s="836"/>
      <c r="G39" s="836"/>
      <c r="H39" s="836"/>
      <c r="I39" s="836"/>
      <c r="J39" s="58" t="str">
        <f>IF(AND('Mapa final'!$AB$28="Baja",'Mapa final'!$AD$28="Leve"),CONCATENATE("R4C",'Mapa final'!$R$28),"")</f>
        <v/>
      </c>
      <c r="K39" s="59" t="e">
        <f>IF(AND('Mapa final'!#REF!="Baja",'Mapa final'!#REF!="Leve"),CONCATENATE("R4C",'Mapa final'!#REF!),"")</f>
        <v>#REF!</v>
      </c>
      <c r="L39" s="59" t="str">
        <f>IF(AND('Mapa final'!$AB$29="Baja",'Mapa final'!$AD$29="Leve"),CONCATENATE("R4C",'Mapa final'!$R$29),"")</f>
        <v/>
      </c>
      <c r="M39" s="59" t="str">
        <f>IF(AND('Mapa final'!$AB$30="Baja",'Mapa final'!$AD$30="Leve"),CONCATENATE("R4C",'Mapa final'!$R$30),"")</f>
        <v/>
      </c>
      <c r="N39" s="59" t="str">
        <f>IF(AND('Mapa final'!$AB$31="Baja",'Mapa final'!$AD$31="Leve"),CONCATENATE("R4C",'Mapa final'!$R$31),"")</f>
        <v/>
      </c>
      <c r="O39" s="60" t="str">
        <f>IF(AND('Mapa final'!$AB$32="Baja",'Mapa final'!$AD$32="Leve"),CONCATENATE("R4C",'Mapa final'!$R$32),"")</f>
        <v/>
      </c>
      <c r="P39" s="49" t="str">
        <f>IF(AND('Mapa final'!$AB$28="Baja",'Mapa final'!$AD$28="Menor"),CONCATENATE("R4C",'Mapa final'!$R$28),"")</f>
        <v/>
      </c>
      <c r="Q39" s="50" t="e">
        <f>IF(AND('Mapa final'!#REF!="Baja",'Mapa final'!#REF!="Menor"),CONCATENATE("R4C",'Mapa final'!#REF!),"")</f>
        <v>#REF!</v>
      </c>
      <c r="R39" s="50" t="str">
        <f>IF(AND('Mapa final'!$AB$29="Baja",'Mapa final'!$AD$29="Menor"),CONCATENATE("R4C",'Mapa final'!$R$29),"")</f>
        <v/>
      </c>
      <c r="S39" s="50" t="str">
        <f>IF(AND('Mapa final'!$AB$30="Baja",'Mapa final'!$AD$30="Menor"),CONCATENATE("R4C",'Mapa final'!$R$30),"")</f>
        <v/>
      </c>
      <c r="T39" s="50" t="str">
        <f>IF(AND('Mapa final'!$AB$31="Baja",'Mapa final'!$AD$31="Menor"),CONCATENATE("R4C",'Mapa final'!$R$31),"")</f>
        <v/>
      </c>
      <c r="U39" s="51" t="str">
        <f>IF(AND('Mapa final'!$AB$32="Baja",'Mapa final'!$AD$32="Menor"),CONCATENATE("R4C",'Mapa final'!$R$32),"")</f>
        <v/>
      </c>
      <c r="V39" s="49" t="str">
        <f>IF(AND('Mapa final'!$AB$28="Baja",'Mapa final'!$AD$28="Moderado"),CONCATENATE("R4C",'Mapa final'!$R$28),"")</f>
        <v/>
      </c>
      <c r="W39" s="50" t="e">
        <f>IF(AND('Mapa final'!#REF!="Baja",'Mapa final'!#REF!="Moderado"),CONCATENATE("R4C",'Mapa final'!#REF!),"")</f>
        <v>#REF!</v>
      </c>
      <c r="X39" s="50" t="str">
        <f>IF(AND('Mapa final'!$AB$29="Baja",'Mapa final'!$AD$29="Moderado"),CONCATENATE("R4C",'Mapa final'!$R$29),"")</f>
        <v/>
      </c>
      <c r="Y39" s="50" t="str">
        <f>IF(AND('Mapa final'!$AB$30="Baja",'Mapa final'!$AD$30="Moderado"),CONCATENATE("R4C",'Mapa final'!$R$30),"")</f>
        <v/>
      </c>
      <c r="Z39" s="50" t="str">
        <f>IF(AND('Mapa final'!$AB$31="Baja",'Mapa final'!$AD$31="Moderado"),CONCATENATE("R4C",'Mapa final'!$R$31),"")</f>
        <v/>
      </c>
      <c r="AA39" s="51" t="str">
        <f>IF(AND('Mapa final'!$AB$32="Baja",'Mapa final'!$AD$32="Moderado"),CONCATENATE("R4C",'Mapa final'!$R$32),"")</f>
        <v/>
      </c>
      <c r="AB39" s="34" t="str">
        <f>IF(AND('Mapa final'!$AB$28="Baja",'Mapa final'!$AD$28="Mayor"),CONCATENATE("R4C",'Mapa final'!$R$28),"")</f>
        <v/>
      </c>
      <c r="AC39" s="35" t="e">
        <f>IF(AND('Mapa final'!#REF!="Baja",'Mapa final'!#REF!="Mayor"),CONCATENATE("R4C",'Mapa final'!#REF!),"")</f>
        <v>#REF!</v>
      </c>
      <c r="AD39" s="35" t="str">
        <f>IF(AND('Mapa final'!$AB$29="Baja",'Mapa final'!$AD$29="Mayor"),CONCATENATE("R4C",'Mapa final'!$R$29),"")</f>
        <v/>
      </c>
      <c r="AE39" s="35" t="str">
        <f>IF(AND('Mapa final'!$AB$30="Baja",'Mapa final'!$AD$30="Mayor"),CONCATENATE("R4C",'Mapa final'!$R$30),"")</f>
        <v/>
      </c>
      <c r="AF39" s="35" t="str">
        <f>IF(AND('Mapa final'!$AB$31="Baja",'Mapa final'!$AD$31="Mayor"),CONCATENATE("R4C",'Mapa final'!$R$31),"")</f>
        <v/>
      </c>
      <c r="AG39" s="36" t="str">
        <f>IF(AND('Mapa final'!$AB$32="Baja",'Mapa final'!$AD$32="Mayor"),CONCATENATE("R4C",'Mapa final'!$R$32),"")</f>
        <v/>
      </c>
      <c r="AH39" s="37" t="str">
        <f>IF(AND('Mapa final'!$AB$28="Baja",'Mapa final'!$AD$28="Catastrófico"),CONCATENATE("R4C",'Mapa final'!$R$28),"")</f>
        <v/>
      </c>
      <c r="AI39" s="38" t="e">
        <f>IF(AND('Mapa final'!#REF!="Baja",'Mapa final'!#REF!="Catastrófico"),CONCATENATE("R4C",'Mapa final'!#REF!),"")</f>
        <v>#REF!</v>
      </c>
      <c r="AJ39" s="38" t="str">
        <f>IF(AND('Mapa final'!$AB$29="Baja",'Mapa final'!$AD$29="Catastrófico"),CONCATENATE("R4C",'Mapa final'!$R$29),"")</f>
        <v/>
      </c>
      <c r="AK39" s="38" t="str">
        <f>IF(AND('Mapa final'!$AB$30="Baja",'Mapa final'!$AD$30="Catastrófico"),CONCATENATE("R4C",'Mapa final'!$R$30),"")</f>
        <v/>
      </c>
      <c r="AL39" s="38" t="str">
        <f>IF(AND('Mapa final'!$AB$31="Baja",'Mapa final'!$AD$31="Catastrófico"),CONCATENATE("R4C",'Mapa final'!$R$31),"")</f>
        <v/>
      </c>
      <c r="AM39" s="39" t="str">
        <f>IF(AND('Mapa final'!$AB$32="Baja",'Mapa final'!$AD$32="Catastrófico"),CONCATENATE("R4C",'Mapa final'!$R$32),"")</f>
        <v/>
      </c>
      <c r="AN39" s="65"/>
      <c r="AO39" s="866"/>
      <c r="AP39" s="867"/>
      <c r="AQ39" s="867"/>
      <c r="AR39" s="867"/>
      <c r="AS39" s="867"/>
      <c r="AT39" s="868"/>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row>
    <row r="40" spans="1:80" ht="15" customHeight="1" x14ac:dyDescent="0.3">
      <c r="A40" s="65"/>
      <c r="B40" s="794"/>
      <c r="C40" s="794"/>
      <c r="D40" s="795"/>
      <c r="E40" s="835"/>
      <c r="F40" s="836"/>
      <c r="G40" s="836"/>
      <c r="H40" s="836"/>
      <c r="I40" s="836"/>
      <c r="J40" s="58" t="str">
        <f>IF(AND('Mapa final'!$AB$33="Baja",'Mapa final'!$AD$33="Leve"),CONCATENATE("R5C",'Mapa final'!$R$33),"")</f>
        <v/>
      </c>
      <c r="K40" s="59" t="str">
        <f>IF(AND('Mapa final'!$AB$34="Baja",'Mapa final'!$AD$34="Leve"),CONCATENATE("R5C",'Mapa final'!$R$34),"")</f>
        <v/>
      </c>
      <c r="L40" s="59" t="str">
        <f>IF(AND('Mapa final'!$AB$35="Baja",'Mapa final'!$AD$35="Leve"),CONCATENATE("R5C",'Mapa final'!$R$35),"")</f>
        <v/>
      </c>
      <c r="M40" s="59" t="str">
        <f>IF(AND('Mapa final'!$AB$36="Baja",'Mapa final'!$AD$36="Leve"),CONCATENATE("R5C",'Mapa final'!$R$36),"")</f>
        <v/>
      </c>
      <c r="N40" s="59" t="str">
        <f>IF(AND('Mapa final'!$AB$37="Baja",'Mapa final'!$AD$37="Leve"),CONCATENATE("R5C",'Mapa final'!$R$37),"")</f>
        <v/>
      </c>
      <c r="O40" s="60" t="str">
        <f>IF(AND('Mapa final'!$AB$38="Baja",'Mapa final'!$AD$38="Leve"),CONCATENATE("R5C",'Mapa final'!$R$38),"")</f>
        <v/>
      </c>
      <c r="P40" s="49" t="str">
        <f>IF(AND('Mapa final'!$AB$33="Baja",'Mapa final'!$AD$33="Menor"),CONCATENATE("R5C",'Mapa final'!$R$33),"")</f>
        <v>R5C1</v>
      </c>
      <c r="Q40" s="50" t="str">
        <f>IF(AND('Mapa final'!$AB$34="Baja",'Mapa final'!$AD$34="Menor"),CONCATENATE("R5C",'Mapa final'!$R$34),"")</f>
        <v>R5C2</v>
      </c>
      <c r="R40" s="50" t="str">
        <f>IF(AND('Mapa final'!$AB$35="Baja",'Mapa final'!$AD$35="Menor"),CONCATENATE("R5C",'Mapa final'!$R$35),"")</f>
        <v/>
      </c>
      <c r="S40" s="50" t="str">
        <f>IF(AND('Mapa final'!$AB$36="Baja",'Mapa final'!$AD$36="Menor"),CONCATENATE("R5C",'Mapa final'!$R$36),"")</f>
        <v/>
      </c>
      <c r="T40" s="50" t="str">
        <f>IF(AND('Mapa final'!$AB$37="Baja",'Mapa final'!$AD$37="Menor"),CONCATENATE("R5C",'Mapa final'!$R$37),"")</f>
        <v/>
      </c>
      <c r="U40" s="51" t="str">
        <f>IF(AND('Mapa final'!$AB$38="Baja",'Mapa final'!$AD$38="Menor"),CONCATENATE("R5C",'Mapa final'!$R$38),"")</f>
        <v/>
      </c>
      <c r="V40" s="49" t="str">
        <f>IF(AND('Mapa final'!$AB$33="Baja",'Mapa final'!$AD$33="Moderado"),CONCATENATE("R5C",'Mapa final'!$R$33),"")</f>
        <v/>
      </c>
      <c r="W40" s="50" t="str">
        <f>IF(AND('Mapa final'!$AB$34="Baja",'Mapa final'!$AD$34="Moderado"),CONCATENATE("R5C",'Mapa final'!$R$34),"")</f>
        <v/>
      </c>
      <c r="X40" s="50" t="str">
        <f>IF(AND('Mapa final'!$AB$35="Baja",'Mapa final'!$AD$35="Moderado"),CONCATENATE("R5C",'Mapa final'!$R$35),"")</f>
        <v/>
      </c>
      <c r="Y40" s="50" t="str">
        <f>IF(AND('Mapa final'!$AB$36="Baja",'Mapa final'!$AD$36="Moderado"),CONCATENATE("R5C",'Mapa final'!$R$36),"")</f>
        <v/>
      </c>
      <c r="Z40" s="50" t="str">
        <f>IF(AND('Mapa final'!$AB$37="Baja",'Mapa final'!$AD$37="Moderado"),CONCATENATE("R5C",'Mapa final'!$R$37),"")</f>
        <v/>
      </c>
      <c r="AA40" s="51" t="str">
        <f>IF(AND('Mapa final'!$AB$38="Baja",'Mapa final'!$AD$38="Moderado"),CONCATENATE("R5C",'Mapa final'!$R$38),"")</f>
        <v/>
      </c>
      <c r="AB40" s="34" t="str">
        <f>IF(AND('Mapa final'!$AB$33="Baja",'Mapa final'!$AD$33="Mayor"),CONCATENATE("R5C",'Mapa final'!$R$33),"")</f>
        <v/>
      </c>
      <c r="AC40" s="35" t="str">
        <f>IF(AND('Mapa final'!$AB$34="Baja",'Mapa final'!$AD$34="Mayor"),CONCATENATE("R5C",'Mapa final'!$R$34),"")</f>
        <v/>
      </c>
      <c r="AD40" s="35" t="str">
        <f>IF(AND('Mapa final'!$AB$35="Baja",'Mapa final'!$AD$35="Mayor"),CONCATENATE("R5C",'Mapa final'!$R$35),"")</f>
        <v/>
      </c>
      <c r="AE40" s="35" t="str">
        <f>IF(AND('Mapa final'!$AB$36="Baja",'Mapa final'!$AD$36="Mayor"),CONCATENATE("R5C",'Mapa final'!$R$36),"")</f>
        <v/>
      </c>
      <c r="AF40" s="35" t="str">
        <f>IF(AND('Mapa final'!$AB$37="Baja",'Mapa final'!$AD$37="Mayor"),CONCATENATE("R5C",'Mapa final'!$R$37),"")</f>
        <v/>
      </c>
      <c r="AG40" s="36" t="str">
        <f>IF(AND('Mapa final'!$AB$38="Baja",'Mapa final'!$AD$38="Mayor"),CONCATENATE("R5C",'Mapa final'!$R$38),"")</f>
        <v/>
      </c>
      <c r="AH40" s="37" t="str">
        <f>IF(AND('Mapa final'!$AB$33="Baja",'Mapa final'!$AD$33="Catastrófico"),CONCATENATE("R5C",'Mapa final'!$R$33),"")</f>
        <v/>
      </c>
      <c r="AI40" s="38" t="str">
        <f>IF(AND('Mapa final'!$AB$34="Baja",'Mapa final'!$AD$34="Catastrófico"),CONCATENATE("R5C",'Mapa final'!$R$34),"")</f>
        <v/>
      </c>
      <c r="AJ40" s="38" t="str">
        <f>IF(AND('Mapa final'!$AB$35="Baja",'Mapa final'!$AD$35="Catastrófico"),CONCATENATE("R5C",'Mapa final'!$R$35),"")</f>
        <v/>
      </c>
      <c r="AK40" s="38" t="str">
        <f>IF(AND('Mapa final'!$AB$36="Baja",'Mapa final'!$AD$36="Catastrófico"),CONCATENATE("R5C",'Mapa final'!$R$36),"")</f>
        <v/>
      </c>
      <c r="AL40" s="38" t="str">
        <f>IF(AND('Mapa final'!$AB$37="Baja",'Mapa final'!$AD$37="Catastrófico"),CONCATENATE("R5C",'Mapa final'!$R$37),"")</f>
        <v/>
      </c>
      <c r="AM40" s="39" t="str">
        <f>IF(AND('Mapa final'!$AB$38="Baja",'Mapa final'!$AD$38="Catastrófico"),CONCATENATE("R5C",'Mapa final'!$R$38),"")</f>
        <v/>
      </c>
      <c r="AN40" s="65"/>
      <c r="AO40" s="866"/>
      <c r="AP40" s="867"/>
      <c r="AQ40" s="867"/>
      <c r="AR40" s="867"/>
      <c r="AS40" s="867"/>
      <c r="AT40" s="868"/>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row>
    <row r="41" spans="1:80" ht="15" customHeight="1" x14ac:dyDescent="0.3">
      <c r="A41" s="65"/>
      <c r="B41" s="794"/>
      <c r="C41" s="794"/>
      <c r="D41" s="795"/>
      <c r="E41" s="835"/>
      <c r="F41" s="836"/>
      <c r="G41" s="836"/>
      <c r="H41" s="836"/>
      <c r="I41" s="836"/>
      <c r="J41" s="58" t="str">
        <f>IF(AND('Mapa final'!$AB$39="Baja",'Mapa final'!$AD$39="Leve"),CONCATENATE("R6C",'Mapa final'!$R$39),"")</f>
        <v/>
      </c>
      <c r="K41" s="59" t="str">
        <f>IF(AND('Mapa final'!$AB$40="Baja",'Mapa final'!$AD$40="Leve"),CONCATENATE("R6C",'Mapa final'!$R$40),"")</f>
        <v/>
      </c>
      <c r="L41" s="59" t="str">
        <f>IF(AND('Mapa final'!$AB$41="Baja",'Mapa final'!$AD$41="Leve"),CONCATENATE("R6C",'Mapa final'!$R$41),"")</f>
        <v/>
      </c>
      <c r="M41" s="59" t="str">
        <f>IF(AND('Mapa final'!$AB$42="Baja",'Mapa final'!$AD$42="Leve"),CONCATENATE("R6C",'Mapa final'!$R$42),"")</f>
        <v/>
      </c>
      <c r="N41" s="59" t="str">
        <f>IF(AND('Mapa final'!$AB$43="Baja",'Mapa final'!$AD$43="Leve"),CONCATENATE("R6C",'Mapa final'!$R$43),"")</f>
        <v/>
      </c>
      <c r="O41" s="60" t="str">
        <f>IF(AND('Mapa final'!$AB$44="Baja",'Mapa final'!$AD$44="Leve"),CONCATENATE("R6C",'Mapa final'!$R$44),"")</f>
        <v/>
      </c>
      <c r="P41" s="49" t="str">
        <f>IF(AND('Mapa final'!$AB$39="Baja",'Mapa final'!$AD$39="Menor"),CONCATENATE("R6C",'Mapa final'!$R$39),"")</f>
        <v/>
      </c>
      <c r="Q41" s="50" t="str">
        <f>IF(AND('Mapa final'!$AB$40="Baja",'Mapa final'!$AD$40="Menor"),CONCATENATE("R6C",'Mapa final'!$R$40),"")</f>
        <v/>
      </c>
      <c r="R41" s="50" t="str">
        <f>IF(AND('Mapa final'!$AB$41="Baja",'Mapa final'!$AD$41="Menor"),CONCATENATE("R6C",'Mapa final'!$R$41),"")</f>
        <v/>
      </c>
      <c r="S41" s="50" t="str">
        <f>IF(AND('Mapa final'!$AB$42="Baja",'Mapa final'!$AD$42="Menor"),CONCATENATE("R6C",'Mapa final'!$R$42),"")</f>
        <v/>
      </c>
      <c r="T41" s="50" t="str">
        <f>IF(AND('Mapa final'!$AB$43="Baja",'Mapa final'!$AD$43="Menor"),CONCATENATE("R6C",'Mapa final'!$R$43),"")</f>
        <v/>
      </c>
      <c r="U41" s="51" t="str">
        <f>IF(AND('Mapa final'!$AB$44="Baja",'Mapa final'!$AD$44="Menor"),CONCATENATE("R6C",'Mapa final'!$R$44),"")</f>
        <v/>
      </c>
      <c r="V41" s="49" t="str">
        <f>IF(AND('Mapa final'!$AB$39="Baja",'Mapa final'!$AD$39="Moderado"),CONCATENATE("R6C",'Mapa final'!$R$39),"")</f>
        <v/>
      </c>
      <c r="W41" s="50" t="str">
        <f>IF(AND('Mapa final'!$AB$40="Baja",'Mapa final'!$AD$40="Moderado"),CONCATENATE("R6C",'Mapa final'!$R$40),"")</f>
        <v/>
      </c>
      <c r="X41" s="50" t="str">
        <f>IF(AND('Mapa final'!$AB$41="Baja",'Mapa final'!$AD$41="Moderado"),CONCATENATE("R6C",'Mapa final'!$R$41),"")</f>
        <v/>
      </c>
      <c r="Y41" s="50" t="str">
        <f>IF(AND('Mapa final'!$AB$42="Baja",'Mapa final'!$AD$42="Moderado"),CONCATENATE("R6C",'Mapa final'!$R$42),"")</f>
        <v/>
      </c>
      <c r="Z41" s="50" t="str">
        <f>IF(AND('Mapa final'!$AB$43="Baja",'Mapa final'!$AD$43="Moderado"),CONCATENATE("R6C",'Mapa final'!$R$43),"")</f>
        <v/>
      </c>
      <c r="AA41" s="51" t="str">
        <f>IF(AND('Mapa final'!$AB$44="Baja",'Mapa final'!$AD$44="Moderado"),CONCATENATE("R6C",'Mapa final'!$R$44),"")</f>
        <v/>
      </c>
      <c r="AB41" s="34" t="str">
        <f>IF(AND('Mapa final'!$AB$39="Baja",'Mapa final'!$AD$39="Mayor"),CONCATENATE("R6C",'Mapa final'!$R$39),"")</f>
        <v/>
      </c>
      <c r="AC41" s="35" t="str">
        <f>IF(AND('Mapa final'!$AB$40="Baja",'Mapa final'!$AD$40="Mayor"),CONCATENATE("R6C",'Mapa final'!$R$40),"")</f>
        <v/>
      </c>
      <c r="AD41" s="35" t="str">
        <f>IF(AND('Mapa final'!$AB$41="Baja",'Mapa final'!$AD$41="Mayor"),CONCATENATE("R6C",'Mapa final'!$R$41),"")</f>
        <v/>
      </c>
      <c r="AE41" s="35" t="str">
        <f>IF(AND('Mapa final'!$AB$42="Baja",'Mapa final'!$AD$42="Mayor"),CONCATENATE("R6C",'Mapa final'!$R$42),"")</f>
        <v/>
      </c>
      <c r="AF41" s="35" t="str">
        <f>IF(AND('Mapa final'!$AB$43="Baja",'Mapa final'!$AD$43="Mayor"),CONCATENATE("R6C",'Mapa final'!$R$43),"")</f>
        <v/>
      </c>
      <c r="AG41" s="36" t="str">
        <f>IF(AND('Mapa final'!$AB$44="Baja",'Mapa final'!$AD$44="Mayor"),CONCATENATE("R6C",'Mapa final'!$R$44),"")</f>
        <v/>
      </c>
      <c r="AH41" s="37" t="str">
        <f>IF(AND('Mapa final'!$AB$39="Baja",'Mapa final'!$AD$39="Catastrófico"),CONCATENATE("R6C",'Mapa final'!$R$39),"")</f>
        <v/>
      </c>
      <c r="AI41" s="38" t="str">
        <f>IF(AND('Mapa final'!$AB$40="Baja",'Mapa final'!$AD$40="Catastrófico"),CONCATENATE("R6C",'Mapa final'!$R$40),"")</f>
        <v/>
      </c>
      <c r="AJ41" s="38" t="str">
        <f>IF(AND('Mapa final'!$AB$41="Baja",'Mapa final'!$AD$41="Catastrófico"),CONCATENATE("R6C",'Mapa final'!$R$41),"")</f>
        <v/>
      </c>
      <c r="AK41" s="38" t="str">
        <f>IF(AND('Mapa final'!$AB$42="Baja",'Mapa final'!$AD$42="Catastrófico"),CONCATENATE("R6C",'Mapa final'!$R$42),"")</f>
        <v/>
      </c>
      <c r="AL41" s="38" t="str">
        <f>IF(AND('Mapa final'!$AB$43="Baja",'Mapa final'!$AD$43="Catastrófico"),CONCATENATE("R6C",'Mapa final'!$R$43),"")</f>
        <v/>
      </c>
      <c r="AM41" s="39" t="str">
        <f>IF(AND('Mapa final'!$AB$44="Baja",'Mapa final'!$AD$44="Catastrófico"),CONCATENATE("R6C",'Mapa final'!$R$44),"")</f>
        <v/>
      </c>
      <c r="AN41" s="65"/>
      <c r="AO41" s="866"/>
      <c r="AP41" s="867"/>
      <c r="AQ41" s="867"/>
      <c r="AR41" s="867"/>
      <c r="AS41" s="867"/>
      <c r="AT41" s="868"/>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row>
    <row r="42" spans="1:80" ht="15" customHeight="1" x14ac:dyDescent="0.3">
      <c r="A42" s="65"/>
      <c r="B42" s="794"/>
      <c r="C42" s="794"/>
      <c r="D42" s="795"/>
      <c r="E42" s="835"/>
      <c r="F42" s="836"/>
      <c r="G42" s="836"/>
      <c r="H42" s="836"/>
      <c r="I42" s="836"/>
      <c r="J42" s="58" t="str">
        <f>IF(AND('Mapa final'!$AB$45="Baja",'Mapa final'!$AD$45="Leve"),CONCATENATE("R7C",'Mapa final'!$R$45),"")</f>
        <v/>
      </c>
      <c r="K42" s="59" t="str">
        <f>IF(AND('Mapa final'!$AB$46="Baja",'Mapa final'!$AD$46="Leve"),CONCATENATE("R7C",'Mapa final'!$R$46),"")</f>
        <v/>
      </c>
      <c r="L42" s="59" t="str">
        <f>IF(AND('Mapa final'!$AB$47="Baja",'Mapa final'!$AD$47="Leve"),CONCATENATE("R7C",'Mapa final'!$R$47),"")</f>
        <v/>
      </c>
      <c r="M42" s="59" t="str">
        <f>IF(AND('Mapa final'!$AB$48="Baja",'Mapa final'!$AD$48="Leve"),CONCATENATE("R7C",'Mapa final'!$R$48),"")</f>
        <v/>
      </c>
      <c r="N42" s="59" t="str">
        <f>IF(AND('Mapa final'!$AB$49="Baja",'Mapa final'!$AD$49="Leve"),CONCATENATE("R7C",'Mapa final'!$R$49),"")</f>
        <v/>
      </c>
      <c r="O42" s="60" t="str">
        <f>IF(AND('Mapa final'!$AB$50="Baja",'Mapa final'!$AD$50="Leve"),CONCATENATE("R7C",'Mapa final'!$R$50),"")</f>
        <v/>
      </c>
      <c r="P42" s="49" t="str">
        <f>IF(AND('Mapa final'!$AB$45="Baja",'Mapa final'!$AD$45="Menor"),CONCATENATE("R7C",'Mapa final'!$R$45),"")</f>
        <v/>
      </c>
      <c r="Q42" s="50" t="str">
        <f>IF(AND('Mapa final'!$AB$46="Baja",'Mapa final'!$AD$46="Menor"),CONCATENATE("R7C",'Mapa final'!$R$46),"")</f>
        <v/>
      </c>
      <c r="R42" s="50" t="str">
        <f>IF(AND('Mapa final'!$AB$47="Baja",'Mapa final'!$AD$47="Menor"),CONCATENATE("R7C",'Mapa final'!$R$47),"")</f>
        <v/>
      </c>
      <c r="S42" s="50" t="str">
        <f>IF(AND('Mapa final'!$AB$48="Baja",'Mapa final'!$AD$48="Menor"),CONCATENATE("R7C",'Mapa final'!$R$48),"")</f>
        <v/>
      </c>
      <c r="T42" s="50" t="str">
        <f>IF(AND('Mapa final'!$AB$49="Baja",'Mapa final'!$AD$49="Menor"),CONCATENATE("R7C",'Mapa final'!$R$49),"")</f>
        <v/>
      </c>
      <c r="U42" s="51" t="str">
        <f>IF(AND('Mapa final'!$AB$50="Baja",'Mapa final'!$AD$50="Menor"),CONCATENATE("R7C",'Mapa final'!$R$50),"")</f>
        <v/>
      </c>
      <c r="V42" s="49" t="str">
        <f>IF(AND('Mapa final'!$AB$45="Baja",'Mapa final'!$AD$45="Moderado"),CONCATENATE("R7C",'Mapa final'!$R$45),"")</f>
        <v/>
      </c>
      <c r="W42" s="50" t="str">
        <f>IF(AND('Mapa final'!$AB$46="Baja",'Mapa final'!$AD$46="Moderado"),CONCATENATE("R7C",'Mapa final'!$R$46),"")</f>
        <v/>
      </c>
      <c r="X42" s="50" t="str">
        <f>IF(AND('Mapa final'!$AB$47="Baja",'Mapa final'!$AD$47="Moderado"),CONCATENATE("R7C",'Mapa final'!$R$47),"")</f>
        <v/>
      </c>
      <c r="Y42" s="50" t="str">
        <f>IF(AND('Mapa final'!$AB$48="Baja",'Mapa final'!$AD$48="Moderado"),CONCATENATE("R7C",'Mapa final'!$R$48),"")</f>
        <v/>
      </c>
      <c r="Z42" s="50" t="str">
        <f>IF(AND('Mapa final'!$AB$49="Baja",'Mapa final'!$AD$49="Moderado"),CONCATENATE("R7C",'Mapa final'!$R$49),"")</f>
        <v/>
      </c>
      <c r="AA42" s="51" t="str">
        <f>IF(AND('Mapa final'!$AB$50="Baja",'Mapa final'!$AD$50="Moderado"),CONCATENATE("R7C",'Mapa final'!$R$50),"")</f>
        <v/>
      </c>
      <c r="AB42" s="34" t="str">
        <f>IF(AND('Mapa final'!$AB$45="Baja",'Mapa final'!$AD$45="Mayor"),CONCATENATE("R7C",'Mapa final'!$R$45),"")</f>
        <v/>
      </c>
      <c r="AC42" s="35" t="str">
        <f>IF(AND('Mapa final'!$AB$46="Baja",'Mapa final'!$AD$46="Mayor"),CONCATENATE("R7C",'Mapa final'!$R$46),"")</f>
        <v/>
      </c>
      <c r="AD42" s="35" t="str">
        <f>IF(AND('Mapa final'!$AB$47="Baja",'Mapa final'!$AD$47="Mayor"),CONCATENATE("R7C",'Mapa final'!$R$47),"")</f>
        <v/>
      </c>
      <c r="AE42" s="35" t="str">
        <f>IF(AND('Mapa final'!$AB$48="Baja",'Mapa final'!$AD$48="Mayor"),CONCATENATE("R7C",'Mapa final'!$R$48),"")</f>
        <v/>
      </c>
      <c r="AF42" s="35" t="str">
        <f>IF(AND('Mapa final'!$AB$49="Baja",'Mapa final'!$AD$49="Mayor"),CONCATENATE("R7C",'Mapa final'!$R$49),"")</f>
        <v/>
      </c>
      <c r="AG42" s="36" t="str">
        <f>IF(AND('Mapa final'!$AB$50="Baja",'Mapa final'!$AD$50="Mayor"),CONCATENATE("R7C",'Mapa final'!$R$50),"")</f>
        <v/>
      </c>
      <c r="AH42" s="37" t="str">
        <f>IF(AND('Mapa final'!$AB$45="Baja",'Mapa final'!$AD$45="Catastrófico"),CONCATENATE("R7C",'Mapa final'!$R$45),"")</f>
        <v/>
      </c>
      <c r="AI42" s="38" t="str">
        <f>IF(AND('Mapa final'!$AB$46="Baja",'Mapa final'!$AD$46="Catastrófico"),CONCATENATE("R7C",'Mapa final'!$R$46),"")</f>
        <v/>
      </c>
      <c r="AJ42" s="38" t="str">
        <f>IF(AND('Mapa final'!$AB$47="Baja",'Mapa final'!$AD$47="Catastrófico"),CONCATENATE("R7C",'Mapa final'!$R$47),"")</f>
        <v/>
      </c>
      <c r="AK42" s="38" t="str">
        <f>IF(AND('Mapa final'!$AB$48="Baja",'Mapa final'!$AD$48="Catastrófico"),CONCATENATE("R7C",'Mapa final'!$R$48),"")</f>
        <v/>
      </c>
      <c r="AL42" s="38" t="str">
        <f>IF(AND('Mapa final'!$AB$49="Baja",'Mapa final'!$AD$49="Catastrófico"),CONCATENATE("R7C",'Mapa final'!$R$49),"")</f>
        <v/>
      </c>
      <c r="AM42" s="39" t="str">
        <f>IF(AND('Mapa final'!$AB$50="Baja",'Mapa final'!$AD$50="Catastrófico"),CONCATENATE("R7C",'Mapa final'!$R$50),"")</f>
        <v/>
      </c>
      <c r="AN42" s="65"/>
      <c r="AO42" s="866"/>
      <c r="AP42" s="867"/>
      <c r="AQ42" s="867"/>
      <c r="AR42" s="867"/>
      <c r="AS42" s="867"/>
      <c r="AT42" s="868"/>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row>
    <row r="43" spans="1:80" ht="15" customHeight="1" x14ac:dyDescent="0.3">
      <c r="A43" s="65"/>
      <c r="B43" s="794"/>
      <c r="C43" s="794"/>
      <c r="D43" s="795"/>
      <c r="E43" s="835"/>
      <c r="F43" s="836"/>
      <c r="G43" s="836"/>
      <c r="H43" s="836"/>
      <c r="I43" s="836"/>
      <c r="J43" s="58" t="str">
        <f>IF(AND('Mapa final'!$AB$51="Baja",'Mapa final'!$AD$51="Leve"),CONCATENATE("R8C",'Mapa final'!$R$51),"")</f>
        <v/>
      </c>
      <c r="K43" s="59" t="str">
        <f>IF(AND('Mapa final'!$AB$52="Baja",'Mapa final'!$AD$52="Leve"),CONCATENATE("R8C",'Mapa final'!$R$52),"")</f>
        <v/>
      </c>
      <c r="L43" s="59" t="str">
        <f>IF(AND('Mapa final'!$AB$53="Baja",'Mapa final'!$AD$53="Leve"),CONCATENATE("R8C",'Mapa final'!$R$53),"")</f>
        <v/>
      </c>
      <c r="M43" s="59" t="str">
        <f>IF(AND('Mapa final'!$AB$54="Baja",'Mapa final'!$AD$54="Leve"),CONCATENATE("R8C",'Mapa final'!$R$54),"")</f>
        <v/>
      </c>
      <c r="N43" s="59" t="str">
        <f>IF(AND('Mapa final'!$AB$55="Baja",'Mapa final'!$AD$55="Leve"),CONCATENATE("R8C",'Mapa final'!$R$55),"")</f>
        <v/>
      </c>
      <c r="O43" s="60" t="str">
        <f>IF(AND('Mapa final'!$AB$56="Baja",'Mapa final'!$AD$56="Leve"),CONCATENATE("R8C",'Mapa final'!$R$56),"")</f>
        <v/>
      </c>
      <c r="P43" s="49" t="str">
        <f>IF(AND('Mapa final'!$AB$51="Baja",'Mapa final'!$AD$51="Menor"),CONCATENATE("R8C",'Mapa final'!$R$51),"")</f>
        <v/>
      </c>
      <c r="Q43" s="50" t="str">
        <f>IF(AND('Mapa final'!$AB$52="Baja",'Mapa final'!$AD$52="Menor"),CONCATENATE("R8C",'Mapa final'!$R$52),"")</f>
        <v/>
      </c>
      <c r="R43" s="50" t="str">
        <f>IF(AND('Mapa final'!$AB$53="Baja",'Mapa final'!$AD$53="Menor"),CONCATENATE("R8C",'Mapa final'!$R$53),"")</f>
        <v/>
      </c>
      <c r="S43" s="50" t="str">
        <f>IF(AND('Mapa final'!$AB$54="Baja",'Mapa final'!$AD$54="Menor"),CONCATENATE("R8C",'Mapa final'!$R$54),"")</f>
        <v/>
      </c>
      <c r="T43" s="50" t="str">
        <f>IF(AND('Mapa final'!$AB$55="Baja",'Mapa final'!$AD$55="Menor"),CONCATENATE("R8C",'Mapa final'!$R$55),"")</f>
        <v/>
      </c>
      <c r="U43" s="51" t="str">
        <f>IF(AND('Mapa final'!$AB$56="Baja",'Mapa final'!$AD$56="Menor"),CONCATENATE("R8C",'Mapa final'!$R$56),"")</f>
        <v/>
      </c>
      <c r="V43" s="49" t="str">
        <f>IF(AND('Mapa final'!$AB$51="Baja",'Mapa final'!$AD$51="Moderado"),CONCATENATE("R8C",'Mapa final'!$R$51),"")</f>
        <v/>
      </c>
      <c r="W43" s="50" t="str">
        <f>IF(AND('Mapa final'!$AB$52="Baja",'Mapa final'!$AD$52="Moderado"),CONCATENATE("R8C",'Mapa final'!$R$52),"")</f>
        <v/>
      </c>
      <c r="X43" s="50" t="str">
        <f>IF(AND('Mapa final'!$AB$53="Baja",'Mapa final'!$AD$53="Moderado"),CONCATENATE("R8C",'Mapa final'!$R$53),"")</f>
        <v/>
      </c>
      <c r="Y43" s="50" t="str">
        <f>IF(AND('Mapa final'!$AB$54="Baja",'Mapa final'!$AD$54="Moderado"),CONCATENATE("R8C",'Mapa final'!$R$54),"")</f>
        <v/>
      </c>
      <c r="Z43" s="50" t="str">
        <f>IF(AND('Mapa final'!$AB$55="Baja",'Mapa final'!$AD$55="Moderado"),CONCATENATE("R8C",'Mapa final'!$R$55),"")</f>
        <v/>
      </c>
      <c r="AA43" s="51" t="str">
        <f>IF(AND('Mapa final'!$AB$56="Baja",'Mapa final'!$AD$56="Moderado"),CONCATENATE("R8C",'Mapa final'!$R$56),"")</f>
        <v/>
      </c>
      <c r="AB43" s="34" t="str">
        <f>IF(AND('Mapa final'!$AB$51="Baja",'Mapa final'!$AD$51="Mayor"),CONCATENATE("R8C",'Mapa final'!$R$51),"")</f>
        <v/>
      </c>
      <c r="AC43" s="35" t="str">
        <f>IF(AND('Mapa final'!$AB$52="Baja",'Mapa final'!$AD$52="Mayor"),CONCATENATE("R8C",'Mapa final'!$R$52),"")</f>
        <v/>
      </c>
      <c r="AD43" s="35" t="str">
        <f>IF(AND('Mapa final'!$AB$53="Baja",'Mapa final'!$AD$53="Mayor"),CONCATENATE("R8C",'Mapa final'!$R$53),"")</f>
        <v/>
      </c>
      <c r="AE43" s="35" t="str">
        <f>IF(AND('Mapa final'!$AB$54="Baja",'Mapa final'!$AD$54="Mayor"),CONCATENATE("R8C",'Mapa final'!$R$54),"")</f>
        <v/>
      </c>
      <c r="AF43" s="35" t="str">
        <f>IF(AND('Mapa final'!$AB$55="Baja",'Mapa final'!$AD$55="Mayor"),CONCATENATE("R8C",'Mapa final'!$R$55),"")</f>
        <v/>
      </c>
      <c r="AG43" s="36" t="str">
        <f>IF(AND('Mapa final'!$AB$56="Baja",'Mapa final'!$AD$56="Mayor"),CONCATENATE("R8C",'Mapa final'!$R$56),"")</f>
        <v/>
      </c>
      <c r="AH43" s="37" t="str">
        <f>IF(AND('Mapa final'!$AB$51="Baja",'Mapa final'!$AD$51="Catastrófico"),CONCATENATE("R8C",'Mapa final'!$R$51),"")</f>
        <v/>
      </c>
      <c r="AI43" s="38" t="str">
        <f>IF(AND('Mapa final'!$AB$52="Baja",'Mapa final'!$AD$52="Catastrófico"),CONCATENATE("R8C",'Mapa final'!$R$52),"")</f>
        <v/>
      </c>
      <c r="AJ43" s="38" t="str">
        <f>IF(AND('Mapa final'!$AB$53="Baja",'Mapa final'!$AD$53="Catastrófico"),CONCATENATE("R8C",'Mapa final'!$R$53),"")</f>
        <v/>
      </c>
      <c r="AK43" s="38" t="str">
        <f>IF(AND('Mapa final'!$AB$54="Baja",'Mapa final'!$AD$54="Catastrófico"),CONCATENATE("R8C",'Mapa final'!$R$54),"")</f>
        <v/>
      </c>
      <c r="AL43" s="38" t="str">
        <f>IF(AND('Mapa final'!$AB$55="Baja",'Mapa final'!$AD$55="Catastrófico"),CONCATENATE("R8C",'Mapa final'!$R$55),"")</f>
        <v/>
      </c>
      <c r="AM43" s="39" t="str">
        <f>IF(AND('Mapa final'!$AB$56="Baja",'Mapa final'!$AD$56="Catastrófico"),CONCATENATE("R8C",'Mapa final'!$R$56),"")</f>
        <v/>
      </c>
      <c r="AN43" s="65"/>
      <c r="AO43" s="866"/>
      <c r="AP43" s="867"/>
      <c r="AQ43" s="867"/>
      <c r="AR43" s="867"/>
      <c r="AS43" s="867"/>
      <c r="AT43" s="868"/>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row>
    <row r="44" spans="1:80" ht="15" customHeight="1" x14ac:dyDescent="0.3">
      <c r="A44" s="65"/>
      <c r="B44" s="794"/>
      <c r="C44" s="794"/>
      <c r="D44" s="795"/>
      <c r="E44" s="835"/>
      <c r="F44" s="836"/>
      <c r="G44" s="836"/>
      <c r="H44" s="836"/>
      <c r="I44" s="836"/>
      <c r="J44" s="58" t="str">
        <f>IF(AND('Mapa final'!$AB$57="Baja",'Mapa final'!$AD$57="Leve"),CONCATENATE("R9C",'Mapa final'!$R$57),"")</f>
        <v/>
      </c>
      <c r="K44" s="59" t="str">
        <f>IF(AND('Mapa final'!$AB$58="Baja",'Mapa final'!$AD$58="Leve"),CONCATENATE("R9C",'Mapa final'!$R$58),"")</f>
        <v/>
      </c>
      <c r="L44" s="59" t="str">
        <f>IF(AND('Mapa final'!$AB$59="Baja",'Mapa final'!$AD$59="Leve"),CONCATENATE("R9C",'Mapa final'!$R$59),"")</f>
        <v/>
      </c>
      <c r="M44" s="59" t="str">
        <f>IF(AND('Mapa final'!$AB$60="Baja",'Mapa final'!$AD$60="Leve"),CONCATENATE("R9C",'Mapa final'!$R$60),"")</f>
        <v/>
      </c>
      <c r="N44" s="59" t="str">
        <f>IF(AND('Mapa final'!$AB$61="Baja",'Mapa final'!$AD$61="Leve"),CONCATENATE("R9C",'Mapa final'!$R$61),"")</f>
        <v/>
      </c>
      <c r="O44" s="60" t="str">
        <f>IF(AND('Mapa final'!$AB$62="Baja",'Mapa final'!$AD$62="Leve"),CONCATENATE("R9C",'Mapa final'!$R$62),"")</f>
        <v/>
      </c>
      <c r="P44" s="49" t="str">
        <f>IF(AND('Mapa final'!$AB$57="Baja",'Mapa final'!$AD$57="Menor"),CONCATENATE("R9C",'Mapa final'!$R$57),"")</f>
        <v/>
      </c>
      <c r="Q44" s="50" t="str">
        <f>IF(AND('Mapa final'!$AB$58="Baja",'Mapa final'!$AD$58="Menor"),CONCATENATE("R9C",'Mapa final'!$R$58),"")</f>
        <v/>
      </c>
      <c r="R44" s="50" t="str">
        <f>IF(AND('Mapa final'!$AB$59="Baja",'Mapa final'!$AD$59="Menor"),CONCATENATE("R9C",'Mapa final'!$R$59),"")</f>
        <v/>
      </c>
      <c r="S44" s="50" t="str">
        <f>IF(AND('Mapa final'!$AB$60="Baja",'Mapa final'!$AD$60="Menor"),CONCATENATE("R9C",'Mapa final'!$R$60),"")</f>
        <v/>
      </c>
      <c r="T44" s="50" t="str">
        <f>IF(AND('Mapa final'!$AB$61="Baja",'Mapa final'!$AD$61="Menor"),CONCATENATE("R9C",'Mapa final'!$R$61),"")</f>
        <v/>
      </c>
      <c r="U44" s="51" t="str">
        <f>IF(AND('Mapa final'!$AB$62="Baja",'Mapa final'!$AD$62="Menor"),CONCATENATE("R9C",'Mapa final'!$R$62),"")</f>
        <v/>
      </c>
      <c r="V44" s="49" t="str">
        <f>IF(AND('Mapa final'!$AB$57="Baja",'Mapa final'!$AD$57="Moderado"),CONCATENATE("R9C",'Mapa final'!$R$57),"")</f>
        <v/>
      </c>
      <c r="W44" s="50" t="str">
        <f>IF(AND('Mapa final'!$AB$58="Baja",'Mapa final'!$AD$58="Moderado"),CONCATENATE("R9C",'Mapa final'!$R$58),"")</f>
        <v/>
      </c>
      <c r="X44" s="50" t="str">
        <f>IF(AND('Mapa final'!$AB$59="Baja",'Mapa final'!$AD$59="Moderado"),CONCATENATE("R9C",'Mapa final'!$R$59),"")</f>
        <v/>
      </c>
      <c r="Y44" s="50" t="str">
        <f>IF(AND('Mapa final'!$AB$60="Baja",'Mapa final'!$AD$60="Moderado"),CONCATENATE("R9C",'Mapa final'!$R$60),"")</f>
        <v/>
      </c>
      <c r="Z44" s="50" t="str">
        <f>IF(AND('Mapa final'!$AB$61="Baja",'Mapa final'!$AD$61="Moderado"),CONCATENATE("R9C",'Mapa final'!$R$61),"")</f>
        <v/>
      </c>
      <c r="AA44" s="51" t="str">
        <f>IF(AND('Mapa final'!$AB$62="Baja",'Mapa final'!$AD$62="Moderado"),CONCATENATE("R9C",'Mapa final'!$R$62),"")</f>
        <v/>
      </c>
      <c r="AB44" s="34" t="str">
        <f>IF(AND('Mapa final'!$AB$57="Baja",'Mapa final'!$AD$57="Mayor"),CONCATENATE("R9C",'Mapa final'!$R$57),"")</f>
        <v/>
      </c>
      <c r="AC44" s="35" t="str">
        <f>IF(AND('Mapa final'!$AB$58="Baja",'Mapa final'!$AD$58="Mayor"),CONCATENATE("R9C",'Mapa final'!$R$58),"")</f>
        <v/>
      </c>
      <c r="AD44" s="35" t="str">
        <f>IF(AND('Mapa final'!$AB$59="Baja",'Mapa final'!$AD$59="Mayor"),CONCATENATE("R9C",'Mapa final'!$R$59),"")</f>
        <v/>
      </c>
      <c r="AE44" s="35" t="str">
        <f>IF(AND('Mapa final'!$AB$60="Baja",'Mapa final'!$AD$60="Mayor"),CONCATENATE("R9C",'Mapa final'!$R$60),"")</f>
        <v/>
      </c>
      <c r="AF44" s="35" t="str">
        <f>IF(AND('Mapa final'!$AB$61="Baja",'Mapa final'!$AD$61="Mayor"),CONCATENATE("R9C",'Mapa final'!$R$61),"")</f>
        <v/>
      </c>
      <c r="AG44" s="36" t="str">
        <f>IF(AND('Mapa final'!$AB$62="Baja",'Mapa final'!$AD$62="Mayor"),CONCATENATE("R9C",'Mapa final'!$R$62),"")</f>
        <v/>
      </c>
      <c r="AH44" s="37" t="str">
        <f>IF(AND('Mapa final'!$AB$57="Baja",'Mapa final'!$AD$57="Catastrófico"),CONCATENATE("R9C",'Mapa final'!$R$57),"")</f>
        <v/>
      </c>
      <c r="AI44" s="38" t="str">
        <f>IF(AND('Mapa final'!$AB$58="Baja",'Mapa final'!$AD$58="Catastrófico"),CONCATENATE("R9C",'Mapa final'!$R$58),"")</f>
        <v/>
      </c>
      <c r="AJ44" s="38" t="str">
        <f>IF(AND('Mapa final'!$AB$59="Baja",'Mapa final'!$AD$59="Catastrófico"),CONCATENATE("R9C",'Mapa final'!$R$59),"")</f>
        <v/>
      </c>
      <c r="AK44" s="38" t="str">
        <f>IF(AND('Mapa final'!$AB$60="Baja",'Mapa final'!$AD$60="Catastrófico"),CONCATENATE("R9C",'Mapa final'!$R$60),"")</f>
        <v/>
      </c>
      <c r="AL44" s="38" t="str">
        <f>IF(AND('Mapa final'!$AB$61="Baja",'Mapa final'!$AD$61="Catastrófico"),CONCATENATE("R9C",'Mapa final'!$R$61),"")</f>
        <v/>
      </c>
      <c r="AM44" s="39" t="str">
        <f>IF(AND('Mapa final'!$AB$62="Baja",'Mapa final'!$AD$62="Catastrófico"),CONCATENATE("R9C",'Mapa final'!$R$62),"")</f>
        <v/>
      </c>
      <c r="AN44" s="65"/>
      <c r="AO44" s="866"/>
      <c r="AP44" s="867"/>
      <c r="AQ44" s="867"/>
      <c r="AR44" s="867"/>
      <c r="AS44" s="867"/>
      <c r="AT44" s="868"/>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row>
    <row r="45" spans="1:80" ht="15.75" customHeight="1" thickBot="1" x14ac:dyDescent="0.35">
      <c r="A45" s="65"/>
      <c r="B45" s="794"/>
      <c r="C45" s="794"/>
      <c r="D45" s="795"/>
      <c r="E45" s="838"/>
      <c r="F45" s="839"/>
      <c r="G45" s="839"/>
      <c r="H45" s="839"/>
      <c r="I45" s="839"/>
      <c r="J45" s="61" t="str">
        <f>IF(AND('Mapa final'!$AB$63="Baja",'Mapa final'!$AD$63="Leve"),CONCATENATE("R10C",'Mapa final'!$R$63),"")</f>
        <v/>
      </c>
      <c r="K45" s="62" t="str">
        <f>IF(AND('Mapa final'!$AB$64="Baja",'Mapa final'!$AD$64="Leve"),CONCATENATE("R10C",'Mapa final'!$R$64),"")</f>
        <v/>
      </c>
      <c r="L45" s="62" t="str">
        <f>IF(AND('Mapa final'!$AB$65="Baja",'Mapa final'!$AD$65="Leve"),CONCATENATE("R10C",'Mapa final'!$R$65),"")</f>
        <v/>
      </c>
      <c r="M45" s="62" t="str">
        <f>IF(AND('Mapa final'!$AB$66="Baja",'Mapa final'!$AD$66="Leve"),CONCATENATE("R10C",'Mapa final'!$R$66),"")</f>
        <v/>
      </c>
      <c r="N45" s="62" t="str">
        <f>IF(AND('Mapa final'!$AB$67="Baja",'Mapa final'!$AD$67="Leve"),CONCATENATE("R10C",'Mapa final'!$R$67),"")</f>
        <v/>
      </c>
      <c r="O45" s="63" t="str">
        <f>IF(AND('Mapa final'!$AB$68="Baja",'Mapa final'!$AD$68="Leve"),CONCATENATE("R10C",'Mapa final'!$R$68),"")</f>
        <v/>
      </c>
      <c r="P45" s="49" t="str">
        <f>IF(AND('Mapa final'!$AB$63="Baja",'Mapa final'!$AD$63="Menor"),CONCATENATE("R10C",'Mapa final'!$R$63),"")</f>
        <v/>
      </c>
      <c r="Q45" s="50" t="str">
        <f>IF(AND('Mapa final'!$AB$64="Baja",'Mapa final'!$AD$64="Menor"),CONCATENATE("R10C",'Mapa final'!$R$64),"")</f>
        <v/>
      </c>
      <c r="R45" s="50" t="str">
        <f>IF(AND('Mapa final'!$AB$65="Baja",'Mapa final'!$AD$65="Menor"),CONCATENATE("R10C",'Mapa final'!$R$65),"")</f>
        <v/>
      </c>
      <c r="S45" s="50" t="str">
        <f>IF(AND('Mapa final'!$AB$66="Baja",'Mapa final'!$AD$66="Menor"),CONCATENATE("R10C",'Mapa final'!$R$66),"")</f>
        <v/>
      </c>
      <c r="T45" s="50" t="str">
        <f>IF(AND('Mapa final'!$AB$67="Baja",'Mapa final'!$AD$67="Menor"),CONCATENATE("R10C",'Mapa final'!$R$67),"")</f>
        <v/>
      </c>
      <c r="U45" s="51" t="str">
        <f>IF(AND('Mapa final'!$AB$68="Baja",'Mapa final'!$AD$68="Menor"),CONCATENATE("R10C",'Mapa final'!$R$68),"")</f>
        <v/>
      </c>
      <c r="V45" s="52" t="str">
        <f>IF(AND('Mapa final'!$AB$63="Baja",'Mapa final'!$AD$63="Moderado"),CONCATENATE("R10C",'Mapa final'!$R$63),"")</f>
        <v/>
      </c>
      <c r="W45" s="53" t="str">
        <f>IF(AND('Mapa final'!$AB$64="Baja",'Mapa final'!$AD$64="Moderado"),CONCATENATE("R10C",'Mapa final'!$R$64),"")</f>
        <v/>
      </c>
      <c r="X45" s="53" t="str">
        <f>IF(AND('Mapa final'!$AB$65="Baja",'Mapa final'!$AD$65="Moderado"),CONCATENATE("R10C",'Mapa final'!$R$65),"")</f>
        <v/>
      </c>
      <c r="Y45" s="53" t="str">
        <f>IF(AND('Mapa final'!$AB$66="Baja",'Mapa final'!$AD$66="Moderado"),CONCATENATE("R10C",'Mapa final'!$R$66),"")</f>
        <v/>
      </c>
      <c r="Z45" s="53" t="str">
        <f>IF(AND('Mapa final'!$AB$67="Baja",'Mapa final'!$AD$67="Moderado"),CONCATENATE("R10C",'Mapa final'!$R$67),"")</f>
        <v/>
      </c>
      <c r="AA45" s="54" t="str">
        <f>IF(AND('Mapa final'!$AB$68="Baja",'Mapa final'!$AD$68="Moderado"),CONCATENATE("R10C",'Mapa final'!$R$68),"")</f>
        <v/>
      </c>
      <c r="AB45" s="40" t="str">
        <f>IF(AND('Mapa final'!$AB$63="Baja",'Mapa final'!$AD$63="Mayor"),CONCATENATE("R10C",'Mapa final'!$R$63),"")</f>
        <v/>
      </c>
      <c r="AC45" s="41" t="str">
        <f>IF(AND('Mapa final'!$AB$64="Baja",'Mapa final'!$AD$64="Mayor"),CONCATENATE("R10C",'Mapa final'!$R$64),"")</f>
        <v/>
      </c>
      <c r="AD45" s="41" t="str">
        <f>IF(AND('Mapa final'!$AB$65="Baja",'Mapa final'!$AD$65="Mayor"),CONCATENATE("R10C",'Mapa final'!$R$65),"")</f>
        <v/>
      </c>
      <c r="AE45" s="41" t="str">
        <f>IF(AND('Mapa final'!$AB$66="Baja",'Mapa final'!$AD$66="Mayor"),CONCATENATE("R10C",'Mapa final'!$R$66),"")</f>
        <v/>
      </c>
      <c r="AF45" s="41" t="str">
        <f>IF(AND('Mapa final'!$AB$67="Baja",'Mapa final'!$AD$67="Mayor"),CONCATENATE("R10C",'Mapa final'!$R$67),"")</f>
        <v/>
      </c>
      <c r="AG45" s="42" t="str">
        <f>IF(AND('Mapa final'!$AB$68="Baja",'Mapa final'!$AD$68="Mayor"),CONCATENATE("R10C",'Mapa final'!$R$68),"")</f>
        <v/>
      </c>
      <c r="AH45" s="43" t="str">
        <f>IF(AND('Mapa final'!$AB$63="Baja",'Mapa final'!$AD$63="Catastrófico"),CONCATENATE("R10C",'Mapa final'!$R$63),"")</f>
        <v/>
      </c>
      <c r="AI45" s="44" t="str">
        <f>IF(AND('Mapa final'!$AB$64="Baja",'Mapa final'!$AD$64="Catastrófico"),CONCATENATE("R10C",'Mapa final'!$R$64),"")</f>
        <v/>
      </c>
      <c r="AJ45" s="44" t="str">
        <f>IF(AND('Mapa final'!$AB$65="Baja",'Mapa final'!$AD$65="Catastrófico"),CONCATENATE("R10C",'Mapa final'!$R$65),"")</f>
        <v/>
      </c>
      <c r="AK45" s="44" t="str">
        <f>IF(AND('Mapa final'!$AB$66="Baja",'Mapa final'!$AD$66="Catastrófico"),CONCATENATE("R10C",'Mapa final'!$R$66),"")</f>
        <v/>
      </c>
      <c r="AL45" s="44" t="str">
        <f>IF(AND('Mapa final'!$AB$67="Baja",'Mapa final'!$AD$67="Catastrófico"),CONCATENATE("R10C",'Mapa final'!$R$67),"")</f>
        <v/>
      </c>
      <c r="AM45" s="45" t="str">
        <f>IF(AND('Mapa final'!$AB$68="Baja",'Mapa final'!$AD$68="Catastrófico"),CONCATENATE("R10C",'Mapa final'!$R$68),"")</f>
        <v/>
      </c>
      <c r="AN45" s="65"/>
      <c r="AO45" s="869"/>
      <c r="AP45" s="870"/>
      <c r="AQ45" s="870"/>
      <c r="AR45" s="870"/>
      <c r="AS45" s="870"/>
      <c r="AT45" s="871"/>
    </row>
    <row r="46" spans="1:80" ht="46.5" customHeight="1" x14ac:dyDescent="0.45">
      <c r="A46" s="65"/>
      <c r="B46" s="794"/>
      <c r="C46" s="794"/>
      <c r="D46" s="795"/>
      <c r="E46" s="832" t="s">
        <v>108</v>
      </c>
      <c r="F46" s="833"/>
      <c r="G46" s="833"/>
      <c r="H46" s="833"/>
      <c r="I46" s="834"/>
      <c r="J46" s="55" t="str">
        <f>IF(AND('Mapa final'!$AB$10="Muy Baja",'Mapa final'!$AD$10="Leve"),CONCATENATE("R1C",'Mapa final'!$R$10),"")</f>
        <v/>
      </c>
      <c r="K46" s="56" t="str">
        <f>IF(AND('Mapa final'!$AB$11="Muy Baja",'Mapa final'!$AD$11="Leve"),CONCATENATE("R1C",'Mapa final'!$R$11),"")</f>
        <v/>
      </c>
      <c r="L46" s="56" t="str">
        <f>IF(AND('Mapa final'!$AB$12="Muy Baja",'Mapa final'!$AD$12="Leve"),CONCATENATE("R1C",'Mapa final'!$R$12),"")</f>
        <v/>
      </c>
      <c r="M46" s="56" t="str">
        <f>IF(AND('Mapa final'!$AB$13="Muy Baja",'Mapa final'!$AD$13="Leve"),CONCATENATE("R1C",'Mapa final'!$R$13),"")</f>
        <v/>
      </c>
      <c r="N46" s="56" t="str">
        <f>IF(AND('Mapa final'!$AB$14="Muy Baja",'Mapa final'!$AD$14="Leve"),CONCATENATE("R1C",'Mapa final'!$R$14),"")</f>
        <v/>
      </c>
      <c r="O46" s="57" t="str">
        <f>IF(AND('Mapa final'!$AB$15="Muy Baja",'Mapa final'!$AD$15="Leve"),CONCATENATE("R1C",'Mapa final'!$R$15),"")</f>
        <v/>
      </c>
      <c r="P46" s="55" t="str">
        <f>IF(AND('Mapa final'!$AB$10="Muy Baja",'Mapa final'!$AD$10="Menor"),CONCATENATE("R1C",'Mapa final'!$R$10),"")</f>
        <v/>
      </c>
      <c r="Q46" s="56" t="str">
        <f>IF(AND('Mapa final'!$AB$11="Muy Baja",'Mapa final'!$AD$11="Menor"),CONCATENATE("R1C",'Mapa final'!$R$11),"")</f>
        <v/>
      </c>
      <c r="R46" s="56" t="str">
        <f>IF(AND('Mapa final'!$AB$12="Muy Baja",'Mapa final'!$AD$12="Menor"),CONCATENATE("R1C",'Mapa final'!$R$12),"")</f>
        <v/>
      </c>
      <c r="S46" s="56" t="str">
        <f>IF(AND('Mapa final'!$AB$13="Muy Baja",'Mapa final'!$AD$13="Menor"),CONCATENATE("R1C",'Mapa final'!$R$13),"")</f>
        <v/>
      </c>
      <c r="T46" s="56" t="str">
        <f>IF(AND('Mapa final'!$AB$14="Muy Baja",'Mapa final'!$AD$14="Menor"),CONCATENATE("R1C",'Mapa final'!$R$14),"")</f>
        <v/>
      </c>
      <c r="U46" s="57" t="str">
        <f>IF(AND('Mapa final'!$AB$15="Muy Baja",'Mapa final'!$AD$15="Menor"),CONCATENATE("R1C",'Mapa final'!$R$15),"")</f>
        <v/>
      </c>
      <c r="V46" s="46" t="str">
        <f>IF(AND('Mapa final'!$AB$10="Muy Baja",'Mapa final'!$AD$10="Moderado"),CONCATENATE("R1C",'Mapa final'!$R$10),"")</f>
        <v/>
      </c>
      <c r="W46" s="64" t="str">
        <f>IF(AND('Mapa final'!$AB$11="Muy Baja",'Mapa final'!$AD$11="Moderado"),CONCATENATE("R1C",'Mapa final'!$R$11),"")</f>
        <v/>
      </c>
      <c r="X46" s="47" t="str">
        <f>IF(AND('Mapa final'!$AB$12="Muy Baja",'Mapa final'!$AD$12="Moderado"),CONCATENATE("R1C",'Mapa final'!$R$12),"")</f>
        <v/>
      </c>
      <c r="Y46" s="47" t="str">
        <f>IF(AND('Mapa final'!$AB$13="Muy Baja",'Mapa final'!$AD$13="Moderado"),CONCATENATE("R1C",'Mapa final'!$R$13),"")</f>
        <v/>
      </c>
      <c r="Z46" s="47" t="str">
        <f>IF(AND('Mapa final'!$AB$14="Muy Baja",'Mapa final'!$AD$14="Moderado"),CONCATENATE("R1C",'Mapa final'!$R$14),"")</f>
        <v/>
      </c>
      <c r="AA46" s="48" t="str">
        <f>IF(AND('Mapa final'!$AB$15="Muy Baja",'Mapa final'!$AD$15="Moderado"),CONCATENATE("R1C",'Mapa final'!$R$15),"")</f>
        <v/>
      </c>
      <c r="AB46" s="28" t="str">
        <f>IF(AND('Mapa final'!$AB$10="Muy Baja",'Mapa final'!$AD$10="Mayor"),CONCATENATE("R1C",'Mapa final'!$R$10),"")</f>
        <v/>
      </c>
      <c r="AC46" s="29" t="str">
        <f>IF(AND('Mapa final'!$AB$11="Muy Baja",'Mapa final'!$AD$11="Mayor"),CONCATENATE("R1C",'Mapa final'!$R$11),"")</f>
        <v/>
      </c>
      <c r="AD46" s="29" t="str">
        <f>IF(AND('Mapa final'!$AB$12="Muy Baja",'Mapa final'!$AD$12="Mayor"),CONCATENATE("R1C",'Mapa final'!$R$12),"")</f>
        <v/>
      </c>
      <c r="AE46" s="29" t="str">
        <f>IF(AND('Mapa final'!$AB$13="Muy Baja",'Mapa final'!$AD$13="Mayor"),CONCATENATE("R1C",'Mapa final'!$R$13),"")</f>
        <v/>
      </c>
      <c r="AF46" s="29" t="str">
        <f>IF(AND('Mapa final'!$AB$14="Muy Baja",'Mapa final'!$AD$14="Mayor"),CONCATENATE("R1C",'Mapa final'!$R$14),"")</f>
        <v/>
      </c>
      <c r="AG46" s="30" t="str">
        <f>IF(AND('Mapa final'!$AB$15="Muy Baja",'Mapa final'!$AD$15="Mayor"),CONCATENATE("R1C",'Mapa final'!$R$15),"")</f>
        <v/>
      </c>
      <c r="AH46" s="31" t="str">
        <f>IF(AND('Mapa final'!$AB$10="Muy Baja",'Mapa final'!$AD$10="Catastrófico"),CONCATENATE("R1C",'Mapa final'!$R$10),"")</f>
        <v/>
      </c>
      <c r="AI46" s="32" t="str">
        <f>IF(AND('Mapa final'!$AB$11="Muy Baja",'Mapa final'!$AD$11="Catastrófico"),CONCATENATE("R1C",'Mapa final'!$R$11),"")</f>
        <v/>
      </c>
      <c r="AJ46" s="32" t="str">
        <f>IF(AND('Mapa final'!$AB$12="Muy Baja",'Mapa final'!$AD$12="Catastrófico"),CONCATENATE("R1C",'Mapa final'!$R$12),"")</f>
        <v/>
      </c>
      <c r="AK46" s="32" t="str">
        <f>IF(AND('Mapa final'!$AB$13="Muy Baja",'Mapa final'!$AD$13="Catastrófico"),CONCATENATE("R1C",'Mapa final'!$R$13),"")</f>
        <v/>
      </c>
      <c r="AL46" s="32" t="str">
        <f>IF(AND('Mapa final'!$AB$14="Muy Baja",'Mapa final'!$AD$14="Catastrófico"),CONCATENATE("R1C",'Mapa final'!$R$14),"")</f>
        <v/>
      </c>
      <c r="AM46" s="33" t="str">
        <f>IF(AND('Mapa final'!$AB$15="Muy Baja",'Mapa final'!$AD$15="Catastrófico"),CONCATENATE("R1C",'Mapa final'!$R$15),"")</f>
        <v/>
      </c>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row>
    <row r="47" spans="1:80" ht="46.5" customHeight="1" x14ac:dyDescent="0.3">
      <c r="A47" s="65"/>
      <c r="B47" s="794"/>
      <c r="C47" s="794"/>
      <c r="D47" s="795"/>
      <c r="E47" s="851"/>
      <c r="F47" s="836"/>
      <c r="G47" s="836"/>
      <c r="H47" s="836"/>
      <c r="I47" s="837"/>
      <c r="J47" s="58" t="str">
        <f>IF(AND('Mapa final'!$AB$16="Muy Baja",'Mapa final'!$AD$16="Leve"),CONCATENATE("R2C",'Mapa final'!$R$16),"")</f>
        <v/>
      </c>
      <c r="K47" s="59" t="str">
        <f>IF(AND('Mapa final'!$AB$17="Muy Baja",'Mapa final'!$AD$17="Leve"),CONCATENATE("R2C",'Mapa final'!$R$17),"")</f>
        <v/>
      </c>
      <c r="L47" s="59" t="str">
        <f>IF(AND('Mapa final'!$AB$18="Muy Baja",'Mapa final'!$AD$18="Leve"),CONCATENATE("R2C",'Mapa final'!$R$18),"")</f>
        <v/>
      </c>
      <c r="M47" s="59" t="str">
        <f>IF(AND('Mapa final'!$AB$19="Muy Baja",'Mapa final'!$AD$19="Leve"),CONCATENATE("R2C",'Mapa final'!$R$19),"")</f>
        <v/>
      </c>
      <c r="N47" s="59" t="str">
        <f>IF(AND('Mapa final'!$AB$20="Muy Baja",'Mapa final'!$AD$20="Leve"),CONCATENATE("R2C",'Mapa final'!$R$20),"")</f>
        <v/>
      </c>
      <c r="O47" s="60" t="str">
        <f>IF(AND('Mapa final'!$AB$21="Muy Baja",'Mapa final'!$AD$21="Leve"),CONCATENATE("R2C",'Mapa final'!$R$21),"")</f>
        <v/>
      </c>
      <c r="P47" s="58" t="str">
        <f>IF(AND('Mapa final'!$AB$16="Muy Baja",'Mapa final'!$AD$16="Menor"),CONCATENATE("R2C",'Mapa final'!$R$16),"")</f>
        <v/>
      </c>
      <c r="Q47" s="59" t="str">
        <f>IF(AND('Mapa final'!$AB$17="Muy Baja",'Mapa final'!$AD$17="Menor"),CONCATENATE("R2C",'Mapa final'!$R$17),"")</f>
        <v/>
      </c>
      <c r="R47" s="59" t="str">
        <f>IF(AND('Mapa final'!$AB$18="Muy Baja",'Mapa final'!$AD$18="Menor"),CONCATENATE("R2C",'Mapa final'!$R$18),"")</f>
        <v/>
      </c>
      <c r="S47" s="59" t="str">
        <f>IF(AND('Mapa final'!$AB$19="Muy Baja",'Mapa final'!$AD$19="Menor"),CONCATENATE("R2C",'Mapa final'!$R$19),"")</f>
        <v/>
      </c>
      <c r="T47" s="59" t="str">
        <f>IF(AND('Mapa final'!$AB$20="Muy Baja",'Mapa final'!$AD$20="Menor"),CONCATENATE("R2C",'Mapa final'!$R$20),"")</f>
        <v/>
      </c>
      <c r="U47" s="60" t="str">
        <f>IF(AND('Mapa final'!$AB$21="Muy Baja",'Mapa final'!$AD$21="Menor"),CONCATENATE("R2C",'Mapa final'!$R$21),"")</f>
        <v/>
      </c>
      <c r="V47" s="49" t="str">
        <f>IF(AND('Mapa final'!$AB$16="Muy Baja",'Mapa final'!$AD$16="Moderado"),CONCATENATE("R2C",'Mapa final'!$R$16),"")</f>
        <v/>
      </c>
      <c r="W47" s="50" t="str">
        <f>IF(AND('Mapa final'!$AB$17="Muy Baja",'Mapa final'!$AD$17="Moderado"),CONCATENATE("R2C",'Mapa final'!$R$17),"")</f>
        <v/>
      </c>
      <c r="X47" s="50" t="str">
        <f>IF(AND('Mapa final'!$AB$18="Muy Baja",'Mapa final'!$AD$18="Moderado"),CONCATENATE("R2C",'Mapa final'!$R$18),"")</f>
        <v/>
      </c>
      <c r="Y47" s="50" t="str">
        <f>IF(AND('Mapa final'!$AB$19="Muy Baja",'Mapa final'!$AD$19="Moderado"),CONCATENATE("R2C",'Mapa final'!$R$19),"")</f>
        <v/>
      </c>
      <c r="Z47" s="50" t="str">
        <f>IF(AND('Mapa final'!$AB$20="Muy Baja",'Mapa final'!$AD$20="Moderado"),CONCATENATE("R2C",'Mapa final'!$R$20),"")</f>
        <v/>
      </c>
      <c r="AA47" s="51" t="str">
        <f>IF(AND('Mapa final'!$AB$21="Muy Baja",'Mapa final'!$AD$21="Moderado"),CONCATENATE("R2C",'Mapa final'!$R$21),"")</f>
        <v/>
      </c>
      <c r="AB47" s="34" t="str">
        <f>IF(AND('Mapa final'!$AB$16="Muy Baja",'Mapa final'!$AD$16="Mayor"),CONCATENATE("R2C",'Mapa final'!$R$16),"")</f>
        <v/>
      </c>
      <c r="AC47" s="35" t="str">
        <f>IF(AND('Mapa final'!$AB$17="Muy Baja",'Mapa final'!$AD$17="Mayor"),CONCATENATE("R2C",'Mapa final'!$R$17),"")</f>
        <v/>
      </c>
      <c r="AD47" s="35" t="str">
        <f>IF(AND('Mapa final'!$AB$18="Muy Baja",'Mapa final'!$AD$18="Mayor"),CONCATENATE("R2C",'Mapa final'!$R$18),"")</f>
        <v/>
      </c>
      <c r="AE47" s="35" t="str">
        <f>IF(AND('Mapa final'!$AB$19="Muy Baja",'Mapa final'!$AD$19="Mayor"),CONCATENATE("R2C",'Mapa final'!$R$19),"")</f>
        <v/>
      </c>
      <c r="AF47" s="35" t="str">
        <f>IF(AND('Mapa final'!$AB$20="Muy Baja",'Mapa final'!$AD$20="Mayor"),CONCATENATE("R2C",'Mapa final'!$R$20),"")</f>
        <v/>
      </c>
      <c r="AG47" s="36" t="str">
        <f>IF(AND('Mapa final'!$AB$21="Muy Baja",'Mapa final'!$AD$21="Mayor"),CONCATENATE("R2C",'Mapa final'!$R$21),"")</f>
        <v/>
      </c>
      <c r="AH47" s="37" t="str">
        <f>IF(AND('Mapa final'!$AB$16="Muy Baja",'Mapa final'!$AD$16="Catastrófico"),CONCATENATE("R2C",'Mapa final'!$R$16),"")</f>
        <v/>
      </c>
      <c r="AI47" s="38" t="str">
        <f>IF(AND('Mapa final'!$AB$17="Muy Baja",'Mapa final'!$AD$17="Catastrófico"),CONCATENATE("R2C",'Mapa final'!$R$17),"")</f>
        <v/>
      </c>
      <c r="AJ47" s="38" t="str">
        <f>IF(AND('Mapa final'!$AB$18="Muy Baja",'Mapa final'!$AD$18="Catastrófico"),CONCATENATE("R2C",'Mapa final'!$R$18),"")</f>
        <v/>
      </c>
      <c r="AK47" s="38" t="str">
        <f>IF(AND('Mapa final'!$AB$19="Muy Baja",'Mapa final'!$AD$19="Catastrófico"),CONCATENATE("R2C",'Mapa final'!$R$19),"")</f>
        <v/>
      </c>
      <c r="AL47" s="38" t="str">
        <f>IF(AND('Mapa final'!$AB$20="Muy Baja",'Mapa final'!$AD$20="Catastrófico"),CONCATENATE("R2C",'Mapa final'!$R$20),"")</f>
        <v/>
      </c>
      <c r="AM47" s="39" t="str">
        <f>IF(AND('Mapa final'!$AB$21="Muy Baja",'Mapa final'!$AD$21="Catastrófico"),CONCATENATE("R2C",'Mapa final'!$R$21),"")</f>
        <v/>
      </c>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row>
    <row r="48" spans="1:80" ht="15" customHeight="1" x14ac:dyDescent="0.3">
      <c r="A48" s="65"/>
      <c r="B48" s="794"/>
      <c r="C48" s="794"/>
      <c r="D48" s="795"/>
      <c r="E48" s="851"/>
      <c r="F48" s="836"/>
      <c r="G48" s="836"/>
      <c r="H48" s="836"/>
      <c r="I48" s="837"/>
      <c r="J48" s="58" t="str">
        <f>IF(AND('Mapa final'!$AB$22="Muy Baja",'Mapa final'!$AD$22="Leve"),CONCATENATE("R3C",'Mapa final'!$R$22),"")</f>
        <v/>
      </c>
      <c r="K48" s="59" t="str">
        <f>IF(AND('Mapa final'!$AB$23="Muy Baja",'Mapa final'!$AD$23="Leve"),CONCATENATE("R3C",'Mapa final'!$R$23),"")</f>
        <v/>
      </c>
      <c r="L48" s="59" t="str">
        <f>IF(AND('Mapa final'!$AB$24="Muy Baja",'Mapa final'!$AD$24="Leve"),CONCATENATE("R3C",'Mapa final'!$R$24),"")</f>
        <v/>
      </c>
      <c r="M48" s="59" t="str">
        <f>IF(AND('Mapa final'!$AB$25="Muy Baja",'Mapa final'!$AD$25="Leve"),CONCATENATE("R3C",'Mapa final'!$R$25),"")</f>
        <v/>
      </c>
      <c r="N48" s="59" t="str">
        <f>IF(AND('Mapa final'!$AB$26="Muy Baja",'Mapa final'!$AD$26="Leve"),CONCATENATE("R3C",'Mapa final'!$R$26),"")</f>
        <v/>
      </c>
      <c r="O48" s="60" t="str">
        <f>IF(AND('Mapa final'!$AB$27="Muy Baja",'Mapa final'!$AD$27="Leve"),CONCATENATE("R3C",'Mapa final'!$R$27),"")</f>
        <v/>
      </c>
      <c r="P48" s="58" t="str">
        <f>IF(AND('Mapa final'!$AB$22="Muy Baja",'Mapa final'!$AD$22="Menor"),CONCATENATE("R3C",'Mapa final'!$R$22),"")</f>
        <v/>
      </c>
      <c r="Q48" s="59" t="str">
        <f>IF(AND('Mapa final'!$AB$23="Muy Baja",'Mapa final'!$AD$23="Menor"),CONCATENATE("R3C",'Mapa final'!$R$23),"")</f>
        <v/>
      </c>
      <c r="R48" s="59" t="str">
        <f>IF(AND('Mapa final'!$AB$24="Muy Baja",'Mapa final'!$AD$24="Menor"),CONCATENATE("R3C",'Mapa final'!$R$24),"")</f>
        <v/>
      </c>
      <c r="S48" s="59" t="str">
        <f>IF(AND('Mapa final'!$AB$25="Muy Baja",'Mapa final'!$AD$25="Menor"),CONCATENATE("R3C",'Mapa final'!$R$25),"")</f>
        <v/>
      </c>
      <c r="T48" s="59" t="str">
        <f>IF(AND('Mapa final'!$AB$26="Muy Baja",'Mapa final'!$AD$26="Menor"),CONCATENATE("R3C",'Mapa final'!$R$26),"")</f>
        <v/>
      </c>
      <c r="U48" s="60" t="str">
        <f>IF(AND('Mapa final'!$AB$27="Muy Baja",'Mapa final'!$AD$27="Menor"),CONCATENATE("R3C",'Mapa final'!$R$27),"")</f>
        <v/>
      </c>
      <c r="V48" s="49" t="str">
        <f>IF(AND('Mapa final'!$AB$22="Muy Baja",'Mapa final'!$AD$22="Moderado"),CONCATENATE("R3C",'Mapa final'!$R$22),"")</f>
        <v/>
      </c>
      <c r="W48" s="50" t="str">
        <f>IF(AND('Mapa final'!$AB$23="Muy Baja",'Mapa final'!$AD$23="Moderado"),CONCATENATE("R3C",'Mapa final'!$R$23),"")</f>
        <v/>
      </c>
      <c r="X48" s="50" t="str">
        <f>IF(AND('Mapa final'!$AB$24="Muy Baja",'Mapa final'!$AD$24="Moderado"),CONCATENATE("R3C",'Mapa final'!$R$24),"")</f>
        <v/>
      </c>
      <c r="Y48" s="50" t="str">
        <f>IF(AND('Mapa final'!$AB$25="Muy Baja",'Mapa final'!$AD$25="Moderado"),CONCATENATE("R3C",'Mapa final'!$R$25),"")</f>
        <v/>
      </c>
      <c r="Z48" s="50" t="str">
        <f>IF(AND('Mapa final'!$AB$26="Muy Baja",'Mapa final'!$AD$26="Moderado"),CONCATENATE("R3C",'Mapa final'!$R$26),"")</f>
        <v/>
      </c>
      <c r="AA48" s="51" t="str">
        <f>IF(AND('Mapa final'!$AB$27="Muy Baja",'Mapa final'!$AD$27="Moderado"),CONCATENATE("R3C",'Mapa final'!$R$27),"")</f>
        <v/>
      </c>
      <c r="AB48" s="34" t="str">
        <f>IF(AND('Mapa final'!$AB$22="Muy Baja",'Mapa final'!$AD$22="Mayor"),CONCATENATE("R3C",'Mapa final'!$R$22),"")</f>
        <v/>
      </c>
      <c r="AC48" s="35" t="str">
        <f>IF(AND('Mapa final'!$AB$23="Muy Baja",'Mapa final'!$AD$23="Mayor"),CONCATENATE("R3C",'Mapa final'!$R$23),"")</f>
        <v/>
      </c>
      <c r="AD48" s="35" t="str">
        <f>IF(AND('Mapa final'!$AB$24="Muy Baja",'Mapa final'!$AD$24="Mayor"),CONCATENATE("R3C",'Mapa final'!$R$24),"")</f>
        <v/>
      </c>
      <c r="AE48" s="35" t="str">
        <f>IF(AND('Mapa final'!$AB$25="Muy Baja",'Mapa final'!$AD$25="Mayor"),CONCATENATE("R3C",'Mapa final'!$R$25),"")</f>
        <v/>
      </c>
      <c r="AF48" s="35" t="str">
        <f>IF(AND('Mapa final'!$AB$26="Muy Baja",'Mapa final'!$AD$26="Mayor"),CONCATENATE("R3C",'Mapa final'!$R$26),"")</f>
        <v/>
      </c>
      <c r="AG48" s="36" t="str">
        <f>IF(AND('Mapa final'!$AB$27="Muy Baja",'Mapa final'!$AD$27="Mayor"),CONCATENATE("R3C",'Mapa final'!$R$27),"")</f>
        <v/>
      </c>
      <c r="AH48" s="37" t="str">
        <f>IF(AND('Mapa final'!$AB$22="Muy Baja",'Mapa final'!$AD$22="Catastrófico"),CONCATENATE("R3C",'Mapa final'!$R$22),"")</f>
        <v/>
      </c>
      <c r="AI48" s="38" t="str">
        <f>IF(AND('Mapa final'!$AB$23="Muy Baja",'Mapa final'!$AD$23="Catastrófico"),CONCATENATE("R3C",'Mapa final'!$R$23),"")</f>
        <v/>
      </c>
      <c r="AJ48" s="38" t="str">
        <f>IF(AND('Mapa final'!$AB$24="Muy Baja",'Mapa final'!$AD$24="Catastrófico"),CONCATENATE("R3C",'Mapa final'!$R$24),"")</f>
        <v/>
      </c>
      <c r="AK48" s="38" t="str">
        <f>IF(AND('Mapa final'!$AB$25="Muy Baja",'Mapa final'!$AD$25="Catastrófico"),CONCATENATE("R3C",'Mapa final'!$R$25),"")</f>
        <v/>
      </c>
      <c r="AL48" s="38" t="str">
        <f>IF(AND('Mapa final'!$AB$26="Muy Baja",'Mapa final'!$AD$26="Catastrófico"),CONCATENATE("R3C",'Mapa final'!$R$26),"")</f>
        <v/>
      </c>
      <c r="AM48" s="39" t="str">
        <f>IF(AND('Mapa final'!$AB$27="Muy Baja",'Mapa final'!$AD$27="Catastrófico"),CONCATENATE("R3C",'Mapa final'!$R$27),"")</f>
        <v/>
      </c>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row>
    <row r="49" spans="1:80" ht="15" customHeight="1" x14ac:dyDescent="0.3">
      <c r="A49" s="65"/>
      <c r="B49" s="794"/>
      <c r="C49" s="794"/>
      <c r="D49" s="795"/>
      <c r="E49" s="835"/>
      <c r="F49" s="836"/>
      <c r="G49" s="836"/>
      <c r="H49" s="836"/>
      <c r="I49" s="837"/>
      <c r="J49" s="58" t="str">
        <f>IF(AND('Mapa final'!$AB$28="Muy Baja",'Mapa final'!$AD$28="Leve"),CONCATENATE("R4C",'Mapa final'!$R$28),"")</f>
        <v>R4C1</v>
      </c>
      <c r="K49" s="59" t="e">
        <f>IF(AND('Mapa final'!#REF!="Muy Baja",'Mapa final'!#REF!="Leve"),CONCATENATE("R4C",'Mapa final'!#REF!),"")</f>
        <v>#REF!</v>
      </c>
      <c r="L49" s="59" t="str">
        <f>IF(AND('Mapa final'!$AB$29="Muy Baja",'Mapa final'!$AD$29="Leve"),CONCATENATE("R4C",'Mapa final'!$R$29),"")</f>
        <v/>
      </c>
      <c r="M49" s="59" t="str">
        <f>IF(AND('Mapa final'!$AB$30="Muy Baja",'Mapa final'!$AD$30="Leve"),CONCATENATE("R4C",'Mapa final'!$R$30),"")</f>
        <v/>
      </c>
      <c r="N49" s="59" t="str">
        <f>IF(AND('Mapa final'!$AB$31="Muy Baja",'Mapa final'!$AD$31="Leve"),CONCATENATE("R4C",'Mapa final'!$R$31),"")</f>
        <v/>
      </c>
      <c r="O49" s="60" t="str">
        <f>IF(AND('Mapa final'!$AB$32="Muy Baja",'Mapa final'!$AD$32="Leve"),CONCATENATE("R4C",'Mapa final'!$R$32),"")</f>
        <v/>
      </c>
      <c r="P49" s="58" t="str">
        <f>IF(AND('Mapa final'!$AB$28="Muy Baja",'Mapa final'!$AD$28="Menor"),CONCATENATE("R4C",'Mapa final'!$R$28),"")</f>
        <v/>
      </c>
      <c r="Q49" s="59" t="e">
        <f>IF(AND('Mapa final'!#REF!="Muy Baja",'Mapa final'!#REF!="Menor"),CONCATENATE("R4C",'Mapa final'!#REF!),"")</f>
        <v>#REF!</v>
      </c>
      <c r="R49" s="59" t="str">
        <f>IF(AND('Mapa final'!$AB$29="Muy Baja",'Mapa final'!$AD$29="Menor"),CONCATENATE("R4C",'Mapa final'!$R$29),"")</f>
        <v/>
      </c>
      <c r="S49" s="59" t="str">
        <f>IF(AND('Mapa final'!$AB$30="Muy Baja",'Mapa final'!$AD$30="Menor"),CONCATENATE("R4C",'Mapa final'!$R$30),"")</f>
        <v/>
      </c>
      <c r="T49" s="59" t="str">
        <f>IF(AND('Mapa final'!$AB$31="Muy Baja",'Mapa final'!$AD$31="Menor"),CONCATENATE("R4C",'Mapa final'!$R$31),"")</f>
        <v/>
      </c>
      <c r="U49" s="60" t="str">
        <f>IF(AND('Mapa final'!$AB$32="Muy Baja",'Mapa final'!$AD$32="Menor"),CONCATENATE("R4C",'Mapa final'!$R$32),"")</f>
        <v/>
      </c>
      <c r="V49" s="49" t="str">
        <f>IF(AND('Mapa final'!$AB$28="Muy Baja",'Mapa final'!$AD$28="Moderado"),CONCATENATE("R4C",'Mapa final'!$R$28),"")</f>
        <v/>
      </c>
      <c r="W49" s="50" t="e">
        <f>IF(AND('Mapa final'!#REF!="Muy Baja",'Mapa final'!#REF!="Moderado"),CONCATENATE("R4C",'Mapa final'!#REF!),"")</f>
        <v>#REF!</v>
      </c>
      <c r="X49" s="50" t="str">
        <f>IF(AND('Mapa final'!$AB$29="Muy Baja",'Mapa final'!$AD$29="Moderado"),CONCATENATE("R4C",'Mapa final'!$R$29),"")</f>
        <v/>
      </c>
      <c r="Y49" s="50" t="str">
        <f>IF(AND('Mapa final'!$AB$30="Muy Baja",'Mapa final'!$AD$30="Moderado"),CONCATENATE("R4C",'Mapa final'!$R$30),"")</f>
        <v/>
      </c>
      <c r="Z49" s="50" t="str">
        <f>IF(AND('Mapa final'!$AB$31="Muy Baja",'Mapa final'!$AD$31="Moderado"),CONCATENATE("R4C",'Mapa final'!$R$31),"")</f>
        <v/>
      </c>
      <c r="AA49" s="51" t="str">
        <f>IF(AND('Mapa final'!$AB$32="Muy Baja",'Mapa final'!$AD$32="Moderado"),CONCATENATE("R4C",'Mapa final'!$R$32),"")</f>
        <v/>
      </c>
      <c r="AB49" s="34" t="str">
        <f>IF(AND('Mapa final'!$AB$28="Muy Baja",'Mapa final'!$AD$28="Mayor"),CONCATENATE("R4C",'Mapa final'!$R$28),"")</f>
        <v/>
      </c>
      <c r="AC49" s="35" t="e">
        <f>IF(AND('Mapa final'!#REF!="Muy Baja",'Mapa final'!#REF!="Mayor"),CONCATENATE("R4C",'Mapa final'!#REF!),"")</f>
        <v>#REF!</v>
      </c>
      <c r="AD49" s="35" t="str">
        <f>IF(AND('Mapa final'!$AB$29="Muy Baja",'Mapa final'!$AD$29="Mayor"),CONCATENATE("R4C",'Mapa final'!$R$29),"")</f>
        <v/>
      </c>
      <c r="AE49" s="35" t="str">
        <f>IF(AND('Mapa final'!$AB$30="Muy Baja",'Mapa final'!$AD$30="Mayor"),CONCATENATE("R4C",'Mapa final'!$R$30),"")</f>
        <v/>
      </c>
      <c r="AF49" s="35" t="str">
        <f>IF(AND('Mapa final'!$AB$31="Muy Baja",'Mapa final'!$AD$31="Mayor"),CONCATENATE("R4C",'Mapa final'!$R$31),"")</f>
        <v/>
      </c>
      <c r="AG49" s="36" t="str">
        <f>IF(AND('Mapa final'!$AB$32="Muy Baja",'Mapa final'!$AD$32="Mayor"),CONCATENATE("R4C",'Mapa final'!$R$32),"")</f>
        <v/>
      </c>
      <c r="AH49" s="37" t="str">
        <f>IF(AND('Mapa final'!$AB$28="Muy Baja",'Mapa final'!$AD$28="Catastrófico"),CONCATENATE("R4C",'Mapa final'!$R$28),"")</f>
        <v/>
      </c>
      <c r="AI49" s="38" t="e">
        <f>IF(AND('Mapa final'!#REF!="Muy Baja",'Mapa final'!#REF!="Catastrófico"),CONCATENATE("R4C",'Mapa final'!#REF!),"")</f>
        <v>#REF!</v>
      </c>
      <c r="AJ49" s="38" t="str">
        <f>IF(AND('Mapa final'!$AB$29="Muy Baja",'Mapa final'!$AD$29="Catastrófico"),CONCATENATE("R4C",'Mapa final'!$R$29),"")</f>
        <v/>
      </c>
      <c r="AK49" s="38" t="str">
        <f>IF(AND('Mapa final'!$AB$30="Muy Baja",'Mapa final'!$AD$30="Catastrófico"),CONCATENATE("R4C",'Mapa final'!$R$30),"")</f>
        <v/>
      </c>
      <c r="AL49" s="38" t="str">
        <f>IF(AND('Mapa final'!$AB$31="Muy Baja",'Mapa final'!$AD$31="Catastrófico"),CONCATENATE("R4C",'Mapa final'!$R$31),"")</f>
        <v/>
      </c>
      <c r="AM49" s="39" t="str">
        <f>IF(AND('Mapa final'!$AB$32="Muy Baja",'Mapa final'!$AD$32="Catastrófico"),CONCATENATE("R4C",'Mapa final'!$R$32),"")</f>
        <v/>
      </c>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row>
    <row r="50" spans="1:80" ht="15" customHeight="1" x14ac:dyDescent="0.3">
      <c r="A50" s="65"/>
      <c r="B50" s="794"/>
      <c r="C50" s="794"/>
      <c r="D50" s="795"/>
      <c r="E50" s="835"/>
      <c r="F50" s="836"/>
      <c r="G50" s="836"/>
      <c r="H50" s="836"/>
      <c r="I50" s="837"/>
      <c r="J50" s="58" t="str">
        <f>IF(AND('Mapa final'!$AB$33="Muy Baja",'Mapa final'!$AD$33="Leve"),CONCATENATE("R5C",'Mapa final'!$R$33),"")</f>
        <v/>
      </c>
      <c r="K50" s="59" t="str">
        <f>IF(AND('Mapa final'!$AB$34="Muy Baja",'Mapa final'!$AD$34="Leve"),CONCATENATE("R5C",'Mapa final'!$R$34),"")</f>
        <v/>
      </c>
      <c r="L50" s="59" t="str">
        <f>IF(AND('Mapa final'!$AB$35="Muy Baja",'Mapa final'!$AD$35="Leve"),CONCATENATE("R5C",'Mapa final'!$R$35),"")</f>
        <v/>
      </c>
      <c r="M50" s="59" t="str">
        <f>IF(AND('Mapa final'!$AB$36="Muy Baja",'Mapa final'!$AD$36="Leve"),CONCATENATE("R5C",'Mapa final'!$R$36),"")</f>
        <v/>
      </c>
      <c r="N50" s="59" t="str">
        <f>IF(AND('Mapa final'!$AB$37="Muy Baja",'Mapa final'!$AD$37="Leve"),CONCATENATE("R5C",'Mapa final'!$R$37),"")</f>
        <v/>
      </c>
      <c r="O50" s="60" t="str">
        <f>IF(AND('Mapa final'!$AB$38="Muy Baja",'Mapa final'!$AD$38="Leve"),CONCATENATE("R5C",'Mapa final'!$R$38),"")</f>
        <v/>
      </c>
      <c r="P50" s="58" t="str">
        <f>IF(AND('Mapa final'!$AB$33="Muy Baja",'Mapa final'!$AD$33="Menor"),CONCATENATE("R5C",'Mapa final'!$R$33),"")</f>
        <v/>
      </c>
      <c r="Q50" s="59" t="str">
        <f>IF(AND('Mapa final'!$AB$34="Muy Baja",'Mapa final'!$AD$34="Menor"),CONCATENATE("R5C",'Mapa final'!$R$34),"")</f>
        <v/>
      </c>
      <c r="R50" s="59" t="str">
        <f>IF(AND('Mapa final'!$AB$35="Muy Baja",'Mapa final'!$AD$35="Menor"),CONCATENATE("R5C",'Mapa final'!$R$35),"")</f>
        <v/>
      </c>
      <c r="S50" s="59" t="str">
        <f>IF(AND('Mapa final'!$AB$36="Muy Baja",'Mapa final'!$AD$36="Menor"),CONCATENATE("R5C",'Mapa final'!$R$36),"")</f>
        <v/>
      </c>
      <c r="T50" s="59" t="str">
        <f>IF(AND('Mapa final'!$AB$37="Muy Baja",'Mapa final'!$AD$37="Menor"),CONCATENATE("R5C",'Mapa final'!$R$37),"")</f>
        <v/>
      </c>
      <c r="U50" s="60" t="str">
        <f>IF(AND('Mapa final'!$AB$38="Muy Baja",'Mapa final'!$AD$38="Menor"),CONCATENATE("R5C",'Mapa final'!$R$38),"")</f>
        <v/>
      </c>
      <c r="V50" s="49" t="str">
        <f>IF(AND('Mapa final'!$AB$33="Muy Baja",'Mapa final'!$AD$33="Moderado"),CONCATENATE("R5C",'Mapa final'!$R$33),"")</f>
        <v/>
      </c>
      <c r="W50" s="50" t="str">
        <f>IF(AND('Mapa final'!$AB$34="Muy Baja",'Mapa final'!$AD$34="Moderado"),CONCATENATE("R5C",'Mapa final'!$R$34),"")</f>
        <v/>
      </c>
      <c r="X50" s="50" t="str">
        <f>IF(AND('Mapa final'!$AB$35="Muy Baja",'Mapa final'!$AD$35="Moderado"),CONCATENATE("R5C",'Mapa final'!$R$35),"")</f>
        <v/>
      </c>
      <c r="Y50" s="50" t="str">
        <f>IF(AND('Mapa final'!$AB$36="Muy Baja",'Mapa final'!$AD$36="Moderado"),CONCATENATE("R5C",'Mapa final'!$R$36),"")</f>
        <v/>
      </c>
      <c r="Z50" s="50" t="str">
        <f>IF(AND('Mapa final'!$AB$37="Muy Baja",'Mapa final'!$AD$37="Moderado"),CONCATENATE("R5C",'Mapa final'!$R$37),"")</f>
        <v/>
      </c>
      <c r="AA50" s="51" t="str">
        <f>IF(AND('Mapa final'!$AB$38="Muy Baja",'Mapa final'!$AD$38="Moderado"),CONCATENATE("R5C",'Mapa final'!$R$38),"")</f>
        <v/>
      </c>
      <c r="AB50" s="34" t="str">
        <f>IF(AND('Mapa final'!$AB$33="Muy Baja",'Mapa final'!$AD$33="Mayor"),CONCATENATE("R5C",'Mapa final'!$R$33),"")</f>
        <v/>
      </c>
      <c r="AC50" s="35" t="str">
        <f>IF(AND('Mapa final'!$AB$34="Muy Baja",'Mapa final'!$AD$34="Mayor"),CONCATENATE("R5C",'Mapa final'!$R$34),"")</f>
        <v/>
      </c>
      <c r="AD50" s="35" t="str">
        <f>IF(AND('Mapa final'!$AB$35="Muy Baja",'Mapa final'!$AD$35="Mayor"),CONCATENATE("R5C",'Mapa final'!$R$35),"")</f>
        <v/>
      </c>
      <c r="AE50" s="35" t="str">
        <f>IF(AND('Mapa final'!$AB$36="Muy Baja",'Mapa final'!$AD$36="Mayor"),CONCATENATE("R5C",'Mapa final'!$R$36),"")</f>
        <v/>
      </c>
      <c r="AF50" s="35" t="str">
        <f>IF(AND('Mapa final'!$AB$37="Muy Baja",'Mapa final'!$AD$37="Mayor"),CONCATENATE("R5C",'Mapa final'!$R$37),"")</f>
        <v/>
      </c>
      <c r="AG50" s="36" t="str">
        <f>IF(AND('Mapa final'!$AB$38="Muy Baja",'Mapa final'!$AD$38="Mayor"),CONCATENATE("R5C",'Mapa final'!$R$38),"")</f>
        <v/>
      </c>
      <c r="AH50" s="37" t="str">
        <f>IF(AND('Mapa final'!$AB$33="Muy Baja",'Mapa final'!$AD$33="Catastrófico"),CONCATENATE("R5C",'Mapa final'!$R$33),"")</f>
        <v/>
      </c>
      <c r="AI50" s="38" t="str">
        <f>IF(AND('Mapa final'!$AB$34="Muy Baja",'Mapa final'!$AD$34="Catastrófico"),CONCATENATE("R5C",'Mapa final'!$R$34),"")</f>
        <v/>
      </c>
      <c r="AJ50" s="38" t="str">
        <f>IF(AND('Mapa final'!$AB$35="Muy Baja",'Mapa final'!$AD$35="Catastrófico"),CONCATENATE("R5C",'Mapa final'!$R$35),"")</f>
        <v/>
      </c>
      <c r="AK50" s="38" t="str">
        <f>IF(AND('Mapa final'!$AB$36="Muy Baja",'Mapa final'!$AD$36="Catastrófico"),CONCATENATE("R5C",'Mapa final'!$R$36),"")</f>
        <v/>
      </c>
      <c r="AL50" s="38" t="str">
        <f>IF(AND('Mapa final'!$AB$37="Muy Baja",'Mapa final'!$AD$37="Catastrófico"),CONCATENATE("R5C",'Mapa final'!$R$37),"")</f>
        <v/>
      </c>
      <c r="AM50" s="39" t="str">
        <f>IF(AND('Mapa final'!$AB$38="Muy Baja",'Mapa final'!$AD$38="Catastrófico"),CONCATENATE("R5C",'Mapa final'!$R$38),"")</f>
        <v/>
      </c>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row>
    <row r="51" spans="1:80" ht="15" customHeight="1" x14ac:dyDescent="0.3">
      <c r="A51" s="65"/>
      <c r="B51" s="794"/>
      <c r="C51" s="794"/>
      <c r="D51" s="795"/>
      <c r="E51" s="835"/>
      <c r="F51" s="836"/>
      <c r="G51" s="836"/>
      <c r="H51" s="836"/>
      <c r="I51" s="837"/>
      <c r="J51" s="58" t="str">
        <f>IF(AND('Mapa final'!$AB$39="Muy Baja",'Mapa final'!$AD$39="Leve"),CONCATENATE("R6C",'Mapa final'!$R$39),"")</f>
        <v/>
      </c>
      <c r="K51" s="59" t="str">
        <f>IF(AND('Mapa final'!$AB$40="Muy Baja",'Mapa final'!$AD$40="Leve"),CONCATENATE("R6C",'Mapa final'!$R$40),"")</f>
        <v/>
      </c>
      <c r="L51" s="59" t="str">
        <f>IF(AND('Mapa final'!$AB$41="Muy Baja",'Mapa final'!$AD$41="Leve"),CONCATENATE("R6C",'Mapa final'!$R$41),"")</f>
        <v/>
      </c>
      <c r="M51" s="59" t="str">
        <f>IF(AND('Mapa final'!$AB$42="Muy Baja",'Mapa final'!$AD$42="Leve"),CONCATENATE("R6C",'Mapa final'!$R$42),"")</f>
        <v/>
      </c>
      <c r="N51" s="59" t="str">
        <f>IF(AND('Mapa final'!$AB$43="Muy Baja",'Mapa final'!$AD$43="Leve"),CONCATENATE("R6C",'Mapa final'!$R$43),"")</f>
        <v/>
      </c>
      <c r="O51" s="60" t="str">
        <f>IF(AND('Mapa final'!$AB$44="Muy Baja",'Mapa final'!$AD$44="Leve"),CONCATENATE("R6C",'Mapa final'!$R$44),"")</f>
        <v/>
      </c>
      <c r="P51" s="58" t="str">
        <f>IF(AND('Mapa final'!$AB$39="Muy Baja",'Mapa final'!$AD$39="Menor"),CONCATENATE("R6C",'Mapa final'!$R$39),"")</f>
        <v/>
      </c>
      <c r="Q51" s="59" t="str">
        <f>IF(AND('Mapa final'!$AB$40="Muy Baja",'Mapa final'!$AD$40="Menor"),CONCATENATE("R6C",'Mapa final'!$R$40),"")</f>
        <v/>
      </c>
      <c r="R51" s="59" t="str">
        <f>IF(AND('Mapa final'!$AB$41="Muy Baja",'Mapa final'!$AD$41="Menor"),CONCATENATE("R6C",'Mapa final'!$R$41),"")</f>
        <v/>
      </c>
      <c r="S51" s="59" t="str">
        <f>IF(AND('Mapa final'!$AB$42="Muy Baja",'Mapa final'!$AD$42="Menor"),CONCATENATE("R6C",'Mapa final'!$R$42),"")</f>
        <v/>
      </c>
      <c r="T51" s="59" t="str">
        <f>IF(AND('Mapa final'!$AB$43="Muy Baja",'Mapa final'!$AD$43="Menor"),CONCATENATE("R6C",'Mapa final'!$R$43),"")</f>
        <v/>
      </c>
      <c r="U51" s="60" t="str">
        <f>IF(AND('Mapa final'!$AB$44="Muy Baja",'Mapa final'!$AD$44="Menor"),CONCATENATE("R6C",'Mapa final'!$R$44),"")</f>
        <v/>
      </c>
      <c r="V51" s="49" t="str">
        <f>IF(AND('Mapa final'!$AB$39="Muy Baja",'Mapa final'!$AD$39="Moderado"),CONCATENATE("R6C",'Mapa final'!$R$39),"")</f>
        <v/>
      </c>
      <c r="W51" s="50" t="str">
        <f>IF(AND('Mapa final'!$AB$40="Muy Baja",'Mapa final'!$AD$40="Moderado"),CONCATENATE("R6C",'Mapa final'!$R$40),"")</f>
        <v/>
      </c>
      <c r="X51" s="50" t="str">
        <f>IF(AND('Mapa final'!$AB$41="Muy Baja",'Mapa final'!$AD$41="Moderado"),CONCATENATE("R6C",'Mapa final'!$R$41),"")</f>
        <v/>
      </c>
      <c r="Y51" s="50" t="str">
        <f>IF(AND('Mapa final'!$AB$42="Muy Baja",'Mapa final'!$AD$42="Moderado"),CONCATENATE("R6C",'Mapa final'!$R$42),"")</f>
        <v/>
      </c>
      <c r="Z51" s="50" t="str">
        <f>IF(AND('Mapa final'!$AB$43="Muy Baja",'Mapa final'!$AD$43="Moderado"),CONCATENATE("R6C",'Mapa final'!$R$43),"")</f>
        <v/>
      </c>
      <c r="AA51" s="51" t="str">
        <f>IF(AND('Mapa final'!$AB$44="Muy Baja",'Mapa final'!$AD$44="Moderado"),CONCATENATE("R6C",'Mapa final'!$R$44),"")</f>
        <v/>
      </c>
      <c r="AB51" s="34" t="str">
        <f>IF(AND('Mapa final'!$AB$39="Muy Baja",'Mapa final'!$AD$39="Mayor"),CONCATENATE("R6C",'Mapa final'!$R$39),"")</f>
        <v/>
      </c>
      <c r="AC51" s="35" t="str">
        <f>IF(AND('Mapa final'!$AB$40="Muy Baja",'Mapa final'!$AD$40="Mayor"),CONCATENATE("R6C",'Mapa final'!$R$40),"")</f>
        <v/>
      </c>
      <c r="AD51" s="35" t="str">
        <f>IF(AND('Mapa final'!$AB$41="Muy Baja",'Mapa final'!$AD$41="Mayor"),CONCATENATE("R6C",'Mapa final'!$R$41),"")</f>
        <v/>
      </c>
      <c r="AE51" s="35" t="str">
        <f>IF(AND('Mapa final'!$AB$42="Muy Baja",'Mapa final'!$AD$42="Mayor"),CONCATENATE("R6C",'Mapa final'!$R$42),"")</f>
        <v/>
      </c>
      <c r="AF51" s="35" t="str">
        <f>IF(AND('Mapa final'!$AB$43="Muy Baja",'Mapa final'!$AD$43="Mayor"),CONCATENATE("R6C",'Mapa final'!$R$43),"")</f>
        <v/>
      </c>
      <c r="AG51" s="36" t="str">
        <f>IF(AND('Mapa final'!$AB$44="Muy Baja",'Mapa final'!$AD$44="Mayor"),CONCATENATE("R6C",'Mapa final'!$R$44),"")</f>
        <v/>
      </c>
      <c r="AH51" s="37" t="str">
        <f>IF(AND('Mapa final'!$AB$39="Muy Baja",'Mapa final'!$AD$39="Catastrófico"),CONCATENATE("R6C",'Mapa final'!$R$39),"")</f>
        <v/>
      </c>
      <c r="AI51" s="38" t="str">
        <f>IF(AND('Mapa final'!$AB$40="Muy Baja",'Mapa final'!$AD$40="Catastrófico"),CONCATENATE("R6C",'Mapa final'!$R$40),"")</f>
        <v/>
      </c>
      <c r="AJ51" s="38" t="str">
        <f>IF(AND('Mapa final'!$AB$41="Muy Baja",'Mapa final'!$AD$41="Catastrófico"),CONCATENATE("R6C",'Mapa final'!$R$41),"")</f>
        <v/>
      </c>
      <c r="AK51" s="38" t="str">
        <f>IF(AND('Mapa final'!$AB$42="Muy Baja",'Mapa final'!$AD$42="Catastrófico"),CONCATENATE("R6C",'Mapa final'!$R$42),"")</f>
        <v/>
      </c>
      <c r="AL51" s="38" t="str">
        <f>IF(AND('Mapa final'!$AB$43="Muy Baja",'Mapa final'!$AD$43="Catastrófico"),CONCATENATE("R6C",'Mapa final'!$R$43),"")</f>
        <v/>
      </c>
      <c r="AM51" s="39" t="str">
        <f>IF(AND('Mapa final'!$AB$44="Muy Baja",'Mapa final'!$AD$44="Catastrófico"),CONCATENATE("R6C",'Mapa final'!$R$44),"")</f>
        <v/>
      </c>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row>
    <row r="52" spans="1:80" ht="15" customHeight="1" x14ac:dyDescent="0.3">
      <c r="A52" s="65"/>
      <c r="B52" s="794"/>
      <c r="C52" s="794"/>
      <c r="D52" s="795"/>
      <c r="E52" s="835"/>
      <c r="F52" s="836"/>
      <c r="G52" s="836"/>
      <c r="H52" s="836"/>
      <c r="I52" s="837"/>
      <c r="J52" s="58" t="str">
        <f>IF(AND('Mapa final'!$AB$45="Muy Baja",'Mapa final'!$AD$45="Leve"),CONCATENATE("R7C",'Mapa final'!$R$45),"")</f>
        <v/>
      </c>
      <c r="K52" s="59" t="str">
        <f>IF(AND('Mapa final'!$AB$46="Muy Baja",'Mapa final'!$AD$46="Leve"),CONCATENATE("R7C",'Mapa final'!$R$46),"")</f>
        <v/>
      </c>
      <c r="L52" s="59" t="str">
        <f>IF(AND('Mapa final'!$AB$47="Muy Baja",'Mapa final'!$AD$47="Leve"),CONCATENATE("R7C",'Mapa final'!$R$47),"")</f>
        <v/>
      </c>
      <c r="M52" s="59" t="str">
        <f>IF(AND('Mapa final'!$AB$48="Muy Baja",'Mapa final'!$AD$48="Leve"),CONCATENATE("R7C",'Mapa final'!$R$48),"")</f>
        <v/>
      </c>
      <c r="N52" s="59" t="str">
        <f>IF(AND('Mapa final'!$AB$49="Muy Baja",'Mapa final'!$AD$49="Leve"),CONCATENATE("R7C",'Mapa final'!$R$49),"")</f>
        <v/>
      </c>
      <c r="O52" s="60" t="str">
        <f>IF(AND('Mapa final'!$AB$50="Muy Baja",'Mapa final'!$AD$50="Leve"),CONCATENATE("R7C",'Mapa final'!$R$50),"")</f>
        <v/>
      </c>
      <c r="P52" s="58" t="str">
        <f>IF(AND('Mapa final'!$AB$45="Muy Baja",'Mapa final'!$AD$45="Menor"),CONCATENATE("R7C",'Mapa final'!$R$45),"")</f>
        <v/>
      </c>
      <c r="Q52" s="59" t="str">
        <f>IF(AND('Mapa final'!$AB$46="Muy Baja",'Mapa final'!$AD$46="Menor"),CONCATENATE("R7C",'Mapa final'!$R$46),"")</f>
        <v/>
      </c>
      <c r="R52" s="59" t="str">
        <f>IF(AND('Mapa final'!$AB$47="Muy Baja",'Mapa final'!$AD$47="Menor"),CONCATENATE("R7C",'Mapa final'!$R$47),"")</f>
        <v/>
      </c>
      <c r="S52" s="59" t="str">
        <f>IF(AND('Mapa final'!$AB$48="Muy Baja",'Mapa final'!$AD$48="Menor"),CONCATENATE("R7C",'Mapa final'!$R$48),"")</f>
        <v/>
      </c>
      <c r="T52" s="59" t="str">
        <f>IF(AND('Mapa final'!$AB$49="Muy Baja",'Mapa final'!$AD$49="Menor"),CONCATENATE("R7C",'Mapa final'!$R$49),"")</f>
        <v/>
      </c>
      <c r="U52" s="60" t="str">
        <f>IF(AND('Mapa final'!$AB$50="Muy Baja",'Mapa final'!$AD$50="Menor"),CONCATENATE("R7C",'Mapa final'!$R$50),"")</f>
        <v/>
      </c>
      <c r="V52" s="49" t="str">
        <f>IF(AND('Mapa final'!$AB$45="Muy Baja",'Mapa final'!$AD$45="Moderado"),CONCATENATE("R7C",'Mapa final'!$R$45),"")</f>
        <v/>
      </c>
      <c r="W52" s="50" t="str">
        <f>IF(AND('Mapa final'!$AB$46="Muy Baja",'Mapa final'!$AD$46="Moderado"),CONCATENATE("R7C",'Mapa final'!$R$46),"")</f>
        <v/>
      </c>
      <c r="X52" s="50" t="str">
        <f>IF(AND('Mapa final'!$AB$47="Muy Baja",'Mapa final'!$AD$47="Moderado"),CONCATENATE("R7C",'Mapa final'!$R$47),"")</f>
        <v/>
      </c>
      <c r="Y52" s="50" t="str">
        <f>IF(AND('Mapa final'!$AB$48="Muy Baja",'Mapa final'!$AD$48="Moderado"),CONCATENATE("R7C",'Mapa final'!$R$48),"")</f>
        <v/>
      </c>
      <c r="Z52" s="50" t="str">
        <f>IF(AND('Mapa final'!$AB$49="Muy Baja",'Mapa final'!$AD$49="Moderado"),CONCATENATE("R7C",'Mapa final'!$R$49),"")</f>
        <v/>
      </c>
      <c r="AA52" s="51" t="str">
        <f>IF(AND('Mapa final'!$AB$50="Muy Baja",'Mapa final'!$AD$50="Moderado"),CONCATENATE("R7C",'Mapa final'!$R$50),"")</f>
        <v/>
      </c>
      <c r="AB52" s="34" t="str">
        <f>IF(AND('Mapa final'!$AB$45="Muy Baja",'Mapa final'!$AD$45="Mayor"),CONCATENATE("R7C",'Mapa final'!$R$45),"")</f>
        <v/>
      </c>
      <c r="AC52" s="35" t="str">
        <f>IF(AND('Mapa final'!$AB$46="Muy Baja",'Mapa final'!$AD$46="Mayor"),CONCATENATE("R7C",'Mapa final'!$R$46),"")</f>
        <v/>
      </c>
      <c r="AD52" s="35" t="str">
        <f>IF(AND('Mapa final'!$AB$47="Muy Baja",'Mapa final'!$AD$47="Mayor"),CONCATENATE("R7C",'Mapa final'!$R$47),"")</f>
        <v/>
      </c>
      <c r="AE52" s="35" t="str">
        <f>IF(AND('Mapa final'!$AB$48="Muy Baja",'Mapa final'!$AD$48="Mayor"),CONCATENATE("R7C",'Mapa final'!$R$48),"")</f>
        <v/>
      </c>
      <c r="AF52" s="35" t="str">
        <f>IF(AND('Mapa final'!$AB$49="Muy Baja",'Mapa final'!$AD$49="Mayor"),CONCATENATE("R7C",'Mapa final'!$R$49),"")</f>
        <v/>
      </c>
      <c r="AG52" s="36" t="str">
        <f>IF(AND('Mapa final'!$AB$50="Muy Baja",'Mapa final'!$AD$50="Mayor"),CONCATENATE("R7C",'Mapa final'!$R$50),"")</f>
        <v/>
      </c>
      <c r="AH52" s="37" t="str">
        <f>IF(AND('Mapa final'!$AB$45="Muy Baja",'Mapa final'!$AD$45="Catastrófico"),CONCATENATE("R7C",'Mapa final'!$R$45),"")</f>
        <v/>
      </c>
      <c r="AI52" s="38" t="str">
        <f>IF(AND('Mapa final'!$AB$46="Muy Baja",'Mapa final'!$AD$46="Catastrófico"),CONCATENATE("R7C",'Mapa final'!$R$46),"")</f>
        <v/>
      </c>
      <c r="AJ52" s="38" t="str">
        <f>IF(AND('Mapa final'!$AB$47="Muy Baja",'Mapa final'!$AD$47="Catastrófico"),CONCATENATE("R7C",'Mapa final'!$R$47),"")</f>
        <v/>
      </c>
      <c r="AK52" s="38" t="str">
        <f>IF(AND('Mapa final'!$AB$48="Muy Baja",'Mapa final'!$AD$48="Catastrófico"),CONCATENATE("R7C",'Mapa final'!$R$48),"")</f>
        <v/>
      </c>
      <c r="AL52" s="38" t="str">
        <f>IF(AND('Mapa final'!$AB$49="Muy Baja",'Mapa final'!$AD$49="Catastrófico"),CONCATENATE("R7C",'Mapa final'!$R$49),"")</f>
        <v/>
      </c>
      <c r="AM52" s="39" t="str">
        <f>IF(AND('Mapa final'!$AB$50="Muy Baja",'Mapa final'!$AD$50="Catastrófico"),CONCATENATE("R7C",'Mapa final'!$R$50),"")</f>
        <v/>
      </c>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row>
    <row r="53" spans="1:80" ht="15" customHeight="1" x14ac:dyDescent="0.3">
      <c r="A53" s="65"/>
      <c r="B53" s="794"/>
      <c r="C53" s="794"/>
      <c r="D53" s="795"/>
      <c r="E53" s="835"/>
      <c r="F53" s="836"/>
      <c r="G53" s="836"/>
      <c r="H53" s="836"/>
      <c r="I53" s="837"/>
      <c r="J53" s="58" t="str">
        <f>IF(AND('Mapa final'!$AB$51="Muy Baja",'Mapa final'!$AD$51="Leve"),CONCATENATE("R8C",'Mapa final'!$R$51),"")</f>
        <v/>
      </c>
      <c r="K53" s="59" t="str">
        <f>IF(AND('Mapa final'!$AB$52="Muy Baja",'Mapa final'!$AD$52="Leve"),CONCATENATE("R8C",'Mapa final'!$R$52),"")</f>
        <v/>
      </c>
      <c r="L53" s="59" t="str">
        <f>IF(AND('Mapa final'!$AB$53="Muy Baja",'Mapa final'!$AD$53="Leve"),CONCATENATE("R8C",'Mapa final'!$R$53),"")</f>
        <v/>
      </c>
      <c r="M53" s="59" t="str">
        <f>IF(AND('Mapa final'!$AB$54="Muy Baja",'Mapa final'!$AD$54="Leve"),CONCATENATE("R8C",'Mapa final'!$R$54),"")</f>
        <v/>
      </c>
      <c r="N53" s="59" t="str">
        <f>IF(AND('Mapa final'!$AB$55="Muy Baja",'Mapa final'!$AD$55="Leve"),CONCATENATE("R8C",'Mapa final'!$R$55),"")</f>
        <v/>
      </c>
      <c r="O53" s="60" t="str">
        <f>IF(AND('Mapa final'!$AB$56="Muy Baja",'Mapa final'!$AD$56="Leve"),CONCATENATE("R8C",'Mapa final'!$R$56),"")</f>
        <v/>
      </c>
      <c r="P53" s="58" t="str">
        <f>IF(AND('Mapa final'!$AB$51="Muy Baja",'Mapa final'!$AD$51="Menor"),CONCATENATE("R8C",'Mapa final'!$R$51),"")</f>
        <v/>
      </c>
      <c r="Q53" s="59" t="str">
        <f>IF(AND('Mapa final'!$AB$52="Muy Baja",'Mapa final'!$AD$52="Menor"),CONCATENATE("R8C",'Mapa final'!$R$52),"")</f>
        <v/>
      </c>
      <c r="R53" s="59" t="str">
        <f>IF(AND('Mapa final'!$AB$53="Muy Baja",'Mapa final'!$AD$53="Menor"),CONCATENATE("R8C",'Mapa final'!$R$53),"")</f>
        <v/>
      </c>
      <c r="S53" s="59" t="str">
        <f>IF(AND('Mapa final'!$AB$54="Muy Baja",'Mapa final'!$AD$54="Menor"),CONCATENATE("R8C",'Mapa final'!$R$54),"")</f>
        <v/>
      </c>
      <c r="T53" s="59" t="str">
        <f>IF(AND('Mapa final'!$AB$55="Muy Baja",'Mapa final'!$AD$55="Menor"),CONCATENATE("R8C",'Mapa final'!$R$55),"")</f>
        <v/>
      </c>
      <c r="U53" s="60" t="str">
        <f>IF(AND('Mapa final'!$AB$56="Muy Baja",'Mapa final'!$AD$56="Menor"),CONCATENATE("R8C",'Mapa final'!$R$56),"")</f>
        <v/>
      </c>
      <c r="V53" s="49" t="str">
        <f>IF(AND('Mapa final'!$AB$51="Muy Baja",'Mapa final'!$AD$51="Moderado"),CONCATENATE("R8C",'Mapa final'!$R$51),"")</f>
        <v/>
      </c>
      <c r="W53" s="50" t="str">
        <f>IF(AND('Mapa final'!$AB$52="Muy Baja",'Mapa final'!$AD$52="Moderado"),CONCATENATE("R8C",'Mapa final'!$R$52),"")</f>
        <v/>
      </c>
      <c r="X53" s="50" t="str">
        <f>IF(AND('Mapa final'!$AB$53="Muy Baja",'Mapa final'!$AD$53="Moderado"),CONCATENATE("R8C",'Mapa final'!$R$53),"")</f>
        <v/>
      </c>
      <c r="Y53" s="50" t="str">
        <f>IF(AND('Mapa final'!$AB$54="Muy Baja",'Mapa final'!$AD$54="Moderado"),CONCATENATE("R8C",'Mapa final'!$R$54),"")</f>
        <v/>
      </c>
      <c r="Z53" s="50" t="str">
        <f>IF(AND('Mapa final'!$AB$55="Muy Baja",'Mapa final'!$AD$55="Moderado"),CONCATENATE("R8C",'Mapa final'!$R$55),"")</f>
        <v/>
      </c>
      <c r="AA53" s="51" t="str">
        <f>IF(AND('Mapa final'!$AB$56="Muy Baja",'Mapa final'!$AD$56="Moderado"),CONCATENATE("R8C",'Mapa final'!$R$56),"")</f>
        <v/>
      </c>
      <c r="AB53" s="34" t="str">
        <f>IF(AND('Mapa final'!$AB$51="Muy Baja",'Mapa final'!$AD$51="Mayor"),CONCATENATE("R8C",'Mapa final'!$R$51),"")</f>
        <v/>
      </c>
      <c r="AC53" s="35" t="str">
        <f>IF(AND('Mapa final'!$AB$52="Muy Baja",'Mapa final'!$AD$52="Mayor"),CONCATENATE("R8C",'Mapa final'!$R$52),"")</f>
        <v/>
      </c>
      <c r="AD53" s="35" t="str">
        <f>IF(AND('Mapa final'!$AB$53="Muy Baja",'Mapa final'!$AD$53="Mayor"),CONCATENATE("R8C",'Mapa final'!$R$53),"")</f>
        <v/>
      </c>
      <c r="AE53" s="35" t="str">
        <f>IF(AND('Mapa final'!$AB$54="Muy Baja",'Mapa final'!$AD$54="Mayor"),CONCATENATE("R8C",'Mapa final'!$R$54),"")</f>
        <v/>
      </c>
      <c r="AF53" s="35" t="str">
        <f>IF(AND('Mapa final'!$AB$55="Muy Baja",'Mapa final'!$AD$55="Mayor"),CONCATENATE("R8C",'Mapa final'!$R$55),"")</f>
        <v/>
      </c>
      <c r="AG53" s="36" t="str">
        <f>IF(AND('Mapa final'!$AB$56="Muy Baja",'Mapa final'!$AD$56="Mayor"),CONCATENATE("R8C",'Mapa final'!$R$56),"")</f>
        <v/>
      </c>
      <c r="AH53" s="37" t="str">
        <f>IF(AND('Mapa final'!$AB$51="Muy Baja",'Mapa final'!$AD$51="Catastrófico"),CONCATENATE("R8C",'Mapa final'!$R$51),"")</f>
        <v/>
      </c>
      <c r="AI53" s="38" t="str">
        <f>IF(AND('Mapa final'!$AB$52="Muy Baja",'Mapa final'!$AD$52="Catastrófico"),CONCATENATE("R8C",'Mapa final'!$R$52),"")</f>
        <v/>
      </c>
      <c r="AJ53" s="38" t="str">
        <f>IF(AND('Mapa final'!$AB$53="Muy Baja",'Mapa final'!$AD$53="Catastrófico"),CONCATENATE("R8C",'Mapa final'!$R$53),"")</f>
        <v/>
      </c>
      <c r="AK53" s="38" t="str">
        <f>IF(AND('Mapa final'!$AB$54="Muy Baja",'Mapa final'!$AD$54="Catastrófico"),CONCATENATE("R8C",'Mapa final'!$R$54),"")</f>
        <v/>
      </c>
      <c r="AL53" s="38" t="str">
        <f>IF(AND('Mapa final'!$AB$55="Muy Baja",'Mapa final'!$AD$55="Catastrófico"),CONCATENATE("R8C",'Mapa final'!$R$55),"")</f>
        <v/>
      </c>
      <c r="AM53" s="39" t="str">
        <f>IF(AND('Mapa final'!$AB$56="Muy Baja",'Mapa final'!$AD$56="Catastrófico"),CONCATENATE("R8C",'Mapa final'!$R$56),"")</f>
        <v/>
      </c>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row>
    <row r="54" spans="1:80" ht="15" customHeight="1" x14ac:dyDescent="0.3">
      <c r="A54" s="65"/>
      <c r="B54" s="794"/>
      <c r="C54" s="794"/>
      <c r="D54" s="795"/>
      <c r="E54" s="835"/>
      <c r="F54" s="836"/>
      <c r="G54" s="836"/>
      <c r="H54" s="836"/>
      <c r="I54" s="837"/>
      <c r="J54" s="58" t="str">
        <f>IF(AND('Mapa final'!$AB$57="Muy Baja",'Mapa final'!$AD$57="Leve"),CONCATENATE("R9C",'Mapa final'!$R$57),"")</f>
        <v/>
      </c>
      <c r="K54" s="59" t="str">
        <f>IF(AND('Mapa final'!$AB$58="Muy Baja",'Mapa final'!$AD$58="Leve"),CONCATENATE("R9C",'Mapa final'!$R$58),"")</f>
        <v/>
      </c>
      <c r="L54" s="59" t="str">
        <f>IF(AND('Mapa final'!$AB$59="Muy Baja",'Mapa final'!$AD$59="Leve"),CONCATENATE("R9C",'Mapa final'!$R$59),"")</f>
        <v/>
      </c>
      <c r="M54" s="59" t="str">
        <f>IF(AND('Mapa final'!$AB$60="Muy Baja",'Mapa final'!$AD$60="Leve"),CONCATENATE("R9C",'Mapa final'!$R$60),"")</f>
        <v/>
      </c>
      <c r="N54" s="59" t="str">
        <f>IF(AND('Mapa final'!$AB$61="Muy Baja",'Mapa final'!$AD$61="Leve"),CONCATENATE("R9C",'Mapa final'!$R$61),"")</f>
        <v/>
      </c>
      <c r="O54" s="60" t="str">
        <f>IF(AND('Mapa final'!$AB$62="Muy Baja",'Mapa final'!$AD$62="Leve"),CONCATENATE("R9C",'Mapa final'!$R$62),"")</f>
        <v/>
      </c>
      <c r="P54" s="58" t="str">
        <f>IF(AND('Mapa final'!$AB$57="Muy Baja",'Mapa final'!$AD$57="Menor"),CONCATENATE("R9C",'Mapa final'!$R$57),"")</f>
        <v/>
      </c>
      <c r="Q54" s="59" t="str">
        <f>IF(AND('Mapa final'!$AB$58="Muy Baja",'Mapa final'!$AD$58="Menor"),CONCATENATE("R9C",'Mapa final'!$R$58),"")</f>
        <v/>
      </c>
      <c r="R54" s="59" t="str">
        <f>IF(AND('Mapa final'!$AB$59="Muy Baja",'Mapa final'!$AD$59="Menor"),CONCATENATE("R9C",'Mapa final'!$R$59),"")</f>
        <v/>
      </c>
      <c r="S54" s="59" t="str">
        <f>IF(AND('Mapa final'!$AB$60="Muy Baja",'Mapa final'!$AD$60="Menor"),CONCATENATE("R9C",'Mapa final'!$R$60),"")</f>
        <v/>
      </c>
      <c r="T54" s="59" t="str">
        <f>IF(AND('Mapa final'!$AB$61="Muy Baja",'Mapa final'!$AD$61="Menor"),CONCATENATE("R9C",'Mapa final'!$R$61),"")</f>
        <v/>
      </c>
      <c r="U54" s="60" t="str">
        <f>IF(AND('Mapa final'!$AB$62="Muy Baja",'Mapa final'!$AD$62="Menor"),CONCATENATE("R9C",'Mapa final'!$R$62),"")</f>
        <v/>
      </c>
      <c r="V54" s="49" t="str">
        <f>IF(AND('Mapa final'!$AB$57="Muy Baja",'Mapa final'!$AD$57="Moderado"),CONCATENATE("R9C",'Mapa final'!$R$57),"")</f>
        <v/>
      </c>
      <c r="W54" s="50" t="str">
        <f>IF(AND('Mapa final'!$AB$58="Muy Baja",'Mapa final'!$AD$58="Moderado"),CONCATENATE("R9C",'Mapa final'!$R$58),"")</f>
        <v/>
      </c>
      <c r="X54" s="50" t="str">
        <f>IF(AND('Mapa final'!$AB$59="Muy Baja",'Mapa final'!$AD$59="Moderado"),CONCATENATE("R9C",'Mapa final'!$R$59),"")</f>
        <v/>
      </c>
      <c r="Y54" s="50" t="str">
        <f>IF(AND('Mapa final'!$AB$60="Muy Baja",'Mapa final'!$AD$60="Moderado"),CONCATENATE("R9C",'Mapa final'!$R$60),"")</f>
        <v/>
      </c>
      <c r="Z54" s="50" t="str">
        <f>IF(AND('Mapa final'!$AB$61="Muy Baja",'Mapa final'!$AD$61="Moderado"),CONCATENATE("R9C",'Mapa final'!$R$61),"")</f>
        <v/>
      </c>
      <c r="AA54" s="51" t="str">
        <f>IF(AND('Mapa final'!$AB$62="Muy Baja",'Mapa final'!$AD$62="Moderado"),CONCATENATE("R9C",'Mapa final'!$R$62),"")</f>
        <v/>
      </c>
      <c r="AB54" s="34" t="str">
        <f>IF(AND('Mapa final'!$AB$57="Muy Baja",'Mapa final'!$AD$57="Mayor"),CONCATENATE("R9C",'Mapa final'!$R$57),"")</f>
        <v/>
      </c>
      <c r="AC54" s="35" t="str">
        <f>IF(AND('Mapa final'!$AB$58="Muy Baja",'Mapa final'!$AD$58="Mayor"),CONCATENATE("R9C",'Mapa final'!$R$58),"")</f>
        <v/>
      </c>
      <c r="AD54" s="35" t="str">
        <f>IF(AND('Mapa final'!$AB$59="Muy Baja",'Mapa final'!$AD$59="Mayor"),CONCATENATE("R9C",'Mapa final'!$R$59),"")</f>
        <v/>
      </c>
      <c r="AE54" s="35" t="str">
        <f>IF(AND('Mapa final'!$AB$60="Muy Baja",'Mapa final'!$AD$60="Mayor"),CONCATENATE("R9C",'Mapa final'!$R$60),"")</f>
        <v/>
      </c>
      <c r="AF54" s="35" t="str">
        <f>IF(AND('Mapa final'!$AB$61="Muy Baja",'Mapa final'!$AD$61="Mayor"),CONCATENATE("R9C",'Mapa final'!$R$61),"")</f>
        <v/>
      </c>
      <c r="AG54" s="36" t="str">
        <f>IF(AND('Mapa final'!$AB$62="Muy Baja",'Mapa final'!$AD$62="Mayor"),CONCATENATE("R9C",'Mapa final'!$R$62),"")</f>
        <v/>
      </c>
      <c r="AH54" s="37" t="str">
        <f>IF(AND('Mapa final'!$AB$57="Muy Baja",'Mapa final'!$AD$57="Catastrófico"),CONCATENATE("R9C",'Mapa final'!$R$57),"")</f>
        <v/>
      </c>
      <c r="AI54" s="38" t="str">
        <f>IF(AND('Mapa final'!$AB$58="Muy Baja",'Mapa final'!$AD$58="Catastrófico"),CONCATENATE("R9C",'Mapa final'!$R$58),"")</f>
        <v/>
      </c>
      <c r="AJ54" s="38" t="str">
        <f>IF(AND('Mapa final'!$AB$59="Muy Baja",'Mapa final'!$AD$59="Catastrófico"),CONCATENATE("R9C",'Mapa final'!$R$59),"")</f>
        <v/>
      </c>
      <c r="AK54" s="38" t="str">
        <f>IF(AND('Mapa final'!$AB$60="Muy Baja",'Mapa final'!$AD$60="Catastrófico"),CONCATENATE("R9C",'Mapa final'!$R$60),"")</f>
        <v/>
      </c>
      <c r="AL54" s="38" t="str">
        <f>IF(AND('Mapa final'!$AB$61="Muy Baja",'Mapa final'!$AD$61="Catastrófico"),CONCATENATE("R9C",'Mapa final'!$R$61),"")</f>
        <v/>
      </c>
      <c r="AM54" s="39" t="str">
        <f>IF(AND('Mapa final'!$AB$62="Muy Baja",'Mapa final'!$AD$62="Catastrófico"),CONCATENATE("R9C",'Mapa final'!$R$62),"")</f>
        <v/>
      </c>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row>
    <row r="55" spans="1:80" ht="15.75" customHeight="1" thickBot="1" x14ac:dyDescent="0.35">
      <c r="A55" s="65"/>
      <c r="B55" s="794"/>
      <c r="C55" s="794"/>
      <c r="D55" s="795"/>
      <c r="E55" s="838"/>
      <c r="F55" s="839"/>
      <c r="G55" s="839"/>
      <c r="H55" s="839"/>
      <c r="I55" s="840"/>
      <c r="J55" s="61" t="str">
        <f>IF(AND('Mapa final'!$AB$63="Muy Baja",'Mapa final'!$AD$63="Leve"),CONCATENATE("R10C",'Mapa final'!$R$63),"")</f>
        <v/>
      </c>
      <c r="K55" s="62" t="str">
        <f>IF(AND('Mapa final'!$AB$64="Muy Baja",'Mapa final'!$AD$64="Leve"),CONCATENATE("R10C",'Mapa final'!$R$64),"")</f>
        <v/>
      </c>
      <c r="L55" s="62" t="str">
        <f>IF(AND('Mapa final'!$AB$65="Muy Baja",'Mapa final'!$AD$65="Leve"),CONCATENATE("R10C",'Mapa final'!$R$65),"")</f>
        <v/>
      </c>
      <c r="M55" s="62" t="str">
        <f>IF(AND('Mapa final'!$AB$66="Muy Baja",'Mapa final'!$AD$66="Leve"),CONCATENATE("R10C",'Mapa final'!$R$66),"")</f>
        <v/>
      </c>
      <c r="N55" s="62" t="str">
        <f>IF(AND('Mapa final'!$AB$67="Muy Baja",'Mapa final'!$AD$67="Leve"),CONCATENATE("R10C",'Mapa final'!$R$67),"")</f>
        <v/>
      </c>
      <c r="O55" s="63" t="str">
        <f>IF(AND('Mapa final'!$AB$68="Muy Baja",'Mapa final'!$AD$68="Leve"),CONCATENATE("R10C",'Mapa final'!$R$68),"")</f>
        <v/>
      </c>
      <c r="P55" s="61" t="str">
        <f>IF(AND('Mapa final'!$AB$63="Muy Baja",'Mapa final'!$AD$63="Menor"),CONCATENATE("R10C",'Mapa final'!$R$63),"")</f>
        <v/>
      </c>
      <c r="Q55" s="62" t="str">
        <f>IF(AND('Mapa final'!$AB$64="Muy Baja",'Mapa final'!$AD$64="Menor"),CONCATENATE("R10C",'Mapa final'!$R$64),"")</f>
        <v/>
      </c>
      <c r="R55" s="62" t="str">
        <f>IF(AND('Mapa final'!$AB$65="Muy Baja",'Mapa final'!$AD$65="Menor"),CONCATENATE("R10C",'Mapa final'!$R$65),"")</f>
        <v/>
      </c>
      <c r="S55" s="62" t="str">
        <f>IF(AND('Mapa final'!$AB$66="Muy Baja",'Mapa final'!$AD$66="Menor"),CONCATENATE("R10C",'Mapa final'!$R$66),"")</f>
        <v/>
      </c>
      <c r="T55" s="62" t="str">
        <f>IF(AND('Mapa final'!$AB$67="Muy Baja",'Mapa final'!$AD$67="Menor"),CONCATENATE("R10C",'Mapa final'!$R$67),"")</f>
        <v/>
      </c>
      <c r="U55" s="63" t="str">
        <f>IF(AND('Mapa final'!$AB$68="Muy Baja",'Mapa final'!$AD$68="Menor"),CONCATENATE("R10C",'Mapa final'!$R$68),"")</f>
        <v/>
      </c>
      <c r="V55" s="52" t="str">
        <f>IF(AND('Mapa final'!$AB$63="Muy Baja",'Mapa final'!$AD$63="Moderado"),CONCATENATE("R10C",'Mapa final'!$R$63),"")</f>
        <v/>
      </c>
      <c r="W55" s="53" t="str">
        <f>IF(AND('Mapa final'!$AB$64="Muy Baja",'Mapa final'!$AD$64="Moderado"),CONCATENATE("R10C",'Mapa final'!$R$64),"")</f>
        <v/>
      </c>
      <c r="X55" s="53" t="str">
        <f>IF(AND('Mapa final'!$AB$65="Muy Baja",'Mapa final'!$AD$65="Moderado"),CONCATENATE("R10C",'Mapa final'!$R$65),"")</f>
        <v/>
      </c>
      <c r="Y55" s="53" t="str">
        <f>IF(AND('Mapa final'!$AB$66="Muy Baja",'Mapa final'!$AD$66="Moderado"),CONCATENATE("R10C",'Mapa final'!$R$66),"")</f>
        <v/>
      </c>
      <c r="Z55" s="53" t="str">
        <f>IF(AND('Mapa final'!$AB$67="Muy Baja",'Mapa final'!$AD$67="Moderado"),CONCATENATE("R10C",'Mapa final'!$R$67),"")</f>
        <v/>
      </c>
      <c r="AA55" s="54" t="str">
        <f>IF(AND('Mapa final'!$AB$68="Muy Baja",'Mapa final'!$AD$68="Moderado"),CONCATENATE("R10C",'Mapa final'!$R$68),"")</f>
        <v/>
      </c>
      <c r="AB55" s="40" t="str">
        <f>IF(AND('Mapa final'!$AB$63="Muy Baja",'Mapa final'!$AD$63="Mayor"),CONCATENATE("R10C",'Mapa final'!$R$63),"")</f>
        <v/>
      </c>
      <c r="AC55" s="41" t="str">
        <f>IF(AND('Mapa final'!$AB$64="Muy Baja",'Mapa final'!$AD$64="Mayor"),CONCATENATE("R10C",'Mapa final'!$R$64),"")</f>
        <v/>
      </c>
      <c r="AD55" s="41" t="str">
        <f>IF(AND('Mapa final'!$AB$65="Muy Baja",'Mapa final'!$AD$65="Mayor"),CONCATENATE("R10C",'Mapa final'!$R$65),"")</f>
        <v/>
      </c>
      <c r="AE55" s="41" t="str">
        <f>IF(AND('Mapa final'!$AB$66="Muy Baja",'Mapa final'!$AD$66="Mayor"),CONCATENATE("R10C",'Mapa final'!$R$66),"")</f>
        <v/>
      </c>
      <c r="AF55" s="41" t="str">
        <f>IF(AND('Mapa final'!$AB$67="Muy Baja",'Mapa final'!$AD$67="Mayor"),CONCATENATE("R10C",'Mapa final'!$R$67),"")</f>
        <v/>
      </c>
      <c r="AG55" s="42" t="str">
        <f>IF(AND('Mapa final'!$AB$68="Muy Baja",'Mapa final'!$AD$68="Mayor"),CONCATENATE("R10C",'Mapa final'!$R$68),"")</f>
        <v/>
      </c>
      <c r="AH55" s="43" t="str">
        <f>IF(AND('Mapa final'!$AB$63="Muy Baja",'Mapa final'!$AD$63="Catastrófico"),CONCATENATE("R10C",'Mapa final'!$R$63),"")</f>
        <v/>
      </c>
      <c r="AI55" s="44" t="str">
        <f>IF(AND('Mapa final'!$AB$64="Muy Baja",'Mapa final'!$AD$64="Catastrófico"),CONCATENATE("R10C",'Mapa final'!$R$64),"")</f>
        <v/>
      </c>
      <c r="AJ55" s="44" t="str">
        <f>IF(AND('Mapa final'!$AB$65="Muy Baja",'Mapa final'!$AD$65="Catastrófico"),CONCATENATE("R10C",'Mapa final'!$R$65),"")</f>
        <v/>
      </c>
      <c r="AK55" s="44" t="str">
        <f>IF(AND('Mapa final'!$AB$66="Muy Baja",'Mapa final'!$AD$66="Catastrófico"),CONCATENATE("R10C",'Mapa final'!$R$66),"")</f>
        <v/>
      </c>
      <c r="AL55" s="44" t="str">
        <f>IF(AND('Mapa final'!$AB$67="Muy Baja",'Mapa final'!$AD$67="Catastrófico"),CONCATENATE("R10C",'Mapa final'!$R$67),"")</f>
        <v/>
      </c>
      <c r="AM55" s="45" t="str">
        <f>IF(AND('Mapa final'!$AB$68="Muy Baja",'Mapa final'!$AD$68="Catastrófico"),CONCATENATE("R10C",'Mapa final'!$R$68),"")</f>
        <v/>
      </c>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row>
    <row r="56" spans="1:80" x14ac:dyDescent="0.3">
      <c r="A56" s="65"/>
      <c r="B56" s="65"/>
      <c r="C56" s="65"/>
      <c r="D56" s="65"/>
      <c r="E56" s="65"/>
      <c r="F56" s="65"/>
      <c r="G56" s="65"/>
      <c r="H56" s="65"/>
      <c r="I56" s="65"/>
      <c r="J56" s="832" t="s">
        <v>107</v>
      </c>
      <c r="K56" s="833"/>
      <c r="L56" s="833"/>
      <c r="M56" s="833"/>
      <c r="N56" s="833"/>
      <c r="O56" s="834"/>
      <c r="P56" s="832" t="s">
        <v>106</v>
      </c>
      <c r="Q56" s="833"/>
      <c r="R56" s="833"/>
      <c r="S56" s="833"/>
      <c r="T56" s="833"/>
      <c r="U56" s="834"/>
      <c r="V56" s="832" t="s">
        <v>105</v>
      </c>
      <c r="W56" s="833"/>
      <c r="X56" s="833"/>
      <c r="Y56" s="833"/>
      <c r="Z56" s="833"/>
      <c r="AA56" s="834"/>
      <c r="AB56" s="832" t="s">
        <v>104</v>
      </c>
      <c r="AC56" s="841"/>
      <c r="AD56" s="833"/>
      <c r="AE56" s="833"/>
      <c r="AF56" s="833"/>
      <c r="AG56" s="834"/>
      <c r="AH56" s="832" t="s">
        <v>103</v>
      </c>
      <c r="AI56" s="833"/>
      <c r="AJ56" s="833"/>
      <c r="AK56" s="833"/>
      <c r="AL56" s="833"/>
      <c r="AM56" s="834"/>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row>
    <row r="57" spans="1:80" x14ac:dyDescent="0.3">
      <c r="A57" s="65"/>
      <c r="B57" s="65"/>
      <c r="C57" s="65"/>
      <c r="D57" s="65"/>
      <c r="E57" s="65"/>
      <c r="F57" s="65"/>
      <c r="G57" s="65"/>
      <c r="H57" s="65"/>
      <c r="I57" s="65"/>
      <c r="J57" s="835"/>
      <c r="K57" s="836"/>
      <c r="L57" s="836"/>
      <c r="M57" s="836"/>
      <c r="N57" s="836"/>
      <c r="O57" s="837"/>
      <c r="P57" s="835"/>
      <c r="Q57" s="836"/>
      <c r="R57" s="836"/>
      <c r="S57" s="836"/>
      <c r="T57" s="836"/>
      <c r="U57" s="837"/>
      <c r="V57" s="835"/>
      <c r="W57" s="836"/>
      <c r="X57" s="836"/>
      <c r="Y57" s="836"/>
      <c r="Z57" s="836"/>
      <c r="AA57" s="837"/>
      <c r="AB57" s="835"/>
      <c r="AC57" s="836"/>
      <c r="AD57" s="836"/>
      <c r="AE57" s="836"/>
      <c r="AF57" s="836"/>
      <c r="AG57" s="837"/>
      <c r="AH57" s="835"/>
      <c r="AI57" s="836"/>
      <c r="AJ57" s="836"/>
      <c r="AK57" s="836"/>
      <c r="AL57" s="836"/>
      <c r="AM57" s="837"/>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row>
    <row r="58" spans="1:80" x14ac:dyDescent="0.3">
      <c r="A58" s="65"/>
      <c r="B58" s="65"/>
      <c r="C58" s="65"/>
      <c r="D58" s="65"/>
      <c r="E58" s="65"/>
      <c r="F58" s="65"/>
      <c r="G58" s="65"/>
      <c r="H58" s="65"/>
      <c r="I58" s="65"/>
      <c r="J58" s="835"/>
      <c r="K58" s="836"/>
      <c r="L58" s="836"/>
      <c r="M58" s="836"/>
      <c r="N58" s="836"/>
      <c r="O58" s="837"/>
      <c r="P58" s="835"/>
      <c r="Q58" s="836"/>
      <c r="R58" s="836"/>
      <c r="S58" s="836"/>
      <c r="T58" s="836"/>
      <c r="U58" s="837"/>
      <c r="V58" s="835"/>
      <c r="W58" s="836"/>
      <c r="X58" s="836"/>
      <c r="Y58" s="836"/>
      <c r="Z58" s="836"/>
      <c r="AA58" s="837"/>
      <c r="AB58" s="835"/>
      <c r="AC58" s="836"/>
      <c r="AD58" s="836"/>
      <c r="AE58" s="836"/>
      <c r="AF58" s="836"/>
      <c r="AG58" s="837"/>
      <c r="AH58" s="835"/>
      <c r="AI58" s="836"/>
      <c r="AJ58" s="836"/>
      <c r="AK58" s="836"/>
      <c r="AL58" s="836"/>
      <c r="AM58" s="837"/>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row>
    <row r="59" spans="1:80" x14ac:dyDescent="0.3">
      <c r="A59" s="65"/>
      <c r="B59" s="65"/>
      <c r="C59" s="65"/>
      <c r="D59" s="65"/>
      <c r="E59" s="65"/>
      <c r="F59" s="65"/>
      <c r="G59" s="65"/>
      <c r="H59" s="65"/>
      <c r="I59" s="65"/>
      <c r="J59" s="835"/>
      <c r="K59" s="836"/>
      <c r="L59" s="836"/>
      <c r="M59" s="836"/>
      <c r="N59" s="836"/>
      <c r="O59" s="837"/>
      <c r="P59" s="835"/>
      <c r="Q59" s="836"/>
      <c r="R59" s="836"/>
      <c r="S59" s="836"/>
      <c r="T59" s="836"/>
      <c r="U59" s="837"/>
      <c r="V59" s="835"/>
      <c r="W59" s="836"/>
      <c r="X59" s="836"/>
      <c r="Y59" s="836"/>
      <c r="Z59" s="836"/>
      <c r="AA59" s="837"/>
      <c r="AB59" s="835"/>
      <c r="AC59" s="836"/>
      <c r="AD59" s="836"/>
      <c r="AE59" s="836"/>
      <c r="AF59" s="836"/>
      <c r="AG59" s="837"/>
      <c r="AH59" s="835"/>
      <c r="AI59" s="836"/>
      <c r="AJ59" s="836"/>
      <c r="AK59" s="836"/>
      <c r="AL59" s="836"/>
      <c r="AM59" s="837"/>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row>
    <row r="60" spans="1:80" x14ac:dyDescent="0.3">
      <c r="A60" s="65"/>
      <c r="B60" s="65"/>
      <c r="C60" s="65"/>
      <c r="D60" s="65"/>
      <c r="E60" s="65"/>
      <c r="F60" s="65"/>
      <c r="G60" s="65"/>
      <c r="H60" s="65"/>
      <c r="I60" s="65"/>
      <c r="J60" s="835"/>
      <c r="K60" s="836"/>
      <c r="L60" s="836"/>
      <c r="M60" s="836"/>
      <c r="N60" s="836"/>
      <c r="O60" s="837"/>
      <c r="P60" s="835"/>
      <c r="Q60" s="836"/>
      <c r="R60" s="836"/>
      <c r="S60" s="836"/>
      <c r="T60" s="836"/>
      <c r="U60" s="837"/>
      <c r="V60" s="835"/>
      <c r="W60" s="836"/>
      <c r="X60" s="836"/>
      <c r="Y60" s="836"/>
      <c r="Z60" s="836"/>
      <c r="AA60" s="837"/>
      <c r="AB60" s="835"/>
      <c r="AC60" s="836"/>
      <c r="AD60" s="836"/>
      <c r="AE60" s="836"/>
      <c r="AF60" s="836"/>
      <c r="AG60" s="837"/>
      <c r="AH60" s="835"/>
      <c r="AI60" s="836"/>
      <c r="AJ60" s="836"/>
      <c r="AK60" s="836"/>
      <c r="AL60" s="836"/>
      <c r="AM60" s="837"/>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row>
    <row r="61" spans="1:80" ht="15" thickBot="1" x14ac:dyDescent="0.35">
      <c r="A61" s="65"/>
      <c r="B61" s="65"/>
      <c r="C61" s="65"/>
      <c r="D61" s="65"/>
      <c r="E61" s="65"/>
      <c r="F61" s="65"/>
      <c r="G61" s="65"/>
      <c r="H61" s="65"/>
      <c r="I61" s="65"/>
      <c r="J61" s="838"/>
      <c r="K61" s="839"/>
      <c r="L61" s="839"/>
      <c r="M61" s="839"/>
      <c r="N61" s="839"/>
      <c r="O61" s="840"/>
      <c r="P61" s="838"/>
      <c r="Q61" s="839"/>
      <c r="R61" s="839"/>
      <c r="S61" s="839"/>
      <c r="T61" s="839"/>
      <c r="U61" s="840"/>
      <c r="V61" s="838"/>
      <c r="W61" s="839"/>
      <c r="X61" s="839"/>
      <c r="Y61" s="839"/>
      <c r="Z61" s="839"/>
      <c r="AA61" s="840"/>
      <c r="AB61" s="838"/>
      <c r="AC61" s="839"/>
      <c r="AD61" s="839"/>
      <c r="AE61" s="839"/>
      <c r="AF61" s="839"/>
      <c r="AG61" s="840"/>
      <c r="AH61" s="838"/>
      <c r="AI61" s="839"/>
      <c r="AJ61" s="839"/>
      <c r="AK61" s="839"/>
      <c r="AL61" s="839"/>
      <c r="AM61" s="840"/>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row>
    <row r="62" spans="1:80" x14ac:dyDescent="0.3">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row>
    <row r="63" spans="1:80" ht="15" customHeight="1" x14ac:dyDescent="0.3">
      <c r="A63" s="65"/>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5"/>
      <c r="AV63" s="65"/>
      <c r="AW63" s="65"/>
      <c r="AX63" s="65"/>
      <c r="AY63" s="65"/>
      <c r="AZ63" s="65"/>
      <c r="BA63" s="65"/>
      <c r="BB63" s="65"/>
      <c r="BC63" s="65"/>
      <c r="BD63" s="65"/>
      <c r="BE63" s="65"/>
      <c r="BF63" s="65"/>
      <c r="BG63" s="65"/>
      <c r="BH63" s="65"/>
    </row>
    <row r="64" spans="1:80" ht="15" customHeight="1" x14ac:dyDescent="0.3">
      <c r="A64" s="65"/>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5"/>
      <c r="AV64" s="65"/>
      <c r="AW64" s="65"/>
      <c r="AX64" s="65"/>
      <c r="AY64" s="65"/>
      <c r="AZ64" s="65"/>
      <c r="BA64" s="65"/>
      <c r="BB64" s="65"/>
      <c r="BC64" s="65"/>
      <c r="BD64" s="65"/>
      <c r="BE64" s="65"/>
      <c r="BF64" s="65"/>
      <c r="BG64" s="65"/>
      <c r="BH64" s="65"/>
    </row>
    <row r="65" spans="1:60" x14ac:dyDescent="0.3">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row>
    <row r="66" spans="1:60" x14ac:dyDescent="0.3">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60" x14ac:dyDescent="0.3">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60" x14ac:dyDescent="0.3">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60" x14ac:dyDescent="0.3">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60" x14ac:dyDescent="0.3">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60" x14ac:dyDescent="0.3">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60"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60" x14ac:dyDescent="0.3">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60" x14ac:dyDescent="0.3">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60" x14ac:dyDescent="0.3">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60" x14ac:dyDescent="0.3">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60" x14ac:dyDescent="0.3">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60" x14ac:dyDescent="0.3">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60" x14ac:dyDescent="0.3">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60" x14ac:dyDescent="0.3">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3">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3">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3">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3">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3">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3">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3">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3">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3">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3">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3">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3">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3">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3">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3">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3">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3">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3">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3">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3">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3">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3">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3">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3">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3">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3">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row>
    <row r="107" spans="1:60" x14ac:dyDescent="0.3">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row>
    <row r="108" spans="1:60" x14ac:dyDescent="0.3">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row>
    <row r="109" spans="1:60" x14ac:dyDescent="0.3">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row>
    <row r="110" spans="1:60" x14ac:dyDescent="0.3">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row>
    <row r="111" spans="1:60" x14ac:dyDescent="0.3">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row>
    <row r="112" spans="1:60" x14ac:dyDescent="0.3">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row>
    <row r="113" spans="1:60" x14ac:dyDescent="0.3">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row>
    <row r="114" spans="1:60" x14ac:dyDescent="0.3">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row>
    <row r="115" spans="1:60" x14ac:dyDescent="0.3">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row>
    <row r="116" spans="1:60" x14ac:dyDescent="0.3">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row>
    <row r="117" spans="1:60" x14ac:dyDescent="0.3">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row>
    <row r="118" spans="1:60" x14ac:dyDescent="0.3">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row>
    <row r="119" spans="1:60" x14ac:dyDescent="0.3">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row>
    <row r="120" spans="1:60" x14ac:dyDescent="0.3">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row>
    <row r="121" spans="1:60" x14ac:dyDescent="0.3">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row>
    <row r="122" spans="1:60" x14ac:dyDescent="0.3">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row>
    <row r="123" spans="1:60" x14ac:dyDescent="0.3">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row>
    <row r="124" spans="1:60" x14ac:dyDescent="0.3">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row>
    <row r="125" spans="1:60" x14ac:dyDescent="0.3">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row>
    <row r="126" spans="1:60" x14ac:dyDescent="0.3">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row>
    <row r="127" spans="1:60" x14ac:dyDescent="0.3">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row>
    <row r="128" spans="1:60" x14ac:dyDescent="0.3">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row>
    <row r="129" spans="1:60" x14ac:dyDescent="0.3">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row>
    <row r="130" spans="1:60" x14ac:dyDescent="0.3">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row>
    <row r="131" spans="1:60" x14ac:dyDescent="0.3">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row>
    <row r="132" spans="1:60" x14ac:dyDescent="0.3">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row>
    <row r="133" spans="1:60" x14ac:dyDescent="0.3">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row>
    <row r="134" spans="1:60" x14ac:dyDescent="0.3">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row>
    <row r="135" spans="1:60" x14ac:dyDescent="0.3">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row>
    <row r="136" spans="1:60" x14ac:dyDescent="0.3">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row>
    <row r="137" spans="1:60" x14ac:dyDescent="0.3">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row>
    <row r="138" spans="1:60" x14ac:dyDescent="0.3">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row>
    <row r="139" spans="1:60" x14ac:dyDescent="0.3">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row>
    <row r="140" spans="1:60" x14ac:dyDescent="0.3">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row>
    <row r="141" spans="1:60" x14ac:dyDescent="0.3">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row>
    <row r="142" spans="1:60" x14ac:dyDescent="0.3">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row>
    <row r="143" spans="1:60" x14ac:dyDescent="0.3">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row>
    <row r="144" spans="1:60" x14ac:dyDescent="0.3">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row>
    <row r="145" spans="1:60" x14ac:dyDescent="0.3">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row>
    <row r="146" spans="1:60" x14ac:dyDescent="0.3">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row>
    <row r="147" spans="1:60" x14ac:dyDescent="0.3">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row>
    <row r="148" spans="1:60" x14ac:dyDescent="0.3">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row>
    <row r="149" spans="1:60" x14ac:dyDescent="0.3">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row>
    <row r="150" spans="1:60" x14ac:dyDescent="0.3">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row>
    <row r="151" spans="1:60" x14ac:dyDescent="0.3">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row>
    <row r="152" spans="1:60" x14ac:dyDescent="0.3">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row>
    <row r="153" spans="1:60" x14ac:dyDescent="0.3">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row>
    <row r="154" spans="1:60" x14ac:dyDescent="0.3">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row>
    <row r="155" spans="1:60" x14ac:dyDescent="0.3">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row>
    <row r="156" spans="1:60" x14ac:dyDescent="0.3">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row>
    <row r="157" spans="1:60" x14ac:dyDescent="0.3">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row>
    <row r="158" spans="1:60" x14ac:dyDescent="0.3">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row>
    <row r="159" spans="1:60" x14ac:dyDescent="0.3">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row>
    <row r="160" spans="1:60" x14ac:dyDescent="0.3">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row>
    <row r="161" spans="1:60" x14ac:dyDescent="0.3">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row>
    <row r="162" spans="1:60" x14ac:dyDescent="0.3">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row>
    <row r="163" spans="1:60" x14ac:dyDescent="0.3">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row>
    <row r="164" spans="1:60" x14ac:dyDescent="0.3">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row>
    <row r="165" spans="1:60" x14ac:dyDescent="0.3">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row>
    <row r="166" spans="1:60" x14ac:dyDescent="0.3">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row>
    <row r="167" spans="1:60" x14ac:dyDescent="0.3">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row>
    <row r="168" spans="1:60" x14ac:dyDescent="0.3">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row>
    <row r="169" spans="1:60" x14ac:dyDescent="0.3">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row>
    <row r="170" spans="1:60" x14ac:dyDescent="0.3">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row>
    <row r="171" spans="1:60" x14ac:dyDescent="0.3">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row>
    <row r="172" spans="1:60" x14ac:dyDescent="0.3">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row>
    <row r="173" spans="1:60" x14ac:dyDescent="0.3">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row>
    <row r="174" spans="1:60" x14ac:dyDescent="0.3">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row>
    <row r="175" spans="1:60" x14ac:dyDescent="0.3">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row>
    <row r="176" spans="1:60" x14ac:dyDescent="0.3">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row>
    <row r="177" spans="1:60" x14ac:dyDescent="0.3">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row>
    <row r="178" spans="1:60" x14ac:dyDescent="0.3">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row>
    <row r="179" spans="1:60" x14ac:dyDescent="0.3">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row>
    <row r="180" spans="1:60" x14ac:dyDescent="0.3">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row>
    <row r="181" spans="1:60" x14ac:dyDescent="0.3">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row>
    <row r="182" spans="1:60" x14ac:dyDescent="0.3">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row>
    <row r="183" spans="1:60" x14ac:dyDescent="0.3">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row>
    <row r="184" spans="1:60" x14ac:dyDescent="0.3">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row>
    <row r="185" spans="1:60" x14ac:dyDescent="0.3">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row>
    <row r="186" spans="1:60" x14ac:dyDescent="0.3">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row>
    <row r="187" spans="1:60" x14ac:dyDescent="0.3">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row>
    <row r="188" spans="1:60" x14ac:dyDescent="0.3">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row>
    <row r="189" spans="1:60" x14ac:dyDescent="0.3">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row>
    <row r="190" spans="1:60" x14ac:dyDescent="0.3">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row>
    <row r="191" spans="1:60" x14ac:dyDescent="0.3">
      <c r="A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row>
    <row r="192" spans="1:60" x14ac:dyDescent="0.3">
      <c r="A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row>
    <row r="193" spans="1:60" x14ac:dyDescent="0.3">
      <c r="A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row>
    <row r="194" spans="1:60" x14ac:dyDescent="0.3">
      <c r="A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row>
    <row r="195" spans="1:60" x14ac:dyDescent="0.3">
      <c r="A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row>
    <row r="196" spans="1:60" x14ac:dyDescent="0.3">
      <c r="A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row>
    <row r="197" spans="1:60" x14ac:dyDescent="0.3">
      <c r="A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row>
    <row r="198" spans="1:60" x14ac:dyDescent="0.3">
      <c r="A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row>
    <row r="199" spans="1:60" x14ac:dyDescent="0.3">
      <c r="A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row>
    <row r="200" spans="1:60" x14ac:dyDescent="0.3">
      <c r="A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row>
    <row r="201" spans="1:60" x14ac:dyDescent="0.3">
      <c r="A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row>
    <row r="202" spans="1:60" x14ac:dyDescent="0.3">
      <c r="A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row>
    <row r="203" spans="1:60" x14ac:dyDescent="0.3">
      <c r="A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row>
    <row r="204" spans="1:60" x14ac:dyDescent="0.3">
      <c r="A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row>
    <row r="205" spans="1:60" x14ac:dyDescent="0.3">
      <c r="A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row>
    <row r="206" spans="1:60" x14ac:dyDescent="0.3">
      <c r="A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row>
    <row r="207" spans="1:60" x14ac:dyDescent="0.3">
      <c r="A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row>
    <row r="208" spans="1:60" x14ac:dyDescent="0.3">
      <c r="A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row>
    <row r="209" spans="1:60" x14ac:dyDescent="0.3">
      <c r="A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row>
    <row r="210" spans="1:60" x14ac:dyDescent="0.3">
      <c r="A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row>
    <row r="211" spans="1:60" x14ac:dyDescent="0.3">
      <c r="A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row>
    <row r="212" spans="1:60" x14ac:dyDescent="0.3">
      <c r="A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row>
    <row r="213" spans="1:60" x14ac:dyDescent="0.3">
      <c r="A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row>
    <row r="214" spans="1:60" x14ac:dyDescent="0.3">
      <c r="A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row>
    <row r="215" spans="1:60" x14ac:dyDescent="0.3">
      <c r="A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row>
    <row r="216" spans="1:60" x14ac:dyDescent="0.3">
      <c r="A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row>
    <row r="217" spans="1:60" x14ac:dyDescent="0.3">
      <c r="A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row>
    <row r="218" spans="1:60" x14ac:dyDescent="0.3">
      <c r="A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row>
    <row r="219" spans="1:60" x14ac:dyDescent="0.3">
      <c r="A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row>
    <row r="220" spans="1:60" x14ac:dyDescent="0.3">
      <c r="A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row>
    <row r="221" spans="1:60" x14ac:dyDescent="0.3">
      <c r="A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row>
    <row r="222" spans="1:60" x14ac:dyDescent="0.3">
      <c r="A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row>
    <row r="223" spans="1:60" x14ac:dyDescent="0.3">
      <c r="A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row>
    <row r="224" spans="1:60" x14ac:dyDescent="0.3">
      <c r="A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row>
    <row r="225" spans="1:60" x14ac:dyDescent="0.3">
      <c r="A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row>
    <row r="226" spans="1:60" x14ac:dyDescent="0.3">
      <c r="A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row>
    <row r="227" spans="1:60" x14ac:dyDescent="0.3">
      <c r="A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row>
    <row r="228" spans="1:60" x14ac:dyDescent="0.3">
      <c r="A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row>
    <row r="229" spans="1:60" x14ac:dyDescent="0.3">
      <c r="A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row>
    <row r="230" spans="1:60" x14ac:dyDescent="0.3">
      <c r="A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row>
    <row r="231" spans="1:60" x14ac:dyDescent="0.3">
      <c r="A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row>
    <row r="232" spans="1:60" x14ac:dyDescent="0.3">
      <c r="A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row>
    <row r="233" spans="1:60" x14ac:dyDescent="0.3">
      <c r="A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row>
    <row r="234" spans="1:60" x14ac:dyDescent="0.3">
      <c r="A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row>
    <row r="235" spans="1:60" x14ac:dyDescent="0.3">
      <c r="A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row>
    <row r="236" spans="1:60" x14ac:dyDescent="0.3">
      <c r="A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row>
    <row r="237" spans="1:60" x14ac:dyDescent="0.3">
      <c r="A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row>
    <row r="238" spans="1:60" x14ac:dyDescent="0.3">
      <c r="A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row>
    <row r="239" spans="1:60" x14ac:dyDescent="0.3">
      <c r="A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row>
    <row r="240" spans="1:60" x14ac:dyDescent="0.3">
      <c r="A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row>
    <row r="241" spans="1:60" x14ac:dyDescent="0.3">
      <c r="A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row>
    <row r="242" spans="1:60" x14ac:dyDescent="0.3">
      <c r="A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row>
    <row r="243" spans="1:60" x14ac:dyDescent="0.3">
      <c r="A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row>
    <row r="244" spans="1:60" x14ac:dyDescent="0.3">
      <c r="A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row>
    <row r="245" spans="1:60" x14ac:dyDescent="0.3">
      <c r="A245" s="65"/>
    </row>
    <row r="246" spans="1:60" x14ac:dyDescent="0.3">
      <c r="A246" s="65"/>
    </row>
    <row r="247" spans="1:60" x14ac:dyDescent="0.3">
      <c r="A247" s="65"/>
    </row>
    <row r="248" spans="1:60" x14ac:dyDescent="0.3">
      <c r="A248" s="65"/>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00B0F0"/>
  </sheetPr>
  <dimension ref="A1:AK55"/>
  <sheetViews>
    <sheetView zoomScale="66" zoomScaleNormal="66" workbookViewId="0">
      <selection activeCell="C8" sqref="C8"/>
    </sheetView>
  </sheetViews>
  <sheetFormatPr baseColWidth="10" defaultRowHeight="14.4" x14ac:dyDescent="0.3"/>
  <cols>
    <col min="2" max="2" width="24.109375" customWidth="1"/>
    <col min="3" max="3" width="70.109375" customWidth="1"/>
    <col min="4" max="4" width="29.88671875" customWidth="1"/>
  </cols>
  <sheetData>
    <row r="1" spans="1:37" ht="23.4" x14ac:dyDescent="0.3">
      <c r="A1" s="65"/>
      <c r="B1" s="881" t="s">
        <v>55</v>
      </c>
      <c r="C1" s="881"/>
      <c r="D1" s="881"/>
      <c r="E1" s="65"/>
      <c r="F1" s="65"/>
      <c r="G1" s="65"/>
      <c r="H1" s="65"/>
      <c r="I1" s="65"/>
      <c r="J1" s="65"/>
      <c r="K1" s="65"/>
      <c r="L1" s="65"/>
      <c r="M1" s="65"/>
      <c r="N1" s="65"/>
      <c r="O1" s="65"/>
      <c r="P1" s="65"/>
      <c r="Q1" s="65"/>
      <c r="R1" s="65"/>
      <c r="S1" s="65"/>
      <c r="T1" s="65"/>
      <c r="U1" s="65"/>
      <c r="V1" s="65"/>
      <c r="W1" s="65"/>
      <c r="X1" s="65"/>
      <c r="Y1" s="65"/>
      <c r="Z1" s="65"/>
      <c r="AA1" s="65"/>
      <c r="AB1" s="65"/>
      <c r="AC1" s="65"/>
      <c r="AD1" s="65"/>
      <c r="AE1" s="65"/>
    </row>
    <row r="2" spans="1:37" x14ac:dyDescent="0.3">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row>
    <row r="3" spans="1:37" ht="25.2" x14ac:dyDescent="0.3">
      <c r="A3" s="65"/>
      <c r="B3" s="10"/>
      <c r="C3" s="11" t="s">
        <v>52</v>
      </c>
      <c r="D3" s="11" t="s">
        <v>4</v>
      </c>
      <c r="E3" s="65"/>
      <c r="F3" s="65"/>
      <c r="G3" s="65"/>
      <c r="H3" s="65"/>
      <c r="I3" s="65"/>
      <c r="J3" s="65"/>
      <c r="K3" s="65"/>
      <c r="L3" s="65"/>
      <c r="M3" s="65"/>
      <c r="N3" s="65"/>
      <c r="O3" s="65"/>
      <c r="P3" s="65"/>
      <c r="Q3" s="65"/>
      <c r="R3" s="65"/>
      <c r="S3" s="65"/>
      <c r="T3" s="65"/>
      <c r="U3" s="65"/>
      <c r="V3" s="65"/>
      <c r="W3" s="65"/>
      <c r="X3" s="65"/>
      <c r="Y3" s="65"/>
      <c r="Z3" s="65"/>
      <c r="AA3" s="65"/>
      <c r="AB3" s="65"/>
      <c r="AC3" s="65"/>
      <c r="AD3" s="65"/>
      <c r="AE3" s="65"/>
    </row>
    <row r="4" spans="1:37" ht="50.4" x14ac:dyDescent="0.3">
      <c r="A4" s="65"/>
      <c r="B4" s="12" t="s">
        <v>51</v>
      </c>
      <c r="C4" s="13" t="s">
        <v>97</v>
      </c>
      <c r="D4" s="14">
        <v>0.2</v>
      </c>
      <c r="E4" s="65"/>
      <c r="F4" s="65"/>
      <c r="G4" s="65"/>
      <c r="H4" s="65"/>
      <c r="I4" s="65"/>
      <c r="J4" s="65"/>
      <c r="K4" s="65"/>
      <c r="L4" s="65"/>
      <c r="M4" s="65"/>
      <c r="N4" s="65"/>
      <c r="O4" s="65"/>
      <c r="P4" s="65"/>
      <c r="Q4" s="65"/>
      <c r="R4" s="65"/>
      <c r="S4" s="65"/>
      <c r="T4" s="65"/>
      <c r="U4" s="65"/>
      <c r="V4" s="65"/>
      <c r="W4" s="65"/>
      <c r="X4" s="65"/>
      <c r="Y4" s="65"/>
      <c r="Z4" s="65"/>
      <c r="AA4" s="65"/>
      <c r="AB4" s="65"/>
      <c r="AC4" s="65"/>
      <c r="AD4" s="65"/>
      <c r="AE4" s="65"/>
    </row>
    <row r="5" spans="1:37" ht="50.4" x14ac:dyDescent="0.3">
      <c r="A5" s="65"/>
      <c r="B5" s="15" t="s">
        <v>53</v>
      </c>
      <c r="C5" s="16" t="s">
        <v>98</v>
      </c>
      <c r="D5" s="17">
        <v>0.4</v>
      </c>
      <c r="E5" s="65"/>
      <c r="F5" s="65"/>
      <c r="G5" s="65"/>
      <c r="H5" s="65"/>
      <c r="I5" s="65"/>
      <c r="J5" s="65"/>
      <c r="K5" s="65"/>
      <c r="L5" s="65"/>
      <c r="M5" s="65"/>
      <c r="N5" s="65"/>
      <c r="O5" s="65"/>
      <c r="P5" s="65"/>
      <c r="Q5" s="65"/>
      <c r="R5" s="65"/>
      <c r="S5" s="65"/>
      <c r="T5" s="65"/>
      <c r="U5" s="65"/>
      <c r="V5" s="65"/>
      <c r="W5" s="65"/>
      <c r="X5" s="65"/>
      <c r="Y5" s="65"/>
      <c r="Z5" s="65"/>
      <c r="AA5" s="65"/>
      <c r="AB5" s="65"/>
      <c r="AC5" s="65"/>
      <c r="AD5" s="65"/>
      <c r="AE5" s="65"/>
    </row>
    <row r="6" spans="1:37" ht="50.4" x14ac:dyDescent="0.3">
      <c r="A6" s="65"/>
      <c r="B6" s="18" t="s">
        <v>102</v>
      </c>
      <c r="C6" s="16" t="s">
        <v>99</v>
      </c>
      <c r="D6" s="17">
        <v>0.6</v>
      </c>
      <c r="E6" s="65"/>
      <c r="F6" s="65"/>
      <c r="G6" s="65"/>
      <c r="H6" s="65"/>
      <c r="I6" s="65"/>
      <c r="J6" s="65"/>
      <c r="K6" s="65"/>
      <c r="L6" s="65"/>
      <c r="M6" s="65"/>
      <c r="N6" s="65"/>
      <c r="O6" s="65"/>
      <c r="P6" s="65"/>
      <c r="Q6" s="65"/>
      <c r="R6" s="65"/>
      <c r="S6" s="65"/>
      <c r="T6" s="65"/>
      <c r="U6" s="65"/>
      <c r="V6" s="65"/>
      <c r="W6" s="65"/>
      <c r="X6" s="65"/>
      <c r="Y6" s="65"/>
      <c r="Z6" s="65"/>
      <c r="AA6" s="65"/>
      <c r="AB6" s="65"/>
      <c r="AC6" s="65"/>
      <c r="AD6" s="65"/>
      <c r="AE6" s="65"/>
    </row>
    <row r="7" spans="1:37" ht="75.599999999999994" x14ac:dyDescent="0.3">
      <c r="A7" s="65"/>
      <c r="B7" s="19" t="s">
        <v>6</v>
      </c>
      <c r="C7" s="16" t="s">
        <v>100</v>
      </c>
      <c r="D7" s="17">
        <v>0.8</v>
      </c>
      <c r="E7" s="65"/>
      <c r="F7" s="65"/>
      <c r="G7" s="65"/>
      <c r="H7" s="65"/>
      <c r="I7" s="65"/>
      <c r="J7" s="65"/>
      <c r="K7" s="65"/>
      <c r="L7" s="65"/>
      <c r="M7" s="65"/>
      <c r="N7" s="65"/>
      <c r="O7" s="65"/>
      <c r="P7" s="65"/>
      <c r="Q7" s="65"/>
      <c r="R7" s="65"/>
      <c r="S7" s="65"/>
      <c r="T7" s="65"/>
      <c r="U7" s="65"/>
      <c r="V7" s="65"/>
      <c r="W7" s="65"/>
      <c r="X7" s="65"/>
      <c r="Y7" s="65"/>
      <c r="Z7" s="65"/>
      <c r="AA7" s="65"/>
      <c r="AB7" s="65"/>
      <c r="AC7" s="65"/>
      <c r="AD7" s="65"/>
      <c r="AE7" s="65"/>
    </row>
    <row r="8" spans="1:37" ht="50.4" x14ac:dyDescent="0.3">
      <c r="A8" s="65"/>
      <c r="B8" s="20" t="s">
        <v>54</v>
      </c>
      <c r="C8" s="16" t="s">
        <v>101</v>
      </c>
      <c r="D8" s="17">
        <v>1</v>
      </c>
      <c r="E8" s="65"/>
      <c r="F8" s="65"/>
      <c r="G8" s="65"/>
      <c r="H8" s="65"/>
      <c r="I8" s="65"/>
      <c r="J8" s="65"/>
      <c r="K8" s="65"/>
      <c r="L8" s="65"/>
      <c r="M8" s="65"/>
      <c r="N8" s="65"/>
      <c r="O8" s="65"/>
      <c r="P8" s="65"/>
      <c r="Q8" s="65"/>
      <c r="R8" s="65"/>
      <c r="S8" s="65"/>
      <c r="T8" s="65"/>
      <c r="U8" s="65"/>
      <c r="V8" s="65"/>
      <c r="W8" s="65"/>
      <c r="X8" s="65"/>
      <c r="Y8" s="65"/>
      <c r="Z8" s="65"/>
      <c r="AA8" s="65"/>
      <c r="AB8" s="65"/>
      <c r="AC8" s="65"/>
      <c r="AD8" s="65"/>
      <c r="AE8" s="65"/>
    </row>
    <row r="9" spans="1:37" x14ac:dyDescent="0.3">
      <c r="A9" s="65"/>
      <c r="B9" s="87"/>
      <c r="C9" s="87"/>
      <c r="D9" s="87"/>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row>
    <row r="10" spans="1:37" x14ac:dyDescent="0.3">
      <c r="A10" s="65"/>
      <c r="B10" s="88"/>
      <c r="C10" s="87"/>
      <c r="D10" s="87"/>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row>
    <row r="11" spans="1:37" x14ac:dyDescent="0.3">
      <c r="A11" s="65"/>
      <c r="B11" s="87"/>
      <c r="C11" s="87"/>
      <c r="D11" s="87"/>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row>
    <row r="12" spans="1:37" x14ac:dyDescent="0.3">
      <c r="A12" s="65"/>
      <c r="B12" s="87"/>
      <c r="C12" s="87"/>
      <c r="D12" s="87"/>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row>
    <row r="13" spans="1:37" x14ac:dyDescent="0.3">
      <c r="A13" s="65"/>
      <c r="B13" s="87"/>
      <c r="C13" s="87"/>
      <c r="D13" s="87"/>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row>
    <row r="14" spans="1:37" x14ac:dyDescent="0.3">
      <c r="A14" s="65"/>
      <c r="B14" s="87"/>
      <c r="C14" s="87"/>
      <c r="D14" s="87"/>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row>
    <row r="15" spans="1:37" x14ac:dyDescent="0.3">
      <c r="A15" s="65"/>
      <c r="B15" s="87"/>
      <c r="C15" s="87"/>
      <c r="D15" s="87"/>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row>
    <row r="16" spans="1:37" x14ac:dyDescent="0.3">
      <c r="A16" s="65"/>
      <c r="B16" s="87"/>
      <c r="C16" s="87"/>
      <c r="D16" s="87"/>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row>
    <row r="17" spans="1:37" x14ac:dyDescent="0.3">
      <c r="A17" s="65"/>
      <c r="B17" s="87"/>
      <c r="C17" s="87"/>
      <c r="D17" s="87"/>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row>
    <row r="18" spans="1:37" x14ac:dyDescent="0.3">
      <c r="A18" s="65"/>
      <c r="B18" s="87"/>
      <c r="C18" s="87"/>
      <c r="D18" s="87"/>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row>
    <row r="19" spans="1:37" x14ac:dyDescent="0.3">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row>
    <row r="20" spans="1:37" x14ac:dyDescent="0.3">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row>
    <row r="21" spans="1:37" x14ac:dyDescent="0.3">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row>
    <row r="22" spans="1:37" x14ac:dyDescent="0.3">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row>
    <row r="23" spans="1:37" x14ac:dyDescent="0.3">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row>
    <row r="24" spans="1:37" x14ac:dyDescent="0.3">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row>
    <row r="25" spans="1:37" x14ac:dyDescent="0.3">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row>
    <row r="26" spans="1:37" x14ac:dyDescent="0.3">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row>
    <row r="27" spans="1:37" x14ac:dyDescent="0.3">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row>
    <row r="28" spans="1:37" x14ac:dyDescent="0.3">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row>
    <row r="29" spans="1:37" x14ac:dyDescent="0.3">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row>
    <row r="30" spans="1:37" x14ac:dyDescent="0.3">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row>
    <row r="31" spans="1:37" x14ac:dyDescent="0.3">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row>
    <row r="32" spans="1:37" x14ac:dyDescent="0.3">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row>
    <row r="33" spans="1:31" x14ac:dyDescent="0.3">
      <c r="A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row>
    <row r="34" spans="1:31" x14ac:dyDescent="0.3">
      <c r="A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row>
    <row r="35" spans="1:31" x14ac:dyDescent="0.3">
      <c r="A35" s="65"/>
    </row>
    <row r="36" spans="1:31" x14ac:dyDescent="0.3">
      <c r="A36" s="65"/>
    </row>
    <row r="37" spans="1:31" x14ac:dyDescent="0.3">
      <c r="A37" s="65"/>
    </row>
    <row r="38" spans="1:31" x14ac:dyDescent="0.3">
      <c r="A38" s="65"/>
    </row>
    <row r="39" spans="1:31" x14ac:dyDescent="0.3">
      <c r="A39" s="65"/>
    </row>
    <row r="40" spans="1:31" x14ac:dyDescent="0.3">
      <c r="A40" s="65"/>
    </row>
    <row r="41" spans="1:31" x14ac:dyDescent="0.3">
      <c r="A41" s="65"/>
    </row>
    <row r="42" spans="1:31" x14ac:dyDescent="0.3">
      <c r="A42" s="65"/>
    </row>
    <row r="43" spans="1:31" x14ac:dyDescent="0.3">
      <c r="A43" s="65"/>
    </row>
    <row r="44" spans="1:31" x14ac:dyDescent="0.3">
      <c r="A44" s="65"/>
    </row>
    <row r="45" spans="1:31" x14ac:dyDescent="0.3">
      <c r="A45" s="65"/>
    </row>
    <row r="46" spans="1:31" x14ac:dyDescent="0.3">
      <c r="A46" s="65"/>
    </row>
    <row r="47" spans="1:31" x14ac:dyDescent="0.3">
      <c r="A47" s="65"/>
    </row>
    <row r="48" spans="1:31" x14ac:dyDescent="0.3">
      <c r="A48" s="65"/>
    </row>
    <row r="49" spans="1:1" x14ac:dyDescent="0.3">
      <c r="A49" s="65"/>
    </row>
    <row r="50" spans="1:1" x14ac:dyDescent="0.3">
      <c r="A50" s="65"/>
    </row>
    <row r="51" spans="1:1" x14ac:dyDescent="0.3">
      <c r="A51" s="65"/>
    </row>
    <row r="52" spans="1:1" x14ac:dyDescent="0.3">
      <c r="A52" s="65"/>
    </row>
    <row r="53" spans="1:1" x14ac:dyDescent="0.3">
      <c r="A53" s="65"/>
    </row>
    <row r="54" spans="1:1" x14ac:dyDescent="0.3">
      <c r="A54" s="65"/>
    </row>
    <row r="55" spans="1:1" x14ac:dyDescent="0.3">
      <c r="A55" s="65"/>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6" tint="-0.249977111117893"/>
  </sheetPr>
  <dimension ref="A1:U224"/>
  <sheetViews>
    <sheetView zoomScale="70" zoomScaleNormal="70" workbookViewId="0">
      <selection activeCell="D7" sqref="D7"/>
    </sheetView>
  </sheetViews>
  <sheetFormatPr baseColWidth="10" defaultColWidth="11.44140625" defaultRowHeight="14.4" x14ac:dyDescent="0.3"/>
  <cols>
    <col min="1" max="1" width="11.44140625" style="21"/>
    <col min="2" max="2" width="40.44140625" style="21" customWidth="1"/>
    <col min="3" max="3" width="74.88671875" style="21" customWidth="1"/>
    <col min="4" max="4" width="135" style="21" bestFit="1" customWidth="1"/>
    <col min="5" max="5" width="137.88671875" style="21" customWidth="1"/>
    <col min="6" max="16384" width="11.44140625" style="21"/>
  </cols>
  <sheetData>
    <row r="1" spans="1:21" ht="32.4" x14ac:dyDescent="0.3">
      <c r="A1" s="87"/>
      <c r="B1" s="882" t="s">
        <v>62</v>
      </c>
      <c r="C1" s="882"/>
      <c r="D1" s="882"/>
      <c r="E1" s="87"/>
      <c r="F1" s="87"/>
      <c r="G1" s="87"/>
      <c r="H1" s="87"/>
      <c r="I1" s="87"/>
      <c r="J1" s="87"/>
      <c r="K1" s="87"/>
      <c r="L1" s="87"/>
      <c r="M1" s="87"/>
      <c r="N1" s="87"/>
      <c r="O1" s="87"/>
      <c r="P1" s="87"/>
      <c r="Q1" s="87"/>
      <c r="R1" s="87"/>
      <c r="S1" s="87"/>
      <c r="T1" s="87"/>
      <c r="U1" s="87"/>
    </row>
    <row r="2" spans="1:21" x14ac:dyDescent="0.3">
      <c r="A2" s="87"/>
      <c r="B2" s="87"/>
      <c r="C2" s="87"/>
      <c r="D2" s="87"/>
      <c r="E2" s="87"/>
      <c r="F2" s="87"/>
      <c r="G2" s="87"/>
      <c r="H2" s="87"/>
      <c r="I2" s="87"/>
      <c r="J2" s="87"/>
      <c r="K2" s="87"/>
      <c r="L2" s="87"/>
      <c r="M2" s="87"/>
      <c r="N2" s="87"/>
      <c r="O2" s="87"/>
      <c r="P2" s="87"/>
      <c r="Q2" s="87"/>
      <c r="R2" s="87"/>
      <c r="S2" s="87"/>
      <c r="T2" s="87"/>
      <c r="U2" s="87"/>
    </row>
    <row r="3" spans="1:21" ht="30" x14ac:dyDescent="0.3">
      <c r="A3" s="87"/>
      <c r="B3" s="86"/>
      <c r="C3" s="120" t="s">
        <v>56</v>
      </c>
      <c r="D3" s="120" t="s">
        <v>57</v>
      </c>
      <c r="E3" s="87"/>
      <c r="F3" s="87"/>
      <c r="G3" s="87"/>
      <c r="H3" s="87"/>
      <c r="I3" s="87"/>
      <c r="J3" s="87"/>
      <c r="K3" s="87"/>
      <c r="L3" s="87"/>
      <c r="M3" s="87"/>
      <c r="N3" s="87"/>
      <c r="O3" s="87"/>
      <c r="P3" s="87"/>
      <c r="Q3" s="87"/>
      <c r="R3" s="87"/>
      <c r="S3" s="87"/>
      <c r="T3" s="87"/>
      <c r="U3" s="87"/>
    </row>
    <row r="4" spans="1:21" ht="32.4" x14ac:dyDescent="0.3">
      <c r="A4" s="87" t="s">
        <v>82</v>
      </c>
      <c r="B4" s="121" t="s">
        <v>96</v>
      </c>
      <c r="C4" s="122" t="s">
        <v>205</v>
      </c>
      <c r="D4" s="123" t="s">
        <v>92</v>
      </c>
      <c r="E4" s="87"/>
      <c r="F4" s="87"/>
      <c r="G4" s="87"/>
      <c r="H4" s="87"/>
      <c r="I4" s="87"/>
      <c r="J4" s="87"/>
      <c r="K4" s="87"/>
      <c r="L4" s="87"/>
      <c r="M4" s="87"/>
      <c r="N4" s="87"/>
      <c r="O4" s="87"/>
      <c r="P4" s="87"/>
      <c r="Q4" s="87"/>
      <c r="R4" s="87"/>
      <c r="S4" s="87"/>
      <c r="T4" s="87"/>
      <c r="U4" s="87"/>
    </row>
    <row r="5" spans="1:21" ht="64.8" x14ac:dyDescent="0.3">
      <c r="A5" s="87" t="s">
        <v>83</v>
      </c>
      <c r="B5" s="124" t="s">
        <v>58</v>
      </c>
      <c r="C5" s="125" t="s">
        <v>206</v>
      </c>
      <c r="D5" s="126" t="s">
        <v>93</v>
      </c>
      <c r="E5" s="87"/>
      <c r="F5" s="87"/>
      <c r="G5" s="87"/>
      <c r="H5" s="87"/>
      <c r="I5" s="87"/>
      <c r="J5" s="87"/>
      <c r="K5" s="87"/>
      <c r="L5" s="87"/>
      <c r="M5" s="87"/>
      <c r="N5" s="87"/>
      <c r="O5" s="87"/>
      <c r="P5" s="87"/>
      <c r="Q5" s="87"/>
      <c r="R5" s="87"/>
      <c r="S5" s="87"/>
      <c r="T5" s="87"/>
      <c r="U5" s="87"/>
    </row>
    <row r="6" spans="1:21" ht="64.8" x14ac:dyDescent="0.3">
      <c r="A6" s="87" t="s">
        <v>80</v>
      </c>
      <c r="B6" s="127" t="s">
        <v>59</v>
      </c>
      <c r="C6" s="125" t="s">
        <v>210</v>
      </c>
      <c r="D6" s="126" t="s">
        <v>95</v>
      </c>
      <c r="E6" s="87"/>
      <c r="F6" s="87"/>
      <c r="G6" s="87"/>
      <c r="H6" s="87"/>
      <c r="I6" s="87"/>
      <c r="J6" s="87"/>
      <c r="K6" s="87"/>
      <c r="L6" s="87"/>
      <c r="M6" s="87"/>
      <c r="N6" s="87"/>
      <c r="O6" s="87"/>
      <c r="P6" s="87"/>
      <c r="Q6" s="87"/>
      <c r="R6" s="87"/>
      <c r="S6" s="87"/>
      <c r="T6" s="87"/>
      <c r="U6" s="87"/>
    </row>
    <row r="7" spans="1:21" ht="97.2" x14ac:dyDescent="0.3">
      <c r="A7" s="87" t="s">
        <v>7</v>
      </c>
      <c r="B7" s="128" t="s">
        <v>60</v>
      </c>
      <c r="C7" s="125" t="s">
        <v>211</v>
      </c>
      <c r="D7" s="126" t="s">
        <v>94</v>
      </c>
      <c r="E7" s="87"/>
      <c r="F7" s="87"/>
      <c r="G7" s="87"/>
      <c r="H7" s="87"/>
      <c r="I7" s="87"/>
      <c r="J7" s="87"/>
      <c r="K7" s="87"/>
      <c r="L7" s="87"/>
      <c r="M7" s="87"/>
      <c r="N7" s="87"/>
      <c r="O7" s="87"/>
      <c r="P7" s="87"/>
      <c r="Q7" s="87"/>
      <c r="R7" s="87"/>
      <c r="S7" s="87"/>
      <c r="T7" s="87"/>
      <c r="U7" s="87"/>
    </row>
    <row r="8" spans="1:21" ht="64.8" x14ac:dyDescent="0.3">
      <c r="A8" s="87" t="s">
        <v>84</v>
      </c>
      <c r="B8" s="129" t="s">
        <v>61</v>
      </c>
      <c r="C8" s="125" t="s">
        <v>207</v>
      </c>
      <c r="D8" s="126" t="s">
        <v>113</v>
      </c>
      <c r="E8" s="87"/>
      <c r="F8" s="87"/>
      <c r="G8" s="87"/>
      <c r="H8" s="87"/>
      <c r="I8" s="87"/>
      <c r="J8" s="87"/>
      <c r="K8" s="87"/>
      <c r="L8" s="87"/>
      <c r="M8" s="87"/>
      <c r="N8" s="87"/>
      <c r="O8" s="87"/>
      <c r="P8" s="87"/>
      <c r="Q8" s="87"/>
      <c r="R8" s="87"/>
      <c r="S8" s="87"/>
      <c r="T8" s="87"/>
      <c r="U8" s="87"/>
    </row>
    <row r="9" spans="1:21" s="22" customFormat="1" ht="20.399999999999999" x14ac:dyDescent="0.3">
      <c r="A9" s="85"/>
      <c r="B9" s="85"/>
      <c r="C9" s="132"/>
      <c r="D9" s="132"/>
      <c r="E9" s="85"/>
      <c r="F9" s="85"/>
      <c r="G9" s="85"/>
      <c r="H9" s="85"/>
      <c r="I9" s="85"/>
      <c r="J9" s="85"/>
      <c r="K9" s="85"/>
      <c r="L9" s="85"/>
      <c r="M9" s="85"/>
      <c r="N9" s="85"/>
      <c r="O9" s="85"/>
      <c r="P9" s="85"/>
      <c r="Q9" s="85"/>
      <c r="R9" s="85"/>
      <c r="S9" s="85"/>
      <c r="T9" s="85"/>
      <c r="U9" s="85"/>
    </row>
    <row r="10" spans="1:21" s="22" customFormat="1" x14ac:dyDescent="0.3">
      <c r="A10" s="85"/>
      <c r="B10" s="133"/>
      <c r="C10" s="133"/>
      <c r="D10" s="133"/>
      <c r="E10" s="85"/>
      <c r="F10" s="85"/>
      <c r="G10" s="85"/>
      <c r="H10" s="85"/>
      <c r="I10" s="85"/>
      <c r="J10" s="85"/>
      <c r="K10" s="85"/>
      <c r="L10" s="85"/>
      <c r="M10" s="85"/>
      <c r="N10" s="85"/>
      <c r="O10" s="85"/>
      <c r="P10" s="85"/>
      <c r="Q10" s="85"/>
      <c r="R10" s="85"/>
      <c r="S10" s="85"/>
      <c r="T10" s="85"/>
      <c r="U10" s="85"/>
    </row>
    <row r="11" spans="1:21" s="22" customFormat="1" x14ac:dyDescent="0.3">
      <c r="A11" s="85"/>
      <c r="B11" s="85" t="s">
        <v>90</v>
      </c>
      <c r="C11" s="85" t="s">
        <v>209</v>
      </c>
      <c r="D11" s="85" t="s">
        <v>143</v>
      </c>
      <c r="E11" s="85"/>
      <c r="F11" s="85"/>
      <c r="G11" s="85"/>
      <c r="H11" s="85"/>
      <c r="I11" s="85"/>
      <c r="J11" s="85"/>
      <c r="K11" s="85"/>
      <c r="L11" s="85"/>
      <c r="M11" s="85"/>
      <c r="N11" s="85"/>
      <c r="O11" s="85"/>
      <c r="P11" s="85"/>
      <c r="Q11" s="85"/>
      <c r="R11" s="85"/>
      <c r="S11" s="85"/>
      <c r="T11" s="85"/>
      <c r="U11" s="85"/>
    </row>
    <row r="12" spans="1:21" s="22" customFormat="1" x14ac:dyDescent="0.3">
      <c r="A12" s="85"/>
      <c r="B12" s="85" t="s">
        <v>88</v>
      </c>
      <c r="C12" s="85" t="s">
        <v>208</v>
      </c>
      <c r="D12" s="85" t="s">
        <v>144</v>
      </c>
      <c r="E12" s="85"/>
      <c r="F12" s="85"/>
      <c r="G12" s="85"/>
      <c r="H12" s="85"/>
      <c r="I12" s="85"/>
      <c r="J12" s="85"/>
      <c r="K12" s="85"/>
      <c r="L12" s="85"/>
      <c r="M12" s="85"/>
      <c r="N12" s="85"/>
      <c r="O12" s="85"/>
      <c r="P12" s="85"/>
      <c r="Q12" s="85"/>
      <c r="R12" s="85"/>
      <c r="S12" s="85"/>
      <c r="T12" s="85"/>
      <c r="U12" s="85"/>
    </row>
    <row r="13" spans="1:21" s="22" customFormat="1" x14ac:dyDescent="0.3">
      <c r="A13" s="85"/>
      <c r="B13" s="85"/>
      <c r="C13" s="85" t="s">
        <v>212</v>
      </c>
      <c r="D13" s="85" t="s">
        <v>145</v>
      </c>
      <c r="E13" s="85"/>
      <c r="F13" s="85"/>
      <c r="G13" s="85"/>
      <c r="H13" s="85"/>
      <c r="I13" s="85"/>
      <c r="J13" s="85"/>
      <c r="K13" s="85"/>
      <c r="L13" s="85"/>
      <c r="M13" s="85"/>
      <c r="N13" s="85"/>
      <c r="O13" s="85"/>
      <c r="P13" s="85"/>
      <c r="Q13" s="85"/>
      <c r="R13" s="85"/>
      <c r="S13" s="85"/>
      <c r="T13" s="85"/>
      <c r="U13" s="85"/>
    </row>
    <row r="14" spans="1:21" s="22" customFormat="1" x14ac:dyDescent="0.3">
      <c r="A14" s="85"/>
      <c r="B14" s="85"/>
      <c r="C14" s="85" t="s">
        <v>214</v>
      </c>
      <c r="D14" s="85" t="s">
        <v>146</v>
      </c>
      <c r="E14" s="85"/>
      <c r="F14" s="85"/>
      <c r="G14" s="85"/>
      <c r="H14" s="85"/>
      <c r="I14" s="85"/>
      <c r="J14" s="85"/>
      <c r="K14" s="85"/>
      <c r="L14" s="85"/>
      <c r="M14" s="85"/>
      <c r="N14" s="85"/>
      <c r="O14" s="85"/>
      <c r="P14" s="85"/>
      <c r="Q14" s="85"/>
      <c r="R14" s="85"/>
      <c r="S14" s="85"/>
      <c r="T14" s="85"/>
      <c r="U14" s="85"/>
    </row>
    <row r="15" spans="1:21" s="22" customFormat="1" x14ac:dyDescent="0.3">
      <c r="A15" s="85"/>
      <c r="B15" s="85"/>
      <c r="C15" s="85" t="s">
        <v>213</v>
      </c>
      <c r="D15" s="85" t="s">
        <v>147</v>
      </c>
      <c r="E15" s="85"/>
      <c r="F15" s="85"/>
      <c r="G15" s="85"/>
      <c r="H15" s="85"/>
      <c r="I15" s="85"/>
      <c r="J15" s="85"/>
      <c r="K15" s="85"/>
      <c r="L15" s="85"/>
      <c r="M15" s="85"/>
      <c r="N15" s="85"/>
      <c r="O15" s="85"/>
      <c r="P15" s="85"/>
      <c r="Q15" s="85"/>
      <c r="R15" s="85"/>
      <c r="S15" s="85"/>
      <c r="T15" s="85"/>
      <c r="U15" s="85"/>
    </row>
    <row r="16" spans="1:21" s="22" customFormat="1" x14ac:dyDescent="0.3">
      <c r="A16" s="85"/>
      <c r="B16" s="85"/>
      <c r="C16" s="85"/>
      <c r="D16" s="85"/>
      <c r="E16" s="85"/>
      <c r="F16" s="85"/>
      <c r="G16" s="85"/>
      <c r="H16" s="85"/>
      <c r="I16" s="85"/>
      <c r="J16" s="85"/>
      <c r="K16" s="85"/>
      <c r="L16" s="85"/>
      <c r="M16" s="85"/>
      <c r="N16" s="85"/>
      <c r="O16" s="85"/>
    </row>
    <row r="17" spans="1:15" s="22" customFormat="1" x14ac:dyDescent="0.3">
      <c r="A17" s="85"/>
      <c r="B17" s="85"/>
      <c r="C17" s="85"/>
      <c r="D17" s="85"/>
      <c r="E17" s="85"/>
      <c r="F17" s="85"/>
      <c r="G17" s="85"/>
      <c r="H17" s="85"/>
      <c r="I17" s="85"/>
      <c r="J17" s="85"/>
      <c r="K17" s="85"/>
      <c r="L17" s="85"/>
      <c r="M17" s="85"/>
      <c r="N17" s="85"/>
      <c r="O17" s="85"/>
    </row>
    <row r="18" spans="1:15" s="22" customFormat="1" x14ac:dyDescent="0.3">
      <c r="A18" s="85"/>
      <c r="B18" s="85"/>
      <c r="C18" s="85"/>
      <c r="D18" s="85"/>
      <c r="E18" s="85"/>
      <c r="F18" s="85"/>
      <c r="G18" s="85"/>
      <c r="H18" s="85"/>
      <c r="I18" s="85"/>
      <c r="J18" s="85"/>
      <c r="K18" s="85"/>
      <c r="L18" s="85"/>
      <c r="M18" s="85"/>
      <c r="N18" s="85"/>
      <c r="O18" s="85"/>
    </row>
    <row r="19" spans="1:15" s="22" customFormat="1" x14ac:dyDescent="0.3">
      <c r="A19" s="85"/>
      <c r="B19" s="85"/>
      <c r="C19" s="85"/>
      <c r="D19" s="85"/>
      <c r="E19" s="85"/>
      <c r="F19" s="85"/>
      <c r="G19" s="85"/>
      <c r="H19" s="85"/>
      <c r="I19" s="85"/>
      <c r="J19" s="85"/>
      <c r="K19" s="85"/>
      <c r="L19" s="85"/>
      <c r="M19" s="85"/>
      <c r="N19" s="85"/>
      <c r="O19" s="85"/>
    </row>
    <row r="20" spans="1:15" s="22" customFormat="1" x14ac:dyDescent="0.3">
      <c r="A20" s="85"/>
      <c r="B20" s="85"/>
      <c r="C20" s="85"/>
      <c r="D20" s="85"/>
      <c r="E20" s="85"/>
      <c r="F20" s="85"/>
      <c r="G20" s="85"/>
      <c r="H20" s="85"/>
      <c r="I20" s="85"/>
      <c r="J20" s="85"/>
      <c r="K20" s="85"/>
      <c r="L20" s="85"/>
      <c r="M20" s="85"/>
      <c r="N20" s="85"/>
      <c r="O20" s="85"/>
    </row>
    <row r="21" spans="1:15" s="22" customFormat="1" x14ac:dyDescent="0.3">
      <c r="A21" s="85"/>
      <c r="B21" s="85"/>
      <c r="C21" s="85"/>
      <c r="D21" s="85"/>
      <c r="E21" s="85"/>
      <c r="F21" s="85"/>
      <c r="G21" s="85"/>
      <c r="H21" s="85"/>
      <c r="I21" s="85"/>
      <c r="J21" s="85"/>
      <c r="K21" s="85"/>
      <c r="L21" s="85"/>
      <c r="M21" s="85"/>
      <c r="N21" s="85"/>
      <c r="O21" s="85"/>
    </row>
    <row r="22" spans="1:15" s="22" customFormat="1" ht="20.399999999999999" x14ac:dyDescent="0.3">
      <c r="A22" s="85"/>
      <c r="B22" s="85"/>
      <c r="C22" s="132"/>
      <c r="D22" s="132"/>
      <c r="E22" s="85"/>
      <c r="F22" s="85"/>
      <c r="G22" s="85"/>
      <c r="H22" s="85"/>
      <c r="I22" s="85"/>
      <c r="J22" s="85"/>
      <c r="K22" s="85"/>
      <c r="L22" s="85"/>
      <c r="M22" s="85"/>
      <c r="N22" s="85"/>
      <c r="O22" s="85"/>
    </row>
    <row r="23" spans="1:15" s="22" customFormat="1" ht="20.399999999999999" x14ac:dyDescent="0.3">
      <c r="A23" s="85"/>
      <c r="B23" s="85"/>
      <c r="C23" s="132"/>
      <c r="D23" s="132"/>
      <c r="E23" s="85"/>
      <c r="F23" s="85"/>
      <c r="G23" s="85"/>
      <c r="H23" s="85"/>
      <c r="I23" s="85"/>
      <c r="J23" s="85"/>
      <c r="K23" s="85"/>
      <c r="L23" s="85"/>
      <c r="M23" s="85"/>
      <c r="N23" s="85"/>
      <c r="O23" s="85"/>
    </row>
    <row r="24" spans="1:15" s="22" customFormat="1" ht="20.399999999999999" x14ac:dyDescent="0.3">
      <c r="A24" s="85"/>
      <c r="B24" s="85"/>
      <c r="C24" s="132"/>
      <c r="D24" s="132"/>
      <c r="E24" s="85"/>
      <c r="F24" s="85"/>
      <c r="G24" s="85"/>
      <c r="H24" s="85"/>
      <c r="I24" s="85"/>
      <c r="J24" s="85"/>
      <c r="K24" s="85"/>
      <c r="L24" s="85"/>
      <c r="M24" s="85"/>
      <c r="N24" s="85"/>
      <c r="O24" s="85"/>
    </row>
    <row r="25" spans="1:15" s="22" customFormat="1" ht="20.399999999999999" x14ac:dyDescent="0.3">
      <c r="A25" s="85"/>
      <c r="B25" s="85"/>
      <c r="C25" s="132"/>
      <c r="D25" s="132"/>
      <c r="E25" s="85"/>
      <c r="F25" s="85"/>
      <c r="G25" s="85"/>
      <c r="H25" s="85"/>
      <c r="I25" s="85"/>
      <c r="J25" s="85"/>
      <c r="K25" s="85"/>
      <c r="L25" s="85"/>
      <c r="M25" s="85"/>
      <c r="N25" s="85"/>
      <c r="O25" s="85"/>
    </row>
    <row r="26" spans="1:15" s="22" customFormat="1" ht="20.399999999999999" x14ac:dyDescent="0.3">
      <c r="A26" s="85"/>
      <c r="B26" s="85"/>
      <c r="C26" s="132"/>
      <c r="D26" s="132"/>
      <c r="E26" s="85"/>
      <c r="F26" s="85"/>
      <c r="G26" s="85"/>
      <c r="H26" s="85"/>
      <c r="I26" s="85"/>
      <c r="J26" s="85"/>
      <c r="K26" s="85"/>
      <c r="L26" s="85"/>
      <c r="M26" s="85"/>
      <c r="N26" s="85"/>
      <c r="O26" s="85"/>
    </row>
    <row r="27" spans="1:15" s="22" customFormat="1" ht="20.399999999999999" x14ac:dyDescent="0.3">
      <c r="A27" s="85"/>
      <c r="B27" s="85"/>
      <c r="C27" s="132"/>
      <c r="D27" s="132"/>
      <c r="E27" s="85"/>
      <c r="F27" s="85"/>
      <c r="G27" s="85"/>
      <c r="H27" s="85"/>
      <c r="I27" s="85"/>
      <c r="J27" s="85"/>
      <c r="K27" s="85"/>
      <c r="L27" s="85"/>
      <c r="M27" s="85"/>
      <c r="N27" s="85"/>
      <c r="O27" s="85"/>
    </row>
    <row r="28" spans="1:15" s="22" customFormat="1" ht="20.399999999999999" x14ac:dyDescent="0.3">
      <c r="A28" s="85"/>
      <c r="B28" s="85"/>
      <c r="C28" s="132"/>
      <c r="D28" s="132"/>
      <c r="E28" s="85"/>
      <c r="F28" s="85"/>
      <c r="G28" s="85"/>
      <c r="H28" s="85"/>
      <c r="I28" s="85"/>
      <c r="J28" s="85"/>
      <c r="K28" s="85"/>
      <c r="L28" s="85"/>
      <c r="M28" s="85"/>
      <c r="N28" s="85"/>
      <c r="O28" s="85"/>
    </row>
    <row r="29" spans="1:15" s="22" customFormat="1" ht="20.399999999999999" x14ac:dyDescent="0.3">
      <c r="A29" s="85"/>
      <c r="B29" s="85"/>
      <c r="C29" s="132"/>
      <c r="D29" s="132"/>
      <c r="E29" s="85"/>
      <c r="F29" s="85"/>
      <c r="G29" s="85"/>
      <c r="H29" s="85"/>
      <c r="I29" s="85"/>
      <c r="J29" s="85"/>
      <c r="K29" s="85"/>
      <c r="L29" s="85"/>
      <c r="M29" s="85"/>
      <c r="N29" s="85"/>
      <c r="O29" s="85"/>
    </row>
    <row r="30" spans="1:15" s="22" customFormat="1" ht="20.399999999999999" x14ac:dyDescent="0.3">
      <c r="A30" s="85"/>
      <c r="B30" s="85"/>
      <c r="C30" s="132"/>
      <c r="D30" s="132"/>
      <c r="E30" s="85"/>
      <c r="F30" s="85"/>
      <c r="G30" s="85"/>
      <c r="H30" s="85"/>
      <c r="I30" s="85"/>
      <c r="J30" s="85"/>
      <c r="K30" s="85"/>
      <c r="L30" s="85"/>
      <c r="M30" s="85"/>
      <c r="N30" s="85"/>
      <c r="O30" s="85"/>
    </row>
    <row r="31" spans="1:15" s="22" customFormat="1" ht="20.399999999999999" x14ac:dyDescent="0.3">
      <c r="A31" s="85"/>
      <c r="B31" s="85"/>
      <c r="C31" s="132"/>
      <c r="D31" s="132"/>
      <c r="E31" s="85"/>
      <c r="F31" s="85"/>
      <c r="G31" s="85"/>
      <c r="H31" s="85"/>
      <c r="I31" s="85"/>
      <c r="J31" s="85"/>
      <c r="K31" s="85"/>
      <c r="L31" s="85"/>
      <c r="M31" s="85"/>
      <c r="N31" s="85"/>
      <c r="O31" s="85"/>
    </row>
    <row r="32" spans="1:15" s="22" customFormat="1" ht="20.399999999999999" x14ac:dyDescent="0.3">
      <c r="A32" s="85"/>
      <c r="B32" s="85"/>
      <c r="C32" s="132"/>
      <c r="D32" s="132"/>
      <c r="E32" s="85"/>
      <c r="F32" s="85"/>
      <c r="G32" s="85"/>
      <c r="H32" s="85"/>
      <c r="I32" s="85"/>
      <c r="J32" s="85"/>
      <c r="K32" s="85"/>
      <c r="L32" s="85"/>
      <c r="M32" s="85"/>
      <c r="N32" s="85"/>
      <c r="O32" s="85"/>
    </row>
    <row r="33" spans="1:15" s="22" customFormat="1" ht="20.399999999999999" x14ac:dyDescent="0.3">
      <c r="A33" s="85"/>
      <c r="B33" s="85"/>
      <c r="C33" s="132"/>
      <c r="D33" s="132"/>
      <c r="E33" s="85"/>
      <c r="F33" s="85"/>
      <c r="G33" s="85"/>
      <c r="H33" s="85"/>
      <c r="I33" s="85"/>
      <c r="J33" s="85"/>
      <c r="K33" s="85"/>
      <c r="L33" s="85"/>
      <c r="M33" s="85"/>
      <c r="N33" s="85"/>
      <c r="O33" s="85"/>
    </row>
    <row r="34" spans="1:15" s="22" customFormat="1" ht="20.399999999999999" x14ac:dyDescent="0.3">
      <c r="A34" s="85"/>
      <c r="B34" s="85"/>
      <c r="C34" s="132"/>
      <c r="D34" s="132"/>
      <c r="E34" s="85"/>
      <c r="F34" s="85"/>
      <c r="G34" s="85"/>
      <c r="H34" s="85"/>
      <c r="I34" s="85"/>
      <c r="J34" s="85"/>
      <c r="K34" s="85"/>
      <c r="L34" s="85"/>
      <c r="M34" s="85"/>
      <c r="N34" s="85"/>
      <c r="O34" s="85"/>
    </row>
    <row r="35" spans="1:15" s="22" customFormat="1" ht="20.399999999999999" x14ac:dyDescent="0.3">
      <c r="A35" s="85"/>
      <c r="B35" s="85"/>
      <c r="C35" s="132"/>
      <c r="D35" s="132"/>
      <c r="E35" s="85"/>
      <c r="F35" s="85"/>
      <c r="G35" s="85"/>
      <c r="H35" s="85"/>
      <c r="I35" s="85"/>
      <c r="J35" s="85"/>
      <c r="K35" s="85"/>
      <c r="L35" s="85"/>
      <c r="M35" s="85"/>
      <c r="N35" s="85"/>
      <c r="O35" s="85"/>
    </row>
    <row r="36" spans="1:15" s="22" customFormat="1" ht="20.399999999999999" x14ac:dyDescent="0.3">
      <c r="A36" s="85"/>
      <c r="B36" s="85"/>
      <c r="C36" s="132"/>
      <c r="D36" s="132"/>
      <c r="E36" s="85"/>
      <c r="F36" s="85"/>
      <c r="G36" s="85"/>
      <c r="H36" s="85"/>
      <c r="I36" s="85"/>
      <c r="J36" s="85"/>
      <c r="K36" s="85"/>
      <c r="L36" s="85"/>
      <c r="M36" s="85"/>
      <c r="N36" s="85"/>
      <c r="O36" s="85"/>
    </row>
    <row r="37" spans="1:15" s="22" customFormat="1" ht="20.399999999999999" x14ac:dyDescent="0.3">
      <c r="A37" s="85"/>
      <c r="B37" s="85"/>
      <c r="C37" s="132"/>
      <c r="D37" s="132"/>
      <c r="E37" s="85"/>
      <c r="F37" s="85"/>
      <c r="G37" s="85"/>
      <c r="H37" s="85"/>
      <c r="I37" s="85"/>
      <c r="J37" s="85"/>
      <c r="K37" s="85"/>
      <c r="L37" s="85"/>
      <c r="M37" s="85"/>
      <c r="N37" s="85"/>
      <c r="O37" s="85"/>
    </row>
    <row r="38" spans="1:15" s="22" customFormat="1" ht="20.399999999999999" x14ac:dyDescent="0.3">
      <c r="A38" s="85"/>
      <c r="B38" s="85"/>
      <c r="C38" s="132"/>
      <c r="D38" s="132"/>
      <c r="E38" s="85"/>
      <c r="F38" s="85"/>
      <c r="G38" s="85"/>
      <c r="H38" s="85"/>
      <c r="I38" s="85"/>
      <c r="J38" s="85"/>
      <c r="K38" s="85"/>
      <c r="L38" s="85"/>
      <c r="M38" s="85"/>
      <c r="N38" s="85"/>
      <c r="O38" s="85"/>
    </row>
    <row r="39" spans="1:15" s="22" customFormat="1" ht="20.399999999999999" x14ac:dyDescent="0.3">
      <c r="A39" s="85"/>
      <c r="B39" s="85"/>
      <c r="C39" s="132"/>
      <c r="D39" s="132"/>
      <c r="E39" s="85"/>
      <c r="F39" s="85"/>
      <c r="G39" s="85"/>
      <c r="H39" s="85"/>
      <c r="I39" s="85"/>
      <c r="J39" s="85"/>
      <c r="K39" s="85"/>
      <c r="L39" s="85"/>
      <c r="M39" s="85"/>
      <c r="N39" s="85"/>
      <c r="O39" s="85"/>
    </row>
    <row r="40" spans="1:15" s="22" customFormat="1" ht="20.399999999999999" x14ac:dyDescent="0.3">
      <c r="A40" s="85"/>
      <c r="B40" s="85"/>
      <c r="C40" s="132"/>
      <c r="D40" s="132"/>
      <c r="E40" s="85"/>
      <c r="F40" s="85"/>
      <c r="G40" s="85"/>
      <c r="H40" s="85"/>
      <c r="I40" s="85"/>
      <c r="J40" s="85"/>
      <c r="K40" s="85"/>
      <c r="L40" s="85"/>
      <c r="M40" s="85"/>
      <c r="N40" s="85"/>
      <c r="O40" s="85"/>
    </row>
    <row r="41" spans="1:15" s="22" customFormat="1" ht="20.399999999999999" x14ac:dyDescent="0.3">
      <c r="A41" s="85"/>
      <c r="B41" s="85"/>
      <c r="C41" s="132"/>
      <c r="D41" s="132"/>
      <c r="E41" s="85"/>
      <c r="F41" s="85"/>
      <c r="G41" s="85"/>
      <c r="H41" s="85"/>
      <c r="I41" s="85"/>
      <c r="J41" s="85"/>
      <c r="K41" s="85"/>
      <c r="L41" s="85"/>
      <c r="M41" s="85"/>
      <c r="N41" s="85"/>
      <c r="O41" s="85"/>
    </row>
    <row r="42" spans="1:15" s="22" customFormat="1" ht="20.399999999999999" x14ac:dyDescent="0.3">
      <c r="A42" s="85"/>
      <c r="B42" s="85"/>
      <c r="C42" s="132"/>
      <c r="D42" s="132"/>
      <c r="E42" s="85"/>
      <c r="F42" s="85"/>
      <c r="G42" s="85"/>
      <c r="H42" s="85"/>
      <c r="I42" s="85"/>
      <c r="J42" s="85"/>
      <c r="K42" s="85"/>
      <c r="L42" s="85"/>
      <c r="M42" s="85"/>
      <c r="N42" s="85"/>
      <c r="O42" s="85"/>
    </row>
    <row r="43" spans="1:15" s="22" customFormat="1" ht="20.399999999999999" x14ac:dyDescent="0.3">
      <c r="A43" s="85"/>
      <c r="B43" s="85"/>
      <c r="C43" s="132"/>
      <c r="D43" s="132"/>
      <c r="E43" s="85"/>
      <c r="F43" s="85"/>
      <c r="G43" s="85"/>
      <c r="H43" s="85"/>
      <c r="I43" s="85"/>
      <c r="J43" s="85"/>
      <c r="K43" s="85"/>
      <c r="L43" s="85"/>
      <c r="M43" s="85"/>
      <c r="N43" s="85"/>
      <c r="O43" s="85"/>
    </row>
    <row r="44" spans="1:15" s="22" customFormat="1" ht="20.399999999999999" x14ac:dyDescent="0.3">
      <c r="A44" s="85"/>
      <c r="B44" s="85"/>
      <c r="C44" s="132"/>
      <c r="D44" s="132"/>
      <c r="E44" s="85"/>
      <c r="F44" s="85"/>
      <c r="G44" s="85"/>
      <c r="H44" s="85"/>
      <c r="I44" s="85"/>
      <c r="J44" s="85"/>
      <c r="K44" s="85"/>
      <c r="L44" s="85"/>
      <c r="M44" s="85"/>
      <c r="N44" s="85"/>
      <c r="O44" s="85"/>
    </row>
    <row r="45" spans="1:15" s="22" customFormat="1" ht="20.399999999999999" x14ac:dyDescent="0.3">
      <c r="A45" s="85"/>
      <c r="B45" s="85"/>
      <c r="C45" s="132"/>
      <c r="D45" s="132"/>
      <c r="E45" s="85"/>
      <c r="F45" s="85"/>
      <c r="G45" s="85"/>
      <c r="H45" s="85"/>
      <c r="I45" s="85"/>
      <c r="J45" s="85"/>
      <c r="K45" s="85"/>
      <c r="L45" s="85"/>
      <c r="M45" s="85"/>
      <c r="N45" s="85"/>
      <c r="O45" s="85"/>
    </row>
    <row r="46" spans="1:15" s="22" customFormat="1" ht="20.399999999999999" x14ac:dyDescent="0.3">
      <c r="A46" s="85"/>
      <c r="B46" s="85"/>
      <c r="C46" s="132"/>
      <c r="D46" s="132"/>
      <c r="E46" s="85"/>
      <c r="F46" s="85"/>
      <c r="G46" s="85"/>
      <c r="H46" s="85"/>
      <c r="I46" s="85"/>
      <c r="J46" s="85"/>
      <c r="K46" s="85"/>
      <c r="L46" s="85"/>
      <c r="M46" s="85"/>
      <c r="N46" s="85"/>
      <c r="O46" s="85"/>
    </row>
    <row r="47" spans="1:15" s="22" customFormat="1" ht="20.399999999999999" x14ac:dyDescent="0.3">
      <c r="A47" s="85"/>
      <c r="B47" s="85"/>
      <c r="C47" s="132"/>
      <c r="D47" s="132"/>
      <c r="E47" s="85"/>
      <c r="F47" s="85"/>
      <c r="G47" s="85"/>
      <c r="H47" s="85"/>
      <c r="I47" s="85"/>
      <c r="J47" s="85"/>
      <c r="K47" s="85"/>
      <c r="L47" s="85"/>
      <c r="M47" s="85"/>
      <c r="N47" s="85"/>
      <c r="O47" s="85"/>
    </row>
    <row r="48" spans="1:15" s="22" customFormat="1" ht="20.399999999999999" x14ac:dyDescent="0.3">
      <c r="A48" s="85"/>
      <c r="B48" s="85"/>
      <c r="C48" s="132"/>
      <c r="D48" s="132"/>
      <c r="E48" s="85"/>
      <c r="F48" s="85"/>
      <c r="G48" s="85"/>
      <c r="H48" s="85"/>
      <c r="I48" s="85"/>
      <c r="J48" s="85"/>
      <c r="K48" s="85"/>
      <c r="L48" s="85"/>
      <c r="M48" s="85"/>
      <c r="N48" s="85"/>
      <c r="O48" s="85"/>
    </row>
    <row r="49" spans="1:15" s="22" customFormat="1" ht="20.399999999999999" x14ac:dyDescent="0.3">
      <c r="A49" s="85"/>
      <c r="B49" s="85"/>
      <c r="C49" s="132"/>
      <c r="D49" s="132"/>
      <c r="E49" s="85"/>
      <c r="F49" s="85"/>
      <c r="G49" s="85"/>
      <c r="H49" s="85"/>
      <c r="I49" s="85"/>
      <c r="J49" s="85"/>
      <c r="K49" s="85"/>
      <c r="L49" s="85"/>
      <c r="M49" s="85"/>
      <c r="N49" s="85"/>
      <c r="O49" s="85"/>
    </row>
    <row r="50" spans="1:15" s="22" customFormat="1" ht="20.399999999999999" x14ac:dyDescent="0.3">
      <c r="A50" s="85"/>
      <c r="B50" s="85"/>
      <c r="C50" s="132"/>
      <c r="D50" s="132"/>
      <c r="E50" s="85"/>
      <c r="F50" s="85"/>
      <c r="G50" s="85"/>
      <c r="H50" s="85"/>
      <c r="I50" s="85"/>
      <c r="J50" s="85"/>
      <c r="K50" s="85"/>
      <c r="L50" s="85"/>
      <c r="M50" s="85"/>
      <c r="N50" s="85"/>
      <c r="O50" s="85"/>
    </row>
    <row r="51" spans="1:15" s="22" customFormat="1" ht="20.399999999999999" x14ac:dyDescent="0.3">
      <c r="A51" s="85"/>
      <c r="B51" s="85"/>
      <c r="C51" s="132"/>
      <c r="D51" s="132"/>
      <c r="E51" s="85"/>
      <c r="F51" s="85"/>
      <c r="G51" s="85"/>
      <c r="H51" s="85"/>
      <c r="I51" s="85"/>
      <c r="J51" s="85"/>
      <c r="K51" s="85"/>
      <c r="L51" s="85"/>
      <c r="M51" s="85"/>
      <c r="N51" s="85"/>
      <c r="O51" s="85"/>
    </row>
    <row r="52" spans="1:15" s="22" customFormat="1" ht="20.399999999999999" x14ac:dyDescent="0.3">
      <c r="A52" s="85"/>
      <c r="C52" s="134"/>
      <c r="D52" s="134"/>
    </row>
    <row r="53" spans="1:15" s="22" customFormat="1" ht="20.399999999999999" x14ac:dyDescent="0.3">
      <c r="A53" s="85"/>
      <c r="C53" s="134"/>
      <c r="D53" s="134"/>
    </row>
    <row r="54" spans="1:15" s="22" customFormat="1" ht="20.399999999999999" x14ac:dyDescent="0.3">
      <c r="A54" s="85"/>
      <c r="C54" s="134"/>
      <c r="D54" s="134"/>
    </row>
    <row r="55" spans="1:15" s="22" customFormat="1" ht="20.399999999999999" x14ac:dyDescent="0.3">
      <c r="A55" s="85"/>
      <c r="C55" s="134"/>
      <c r="D55" s="134"/>
    </row>
    <row r="56" spans="1:15" s="22" customFormat="1" ht="20.399999999999999" x14ac:dyDescent="0.3">
      <c r="A56" s="85"/>
      <c r="C56" s="134"/>
      <c r="D56" s="134"/>
    </row>
    <row r="57" spans="1:15" s="22" customFormat="1" ht="20.399999999999999" x14ac:dyDescent="0.3">
      <c r="A57" s="85"/>
      <c r="C57" s="134"/>
      <c r="D57" s="134"/>
    </row>
    <row r="58" spans="1:15" s="22" customFormat="1" ht="20.399999999999999" x14ac:dyDescent="0.3">
      <c r="A58" s="85"/>
      <c r="C58" s="134"/>
      <c r="D58" s="134"/>
    </row>
    <row r="59" spans="1:15" s="22" customFormat="1" ht="20.399999999999999" x14ac:dyDescent="0.3">
      <c r="A59" s="85"/>
      <c r="C59" s="134"/>
      <c r="D59" s="134"/>
    </row>
    <row r="60" spans="1:15" s="22" customFormat="1" ht="20.399999999999999" x14ac:dyDescent="0.3">
      <c r="A60" s="85"/>
      <c r="C60" s="134"/>
      <c r="D60" s="134"/>
    </row>
    <row r="61" spans="1:15" s="22" customFormat="1" ht="20.399999999999999" x14ac:dyDescent="0.3">
      <c r="A61" s="85"/>
      <c r="C61" s="134"/>
      <c r="D61" s="134"/>
    </row>
    <row r="62" spans="1:15" s="22" customFormat="1" ht="20.399999999999999" x14ac:dyDescent="0.3">
      <c r="A62" s="85"/>
      <c r="C62" s="134"/>
      <c r="D62" s="134"/>
    </row>
    <row r="63" spans="1:15" s="22" customFormat="1" ht="20.399999999999999" x14ac:dyDescent="0.3">
      <c r="A63" s="85"/>
      <c r="C63" s="134"/>
      <c r="D63" s="134"/>
    </row>
    <row r="64" spans="1:15" s="22" customFormat="1" ht="20.399999999999999" x14ac:dyDescent="0.3">
      <c r="A64" s="85"/>
      <c r="C64" s="134"/>
      <c r="D64" s="134"/>
    </row>
    <row r="65" spans="1:4" s="22" customFormat="1" ht="20.399999999999999" x14ac:dyDescent="0.3">
      <c r="A65" s="85"/>
      <c r="C65" s="134"/>
      <c r="D65" s="134"/>
    </row>
    <row r="66" spans="1:4" s="22" customFormat="1" ht="20.399999999999999" x14ac:dyDescent="0.3">
      <c r="A66" s="85"/>
      <c r="C66" s="134"/>
      <c r="D66" s="134"/>
    </row>
    <row r="67" spans="1:4" s="22" customFormat="1" ht="20.399999999999999" x14ac:dyDescent="0.3">
      <c r="A67" s="85"/>
      <c r="C67" s="134"/>
      <c r="D67" s="134"/>
    </row>
    <row r="68" spans="1:4" s="22" customFormat="1" ht="20.399999999999999" x14ac:dyDescent="0.3">
      <c r="A68" s="85"/>
      <c r="C68" s="134"/>
      <c r="D68" s="134"/>
    </row>
    <row r="69" spans="1:4" s="22" customFormat="1" ht="20.399999999999999" x14ac:dyDescent="0.3">
      <c r="A69" s="85"/>
      <c r="C69" s="134"/>
      <c r="D69" s="134"/>
    </row>
    <row r="70" spans="1:4" s="22" customFormat="1" ht="20.399999999999999" x14ac:dyDescent="0.3">
      <c r="A70" s="85"/>
      <c r="C70" s="134"/>
      <c r="D70" s="134"/>
    </row>
    <row r="71" spans="1:4" s="22" customFormat="1" ht="20.399999999999999" x14ac:dyDescent="0.3">
      <c r="A71" s="85"/>
      <c r="C71" s="134"/>
      <c r="D71" s="134"/>
    </row>
    <row r="72" spans="1:4" s="22" customFormat="1" ht="20.399999999999999" x14ac:dyDescent="0.3">
      <c r="A72" s="85"/>
      <c r="C72" s="134"/>
      <c r="D72" s="134"/>
    </row>
    <row r="73" spans="1:4" s="22" customFormat="1" ht="20.399999999999999" x14ac:dyDescent="0.3">
      <c r="A73" s="85"/>
      <c r="C73" s="134"/>
      <c r="D73" s="134"/>
    </row>
    <row r="74" spans="1:4" s="22" customFormat="1" ht="20.399999999999999" x14ac:dyDescent="0.3">
      <c r="A74" s="85"/>
      <c r="C74" s="134"/>
      <c r="D74" s="134"/>
    </row>
    <row r="75" spans="1:4" s="22" customFormat="1" ht="20.399999999999999" x14ac:dyDescent="0.3">
      <c r="A75" s="85"/>
      <c r="C75" s="134"/>
      <c r="D75" s="134"/>
    </row>
    <row r="76" spans="1:4" s="22" customFormat="1" ht="20.399999999999999" x14ac:dyDescent="0.3">
      <c r="A76" s="85"/>
      <c r="C76" s="134"/>
      <c r="D76" s="134"/>
    </row>
    <row r="77" spans="1:4" s="22" customFormat="1" ht="20.399999999999999" x14ac:dyDescent="0.3">
      <c r="A77" s="85"/>
      <c r="C77" s="134"/>
      <c r="D77" s="134"/>
    </row>
    <row r="78" spans="1:4" s="22" customFormat="1" ht="20.399999999999999" x14ac:dyDescent="0.3">
      <c r="A78" s="85"/>
      <c r="C78" s="134"/>
      <c r="D78" s="134"/>
    </row>
    <row r="79" spans="1:4" s="22" customFormat="1" ht="20.399999999999999" x14ac:dyDescent="0.3">
      <c r="A79" s="85"/>
      <c r="C79" s="134"/>
      <c r="D79" s="134"/>
    </row>
    <row r="80" spans="1:4" s="22" customFormat="1" ht="20.399999999999999" x14ac:dyDescent="0.3">
      <c r="A80" s="85"/>
      <c r="C80" s="134"/>
      <c r="D80" s="134"/>
    </row>
    <row r="81" spans="1:4" s="22" customFormat="1" ht="20.399999999999999" x14ac:dyDescent="0.3">
      <c r="A81" s="85"/>
      <c r="C81" s="134"/>
      <c r="D81" s="134"/>
    </row>
    <row r="82" spans="1:4" s="22" customFormat="1" ht="20.399999999999999" x14ac:dyDescent="0.3">
      <c r="A82" s="85"/>
      <c r="C82" s="134"/>
      <c r="D82" s="134"/>
    </row>
    <row r="83" spans="1:4" s="22" customFormat="1" ht="20.399999999999999" x14ac:dyDescent="0.3">
      <c r="A83" s="85"/>
      <c r="C83" s="134"/>
      <c r="D83" s="134"/>
    </row>
    <row r="84" spans="1:4" s="22" customFormat="1" ht="20.399999999999999" x14ac:dyDescent="0.3">
      <c r="A84" s="85"/>
      <c r="C84" s="134"/>
      <c r="D84" s="134"/>
    </row>
    <row r="85" spans="1:4" s="22" customFormat="1" ht="20.399999999999999" x14ac:dyDescent="0.3">
      <c r="A85" s="85"/>
      <c r="C85" s="134"/>
      <c r="D85" s="134"/>
    </row>
    <row r="86" spans="1:4" s="22" customFormat="1" ht="20.399999999999999" x14ac:dyDescent="0.3">
      <c r="A86" s="85"/>
      <c r="C86" s="134"/>
      <c r="D86" s="134"/>
    </row>
    <row r="87" spans="1:4" s="22" customFormat="1" ht="20.399999999999999" x14ac:dyDescent="0.3">
      <c r="A87" s="85"/>
      <c r="C87" s="134"/>
      <c r="D87" s="134"/>
    </row>
    <row r="88" spans="1:4" s="22" customFormat="1" ht="20.399999999999999" x14ac:dyDescent="0.3">
      <c r="A88" s="85"/>
      <c r="C88" s="134"/>
      <c r="D88" s="134"/>
    </row>
    <row r="89" spans="1:4" s="22" customFormat="1" ht="20.399999999999999" x14ac:dyDescent="0.3">
      <c r="A89" s="85"/>
      <c r="C89" s="134"/>
      <c r="D89" s="134"/>
    </row>
    <row r="90" spans="1:4" s="22" customFormat="1" ht="20.399999999999999" x14ac:dyDescent="0.3">
      <c r="A90" s="85"/>
      <c r="C90" s="134"/>
      <c r="D90" s="134"/>
    </row>
    <row r="91" spans="1:4" s="22" customFormat="1" ht="20.399999999999999" x14ac:dyDescent="0.3">
      <c r="A91" s="85"/>
      <c r="C91" s="134"/>
      <c r="D91" s="134"/>
    </row>
    <row r="92" spans="1:4" s="22" customFormat="1" ht="20.399999999999999" x14ac:dyDescent="0.3">
      <c r="A92" s="85"/>
      <c r="C92" s="134"/>
      <c r="D92" s="134"/>
    </row>
    <row r="93" spans="1:4" s="22" customFormat="1" ht="20.399999999999999" x14ac:dyDescent="0.3">
      <c r="A93" s="85"/>
      <c r="C93" s="134"/>
      <c r="D93" s="134"/>
    </row>
    <row r="94" spans="1:4" s="22" customFormat="1" ht="20.399999999999999" x14ac:dyDescent="0.3">
      <c r="A94" s="85"/>
      <c r="C94" s="134"/>
      <c r="D94" s="134"/>
    </row>
    <row r="95" spans="1:4" s="22" customFormat="1" ht="20.399999999999999" x14ac:dyDescent="0.3">
      <c r="A95" s="85"/>
      <c r="C95" s="134"/>
      <c r="D95" s="134"/>
    </row>
    <row r="96" spans="1:4" s="22" customFormat="1" ht="20.399999999999999" x14ac:dyDescent="0.3">
      <c r="A96" s="85"/>
      <c r="C96" s="134"/>
      <c r="D96" s="134"/>
    </row>
    <row r="97" spans="1:4" s="22" customFormat="1" ht="20.399999999999999" x14ac:dyDescent="0.3">
      <c r="A97" s="85"/>
      <c r="C97" s="134"/>
      <c r="D97" s="134"/>
    </row>
    <row r="98" spans="1:4" s="22" customFormat="1" ht="20.399999999999999" x14ac:dyDescent="0.3">
      <c r="A98" s="85"/>
      <c r="C98" s="134"/>
      <c r="D98" s="134"/>
    </row>
    <row r="99" spans="1:4" s="22" customFormat="1" ht="20.399999999999999" x14ac:dyDescent="0.3">
      <c r="A99" s="85"/>
      <c r="C99" s="134"/>
      <c r="D99" s="134"/>
    </row>
    <row r="100" spans="1:4" s="22" customFormat="1" ht="20.399999999999999" x14ac:dyDescent="0.3">
      <c r="A100" s="85"/>
      <c r="C100" s="134"/>
      <c r="D100" s="134"/>
    </row>
    <row r="101" spans="1:4" s="22" customFormat="1" ht="20.399999999999999" x14ac:dyDescent="0.3">
      <c r="A101" s="85"/>
      <c r="C101" s="134"/>
      <c r="D101" s="134"/>
    </row>
    <row r="102" spans="1:4" s="22" customFormat="1" ht="20.399999999999999" x14ac:dyDescent="0.3">
      <c r="A102" s="85"/>
      <c r="C102" s="134"/>
      <c r="D102" s="134"/>
    </row>
    <row r="103" spans="1:4" s="22" customFormat="1" ht="20.399999999999999" x14ac:dyDescent="0.3">
      <c r="A103" s="85"/>
      <c r="C103" s="134"/>
      <c r="D103" s="134"/>
    </row>
    <row r="104" spans="1:4" s="22" customFormat="1" ht="20.399999999999999" x14ac:dyDescent="0.3">
      <c r="A104" s="85"/>
      <c r="C104" s="134"/>
      <c r="D104" s="134"/>
    </row>
    <row r="105" spans="1:4" s="22" customFormat="1" ht="20.399999999999999" x14ac:dyDescent="0.3">
      <c r="A105" s="85"/>
      <c r="C105" s="134"/>
      <c r="D105" s="134"/>
    </row>
    <row r="106" spans="1:4" s="22" customFormat="1" ht="20.399999999999999" x14ac:dyDescent="0.3">
      <c r="A106" s="85"/>
      <c r="C106" s="134"/>
      <c r="D106" s="134"/>
    </row>
    <row r="107" spans="1:4" s="22" customFormat="1" ht="20.399999999999999" x14ac:dyDescent="0.3">
      <c r="A107" s="85"/>
      <c r="C107" s="134"/>
      <c r="D107" s="134"/>
    </row>
    <row r="108" spans="1:4" s="22" customFormat="1" ht="20.399999999999999" x14ac:dyDescent="0.3">
      <c r="A108" s="85"/>
      <c r="C108" s="134"/>
      <c r="D108" s="134"/>
    </row>
    <row r="109" spans="1:4" s="22" customFormat="1" ht="20.399999999999999" x14ac:dyDescent="0.3">
      <c r="A109" s="85"/>
      <c r="C109" s="134"/>
      <c r="D109" s="134"/>
    </row>
    <row r="110" spans="1:4" s="22" customFormat="1" ht="20.399999999999999" x14ac:dyDescent="0.3">
      <c r="A110" s="85"/>
      <c r="C110" s="134"/>
      <c r="D110" s="134"/>
    </row>
    <row r="111" spans="1:4" s="22" customFormat="1" ht="20.399999999999999" x14ac:dyDescent="0.3">
      <c r="A111" s="85"/>
      <c r="C111" s="134"/>
      <c r="D111" s="134"/>
    </row>
    <row r="112" spans="1:4" s="22" customFormat="1" ht="20.399999999999999" x14ac:dyDescent="0.3">
      <c r="A112" s="85"/>
      <c r="C112" s="134"/>
      <c r="D112" s="134"/>
    </row>
    <row r="113" spans="1:4" s="22" customFormat="1" ht="20.399999999999999" x14ac:dyDescent="0.3">
      <c r="A113" s="85"/>
      <c r="C113" s="134"/>
      <c r="D113" s="134"/>
    </row>
    <row r="114" spans="1:4" s="22" customFormat="1" ht="20.399999999999999" x14ac:dyDescent="0.3">
      <c r="A114" s="85"/>
      <c r="C114" s="134"/>
      <c r="D114" s="134"/>
    </row>
    <row r="115" spans="1:4" s="22" customFormat="1" ht="20.399999999999999" x14ac:dyDescent="0.3">
      <c r="A115" s="85"/>
      <c r="C115" s="134"/>
      <c r="D115" s="134"/>
    </row>
    <row r="116" spans="1:4" s="22" customFormat="1" ht="20.399999999999999" x14ac:dyDescent="0.3">
      <c r="A116" s="85"/>
      <c r="C116" s="134"/>
      <c r="D116" s="134"/>
    </row>
    <row r="117" spans="1:4" s="22" customFormat="1" ht="20.399999999999999" x14ac:dyDescent="0.3">
      <c r="A117" s="85"/>
      <c r="C117" s="134"/>
      <c r="D117" s="134"/>
    </row>
    <row r="118" spans="1:4" s="22" customFormat="1" ht="20.399999999999999" x14ac:dyDescent="0.3">
      <c r="A118" s="85"/>
      <c r="C118" s="134"/>
      <c r="D118" s="134"/>
    </row>
    <row r="119" spans="1:4" s="22" customFormat="1" ht="20.399999999999999" x14ac:dyDescent="0.3">
      <c r="A119" s="85"/>
      <c r="C119" s="134"/>
      <c r="D119" s="134"/>
    </row>
    <row r="120" spans="1:4" s="22" customFormat="1" ht="20.399999999999999" x14ac:dyDescent="0.3">
      <c r="A120" s="85"/>
      <c r="C120" s="134"/>
      <c r="D120" s="134"/>
    </row>
    <row r="121" spans="1:4" s="22" customFormat="1" ht="20.399999999999999" x14ac:dyDescent="0.3">
      <c r="A121" s="85"/>
      <c r="C121" s="134"/>
      <c r="D121" s="134"/>
    </row>
    <row r="122" spans="1:4" s="22" customFormat="1" ht="20.399999999999999" x14ac:dyDescent="0.3">
      <c r="A122" s="85"/>
      <c r="C122" s="134"/>
      <c r="D122" s="134"/>
    </row>
    <row r="123" spans="1:4" s="22" customFormat="1" ht="20.399999999999999" x14ac:dyDescent="0.3">
      <c r="A123" s="85"/>
      <c r="C123" s="134"/>
      <c r="D123" s="134"/>
    </row>
    <row r="124" spans="1:4" s="22" customFormat="1" ht="20.399999999999999" x14ac:dyDescent="0.3">
      <c r="A124" s="85"/>
      <c r="C124" s="134"/>
      <c r="D124" s="134"/>
    </row>
    <row r="125" spans="1:4" s="22" customFormat="1" ht="20.399999999999999" x14ac:dyDescent="0.3">
      <c r="A125" s="85"/>
      <c r="C125" s="134"/>
      <c r="D125" s="134"/>
    </row>
    <row r="126" spans="1:4" s="22" customFormat="1" ht="20.399999999999999" x14ac:dyDescent="0.3">
      <c r="A126" s="85"/>
      <c r="C126" s="134"/>
      <c r="D126" s="134"/>
    </row>
    <row r="127" spans="1:4" s="22" customFormat="1" ht="20.399999999999999" x14ac:dyDescent="0.3">
      <c r="A127" s="85"/>
      <c r="C127" s="134"/>
      <c r="D127" s="134"/>
    </row>
    <row r="128" spans="1:4" s="22" customFormat="1" ht="20.399999999999999" x14ac:dyDescent="0.3">
      <c r="A128" s="85"/>
      <c r="C128" s="134"/>
      <c r="D128" s="134"/>
    </row>
    <row r="129" spans="1:4" s="22" customFormat="1" ht="20.399999999999999" x14ac:dyDescent="0.3">
      <c r="A129" s="85"/>
      <c r="C129" s="134"/>
      <c r="D129" s="134"/>
    </row>
    <row r="130" spans="1:4" s="22" customFormat="1" ht="20.399999999999999" x14ac:dyDescent="0.3">
      <c r="A130" s="85"/>
      <c r="C130" s="134"/>
      <c r="D130" s="134"/>
    </row>
    <row r="131" spans="1:4" s="22" customFormat="1" ht="20.399999999999999" x14ac:dyDescent="0.3">
      <c r="A131" s="85"/>
      <c r="C131" s="134"/>
      <c r="D131" s="134"/>
    </row>
    <row r="132" spans="1:4" s="22" customFormat="1" ht="20.399999999999999" x14ac:dyDescent="0.3">
      <c r="A132" s="85"/>
      <c r="C132" s="134"/>
      <c r="D132" s="134"/>
    </row>
    <row r="133" spans="1:4" s="22" customFormat="1" ht="20.399999999999999" x14ac:dyDescent="0.3">
      <c r="A133" s="85"/>
      <c r="C133" s="134"/>
      <c r="D133" s="134"/>
    </row>
    <row r="134" spans="1:4" s="22" customFormat="1" ht="20.399999999999999" x14ac:dyDescent="0.3">
      <c r="A134" s="85"/>
      <c r="C134" s="134"/>
      <c r="D134" s="134"/>
    </row>
    <row r="135" spans="1:4" s="22" customFormat="1" ht="20.399999999999999" x14ac:dyDescent="0.3">
      <c r="A135" s="85"/>
      <c r="C135" s="134"/>
      <c r="D135" s="134"/>
    </row>
    <row r="136" spans="1:4" s="22" customFormat="1" ht="20.399999999999999" x14ac:dyDescent="0.3">
      <c r="A136" s="85"/>
      <c r="C136" s="134"/>
      <c r="D136" s="134"/>
    </row>
    <row r="137" spans="1:4" s="22" customFormat="1" ht="20.399999999999999" x14ac:dyDescent="0.3">
      <c r="A137" s="85"/>
      <c r="C137" s="134"/>
      <c r="D137" s="134"/>
    </row>
    <row r="138" spans="1:4" s="22" customFormat="1" ht="20.399999999999999" x14ac:dyDescent="0.3">
      <c r="A138" s="85"/>
      <c r="C138" s="134"/>
      <c r="D138" s="134"/>
    </row>
    <row r="139" spans="1:4" s="22" customFormat="1" ht="20.399999999999999" x14ac:dyDescent="0.3">
      <c r="A139" s="85"/>
      <c r="C139" s="134"/>
      <c r="D139" s="134"/>
    </row>
    <row r="140" spans="1:4" s="22" customFormat="1" ht="20.399999999999999" x14ac:dyDescent="0.3">
      <c r="A140" s="85"/>
      <c r="C140" s="134"/>
      <c r="D140" s="134"/>
    </row>
    <row r="141" spans="1:4" s="22" customFormat="1" ht="20.399999999999999" x14ac:dyDescent="0.3">
      <c r="A141" s="85"/>
      <c r="C141" s="134"/>
      <c r="D141" s="134"/>
    </row>
    <row r="142" spans="1:4" s="22" customFormat="1" ht="20.399999999999999" x14ac:dyDescent="0.3">
      <c r="A142" s="85"/>
      <c r="C142" s="134"/>
      <c r="D142" s="134"/>
    </row>
    <row r="143" spans="1:4" s="22" customFormat="1" ht="20.399999999999999" x14ac:dyDescent="0.3">
      <c r="A143" s="85"/>
      <c r="C143" s="134"/>
      <c r="D143" s="134"/>
    </row>
    <row r="144" spans="1:4" s="22" customFormat="1" ht="20.399999999999999" x14ac:dyDescent="0.3">
      <c r="A144" s="85"/>
      <c r="C144" s="134"/>
      <c r="D144" s="134"/>
    </row>
    <row r="145" spans="1:4" s="22" customFormat="1" ht="20.399999999999999" x14ac:dyDescent="0.3">
      <c r="A145" s="85"/>
      <c r="C145" s="134"/>
      <c r="D145" s="134"/>
    </row>
    <row r="146" spans="1:4" s="22" customFormat="1" ht="20.399999999999999" x14ac:dyDescent="0.3">
      <c r="A146" s="85"/>
      <c r="C146" s="134"/>
      <c r="D146" s="134"/>
    </row>
    <row r="147" spans="1:4" s="22" customFormat="1" ht="20.399999999999999" x14ac:dyDescent="0.3">
      <c r="A147" s="85"/>
      <c r="C147" s="134"/>
      <c r="D147" s="134"/>
    </row>
    <row r="148" spans="1:4" s="22" customFormat="1" ht="20.399999999999999" x14ac:dyDescent="0.3">
      <c r="A148" s="85"/>
      <c r="C148" s="134"/>
      <c r="D148" s="134"/>
    </row>
    <row r="149" spans="1:4" s="22" customFormat="1" ht="20.399999999999999" x14ac:dyDescent="0.3">
      <c r="A149" s="85"/>
      <c r="C149" s="134"/>
      <c r="D149" s="134"/>
    </row>
    <row r="150" spans="1:4" s="22" customFormat="1" ht="20.399999999999999" x14ac:dyDescent="0.3">
      <c r="A150" s="85"/>
      <c r="C150" s="134"/>
      <c r="D150" s="134"/>
    </row>
    <row r="151" spans="1:4" s="22" customFormat="1" ht="20.399999999999999" x14ac:dyDescent="0.3">
      <c r="A151" s="85"/>
      <c r="C151" s="134"/>
      <c r="D151" s="134"/>
    </row>
    <row r="152" spans="1:4" s="22" customFormat="1" ht="20.399999999999999" x14ac:dyDescent="0.3">
      <c r="A152" s="85"/>
      <c r="C152" s="134"/>
      <c r="D152" s="134"/>
    </row>
    <row r="153" spans="1:4" s="22" customFormat="1" ht="20.399999999999999" x14ac:dyDescent="0.3">
      <c r="A153" s="85"/>
      <c r="C153" s="134"/>
      <c r="D153" s="134"/>
    </row>
    <row r="154" spans="1:4" s="22" customFormat="1" ht="20.399999999999999" x14ac:dyDescent="0.3">
      <c r="A154" s="85"/>
      <c r="C154" s="134"/>
      <c r="D154" s="134"/>
    </row>
    <row r="155" spans="1:4" s="22" customFormat="1" ht="20.399999999999999" x14ac:dyDescent="0.3">
      <c r="A155" s="85"/>
      <c r="C155" s="134"/>
      <c r="D155" s="134"/>
    </row>
    <row r="156" spans="1:4" s="22" customFormat="1" ht="20.399999999999999" x14ac:dyDescent="0.3">
      <c r="A156" s="85"/>
      <c r="C156" s="134"/>
      <c r="D156" s="134"/>
    </row>
    <row r="157" spans="1:4" s="22" customFormat="1" ht="20.399999999999999" x14ac:dyDescent="0.3">
      <c r="A157" s="85"/>
      <c r="C157" s="134"/>
      <c r="D157" s="134"/>
    </row>
    <row r="158" spans="1:4" s="22" customFormat="1" ht="20.399999999999999" x14ac:dyDescent="0.3">
      <c r="A158" s="85"/>
      <c r="C158" s="134"/>
      <c r="D158" s="134"/>
    </row>
    <row r="159" spans="1:4" s="22" customFormat="1" ht="20.399999999999999" x14ac:dyDescent="0.3">
      <c r="A159" s="85"/>
      <c r="C159" s="134"/>
      <c r="D159" s="134"/>
    </row>
    <row r="160" spans="1:4" s="22" customFormat="1" ht="20.399999999999999" x14ac:dyDescent="0.3">
      <c r="A160" s="85"/>
      <c r="C160" s="134"/>
      <c r="D160" s="134"/>
    </row>
    <row r="161" spans="1:4" s="22" customFormat="1" ht="20.399999999999999" x14ac:dyDescent="0.3">
      <c r="A161" s="85"/>
      <c r="C161" s="134"/>
      <c r="D161" s="134"/>
    </row>
    <row r="162" spans="1:4" s="22" customFormat="1" ht="20.399999999999999" x14ac:dyDescent="0.3">
      <c r="A162" s="85"/>
      <c r="C162" s="134"/>
      <c r="D162" s="134"/>
    </row>
    <row r="163" spans="1:4" s="22" customFormat="1" ht="20.399999999999999" x14ac:dyDescent="0.3">
      <c r="A163" s="85"/>
      <c r="C163" s="134"/>
      <c r="D163" s="134"/>
    </row>
    <row r="164" spans="1:4" s="22" customFormat="1" ht="20.399999999999999" x14ac:dyDescent="0.3">
      <c r="A164" s="85"/>
      <c r="C164" s="134"/>
      <c r="D164" s="134"/>
    </row>
    <row r="165" spans="1:4" s="22" customFormat="1" ht="20.399999999999999" x14ac:dyDescent="0.3">
      <c r="A165" s="85"/>
      <c r="C165" s="134"/>
      <c r="D165" s="134"/>
    </row>
    <row r="166" spans="1:4" s="22" customFormat="1" ht="20.399999999999999" x14ac:dyDescent="0.3">
      <c r="A166" s="85"/>
      <c r="C166" s="134"/>
      <c r="D166" s="134"/>
    </row>
    <row r="167" spans="1:4" s="22" customFormat="1" ht="20.399999999999999" x14ac:dyDescent="0.3">
      <c r="A167" s="85"/>
      <c r="C167" s="134"/>
      <c r="D167" s="134"/>
    </row>
    <row r="168" spans="1:4" s="22" customFormat="1" ht="20.399999999999999" x14ac:dyDescent="0.3">
      <c r="A168" s="85"/>
      <c r="C168" s="134"/>
      <c r="D168" s="134"/>
    </row>
    <row r="169" spans="1:4" s="22" customFormat="1" ht="20.399999999999999" x14ac:dyDescent="0.3">
      <c r="A169" s="85"/>
      <c r="C169" s="134"/>
      <c r="D169" s="134"/>
    </row>
    <row r="170" spans="1:4" s="22" customFormat="1" ht="20.399999999999999" x14ac:dyDescent="0.3">
      <c r="A170" s="85"/>
      <c r="C170" s="134"/>
      <c r="D170" s="134"/>
    </row>
    <row r="171" spans="1:4" s="22" customFormat="1" ht="20.399999999999999" x14ac:dyDescent="0.3">
      <c r="A171" s="85"/>
      <c r="C171" s="134"/>
      <c r="D171" s="134"/>
    </row>
    <row r="172" spans="1:4" s="22" customFormat="1" ht="20.399999999999999" x14ac:dyDescent="0.3">
      <c r="A172" s="85"/>
      <c r="C172" s="134"/>
      <c r="D172" s="134"/>
    </row>
    <row r="173" spans="1:4" s="22" customFormat="1" ht="20.399999999999999" x14ac:dyDescent="0.3">
      <c r="A173" s="85"/>
      <c r="C173" s="134"/>
      <c r="D173" s="134"/>
    </row>
    <row r="174" spans="1:4" s="22" customFormat="1" ht="20.399999999999999" x14ac:dyDescent="0.3">
      <c r="A174" s="85"/>
      <c r="C174" s="134"/>
      <c r="D174" s="134"/>
    </row>
    <row r="175" spans="1:4" s="22" customFormat="1" ht="20.399999999999999" x14ac:dyDescent="0.3">
      <c r="A175" s="85"/>
      <c r="C175" s="134"/>
      <c r="D175" s="134"/>
    </row>
    <row r="176" spans="1:4" s="22" customFormat="1" ht="20.399999999999999" x14ac:dyDescent="0.3">
      <c r="A176" s="85"/>
      <c r="C176" s="134"/>
      <c r="D176" s="134"/>
    </row>
    <row r="177" spans="1:4" s="22" customFormat="1" ht="20.399999999999999" x14ac:dyDescent="0.3">
      <c r="A177" s="85"/>
      <c r="C177" s="134"/>
      <c r="D177" s="134"/>
    </row>
    <row r="178" spans="1:4" s="22" customFormat="1" ht="20.399999999999999" x14ac:dyDescent="0.3">
      <c r="A178" s="85"/>
      <c r="C178" s="134"/>
      <c r="D178" s="134"/>
    </row>
    <row r="179" spans="1:4" s="22" customFormat="1" ht="20.399999999999999" x14ac:dyDescent="0.3">
      <c r="A179" s="85"/>
      <c r="C179" s="134"/>
      <c r="D179" s="134"/>
    </row>
    <row r="180" spans="1:4" s="22" customFormat="1" ht="20.399999999999999" x14ac:dyDescent="0.3">
      <c r="A180" s="85"/>
      <c r="C180" s="134"/>
      <c r="D180" s="134"/>
    </row>
    <row r="181" spans="1:4" s="22" customFormat="1" ht="20.399999999999999" x14ac:dyDescent="0.3">
      <c r="A181" s="85"/>
      <c r="C181" s="134"/>
      <c r="D181" s="134"/>
    </row>
    <row r="182" spans="1:4" s="22" customFormat="1" ht="20.399999999999999" x14ac:dyDescent="0.3">
      <c r="A182" s="85"/>
      <c r="C182" s="134"/>
      <c r="D182" s="134"/>
    </row>
    <row r="183" spans="1:4" s="22" customFormat="1" ht="20.399999999999999" x14ac:dyDescent="0.3">
      <c r="A183" s="85"/>
      <c r="C183" s="134"/>
      <c r="D183" s="134"/>
    </row>
    <row r="184" spans="1:4" s="22" customFormat="1" ht="20.399999999999999" x14ac:dyDescent="0.3">
      <c r="A184" s="85"/>
      <c r="C184" s="134"/>
      <c r="D184" s="134"/>
    </row>
    <row r="185" spans="1:4" s="22" customFormat="1" ht="20.399999999999999" x14ac:dyDescent="0.3">
      <c r="A185" s="85"/>
      <c r="C185" s="134"/>
      <c r="D185" s="134"/>
    </row>
    <row r="186" spans="1:4" s="22" customFormat="1" ht="20.399999999999999" x14ac:dyDescent="0.3">
      <c r="A186" s="85"/>
      <c r="C186" s="134"/>
      <c r="D186" s="134"/>
    </row>
    <row r="187" spans="1:4" s="22" customFormat="1" ht="20.399999999999999" x14ac:dyDescent="0.3">
      <c r="A187" s="85"/>
      <c r="C187" s="134"/>
      <c r="D187" s="134"/>
    </row>
    <row r="188" spans="1:4" s="22" customFormat="1" ht="20.399999999999999" x14ac:dyDescent="0.3">
      <c r="A188" s="85"/>
      <c r="C188" s="134"/>
      <c r="D188" s="134"/>
    </row>
    <row r="189" spans="1:4" s="22" customFormat="1" ht="20.399999999999999" x14ac:dyDescent="0.3">
      <c r="A189" s="85"/>
      <c r="C189" s="134"/>
      <c r="D189" s="134"/>
    </row>
    <row r="190" spans="1:4" s="22" customFormat="1" ht="20.399999999999999" x14ac:dyDescent="0.3">
      <c r="A190" s="85"/>
      <c r="C190" s="134"/>
      <c r="D190" s="134"/>
    </row>
    <row r="191" spans="1:4" s="22" customFormat="1" ht="20.399999999999999" x14ac:dyDescent="0.3">
      <c r="A191" s="85"/>
      <c r="C191" s="134"/>
      <c r="D191" s="134"/>
    </row>
    <row r="192" spans="1:4" s="22" customFormat="1" ht="20.399999999999999" x14ac:dyDescent="0.3">
      <c r="A192" s="85"/>
      <c r="C192" s="134"/>
      <c r="D192" s="134"/>
    </row>
    <row r="193" spans="1:4" s="22" customFormat="1" ht="20.399999999999999" x14ac:dyDescent="0.3">
      <c r="A193" s="85"/>
      <c r="C193" s="134"/>
      <c r="D193" s="134"/>
    </row>
    <row r="194" spans="1:4" s="22" customFormat="1" ht="20.399999999999999" x14ac:dyDescent="0.3">
      <c r="A194" s="85"/>
      <c r="C194" s="134"/>
      <c r="D194" s="134"/>
    </row>
    <row r="195" spans="1:4" s="22" customFormat="1" ht="20.399999999999999" x14ac:dyDescent="0.3">
      <c r="A195" s="85"/>
      <c r="C195" s="134"/>
      <c r="D195" s="134"/>
    </row>
    <row r="196" spans="1:4" s="22" customFormat="1" ht="20.399999999999999" x14ac:dyDescent="0.3">
      <c r="A196" s="85"/>
      <c r="C196" s="134"/>
      <c r="D196" s="134"/>
    </row>
    <row r="197" spans="1:4" s="22" customFormat="1" ht="20.399999999999999" x14ac:dyDescent="0.3">
      <c r="A197" s="85"/>
      <c r="C197" s="134"/>
      <c r="D197" s="134"/>
    </row>
    <row r="198" spans="1:4" s="22" customFormat="1" ht="20.399999999999999" x14ac:dyDescent="0.3">
      <c r="A198" s="85"/>
      <c r="C198" s="134"/>
      <c r="D198" s="134"/>
    </row>
    <row r="199" spans="1:4" s="22" customFormat="1" ht="20.399999999999999" x14ac:dyDescent="0.3">
      <c r="A199" s="85"/>
      <c r="C199" s="134"/>
      <c r="D199" s="134"/>
    </row>
    <row r="200" spans="1:4" s="22" customFormat="1" ht="20.399999999999999" x14ac:dyDescent="0.3">
      <c r="A200" s="85"/>
      <c r="C200" s="134"/>
      <c r="D200" s="134"/>
    </row>
    <row r="201" spans="1:4" s="22" customFormat="1" ht="20.399999999999999" x14ac:dyDescent="0.3">
      <c r="A201" s="85"/>
      <c r="C201" s="134"/>
      <c r="D201" s="134"/>
    </row>
    <row r="202" spans="1:4" s="22" customFormat="1" ht="20.399999999999999" x14ac:dyDescent="0.3">
      <c r="A202" s="85"/>
      <c r="C202" s="134"/>
      <c r="D202" s="134"/>
    </row>
    <row r="203" spans="1:4" s="22" customFormat="1" ht="20.399999999999999" x14ac:dyDescent="0.3">
      <c r="A203" s="85"/>
      <c r="C203" s="134"/>
      <c r="D203" s="134"/>
    </row>
    <row r="204" spans="1:4" s="22" customFormat="1" ht="20.399999999999999" x14ac:dyDescent="0.3">
      <c r="A204" s="85"/>
      <c r="C204" s="134"/>
      <c r="D204" s="134"/>
    </row>
    <row r="205" spans="1:4" s="22" customFormat="1" ht="20.399999999999999" x14ac:dyDescent="0.3">
      <c r="A205" s="85"/>
      <c r="C205" s="134"/>
      <c r="D205" s="134"/>
    </row>
    <row r="206" spans="1:4" s="22" customFormat="1" ht="20.399999999999999" x14ac:dyDescent="0.3">
      <c r="A206" s="85"/>
      <c r="C206" s="134"/>
      <c r="D206" s="134"/>
    </row>
    <row r="207" spans="1:4" s="22" customFormat="1" ht="20.399999999999999" x14ac:dyDescent="0.3">
      <c r="A207" s="85"/>
      <c r="C207" s="134"/>
      <c r="D207" s="134"/>
    </row>
    <row r="208" spans="1:4" s="22" customFormat="1" x14ac:dyDescent="0.3">
      <c r="A208" s="85"/>
    </row>
    <row r="209" spans="1:8" s="22" customFormat="1" ht="20.399999999999999" x14ac:dyDescent="0.3">
      <c r="A209" s="85"/>
      <c r="B209" s="135" t="s">
        <v>87</v>
      </c>
      <c r="C209" s="135" t="s">
        <v>140</v>
      </c>
      <c r="D209" s="136" t="s">
        <v>87</v>
      </c>
      <c r="E209" s="136" t="s">
        <v>140</v>
      </c>
    </row>
    <row r="210" spans="1:8" s="22" customFormat="1" ht="42" x14ac:dyDescent="0.4">
      <c r="A210" s="85"/>
      <c r="B210" s="137" t="s">
        <v>89</v>
      </c>
      <c r="C210" s="137" t="s">
        <v>205</v>
      </c>
      <c r="D210" s="22" t="s">
        <v>89</v>
      </c>
      <c r="F210" s="22" t="str">
        <f>IF(NOT(ISBLANK(D210)),D210,IF(NOT(ISBLANK(E210)),"     "&amp;E210,FALSE))</f>
        <v>Afectación Económica o presupuestal</v>
      </c>
      <c r="G210" s="22" t="s">
        <v>89</v>
      </c>
      <c r="H210" s="22" t="str">
        <f>IF(NOT(ISERROR(MATCH(G210,_xlfn.ANCHORARRAY(B221),0))),F223&amp;"Por favor no seleccionar los criterios de impacto",G210)</f>
        <v>❌Por favor no seleccionar los criterios de impacto</v>
      </c>
    </row>
    <row r="211" spans="1:8" s="22" customFormat="1" ht="42" x14ac:dyDescent="0.4">
      <c r="A211" s="85"/>
      <c r="B211" s="137" t="s">
        <v>89</v>
      </c>
      <c r="C211" s="137" t="s">
        <v>206</v>
      </c>
      <c r="E211" s="22" t="s">
        <v>205</v>
      </c>
      <c r="F211" s="22" t="str">
        <f t="shared" ref="F211:F221" si="0">IF(NOT(ISBLANK(D211)),D211,IF(NOT(ISBLANK(E211)),"     "&amp;E211,FALSE))</f>
        <v xml:space="preserve">     Afectación menor a 200 SMLMV</v>
      </c>
    </row>
    <row r="212" spans="1:8" s="22" customFormat="1" ht="42" x14ac:dyDescent="0.4">
      <c r="A212" s="85"/>
      <c r="B212" s="137" t="s">
        <v>89</v>
      </c>
      <c r="C212" s="137" t="s">
        <v>210</v>
      </c>
      <c r="E212" s="22" t="s">
        <v>206</v>
      </c>
      <c r="F212" s="22" t="str">
        <f t="shared" si="0"/>
        <v xml:space="preserve">     Entre 200 y 1000 SMLMV</v>
      </c>
    </row>
    <row r="213" spans="1:8" s="22" customFormat="1" ht="42" x14ac:dyDescent="0.4">
      <c r="A213" s="85"/>
      <c r="B213" s="137" t="s">
        <v>89</v>
      </c>
      <c r="C213" s="137" t="s">
        <v>211</v>
      </c>
      <c r="E213" s="22" t="s">
        <v>210</v>
      </c>
      <c r="F213" s="22" t="str">
        <f t="shared" si="0"/>
        <v xml:space="preserve">     Entre 1000 y 5000 SMLMV </v>
      </c>
    </row>
    <row r="214" spans="1:8" s="22" customFormat="1" ht="42" x14ac:dyDescent="0.4">
      <c r="A214" s="85"/>
      <c r="B214" s="137" t="s">
        <v>89</v>
      </c>
      <c r="C214" s="137" t="s">
        <v>207</v>
      </c>
      <c r="E214" s="22" t="s">
        <v>211</v>
      </c>
      <c r="F214" s="22" t="str">
        <f t="shared" si="0"/>
        <v xml:space="preserve">     Entre 5000 y 10000 SMLMV</v>
      </c>
    </row>
    <row r="215" spans="1:8" s="22" customFormat="1" ht="21" x14ac:dyDescent="0.4">
      <c r="A215" s="85"/>
      <c r="B215" s="137" t="s">
        <v>57</v>
      </c>
      <c r="C215" s="137" t="s">
        <v>92</v>
      </c>
      <c r="E215" s="22" t="s">
        <v>207</v>
      </c>
      <c r="F215" s="22" t="str">
        <f t="shared" si="0"/>
        <v xml:space="preserve">     Mayor a 10000 SMLMV</v>
      </c>
    </row>
    <row r="216" spans="1:8" s="22" customFormat="1" ht="63" x14ac:dyDescent="0.4">
      <c r="A216" s="85"/>
      <c r="B216" s="137" t="s">
        <v>57</v>
      </c>
      <c r="C216" s="137" t="s">
        <v>93</v>
      </c>
      <c r="D216" s="22" t="s">
        <v>57</v>
      </c>
      <c r="F216" s="22" t="str">
        <f t="shared" si="0"/>
        <v>Pérdida Reputacional</v>
      </c>
    </row>
    <row r="217" spans="1:8" s="22" customFormat="1" ht="42" x14ac:dyDescent="0.4">
      <c r="A217" s="85"/>
      <c r="B217" s="137" t="s">
        <v>57</v>
      </c>
      <c r="C217" s="137" t="s">
        <v>95</v>
      </c>
      <c r="E217" s="22" t="s">
        <v>92</v>
      </c>
      <c r="F217" s="22" t="str">
        <f>IF(NOT(ISBLANK(D217)),D217,IF(NOT(ISBLANK(E217)),"     "&amp;E217,FALSE))</f>
        <v xml:space="preserve">     El riesgo afecta la imagen de alguna área de la organización</v>
      </c>
    </row>
    <row r="218" spans="1:8" s="22" customFormat="1" ht="63" x14ac:dyDescent="0.4">
      <c r="A218" s="85"/>
      <c r="B218" s="137" t="s">
        <v>57</v>
      </c>
      <c r="C218" s="137" t="s">
        <v>94</v>
      </c>
      <c r="E218" s="22" t="s">
        <v>93</v>
      </c>
      <c r="F218" s="22" t="str">
        <f t="shared" si="0"/>
        <v xml:space="preserve">     El riesgo afecta la imagen de la entidad internamente, de conocimiento general, nivel interno, de junta dircetiva y accionistas y/o de provedores</v>
      </c>
    </row>
    <row r="219" spans="1:8" s="22" customFormat="1" ht="42" x14ac:dyDescent="0.4">
      <c r="A219" s="85"/>
      <c r="B219" s="137" t="s">
        <v>57</v>
      </c>
      <c r="C219" s="137" t="s">
        <v>113</v>
      </c>
      <c r="E219" s="22" t="s">
        <v>95</v>
      </c>
      <c r="F219" s="22" t="str">
        <f t="shared" si="0"/>
        <v xml:space="preserve">     El riesgo afecta la imagen de la entidad con algunos usuarios de relevancia frente al logro de los objetivos</v>
      </c>
    </row>
    <row r="220" spans="1:8" s="22" customFormat="1" x14ac:dyDescent="0.3">
      <c r="A220" s="85"/>
      <c r="E220" s="22" t="s">
        <v>94</v>
      </c>
      <c r="F220" s="22" t="str">
        <f t="shared" si="0"/>
        <v xml:space="preserve">     El riesgo afecta la imagen de de la entidad con efecto publicitario sostenido a nivel de sector administrativo, nivel departamental o municipal</v>
      </c>
    </row>
    <row r="221" spans="1:8" s="22" customFormat="1" x14ac:dyDescent="0.3">
      <c r="A221" s="85"/>
      <c r="B221" s="22" t="str">
        <f t="array" ref="B221:B223">_xlfn.UNIQUE(Tabla1[[#All],[Criterios]])</f>
        <v>Criterios</v>
      </c>
      <c r="E221" s="22" t="s">
        <v>113</v>
      </c>
      <c r="F221" s="22" t="str">
        <f t="shared" si="0"/>
        <v xml:space="preserve">     El riesgo afecta la imagen de la entidad a nivel nacional, con efecto publicitarios sostenible a nivel país</v>
      </c>
    </row>
    <row r="222" spans="1:8" s="22" customFormat="1" x14ac:dyDescent="0.3">
      <c r="A222" s="85"/>
      <c r="B222" s="22" t="str">
        <v>Afectación Económica o presupuestal</v>
      </c>
    </row>
    <row r="223" spans="1:8" s="22" customFormat="1" x14ac:dyDescent="0.3">
      <c r="B223" s="22" t="str">
        <v>Pérdida Reputacional</v>
      </c>
      <c r="F223" s="138" t="s">
        <v>141</v>
      </c>
    </row>
    <row r="224" spans="1:8" s="22" customFormat="1" x14ac:dyDescent="0.3">
      <c r="F224" s="138" t="s">
        <v>142</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7" tint="-0.249977111117893"/>
  </sheetPr>
  <dimension ref="B1:F16"/>
  <sheetViews>
    <sheetView workbookViewId="0">
      <selection activeCell="F13" sqref="F13"/>
    </sheetView>
  </sheetViews>
  <sheetFormatPr baseColWidth="10" defaultColWidth="14.33203125" defaultRowHeight="13.8" x14ac:dyDescent="0.3"/>
  <cols>
    <col min="1" max="2" width="14.33203125" style="70"/>
    <col min="3" max="3" width="17" style="70" customWidth="1"/>
    <col min="4" max="4" width="14.33203125" style="70"/>
    <col min="5" max="5" width="46" style="70" customWidth="1"/>
    <col min="6" max="16384" width="14.33203125" style="70"/>
  </cols>
  <sheetData>
    <row r="1" spans="2:6" ht="24" customHeight="1" thickBot="1" x14ac:dyDescent="0.35">
      <c r="B1" s="883" t="s">
        <v>77</v>
      </c>
      <c r="C1" s="884"/>
      <c r="D1" s="884"/>
      <c r="E1" s="884"/>
      <c r="F1" s="885"/>
    </row>
    <row r="2" spans="2:6" ht="16.2" thickBot="1" x14ac:dyDescent="0.35">
      <c r="B2" s="71"/>
      <c r="C2" s="71"/>
      <c r="D2" s="71"/>
      <c r="E2" s="71"/>
      <c r="F2" s="71"/>
    </row>
    <row r="3" spans="2:6" ht="16.2" thickBot="1" x14ac:dyDescent="0.35">
      <c r="B3" s="887" t="s">
        <v>63</v>
      </c>
      <c r="C3" s="888"/>
      <c r="D3" s="888"/>
      <c r="E3" s="83" t="s">
        <v>64</v>
      </c>
      <c r="F3" s="84" t="s">
        <v>65</v>
      </c>
    </row>
    <row r="4" spans="2:6" ht="31.2" x14ac:dyDescent="0.3">
      <c r="B4" s="889" t="s">
        <v>66</v>
      </c>
      <c r="C4" s="891" t="s">
        <v>13</v>
      </c>
      <c r="D4" s="72" t="s">
        <v>14</v>
      </c>
      <c r="E4" s="73" t="s">
        <v>67</v>
      </c>
      <c r="F4" s="74">
        <v>0.25</v>
      </c>
    </row>
    <row r="5" spans="2:6" ht="46.8" x14ac:dyDescent="0.3">
      <c r="B5" s="890"/>
      <c r="C5" s="892"/>
      <c r="D5" s="75" t="s">
        <v>15</v>
      </c>
      <c r="E5" s="76" t="s">
        <v>68</v>
      </c>
      <c r="F5" s="77">
        <v>0.15</v>
      </c>
    </row>
    <row r="6" spans="2:6" ht="46.8" x14ac:dyDescent="0.3">
      <c r="B6" s="890"/>
      <c r="C6" s="892"/>
      <c r="D6" s="75" t="s">
        <v>16</v>
      </c>
      <c r="E6" s="76" t="s">
        <v>69</v>
      </c>
      <c r="F6" s="77">
        <v>0.1</v>
      </c>
    </row>
    <row r="7" spans="2:6" ht="62.4" x14ac:dyDescent="0.3">
      <c r="B7" s="890"/>
      <c r="C7" s="892" t="s">
        <v>17</v>
      </c>
      <c r="D7" s="75" t="s">
        <v>10</v>
      </c>
      <c r="E7" s="76" t="s">
        <v>70</v>
      </c>
      <c r="F7" s="77">
        <v>0.25</v>
      </c>
    </row>
    <row r="8" spans="2:6" ht="31.2" x14ac:dyDescent="0.3">
      <c r="B8" s="890"/>
      <c r="C8" s="892"/>
      <c r="D8" s="75" t="s">
        <v>9</v>
      </c>
      <c r="E8" s="76" t="s">
        <v>71</v>
      </c>
      <c r="F8" s="77">
        <v>0.15</v>
      </c>
    </row>
    <row r="9" spans="2:6" ht="46.8" x14ac:dyDescent="0.3">
      <c r="B9" s="890" t="s">
        <v>151</v>
      </c>
      <c r="C9" s="892" t="s">
        <v>18</v>
      </c>
      <c r="D9" s="75" t="s">
        <v>19</v>
      </c>
      <c r="E9" s="76" t="s">
        <v>72</v>
      </c>
      <c r="F9" s="78" t="s">
        <v>73</v>
      </c>
    </row>
    <row r="10" spans="2:6" ht="46.8" x14ac:dyDescent="0.3">
      <c r="B10" s="890"/>
      <c r="C10" s="892"/>
      <c r="D10" s="75" t="s">
        <v>20</v>
      </c>
      <c r="E10" s="76" t="s">
        <v>74</v>
      </c>
      <c r="F10" s="78" t="s">
        <v>73</v>
      </c>
    </row>
    <row r="11" spans="2:6" ht="46.8" x14ac:dyDescent="0.3">
      <c r="B11" s="890"/>
      <c r="C11" s="892" t="s">
        <v>21</v>
      </c>
      <c r="D11" s="75" t="s">
        <v>22</v>
      </c>
      <c r="E11" s="76" t="s">
        <v>75</v>
      </c>
      <c r="F11" s="78" t="s">
        <v>73</v>
      </c>
    </row>
    <row r="12" spans="2:6" ht="46.8" x14ac:dyDescent="0.3">
      <c r="B12" s="890"/>
      <c r="C12" s="892"/>
      <c r="D12" s="75" t="s">
        <v>23</v>
      </c>
      <c r="E12" s="76" t="s">
        <v>76</v>
      </c>
      <c r="F12" s="78" t="s">
        <v>73</v>
      </c>
    </row>
    <row r="13" spans="2:6" ht="31.2" x14ac:dyDescent="0.3">
      <c r="B13" s="890"/>
      <c r="C13" s="892" t="s">
        <v>24</v>
      </c>
      <c r="D13" s="75" t="s">
        <v>114</v>
      </c>
      <c r="E13" s="76" t="s">
        <v>117</v>
      </c>
      <c r="F13" s="78" t="s">
        <v>73</v>
      </c>
    </row>
    <row r="14" spans="2:6" ht="16.2" thickBot="1" x14ac:dyDescent="0.35">
      <c r="B14" s="893"/>
      <c r="C14" s="894"/>
      <c r="D14" s="79" t="s">
        <v>115</v>
      </c>
      <c r="E14" s="80" t="s">
        <v>116</v>
      </c>
      <c r="F14" s="81" t="s">
        <v>73</v>
      </c>
    </row>
    <row r="15" spans="2:6" ht="49.5" customHeight="1" x14ac:dyDescent="0.3">
      <c r="B15" s="886" t="s">
        <v>148</v>
      </c>
      <c r="C15" s="886"/>
      <c r="D15" s="886"/>
      <c r="E15" s="886"/>
      <c r="F15" s="886"/>
    </row>
    <row r="16" spans="2:6" ht="27" customHeight="1" x14ac:dyDescent="0.3">
      <c r="B16" s="8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3:A21"/>
  <sheetViews>
    <sheetView workbookViewId="0"/>
  </sheetViews>
  <sheetFormatPr baseColWidth="10" defaultColWidth="11.44140625" defaultRowHeight="13.8" x14ac:dyDescent="0.3"/>
  <cols>
    <col min="1" max="1" width="32.88671875" style="8" customWidth="1"/>
    <col min="2" max="16384" width="11.44140625" style="8"/>
  </cols>
  <sheetData>
    <row r="3" spans="1:1" x14ac:dyDescent="0.3">
      <c r="A3" s="9" t="s">
        <v>14</v>
      </c>
    </row>
    <row r="4" spans="1:1" x14ac:dyDescent="0.3">
      <c r="A4" s="9" t="s">
        <v>15</v>
      </c>
    </row>
    <row r="5" spans="1:1" x14ac:dyDescent="0.3">
      <c r="A5" s="9" t="s">
        <v>16</v>
      </c>
    </row>
    <row r="6" spans="1:1" x14ac:dyDescent="0.3">
      <c r="A6" s="9" t="s">
        <v>10</v>
      </c>
    </row>
    <row r="7" spans="1:1" x14ac:dyDescent="0.3">
      <c r="A7" s="9" t="s">
        <v>9</v>
      </c>
    </row>
    <row r="8" spans="1:1" x14ac:dyDescent="0.3">
      <c r="A8" s="9" t="s">
        <v>19</v>
      </c>
    </row>
    <row r="9" spans="1:1" x14ac:dyDescent="0.3">
      <c r="A9" s="9" t="s">
        <v>20</v>
      </c>
    </row>
    <row r="10" spans="1:1" x14ac:dyDescent="0.3">
      <c r="A10" s="9" t="s">
        <v>22</v>
      </c>
    </row>
    <row r="11" spans="1:1" x14ac:dyDescent="0.3">
      <c r="A11" s="9" t="s">
        <v>23</v>
      </c>
    </row>
    <row r="12" spans="1:1" x14ac:dyDescent="0.3">
      <c r="A12" s="9" t="s">
        <v>25</v>
      </c>
    </row>
    <row r="13" spans="1:1" x14ac:dyDescent="0.3">
      <c r="A13" s="9" t="s">
        <v>26</v>
      </c>
    </row>
    <row r="14" spans="1:1" x14ac:dyDescent="0.3">
      <c r="A14" s="9" t="s">
        <v>27</v>
      </c>
    </row>
    <row r="16" spans="1:1" x14ac:dyDescent="0.3">
      <c r="A16" s="9" t="s">
        <v>30</v>
      </c>
    </row>
    <row r="17" spans="1:1" x14ac:dyDescent="0.3">
      <c r="A17" s="9" t="s">
        <v>31</v>
      </c>
    </row>
    <row r="18" spans="1:1" x14ac:dyDescent="0.3">
      <c r="A18" s="9" t="s">
        <v>32</v>
      </c>
    </row>
    <row r="20" spans="1:1" x14ac:dyDescent="0.3">
      <c r="A20" s="9" t="s">
        <v>40</v>
      </c>
    </row>
    <row r="21" spans="1:1" x14ac:dyDescent="0.3">
      <c r="A21" s="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lpstr>'Mapa final'!Títulos_a_imprimir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2024-10-31T00:54:11Z</cp:lastPrinted>
  <dcterms:created xsi:type="dcterms:W3CDTF">2020-03-24T23:12:47Z</dcterms:created>
  <dcterms:modified xsi:type="dcterms:W3CDTF">2025-04-17T23:53:38Z</dcterms:modified>
</cp:coreProperties>
</file>