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
    </mc:Choice>
  </mc:AlternateContent>
  <xr:revisionPtr revIDLastSave="0" documentId="13_ncr:1_{92676BCE-9C9A-4E08-855B-92FE5E987D97}" xr6:coauthVersionLast="47" xr6:coauthVersionMax="47" xr10:uidLastSave="{00000000-0000-0000-0000-000000000000}"/>
  <bookViews>
    <workbookView xWindow="-108" yWindow="-108" windowWidth="23256" windowHeight="12456" firstSheet="18" activeTab="19" xr2:uid="{00000000-000D-0000-FFFF-FFFF00000000}"/>
  </bookViews>
  <sheets>
    <sheet name="Hoja1" sheetId="1" state="hidden" r:id="rId1"/>
    <sheet name="LISTAS CONTEXTO" sheetId="2" state="hidden" r:id="rId2"/>
    <sheet name="matriz definicion riesgo" sheetId="3" state="hidden" r:id="rId3"/>
    <sheet name="IDENTIFICACION" sheetId="4" state="hidden" r:id="rId4"/>
    <sheet name="Hoja4" sheetId="5" state="hidden" r:id="rId5"/>
    <sheet name="Hoja5" sheetId="6" state="hidden" r:id="rId6"/>
    <sheet name="Hoja6" sheetId="7" state="hidden" r:id="rId7"/>
    <sheet name="Hoja7" sheetId="8" state="hidden" r:id="rId8"/>
    <sheet name="Hoja8" sheetId="9" state="hidden" r:id="rId9"/>
    <sheet name="Hoja9" sheetId="10" state="hidden" r:id="rId10"/>
    <sheet name="Hoja10" sheetId="11" state="hidden" r:id="rId11"/>
    <sheet name="Hoja11" sheetId="12" state="hidden" r:id="rId12"/>
    <sheet name="Hoja12" sheetId="13" state="hidden" r:id="rId13"/>
    <sheet name="Hoja3" sheetId="14" state="hidden" r:id="rId14"/>
    <sheet name="NOOO" sheetId="15" state="hidden" r:id="rId15"/>
    <sheet name="Hoja2" sheetId="16" state="hidden" r:id="rId16"/>
    <sheet name="CONSOLIDADO GESTION FISCAL 3BI " sheetId="28" r:id="rId17"/>
    <sheet name="CONSOLIDADO GESTION FISCAL 4BIM" sheetId="29" r:id="rId18"/>
    <sheet name="CONSOLIDADO GESTION FISCAL 5 BI" sheetId="30" r:id="rId19"/>
    <sheet name="CONSOLIDADO GESTION FISCAL 6BI" sheetId="31" r:id="rId20"/>
    <sheet name="NOO" sheetId="18" state="hidden" r:id="rId21"/>
    <sheet name="NO" sheetId="19"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0" i="31" l="1"/>
  <c r="W319" i="31"/>
  <c r="T319" i="31"/>
  <c r="Q319" i="31"/>
  <c r="P319" i="31"/>
  <c r="N319" i="31"/>
  <c r="K319" i="31"/>
  <c r="L319" i="31" s="1"/>
  <c r="N318" i="31"/>
  <c r="W317" i="31"/>
  <c r="T317" i="31"/>
  <c r="AE317" i="31" s="1"/>
  <c r="AD317" i="31" s="1"/>
  <c r="Q317" i="31"/>
  <c r="P317" i="31"/>
  <c r="N317" i="31"/>
  <c r="K317" i="31"/>
  <c r="L317" i="31" s="1"/>
  <c r="W315" i="31"/>
  <c r="T315" i="31"/>
  <c r="AE315" i="31" s="1"/>
  <c r="AD315" i="31" s="1"/>
  <c r="P315" i="31"/>
  <c r="N315" i="31"/>
  <c r="K315" i="31"/>
  <c r="Q315" i="31" s="1"/>
  <c r="AA319" i="31" l="1"/>
  <c r="AE319" i="31"/>
  <c r="AD319" i="31" s="1"/>
  <c r="AA317" i="31"/>
  <c r="L315" i="31"/>
  <c r="AA315" i="31" s="1"/>
  <c r="AC315" i="31" l="1"/>
  <c r="AB315" i="31"/>
  <c r="AF315" i="31" s="1"/>
  <c r="AB317" i="31"/>
  <c r="AF317" i="31" s="1"/>
  <c r="AC317" i="31"/>
  <c r="AB319" i="31"/>
  <c r="AF319" i="31" s="1"/>
  <c r="AC319" i="31"/>
  <c r="AA308" i="31" l="1"/>
  <c r="AC308" i="31" s="1"/>
  <c r="W308" i="31"/>
  <c r="T308" i="31"/>
  <c r="AE308" i="31" s="1"/>
  <c r="AD308" i="31" s="1"/>
  <c r="N308" i="31"/>
  <c r="W307" i="31"/>
  <c r="T307" i="31"/>
  <c r="N307" i="31"/>
  <c r="W306" i="31"/>
  <c r="N306" i="31"/>
  <c r="W305" i="31"/>
  <c r="T305" i="31"/>
  <c r="N305" i="31"/>
  <c r="W304" i="31"/>
  <c r="T304" i="31"/>
  <c r="N304" i="31"/>
  <c r="O304" i="31" s="1"/>
  <c r="P304" i="31" s="1"/>
  <c r="K304" i="31"/>
  <c r="L304" i="31" s="1"/>
  <c r="AB308" i="31" l="1"/>
  <c r="AF308" i="31" s="1"/>
  <c r="Q304" i="31"/>
  <c r="AA304" i="31"/>
  <c r="AE304" i="31"/>
  <c r="AD304" i="31" s="1"/>
  <c r="AC304" i="31" l="1"/>
  <c r="AA305" i="31" s="1"/>
  <c r="AB304" i="31"/>
  <c r="AF304" i="31" s="1"/>
  <c r="AE305" i="31"/>
  <c r="AD305" i="31" l="1"/>
  <c r="AE306" i="31"/>
  <c r="AB305" i="31"/>
  <c r="AF305" i="31" s="1"/>
  <c r="AC305" i="31"/>
  <c r="AA306" i="31" l="1"/>
  <c r="AA307" i="31"/>
  <c r="AD306" i="31"/>
  <c r="AE307" i="31"/>
  <c r="AD307" i="31" s="1"/>
  <c r="AC307" i="31" l="1"/>
  <c r="AB307" i="31"/>
  <c r="AF307" i="31" s="1"/>
  <c r="AC306" i="31"/>
  <c r="AB306" i="31"/>
  <c r="AF306" i="31" s="1"/>
  <c r="N293" i="31" l="1"/>
  <c r="N292" i="31"/>
  <c r="N291" i="31"/>
  <c r="N290" i="31"/>
  <c r="N289" i="31"/>
  <c r="AC288" i="31"/>
  <c r="AB288" i="31"/>
  <c r="AF288" i="31" s="1"/>
  <c r="W288" i="31"/>
  <c r="N288" i="31"/>
  <c r="O288" i="31" s="1"/>
  <c r="K288" i="31"/>
  <c r="L288" i="31" s="1"/>
  <c r="N287" i="31"/>
  <c r="AC286" i="31"/>
  <c r="AB286" i="31"/>
  <c r="AF286" i="31" s="1"/>
  <c r="W286" i="31"/>
  <c r="N286" i="31"/>
  <c r="N285" i="31"/>
  <c r="N284" i="31"/>
  <c r="N283" i="31"/>
  <c r="AF282" i="31"/>
  <c r="AC282" i="31"/>
  <c r="AB282" i="31"/>
  <c r="W282" i="31"/>
  <c r="N282" i="31"/>
  <c r="O282" i="31" s="1"/>
  <c r="L282" i="31"/>
  <c r="K282" i="31"/>
  <c r="P282" i="31" l="1"/>
  <c r="Q282" i="31"/>
  <c r="P288" i="31"/>
  <c r="Q288" i="31"/>
  <c r="W270" i="31"/>
  <c r="T270" i="31"/>
  <c r="N270" i="31"/>
  <c r="O270" i="31" s="1"/>
  <c r="P270" i="31" s="1"/>
  <c r="K270" i="31"/>
  <c r="L270" i="31" s="1"/>
  <c r="W268" i="31"/>
  <c r="T268" i="31"/>
  <c r="AE268" i="31" s="1"/>
  <c r="AD268" i="31" s="1"/>
  <c r="N268" i="31"/>
  <c r="W267" i="31"/>
  <c r="T267" i="31"/>
  <c r="N267" i="31"/>
  <c r="O267" i="31" s="1"/>
  <c r="P267" i="31" s="1"/>
  <c r="K267" i="31"/>
  <c r="L267" i="31" s="1"/>
  <c r="N266" i="31"/>
  <c r="N265" i="31"/>
  <c r="W264" i="31"/>
  <c r="T264" i="31"/>
  <c r="N264" i="31"/>
  <c r="W263" i="31"/>
  <c r="T263" i="31"/>
  <c r="N263" i="31"/>
  <c r="O263" i="31" s="1"/>
  <c r="K263" i="31"/>
  <c r="L263" i="31" s="1"/>
  <c r="AE267" i="31" l="1"/>
  <c r="AD267" i="31" s="1"/>
  <c r="Q270" i="31"/>
  <c r="Q263" i="31"/>
  <c r="P263" i="31"/>
  <c r="AE263" i="31" s="1"/>
  <c r="AE270" i="31"/>
  <c r="AD270" i="31" s="1"/>
  <c r="Q267" i="31"/>
  <c r="AA270" i="31"/>
  <c r="AA267" i="31"/>
  <c r="AA268" i="31"/>
  <c r="AA263" i="31"/>
  <c r="AD263" i="31" l="1"/>
  <c r="AE264" i="31"/>
  <c r="AD264" i="31" s="1"/>
  <c r="AC267" i="31"/>
  <c r="AB267" i="31"/>
  <c r="AF267" i="31" s="1"/>
  <c r="AB268" i="31"/>
  <c r="AF268" i="31" s="1"/>
  <c r="AC268" i="31"/>
  <c r="AC270" i="31"/>
  <c r="AB270" i="31"/>
  <c r="AF270" i="31" s="1"/>
  <c r="AC263" i="31"/>
  <c r="AA264" i="31" s="1"/>
  <c r="AB263" i="31"/>
  <c r="AF263" i="31" s="1"/>
  <c r="AB264" i="31" l="1"/>
  <c r="AF264" i="31" s="1"/>
  <c r="AC264" i="31"/>
  <c r="W253" i="31" l="1"/>
  <c r="T253" i="31"/>
  <c r="N253" i="31"/>
  <c r="W252" i="31"/>
  <c r="T252" i="31"/>
  <c r="N252" i="31"/>
  <c r="W251" i="31"/>
  <c r="T251" i="31"/>
  <c r="N251" i="31"/>
  <c r="O251" i="31" s="1"/>
  <c r="P251" i="31" s="1"/>
  <c r="K251" i="31"/>
  <c r="L251" i="31" s="1"/>
  <c r="AE251" i="31" l="1"/>
  <c r="AD251" i="31" s="1"/>
  <c r="AA251" i="31"/>
  <c r="Q251" i="31"/>
  <c r="AC251" i="31" l="1"/>
  <c r="AB251" i="31"/>
  <c r="AF251" i="31" s="1"/>
  <c r="W241" i="31" l="1"/>
  <c r="T241" i="31"/>
  <c r="N241" i="31"/>
  <c r="O241" i="31" s="1"/>
  <c r="K241" i="31"/>
  <c r="L241" i="31" s="1"/>
  <c r="W240" i="31"/>
  <c r="T240" i="31"/>
  <c r="N240" i="31"/>
  <c r="O240" i="31" s="1"/>
  <c r="P240" i="31" s="1"/>
  <c r="K240" i="31"/>
  <c r="L240" i="31" s="1"/>
  <c r="W239" i="31"/>
  <c r="T239" i="31"/>
  <c r="N239" i="31"/>
  <c r="W238" i="31"/>
  <c r="T238" i="31"/>
  <c r="N238" i="31"/>
  <c r="O238" i="31" s="1"/>
  <c r="P238" i="31" s="1"/>
  <c r="K238" i="31"/>
  <c r="W237" i="31"/>
  <c r="T237" i="31"/>
  <c r="N237" i="31"/>
  <c r="W236" i="31"/>
  <c r="T236" i="31"/>
  <c r="N236" i="31"/>
  <c r="W235" i="31"/>
  <c r="T235" i="31"/>
  <c r="N235" i="31"/>
  <c r="W234" i="31"/>
  <c r="T234" i="31"/>
  <c r="S234" i="31"/>
  <c r="N234" i="31"/>
  <c r="O234" i="31" s="1"/>
  <c r="P234" i="31" s="1"/>
  <c r="AE234" i="31" s="1"/>
  <c r="AD234" i="31" s="1"/>
  <c r="K234" i="31"/>
  <c r="L234" i="31" s="1"/>
  <c r="AA241" i="31" l="1"/>
  <c r="AB241" i="31" s="1"/>
  <c r="AE235" i="31"/>
  <c r="AD235" i="31" s="1"/>
  <c r="AE236" i="31"/>
  <c r="AD236" i="31" s="1"/>
  <c r="AA236" i="31"/>
  <c r="AC236" i="31" s="1"/>
  <c r="AA237" i="31"/>
  <c r="AC237" i="31" s="1"/>
  <c r="AA235" i="31"/>
  <c r="AB235" i="31" s="1"/>
  <c r="AE240" i="31"/>
  <c r="AD240" i="31" s="1"/>
  <c r="Q241" i="31"/>
  <c r="P241" i="31"/>
  <c r="AE241" i="31" s="1"/>
  <c r="AD241" i="31" s="1"/>
  <c r="Q240" i="31"/>
  <c r="Q238" i="31"/>
  <c r="AE237" i="31"/>
  <c r="AD237" i="31" s="1"/>
  <c r="AE238" i="31"/>
  <c r="L238" i="31"/>
  <c r="AA238" i="31" s="1"/>
  <c r="AA234" i="31"/>
  <c r="AA240" i="31"/>
  <c r="Q234" i="31"/>
  <c r="AB237" i="31" l="1"/>
  <c r="AC241" i="31"/>
  <c r="AC235" i="31"/>
  <c r="AF235" i="31"/>
  <c r="AB236" i="31"/>
  <c r="AF236" i="31" s="1"/>
  <c r="AF237" i="31"/>
  <c r="AB238" i="31"/>
  <c r="AC238" i="31"/>
  <c r="AA239" i="31" s="1"/>
  <c r="AE239" i="31"/>
  <c r="AD239" i="31" s="1"/>
  <c r="AD238" i="31"/>
  <c r="AF241" i="31"/>
  <c r="AC234" i="31"/>
  <c r="AB234" i="31"/>
  <c r="AF234" i="31" s="1"/>
  <c r="AC240" i="31"/>
  <c r="AB240" i="31"/>
  <c r="AF240" i="31" s="1"/>
  <c r="AC239" i="31" l="1"/>
  <c r="AB239" i="31"/>
  <c r="AF239" i="31" s="1"/>
  <c r="AF238" i="31"/>
  <c r="W223" i="31" l="1"/>
  <c r="T223" i="31"/>
  <c r="N223" i="31"/>
  <c r="O223" i="31" s="1"/>
  <c r="P223" i="31" s="1"/>
  <c r="AE223" i="31" s="1"/>
  <c r="AD223" i="31" s="1"/>
  <c r="K223" i="31"/>
  <c r="W222" i="31"/>
  <c r="T222" i="31"/>
  <c r="N222" i="31"/>
  <c r="K222" i="31"/>
  <c r="L222" i="31" s="1"/>
  <c r="W221" i="31"/>
  <c r="T221" i="31"/>
  <c r="N221" i="31"/>
  <c r="K221" i="31"/>
  <c r="L221" i="31" s="1"/>
  <c r="W220" i="31"/>
  <c r="T220" i="31"/>
  <c r="N220" i="31"/>
  <c r="K220" i="31"/>
  <c r="L220" i="31" s="1"/>
  <c r="W219" i="31"/>
  <c r="T219" i="31"/>
  <c r="N219" i="31"/>
  <c r="O219" i="31" s="1"/>
  <c r="K219" i="31"/>
  <c r="L219" i="31" s="1"/>
  <c r="Q219" i="31" l="1"/>
  <c r="P219" i="31"/>
  <c r="Q223" i="31"/>
  <c r="L223" i="31"/>
  <c r="AA223" i="31" s="1"/>
  <c r="AA219" i="31"/>
  <c r="AE219" i="31"/>
  <c r="AD219" i="31" s="1"/>
  <c r="AC219" i="31" l="1"/>
  <c r="AA220" i="31" s="1"/>
  <c r="AB219" i="31"/>
  <c r="AF219" i="31" s="1"/>
  <c r="AC223" i="31"/>
  <c r="AB223" i="31"/>
  <c r="AF223" i="31" s="1"/>
  <c r="AE220" i="31"/>
  <c r="AC220" i="31" l="1"/>
  <c r="AA221" i="31" s="1"/>
  <c r="AB220" i="31"/>
  <c r="AD220" i="31"/>
  <c r="AE221" i="31"/>
  <c r="AD221" i="31" l="1"/>
  <c r="AE222" i="31"/>
  <c r="AD222" i="31" s="1"/>
  <c r="AC221" i="31"/>
  <c r="AA222" i="31" s="1"/>
  <c r="AB221" i="31"/>
  <c r="AC222" i="31" l="1"/>
  <c r="AB222" i="31"/>
  <c r="W209" i="31" l="1"/>
  <c r="T209" i="31"/>
  <c r="W208" i="31"/>
  <c r="T208" i="31"/>
  <c r="W207" i="31"/>
  <c r="T207" i="31"/>
  <c r="W206" i="31"/>
  <c r="T206" i="31"/>
  <c r="J206" i="31"/>
  <c r="K206" i="31" s="1"/>
  <c r="W196" i="31"/>
  <c r="T196" i="31"/>
  <c r="AE196" i="31" s="1"/>
  <c r="AD196" i="31" s="1"/>
  <c r="W194" i="31"/>
  <c r="K194" i="31"/>
  <c r="L194" i="31" s="1"/>
  <c r="Z193" i="31"/>
  <c r="W193" i="31"/>
  <c r="T193" i="31"/>
  <c r="W192" i="31"/>
  <c r="T192" i="31"/>
  <c r="W191" i="31"/>
  <c r="T191" i="31"/>
  <c r="K191" i="31"/>
  <c r="L191" i="31" s="1"/>
  <c r="W190" i="31"/>
  <c r="T190" i="31"/>
  <c r="W189" i="31"/>
  <c r="T189" i="31"/>
  <c r="K189" i="31"/>
  <c r="L189" i="31" s="1"/>
  <c r="N191" i="31"/>
  <c r="O191" i="31" s="1"/>
  <c r="N206" i="31" l="1"/>
  <c r="O206" i="31" s="1"/>
  <c r="P206" i="31" s="1"/>
  <c r="AE206" i="31" s="1"/>
  <c r="L206" i="31"/>
  <c r="AA206" i="31" s="1"/>
  <c r="P191" i="31"/>
  <c r="AE191" i="31" s="1"/>
  <c r="Q191" i="31"/>
  <c r="N194" i="31"/>
  <c r="O194" i="31" s="1"/>
  <c r="N189" i="31"/>
  <c r="O189" i="31" s="1"/>
  <c r="P189" i="31" s="1"/>
  <c r="AE189" i="31" s="1"/>
  <c r="AD189" i="31" s="1"/>
  <c r="AA191" i="31"/>
  <c r="AA189" i="31"/>
  <c r="AD206" i="31" l="1"/>
  <c r="AE207" i="31"/>
  <c r="AE208" i="31" s="1"/>
  <c r="Q206" i="31"/>
  <c r="AC206" i="31"/>
  <c r="AA207" i="31" s="1"/>
  <c r="AB206" i="31"/>
  <c r="AD191" i="31"/>
  <c r="AE192" i="31"/>
  <c r="AC189" i="31"/>
  <c r="AA190" i="31" s="1"/>
  <c r="AB189" i="31"/>
  <c r="AF189" i="31" s="1"/>
  <c r="AE190" i="31"/>
  <c r="AD190" i="31" s="1"/>
  <c r="AC191" i="31"/>
  <c r="AA192" i="31" s="1"/>
  <c r="AB191" i="31"/>
  <c r="Q189" i="31"/>
  <c r="Q194" i="31"/>
  <c r="P194" i="31"/>
  <c r="AF191" i="31" l="1"/>
  <c r="AD207" i="31"/>
  <c r="AF206" i="31"/>
  <c r="AD208" i="31"/>
  <c r="AE209" i="31"/>
  <c r="AD209" i="31" s="1"/>
  <c r="AC207" i="31"/>
  <c r="AA208" i="31" s="1"/>
  <c r="AB207" i="31"/>
  <c r="AC190" i="31"/>
  <c r="AB190" i="31"/>
  <c r="AF190" i="31" s="1"/>
  <c r="AC192" i="31"/>
  <c r="AA193" i="31" s="1"/>
  <c r="AB192" i="31"/>
  <c r="AD192" i="31"/>
  <c r="AE193" i="31"/>
  <c r="AF207" i="31" l="1"/>
  <c r="AB208" i="31"/>
  <c r="AF208" i="31" s="1"/>
  <c r="AC208" i="31"/>
  <c r="AA209" i="31" s="1"/>
  <c r="AF192" i="31"/>
  <c r="AD193" i="31"/>
  <c r="AE194" i="31"/>
  <c r="AD194" i="31" s="1"/>
  <c r="AC193" i="31"/>
  <c r="AA194" i="31" s="1"/>
  <c r="AB193" i="31"/>
  <c r="AF193" i="31" l="1"/>
  <c r="AC209" i="31"/>
  <c r="AB209" i="31"/>
  <c r="AF209" i="31" s="1"/>
  <c r="AC194" i="31"/>
  <c r="AB194" i="31"/>
  <c r="AF194" i="31" s="1"/>
  <c r="AA196" i="31"/>
  <c r="AC196" i="31" l="1"/>
  <c r="AB196" i="31"/>
  <c r="AF196" i="31" s="1"/>
  <c r="W179" i="31" l="1"/>
  <c r="T179" i="31"/>
  <c r="N179" i="31"/>
  <c r="W178" i="31"/>
  <c r="T178" i="31"/>
  <c r="N178" i="31"/>
  <c r="W177" i="31"/>
  <c r="T177" i="31"/>
  <c r="N177" i="31"/>
  <c r="O177" i="31" s="1"/>
  <c r="P177" i="31" s="1"/>
  <c r="AE177" i="31" s="1"/>
  <c r="AD177" i="31" s="1"/>
  <c r="K177" i="31"/>
  <c r="Q177" i="31" l="1"/>
  <c r="AE178" i="31"/>
  <c r="AD178" i="31" s="1"/>
  <c r="L177" i="31"/>
  <c r="AA177" i="31" s="1"/>
  <c r="AE179" i="31" l="1"/>
  <c r="AD179" i="31" s="1"/>
  <c r="AC177" i="31"/>
  <c r="AA178" i="31" s="1"/>
  <c r="AB177" i="31"/>
  <c r="AF177" i="31" s="1"/>
  <c r="AC178" i="31" l="1"/>
  <c r="AA179" i="31" s="1"/>
  <c r="AB178" i="31"/>
  <c r="AF178" i="31" s="1"/>
  <c r="AC179" i="31" l="1"/>
  <c r="AB179" i="31"/>
  <c r="AF179" i="31" s="1"/>
  <c r="W166" i="31"/>
  <c r="T166" i="31"/>
  <c r="N166" i="31"/>
  <c r="W165" i="31"/>
  <c r="T165" i="31"/>
  <c r="N165" i="31"/>
  <c r="W164" i="31"/>
  <c r="T164" i="31"/>
  <c r="N164" i="31"/>
  <c r="W163" i="31"/>
  <c r="T163" i="31"/>
  <c r="N163" i="31"/>
  <c r="O163" i="31" s="1"/>
  <c r="P163" i="31" s="1"/>
  <c r="AE163" i="31" s="1"/>
  <c r="AD163" i="31" s="1"/>
  <c r="K163" i="31"/>
  <c r="L163" i="31" s="1"/>
  <c r="Q163" i="31" l="1"/>
  <c r="AA163" i="31"/>
  <c r="AE164" i="31"/>
  <c r="AD164" i="31" s="1"/>
  <c r="AB163" i="31" l="1"/>
  <c r="AF163" i="31" s="1"/>
  <c r="AC163" i="31"/>
  <c r="AA164" i="31" s="1"/>
  <c r="AE165" i="31"/>
  <c r="AD165" i="31" l="1"/>
  <c r="AE166" i="31"/>
  <c r="AD166" i="31" s="1"/>
  <c r="AC164" i="31"/>
  <c r="AB164" i="31"/>
  <c r="AF164" i="31" s="1"/>
  <c r="AA165" i="31" l="1"/>
  <c r="AA166" i="31"/>
  <c r="AB166" i="31" l="1"/>
  <c r="AF166" i="31" s="1"/>
  <c r="AC166" i="31"/>
  <c r="AB165" i="31"/>
  <c r="AF165" i="31" s="1"/>
  <c r="AC165" i="31"/>
  <c r="AH152" i="31" l="1"/>
  <c r="W152" i="31"/>
  <c r="AH151" i="31"/>
  <c r="W151" i="31"/>
  <c r="T151" i="31"/>
  <c r="N151" i="31"/>
  <c r="W150" i="31"/>
  <c r="T150" i="31"/>
  <c r="N150" i="31"/>
  <c r="AH149" i="31"/>
  <c r="W149" i="31"/>
  <c r="T149" i="31"/>
  <c r="N149" i="31"/>
  <c r="O149" i="31" s="1"/>
  <c r="P149" i="31" s="1"/>
  <c r="AE149" i="31" s="1"/>
  <c r="AD149" i="31" s="1"/>
  <c r="K149" i="31"/>
  <c r="AE150" i="31" l="1"/>
  <c r="AD150" i="31" s="1"/>
  <c r="Q149" i="31"/>
  <c r="L149" i="31"/>
  <c r="AA149" i="31" s="1"/>
  <c r="AE151" i="31"/>
  <c r="AD151" i="31" s="1"/>
  <c r="AC149" i="31" l="1"/>
  <c r="AA150" i="31" s="1"/>
  <c r="AB149" i="31"/>
  <c r="AF149" i="31" s="1"/>
  <c r="AE152" i="31"/>
  <c r="AD152" i="31" s="1"/>
  <c r="AC150" i="31" l="1"/>
  <c r="AA151" i="31" s="1"/>
  <c r="AB150" i="31"/>
  <c r="AF150" i="31" s="1"/>
  <c r="AB151" i="31" l="1"/>
  <c r="AF151" i="31" s="1"/>
  <c r="AC151" i="31"/>
  <c r="AA152" i="31" s="1"/>
  <c r="AB152" i="31" l="1"/>
  <c r="AF152" i="31" s="1"/>
  <c r="AC152" i="31"/>
  <c r="W138" i="31" l="1"/>
  <c r="T138" i="31"/>
  <c r="N138" i="31"/>
  <c r="O138" i="31" s="1"/>
  <c r="P138" i="31" s="1"/>
  <c r="K138" i="31"/>
  <c r="W137" i="31"/>
  <c r="T137" i="31"/>
  <c r="N137" i="31"/>
  <c r="O137" i="31" s="1"/>
  <c r="P137" i="31" s="1"/>
  <c r="K137" i="31"/>
  <c r="L137" i="31" s="1"/>
  <c r="W136" i="31"/>
  <c r="T136" i="31"/>
  <c r="N136" i="31"/>
  <c r="O136" i="31" s="1"/>
  <c r="P136" i="31" s="1"/>
  <c r="K136" i="31"/>
  <c r="L136" i="31" s="1"/>
  <c r="W135" i="31"/>
  <c r="T135" i="31"/>
  <c r="N135" i="31"/>
  <c r="O135" i="31" s="1"/>
  <c r="K135" i="31"/>
  <c r="L135" i="31" s="1"/>
  <c r="W134" i="31"/>
  <c r="T134" i="31"/>
  <c r="N134" i="31"/>
  <c r="O134" i="31" s="1"/>
  <c r="K134" i="31"/>
  <c r="L134" i="31" s="1"/>
  <c r="W133" i="31"/>
  <c r="T133" i="31"/>
  <c r="N133" i="31"/>
  <c r="O133" i="31" s="1"/>
  <c r="K133" i="31"/>
  <c r="L133" i="31" s="1"/>
  <c r="W132" i="31"/>
  <c r="T132" i="31"/>
  <c r="N132" i="31"/>
  <c r="O132" i="31" s="1"/>
  <c r="P132" i="31" s="1"/>
  <c r="AE132" i="31" s="1"/>
  <c r="AD132" i="31" s="1"/>
  <c r="J132" i="31"/>
  <c r="K132" i="31" s="1"/>
  <c r="AA135" i="31" l="1"/>
  <c r="AC135" i="31" s="1"/>
  <c r="AA134" i="31"/>
  <c r="AC134" i="31" s="1"/>
  <c r="Q138" i="31"/>
  <c r="Q135" i="31"/>
  <c r="P135" i="31"/>
  <c r="AE135" i="31" s="1"/>
  <c r="AD135" i="31" s="1"/>
  <c r="Q134" i="31"/>
  <c r="P134" i="31"/>
  <c r="AE134" i="31" s="1"/>
  <c r="AD134" i="31" s="1"/>
  <c r="P133" i="31"/>
  <c r="AE133" i="31" s="1"/>
  <c r="AD133" i="31" s="1"/>
  <c r="Q133" i="31"/>
  <c r="L132" i="31"/>
  <c r="AA132" i="31" s="1"/>
  <c r="Q132" i="31"/>
  <c r="Q136" i="31"/>
  <c r="Q137" i="31"/>
  <c r="L138" i="31"/>
  <c r="AA138" i="31" s="1"/>
  <c r="AE138" i="31"/>
  <c r="AD138" i="31" s="1"/>
  <c r="AA136" i="31"/>
  <c r="AE136" i="31"/>
  <c r="AD136" i="31" s="1"/>
  <c r="AA133" i="31"/>
  <c r="AB134" i="31" l="1"/>
  <c r="AF134" i="31" s="1"/>
  <c r="AB135" i="31"/>
  <c r="AF135" i="31" s="1"/>
  <c r="AC133" i="31"/>
  <c r="AB133" i="31"/>
  <c r="AF133" i="31" s="1"/>
  <c r="AE137" i="31"/>
  <c r="AD137" i="31" s="1"/>
  <c r="AC132" i="31"/>
  <c r="AB132" i="31"/>
  <c r="AF132" i="31" s="1"/>
  <c r="AC138" i="31"/>
  <c r="AB138" i="31"/>
  <c r="AF138" i="31" s="1"/>
  <c r="AC136" i="31"/>
  <c r="AA137" i="31" s="1"/>
  <c r="AB136" i="31"/>
  <c r="AF136" i="31" s="1"/>
  <c r="AB137" i="31" l="1"/>
  <c r="AF137" i="31" s="1"/>
  <c r="AC137" i="31"/>
  <c r="W122" i="31" l="1"/>
  <c r="T122" i="31"/>
  <c r="AE122" i="31" s="1"/>
  <c r="AD122" i="31" s="1"/>
  <c r="AF121" i="31"/>
  <c r="W121" i="31"/>
  <c r="T121" i="31"/>
  <c r="W119" i="31"/>
  <c r="T119" i="31"/>
  <c r="N119" i="31"/>
  <c r="K119" i="31"/>
  <c r="L119" i="31" s="1"/>
  <c r="W118" i="31"/>
  <c r="T118" i="31"/>
  <c r="W117" i="31"/>
  <c r="T117" i="31"/>
  <c r="W116" i="31"/>
  <c r="T116" i="31"/>
  <c r="N116" i="31"/>
  <c r="O119" i="31" s="1"/>
  <c r="P119" i="31" s="1"/>
  <c r="K116" i="31"/>
  <c r="AA119" i="31" l="1"/>
  <c r="AA121" i="31"/>
  <c r="AC121" i="31" s="1"/>
  <c r="AE121" i="31"/>
  <c r="AD121" i="31" s="1"/>
  <c r="AA118" i="31"/>
  <c r="AA117" i="31"/>
  <c r="AE119" i="31"/>
  <c r="AD119" i="31" s="1"/>
  <c r="AC119" i="31"/>
  <c r="AB119" i="31"/>
  <c r="O116" i="31"/>
  <c r="AA122" i="31"/>
  <c r="L116" i="31"/>
  <c r="AA116" i="31" s="1"/>
  <c r="AB121" i="31" l="1"/>
  <c r="AF122" i="31"/>
  <c r="AC116" i="31"/>
  <c r="AB116" i="31"/>
  <c r="AC122" i="31"/>
  <c r="AB122" i="31"/>
  <c r="P116" i="31"/>
  <c r="AE116" i="31" s="1"/>
  <c r="AD116" i="31" s="1"/>
  <c r="Q116" i="31"/>
  <c r="Q119" i="31"/>
  <c r="AF116" i="31" l="1"/>
  <c r="AF119" i="31"/>
  <c r="W106" i="31" l="1"/>
  <c r="T106" i="31"/>
  <c r="N106" i="31"/>
  <c r="W105" i="31"/>
  <c r="T105" i="31"/>
  <c r="N105" i="31"/>
  <c r="O105" i="31" s="1"/>
  <c r="P105" i="31" s="1"/>
  <c r="AE105" i="31" s="1"/>
  <c r="AD105" i="31" s="1"/>
  <c r="K105" i="31"/>
  <c r="L105" i="31" s="1"/>
  <c r="W104" i="31"/>
  <c r="T104" i="31"/>
  <c r="N104" i="31"/>
  <c r="W103" i="31"/>
  <c r="T103" i="31"/>
  <c r="N103" i="31"/>
  <c r="N102" i="31"/>
  <c r="W101" i="31"/>
  <c r="T101" i="31"/>
  <c r="W100" i="31"/>
  <c r="T100" i="31"/>
  <c r="N100" i="31"/>
  <c r="O100" i="31" s="1"/>
  <c r="P100" i="31" s="1"/>
  <c r="K100" i="31"/>
  <c r="L100" i="31" s="1"/>
  <c r="W89" i="31"/>
  <c r="T89" i="31"/>
  <c r="N89" i="31"/>
  <c r="W88" i="31"/>
  <c r="T88" i="31"/>
  <c r="N88" i="31"/>
  <c r="O88" i="31" s="1"/>
  <c r="K88" i="31"/>
  <c r="L88" i="31" s="1"/>
  <c r="W87" i="31"/>
  <c r="T87" i="31"/>
  <c r="N87" i="31"/>
  <c r="W86" i="31"/>
  <c r="T86" i="31"/>
  <c r="N86" i="31"/>
  <c r="O86" i="31" s="1"/>
  <c r="P86" i="31" s="1"/>
  <c r="AE86" i="31" s="1"/>
  <c r="AD86" i="31" s="1"/>
  <c r="J86" i="31"/>
  <c r="K86" i="31" s="1"/>
  <c r="AA100" i="31" l="1"/>
  <c r="AC100" i="31" s="1"/>
  <c r="AA101" i="31" s="1"/>
  <c r="AE100" i="31"/>
  <c r="AD100" i="31" s="1"/>
  <c r="Q100" i="31"/>
  <c r="AA105" i="31"/>
  <c r="AE106" i="31"/>
  <c r="AD106" i="31" s="1"/>
  <c r="Q105" i="31"/>
  <c r="AA88" i="31"/>
  <c r="AC88" i="31" s="1"/>
  <c r="AA89" i="31" s="1"/>
  <c r="Q88" i="31"/>
  <c r="P88" i="31"/>
  <c r="AE88" i="31" s="1"/>
  <c r="Q86" i="31"/>
  <c r="L86" i="31"/>
  <c r="AA86" i="31" s="1"/>
  <c r="AE87" i="31"/>
  <c r="AD87" i="31" s="1"/>
  <c r="AB100" i="31" l="1"/>
  <c r="AE101" i="31"/>
  <c r="AC105" i="31"/>
  <c r="AA106" i="31" s="1"/>
  <c r="AB105" i="31"/>
  <c r="AF105" i="31" s="1"/>
  <c r="AE103" i="31"/>
  <c r="AD101" i="31"/>
  <c r="AF100" i="31"/>
  <c r="AC101" i="31"/>
  <c r="AA103" i="31" s="1"/>
  <c r="AB101" i="31"/>
  <c r="AF101" i="31" s="1"/>
  <c r="AB88" i="31"/>
  <c r="AD88" i="31"/>
  <c r="AE89" i="31"/>
  <c r="AD89" i="31" s="1"/>
  <c r="AC86" i="31"/>
  <c r="AA87" i="31" s="1"/>
  <c r="AB86" i="31"/>
  <c r="AF86" i="31" s="1"/>
  <c r="AC89" i="31"/>
  <c r="AB89" i="31"/>
  <c r="AF88" i="31" l="1"/>
  <c r="AF89" i="31"/>
  <c r="AC103" i="31"/>
  <c r="AA104" i="31" s="1"/>
  <c r="AB103" i="31"/>
  <c r="AD103" i="31"/>
  <c r="AE104" i="31"/>
  <c r="AD104" i="31" s="1"/>
  <c r="AB106" i="31"/>
  <c r="AF106" i="31" s="1"/>
  <c r="AC106" i="31"/>
  <c r="AC87" i="31"/>
  <c r="AB87" i="31"/>
  <c r="AF87" i="31" s="1"/>
  <c r="AF103" i="31" l="1"/>
  <c r="AC104" i="31"/>
  <c r="AB104" i="31"/>
  <c r="AF104" i="31" s="1"/>
  <c r="W75" i="31"/>
  <c r="T75" i="31"/>
  <c r="N75" i="31"/>
  <c r="W74" i="31"/>
  <c r="T74" i="31"/>
  <c r="N74" i="31"/>
  <c r="W73" i="31"/>
  <c r="T73" i="31"/>
  <c r="N73" i="31"/>
  <c r="W72" i="31"/>
  <c r="T72" i="31"/>
  <c r="N72" i="31"/>
  <c r="W71" i="31"/>
  <c r="T71" i="31"/>
  <c r="N71" i="31"/>
  <c r="O71" i="31" s="1"/>
  <c r="P71" i="31" s="1"/>
  <c r="AE71" i="31" s="1"/>
  <c r="K71" i="31"/>
  <c r="AE72" i="31" l="1"/>
  <c r="AD72" i="31" s="1"/>
  <c r="AD71" i="31"/>
  <c r="Q71" i="31"/>
  <c r="L71" i="31"/>
  <c r="AA71" i="31" s="1"/>
  <c r="AE74" i="31" l="1"/>
  <c r="AD74" i="31" s="1"/>
  <c r="AE73" i="31"/>
  <c r="AD73" i="31" s="1"/>
  <c r="AC71" i="31"/>
  <c r="AA72" i="31" s="1"/>
  <c r="AB71" i="31"/>
  <c r="AF71" i="31" s="1"/>
  <c r="AE75" i="31" l="1"/>
  <c r="AB72" i="31"/>
  <c r="AF72" i="31" s="1"/>
  <c r="AC72" i="31"/>
  <c r="AA73" i="31" s="1"/>
  <c r="AC73" i="31" l="1"/>
  <c r="AB73" i="31"/>
  <c r="AF73" i="31" s="1"/>
  <c r="AA74" i="31" l="1"/>
  <c r="AA75" i="31"/>
  <c r="AC75" i="31" s="1"/>
  <c r="AC74" i="31" l="1"/>
  <c r="AB74" i="31"/>
  <c r="AF74" i="31" s="1"/>
  <c r="W61" i="31" l="1"/>
  <c r="T61" i="31"/>
  <c r="AE61" i="31" s="1"/>
  <c r="AD61" i="31" s="1"/>
  <c r="W60" i="31"/>
  <c r="T60" i="31"/>
  <c r="W59" i="31"/>
  <c r="T59" i="31"/>
  <c r="K59" i="31"/>
  <c r="L59" i="31" s="1"/>
  <c r="W57" i="31"/>
  <c r="T57" i="31"/>
  <c r="AA58" i="31" s="1"/>
  <c r="K57" i="31"/>
  <c r="L57" i="31" s="1"/>
  <c r="W55" i="31"/>
  <c r="T55" i="31"/>
  <c r="K55" i="31"/>
  <c r="L55" i="31" s="1"/>
  <c r="AE60" i="31" l="1"/>
  <c r="AD60" i="31" s="1"/>
  <c r="AE57" i="31"/>
  <c r="AD57" i="31" s="1"/>
  <c r="AA57" i="31"/>
  <c r="AC57" i="31" s="1"/>
  <c r="AA61" i="31"/>
  <c r="AC61" i="31" s="1"/>
  <c r="AB58" i="31"/>
  <c r="AC58" i="31"/>
  <c r="AE58" i="31"/>
  <c r="AD58" i="31" s="1"/>
  <c r="AA60" i="31"/>
  <c r="AA55" i="31"/>
  <c r="AA59" i="31"/>
  <c r="AB61" i="31" l="1"/>
  <c r="AF61" i="31" s="1"/>
  <c r="AB57" i="31"/>
  <c r="AF57" i="31" s="1"/>
  <c r="AE59" i="31"/>
  <c r="AD59" i="31" s="1"/>
  <c r="AC60" i="31"/>
  <c r="AB60" i="31"/>
  <c r="AF60" i="31" s="1"/>
  <c r="AC59" i="31"/>
  <c r="AB59" i="31"/>
  <c r="AC55" i="31"/>
  <c r="AB55" i="31"/>
  <c r="AF58" i="31"/>
  <c r="AF59" i="31" l="1"/>
  <c r="N55" i="31"/>
  <c r="O55" i="31" s="1"/>
  <c r="P61" i="31" l="1"/>
  <c r="Q55" i="31"/>
  <c r="P55" i="31"/>
  <c r="AE55" i="31" s="1"/>
  <c r="AD55" i="31" s="1"/>
  <c r="AF55" i="31" s="1"/>
  <c r="W45" i="31" l="1"/>
  <c r="T45" i="31"/>
  <c r="W44" i="31"/>
  <c r="T44" i="31"/>
  <c r="W43" i="31"/>
  <c r="T43" i="31"/>
  <c r="N43" i="31"/>
  <c r="W42" i="31"/>
  <c r="T42" i="31"/>
  <c r="N42" i="31"/>
  <c r="O42" i="31" s="1"/>
  <c r="K42" i="31"/>
  <c r="L42" i="31" s="1"/>
  <c r="W41" i="31"/>
  <c r="T41" i="31"/>
  <c r="N41" i="31"/>
  <c r="W40" i="31"/>
  <c r="T40" i="31"/>
  <c r="N40" i="31"/>
  <c r="W39" i="31"/>
  <c r="T39" i="31"/>
  <c r="N39" i="31"/>
  <c r="W38" i="31"/>
  <c r="T38" i="31"/>
  <c r="N38" i="31"/>
  <c r="W37" i="31"/>
  <c r="T37" i="31"/>
  <c r="N37" i="31"/>
  <c r="O37" i="31" s="1"/>
  <c r="K37" i="31"/>
  <c r="L37" i="31" s="1"/>
  <c r="AA42" i="31" l="1"/>
  <c r="AC42" i="31" s="1"/>
  <c r="AA43" i="31" s="1"/>
  <c r="AA37" i="31"/>
  <c r="AB37" i="31" s="1"/>
  <c r="Q42" i="31"/>
  <c r="P42" i="31"/>
  <c r="AE42" i="31" s="1"/>
  <c r="P37" i="31"/>
  <c r="AE37" i="31" s="1"/>
  <c r="Q37" i="31"/>
  <c r="AC37" i="31" l="1"/>
  <c r="AA38" i="31" s="1"/>
  <c r="AC38" i="31" s="1"/>
  <c r="AA39" i="31" s="1"/>
  <c r="AD42" i="31"/>
  <c r="AE43" i="31"/>
  <c r="AD43" i="31" s="1"/>
  <c r="AB42" i="31"/>
  <c r="AD37" i="31"/>
  <c r="AF37" i="31" s="1"/>
  <c r="AE38" i="31"/>
  <c r="AC43" i="31"/>
  <c r="AA44" i="31" s="1"/>
  <c r="AB43" i="31"/>
  <c r="AF42" i="31"/>
  <c r="AE44" i="31" l="1"/>
  <c r="AD44" i="31" s="1"/>
  <c r="AB38" i="31"/>
  <c r="AF43" i="31"/>
  <c r="AB44" i="31"/>
  <c r="AC44" i="31"/>
  <c r="AA45" i="31" s="1"/>
  <c r="AB39" i="31"/>
  <c r="AC39" i="31"/>
  <c r="AA40" i="31" s="1"/>
  <c r="AE45" i="31"/>
  <c r="AD45" i="31" s="1"/>
  <c r="AD38" i="31"/>
  <c r="AF38" i="31" s="1"/>
  <c r="AE39" i="31"/>
  <c r="AD39" i="31" l="1"/>
  <c r="AE40" i="31"/>
  <c r="AC40" i="31"/>
  <c r="AA41" i="31" s="1"/>
  <c r="AB40" i="31"/>
  <c r="AC45" i="31"/>
  <c r="AB45" i="31"/>
  <c r="AF45" i="31" s="1"/>
  <c r="AF39" i="31"/>
  <c r="AF44" i="31"/>
  <c r="AD40" i="31" l="1"/>
  <c r="AF40" i="31" s="1"/>
  <c r="AE41" i="31"/>
  <c r="AD41" i="31" s="1"/>
  <c r="AC41" i="31"/>
  <c r="AB41" i="31"/>
  <c r="AF41" i="31" l="1"/>
  <c r="W27" i="31" l="1"/>
  <c r="N27" i="31"/>
  <c r="W26" i="31"/>
  <c r="P26" i="31"/>
  <c r="AE26" i="31" s="1"/>
  <c r="AE27" i="31" s="1"/>
  <c r="N26" i="31"/>
  <c r="K26" i="31"/>
  <c r="Q26" i="31" s="1"/>
  <c r="W25" i="31"/>
  <c r="T25" i="31"/>
  <c r="N25" i="31"/>
  <c r="W24" i="31"/>
  <c r="T24" i="31"/>
  <c r="N24" i="31"/>
  <c r="O24" i="31" s="1"/>
  <c r="K24" i="31"/>
  <c r="L24" i="31" s="1"/>
  <c r="W23" i="31"/>
  <c r="T23" i="31"/>
  <c r="N23" i="31"/>
  <c r="W22" i="31"/>
  <c r="T22" i="31"/>
  <c r="N22" i="31"/>
  <c r="W21" i="31"/>
  <c r="T21" i="31"/>
  <c r="N21" i="31"/>
  <c r="O21" i="31" s="1"/>
  <c r="P21" i="31" s="1"/>
  <c r="AE21" i="31" s="1"/>
  <c r="AD21" i="31" s="1"/>
  <c r="K21" i="31"/>
  <c r="L21" i="31" s="1"/>
  <c r="P24" i="31" l="1"/>
  <c r="Q24" i="31"/>
  <c r="AE24" i="31"/>
  <c r="AD24" i="31" s="1"/>
  <c r="AA24" i="31"/>
  <c r="L26" i="31"/>
  <c r="AA26" i="31" s="1"/>
  <c r="AE22" i="31"/>
  <c r="AD22" i="31" s="1"/>
  <c r="Q21" i="31"/>
  <c r="AA21" i="31"/>
  <c r="AE25" i="31" l="1"/>
  <c r="AD25" i="31" s="1"/>
  <c r="AE23" i="31"/>
  <c r="AD23" i="31" s="1"/>
  <c r="AC26" i="31"/>
  <c r="AA27" i="31" s="1"/>
  <c r="AB26" i="31"/>
  <c r="AF26" i="31" s="1"/>
  <c r="AC24" i="31"/>
  <c r="AA25" i="31" s="1"/>
  <c r="AB24" i="31"/>
  <c r="AF24" i="31" s="1"/>
  <c r="AC21" i="31"/>
  <c r="AA22" i="31" s="1"/>
  <c r="AB21" i="31"/>
  <c r="AF21" i="31" s="1"/>
  <c r="AC25" i="31" l="1"/>
  <c r="AB25" i="31"/>
  <c r="AF25" i="31" s="1"/>
  <c r="AC27" i="31"/>
  <c r="AB27" i="31"/>
  <c r="AF27" i="31" s="1"/>
  <c r="AC22" i="31"/>
  <c r="AA23" i="31" s="1"/>
  <c r="AB22" i="31"/>
  <c r="AF22" i="31" s="1"/>
  <c r="AC23" i="31" l="1"/>
  <c r="AB23" i="31"/>
  <c r="AF23" i="31" s="1"/>
  <c r="W11" i="31" l="1"/>
  <c r="T11" i="31"/>
  <c r="S11" i="31"/>
  <c r="W10" i="31"/>
  <c r="T10" i="31"/>
  <c r="S10" i="31"/>
  <c r="K10" i="31"/>
  <c r="L10" i="31" s="1"/>
  <c r="X217" i="30"/>
  <c r="U217" i="30"/>
  <c r="O217" i="30"/>
  <c r="P217" i="30" s="1"/>
  <c r="Q217" i="30" s="1"/>
  <c r="AF217" i="30" s="1"/>
  <c r="AE217" i="30" s="1"/>
  <c r="L217" i="30"/>
  <c r="X216" i="30"/>
  <c r="U216" i="30"/>
  <c r="O216" i="30"/>
  <c r="X215" i="30"/>
  <c r="U215" i="30"/>
  <c r="O215" i="30"/>
  <c r="X214" i="30"/>
  <c r="U214" i="30"/>
  <c r="O214" i="30"/>
  <c r="X213" i="30"/>
  <c r="U213" i="30"/>
  <c r="O213" i="30"/>
  <c r="P213" i="30" s="1"/>
  <c r="Q213" i="30" s="1"/>
  <c r="L213" i="30"/>
  <c r="AA10" i="31" l="1"/>
  <c r="R217" i="30"/>
  <c r="M217" i="30"/>
  <c r="AB217" i="30" s="1"/>
  <c r="R213" i="30"/>
  <c r="AF213" i="30"/>
  <c r="M213" i="30"/>
  <c r="AB213" i="30" s="1"/>
  <c r="AC10" i="31" l="1"/>
  <c r="AA11" i="31" s="1"/>
  <c r="AB10" i="31"/>
  <c r="AD217" i="30"/>
  <c r="AC217" i="30"/>
  <c r="AG217" i="30" s="1"/>
  <c r="AD213" i="30"/>
  <c r="AB214" i="30" s="1"/>
  <c r="AC213" i="30"/>
  <c r="AE213" i="30"/>
  <c r="AF214" i="30"/>
  <c r="AC11" i="31" l="1"/>
  <c r="AB11" i="31"/>
  <c r="AG213" i="30"/>
  <c r="AD214" i="30"/>
  <c r="AB215" i="30" s="1"/>
  <c r="AC214" i="30"/>
  <c r="AE214" i="30"/>
  <c r="AF215" i="30"/>
  <c r="AE215" i="30" l="1"/>
  <c r="AF216" i="30"/>
  <c r="AE216" i="30" s="1"/>
  <c r="AC215" i="30"/>
  <c r="AD215" i="30"/>
  <c r="AB216" i="30" s="1"/>
  <c r="AD216" i="30" l="1"/>
  <c r="AC216" i="30"/>
  <c r="X202" i="30" l="1"/>
  <c r="U202" i="30"/>
  <c r="AF202" i="30" s="1"/>
  <c r="AE202" i="30" s="1"/>
  <c r="X200" i="30"/>
  <c r="L200" i="30"/>
  <c r="M200" i="30" s="1"/>
  <c r="AA199" i="30"/>
  <c r="X199" i="30"/>
  <c r="U199" i="30"/>
  <c r="X198" i="30"/>
  <c r="U198" i="30"/>
  <c r="X197" i="30"/>
  <c r="U197" i="30"/>
  <c r="L197" i="30"/>
  <c r="M197" i="30" s="1"/>
  <c r="X196" i="30"/>
  <c r="U196" i="30"/>
  <c r="X195" i="30"/>
  <c r="U195" i="30"/>
  <c r="L195" i="30"/>
  <c r="M195" i="30" s="1"/>
  <c r="O197" i="30" l="1"/>
  <c r="P197" i="30" s="1"/>
  <c r="R197" i="30" s="1"/>
  <c r="O200" i="30"/>
  <c r="P200" i="30" s="1"/>
  <c r="Q200" i="30" s="1"/>
  <c r="O195" i="30"/>
  <c r="P195" i="30" s="1"/>
  <c r="Q195" i="30" s="1"/>
  <c r="AF195" i="30" s="1"/>
  <c r="AE195" i="30" s="1"/>
  <c r="AB197" i="30"/>
  <c r="AB195" i="30"/>
  <c r="Q197" i="30" l="1"/>
  <c r="AF197" i="30" s="1"/>
  <c r="AE197" i="30" s="1"/>
  <c r="AF196" i="30"/>
  <c r="AE196" i="30" s="1"/>
  <c r="R195" i="30"/>
  <c r="R200" i="30"/>
  <c r="AD195" i="30"/>
  <c r="AB196" i="30" s="1"/>
  <c r="AC195" i="30"/>
  <c r="AG195" i="30" s="1"/>
  <c r="AD197" i="30"/>
  <c r="AB198" i="30" s="1"/>
  <c r="AC197" i="30"/>
  <c r="AF198" i="30" l="1"/>
  <c r="AG197" i="30"/>
  <c r="AD198" i="30"/>
  <c r="AB199" i="30" s="1"/>
  <c r="AC198" i="30"/>
  <c r="AD196" i="30"/>
  <c r="AC196" i="30"/>
  <c r="AG196" i="30" s="1"/>
  <c r="AE198" i="30" l="1"/>
  <c r="AG198" i="30" s="1"/>
  <c r="AF199" i="30"/>
  <c r="AD199" i="30"/>
  <c r="AB200" i="30" s="1"/>
  <c r="AC199" i="30"/>
  <c r="AE199" i="30" l="1"/>
  <c r="AG199" i="30" s="1"/>
  <c r="AF200" i="30"/>
  <c r="AE200" i="30" s="1"/>
  <c r="AD200" i="30"/>
  <c r="AC200" i="30"/>
  <c r="AB202" i="30"/>
  <c r="AG200" i="30" l="1"/>
  <c r="AD202" i="30"/>
  <c r="AC202" i="30"/>
  <c r="AG202" i="30" s="1"/>
  <c r="X184" i="30"/>
  <c r="X183" i="30"/>
  <c r="U183" i="30"/>
  <c r="O183" i="30"/>
  <c r="X182" i="30"/>
  <c r="U182" i="30"/>
  <c r="O182" i="30"/>
  <c r="X181" i="30"/>
  <c r="U181" i="30"/>
  <c r="O181" i="30"/>
  <c r="P181" i="30" s="1"/>
  <c r="Q181" i="30" s="1"/>
  <c r="L181" i="30"/>
  <c r="AF181" i="30" l="1"/>
  <c r="AE181" i="30" s="1"/>
  <c r="R181" i="30"/>
  <c r="M181" i="30"/>
  <c r="AB181" i="30" s="1"/>
  <c r="AF182" i="30" l="1"/>
  <c r="AD181" i="30"/>
  <c r="AB182" i="30" s="1"/>
  <c r="AC181" i="30"/>
  <c r="AG181" i="30" s="1"/>
  <c r="AF183" i="30"/>
  <c r="AE182" i="30"/>
  <c r="AE183" i="30" l="1"/>
  <c r="AF184" i="30"/>
  <c r="AE184" i="30" s="1"/>
  <c r="AC182" i="30"/>
  <c r="AG182" i="30" s="1"/>
  <c r="AD182" i="30"/>
  <c r="AB183" i="30" s="1"/>
  <c r="AD183" i="30" l="1"/>
  <c r="AB184" i="30" s="1"/>
  <c r="AC183" i="30"/>
  <c r="AG183" i="30" s="1"/>
  <c r="AD184" i="30" l="1"/>
  <c r="AC184" i="30"/>
  <c r="AG184" i="30" s="1"/>
  <c r="X170" i="30" l="1"/>
  <c r="U170" i="30"/>
  <c r="X169" i="30"/>
  <c r="U169" i="30"/>
  <c r="X168" i="30"/>
  <c r="U168" i="30"/>
  <c r="X167" i="30"/>
  <c r="U167" i="30"/>
  <c r="K167" i="30"/>
  <c r="L167" i="30" s="1"/>
  <c r="M167" i="30" l="1"/>
  <c r="AB167" i="30" s="1"/>
  <c r="O167" i="30"/>
  <c r="P167" i="30" s="1"/>
  <c r="Q167" i="30" s="1"/>
  <c r="AF167" i="30" s="1"/>
  <c r="AE167" i="30" s="1"/>
  <c r="AC167" i="30" l="1"/>
  <c r="AG167" i="30" s="1"/>
  <c r="AD167" i="30"/>
  <c r="AB168" i="30" s="1"/>
  <c r="AF168" i="30"/>
  <c r="R167" i="30"/>
  <c r="AE168" i="30" l="1"/>
  <c r="AF169" i="30"/>
  <c r="AC168" i="30"/>
  <c r="AD168" i="30"/>
  <c r="AB169" i="30" s="1"/>
  <c r="AG168" i="30" l="1"/>
  <c r="AD169" i="30"/>
  <c r="AB170" i="30" s="1"/>
  <c r="AC169" i="30"/>
  <c r="AE169" i="30"/>
  <c r="AF170" i="30"/>
  <c r="AE170" i="30" s="1"/>
  <c r="AG169" i="30" l="1"/>
  <c r="AC170" i="30"/>
  <c r="AG170" i="30" s="1"/>
  <c r="AD170" i="30"/>
  <c r="X156" i="30" l="1"/>
  <c r="U156" i="30"/>
  <c r="O156" i="30"/>
  <c r="P156" i="30" s="1"/>
  <c r="Q156" i="30" s="1"/>
  <c r="L156" i="30"/>
  <c r="X155" i="30"/>
  <c r="U155" i="30"/>
  <c r="O155" i="30"/>
  <c r="P155" i="30" s="1"/>
  <c r="Q155" i="30" s="1"/>
  <c r="L155" i="30"/>
  <c r="M155" i="30" s="1"/>
  <c r="X154" i="30"/>
  <c r="U154" i="30"/>
  <c r="O154" i="30"/>
  <c r="P154" i="30" s="1"/>
  <c r="Q154" i="30" s="1"/>
  <c r="L154" i="30"/>
  <c r="X153" i="30"/>
  <c r="U153" i="30"/>
  <c r="O153" i="30"/>
  <c r="P153" i="30" s="1"/>
  <c r="L153" i="30"/>
  <c r="M153" i="30" s="1"/>
  <c r="X152" i="30"/>
  <c r="U152" i="30"/>
  <c r="O152" i="30"/>
  <c r="P152" i="30" s="1"/>
  <c r="Q152" i="30" s="1"/>
  <c r="L152" i="30"/>
  <c r="X151" i="30"/>
  <c r="U151" i="30"/>
  <c r="O151" i="30"/>
  <c r="P151" i="30" s="1"/>
  <c r="Q151" i="30" s="1"/>
  <c r="L151" i="30"/>
  <c r="X150" i="30"/>
  <c r="U150" i="30"/>
  <c r="O150" i="30"/>
  <c r="P150" i="30" s="1"/>
  <c r="Q150" i="30" s="1"/>
  <c r="K150" i="30"/>
  <c r="L150" i="30" s="1"/>
  <c r="M150" i="30" s="1"/>
  <c r="R156" i="30" l="1"/>
  <c r="M156" i="30"/>
  <c r="AB156" i="30" s="1"/>
  <c r="AF156" i="30"/>
  <c r="AE156" i="30" s="1"/>
  <c r="R154" i="30"/>
  <c r="R155" i="30"/>
  <c r="M154" i="30"/>
  <c r="AB154" i="30" s="1"/>
  <c r="AF154" i="30"/>
  <c r="AE154" i="30" s="1"/>
  <c r="Q153" i="30"/>
  <c r="R153" i="30"/>
  <c r="AF153" i="30"/>
  <c r="AE153" i="30" s="1"/>
  <c r="AB153" i="30"/>
  <c r="R152" i="30"/>
  <c r="M152" i="30"/>
  <c r="AB152" i="30" s="1"/>
  <c r="AF152" i="30"/>
  <c r="AE152" i="30" s="1"/>
  <c r="R151" i="30"/>
  <c r="M151" i="30"/>
  <c r="AB151" i="30" s="1"/>
  <c r="AF151" i="30"/>
  <c r="AE151" i="30" s="1"/>
  <c r="AB150" i="30"/>
  <c r="R150" i="30"/>
  <c r="AF150" i="30"/>
  <c r="AE150" i="30" s="1"/>
  <c r="AD156" i="30" l="1"/>
  <c r="AC156" i="30"/>
  <c r="AG156" i="30" s="1"/>
  <c r="AD154" i="30"/>
  <c r="AB155" i="30" s="1"/>
  <c r="AC154" i="30"/>
  <c r="AG154" i="30" s="1"/>
  <c r="AF155" i="30"/>
  <c r="AE155" i="30" s="1"/>
  <c r="AD153" i="30"/>
  <c r="AC153" i="30"/>
  <c r="AG153" i="30" s="1"/>
  <c r="AD152" i="30"/>
  <c r="AC152" i="30"/>
  <c r="AG152" i="30" s="1"/>
  <c r="AD151" i="30"/>
  <c r="AC151" i="30"/>
  <c r="AG151" i="30" s="1"/>
  <c r="AD150" i="30"/>
  <c r="AC150" i="30"/>
  <c r="AG150" i="30" s="1"/>
  <c r="AD155" i="30" l="1"/>
  <c r="AC155" i="30"/>
  <c r="AG155" i="30" s="1"/>
  <c r="X139" i="30" l="1"/>
  <c r="U139" i="30"/>
  <c r="O139" i="30"/>
  <c r="X138" i="30"/>
  <c r="U138" i="30"/>
  <c r="O138" i="30"/>
  <c r="X137" i="30"/>
  <c r="U137" i="30"/>
  <c r="O137" i="30"/>
  <c r="P137" i="30" s="1"/>
  <c r="Q137" i="30" s="1"/>
  <c r="L137" i="30"/>
  <c r="AF137" i="30" l="1"/>
  <c r="AE137" i="30" s="1"/>
  <c r="R137" i="30"/>
  <c r="M137" i="30"/>
  <c r="AB137" i="30" s="1"/>
  <c r="AD137" i="30" l="1"/>
  <c r="AC137" i="30"/>
  <c r="AG137" i="30" s="1"/>
  <c r="X127" i="30" l="1"/>
  <c r="U127" i="30"/>
  <c r="O127" i="30"/>
  <c r="X126" i="30"/>
  <c r="O126" i="30"/>
  <c r="X125" i="30"/>
  <c r="U125" i="30"/>
  <c r="O125" i="30"/>
  <c r="X124" i="30"/>
  <c r="U124" i="30"/>
  <c r="O124" i="30"/>
  <c r="P124" i="30" s="1"/>
  <c r="Q124" i="30" s="1"/>
  <c r="L124" i="30"/>
  <c r="R124" i="30" l="1"/>
  <c r="AF124" i="30"/>
  <c r="AE124" i="30" s="1"/>
  <c r="M124" i="30"/>
  <c r="AB124" i="30" s="1"/>
  <c r="AF125" i="30" l="1"/>
  <c r="AE125" i="30" s="1"/>
  <c r="AD124" i="30"/>
  <c r="AB125" i="30" s="1"/>
  <c r="AC124" i="30"/>
  <c r="AG124" i="30" s="1"/>
  <c r="AF126" i="30" l="1"/>
  <c r="AE126" i="30" s="1"/>
  <c r="AF127" i="30"/>
  <c r="AE127" i="30" s="1"/>
  <c r="AC125" i="30"/>
  <c r="AG125" i="30" s="1"/>
  <c r="AD125" i="30"/>
  <c r="AB127" i="30" l="1"/>
  <c r="AB126" i="30"/>
  <c r="AD126" i="30" l="1"/>
  <c r="AC126" i="30"/>
  <c r="AG126" i="30" s="1"/>
  <c r="AD127" i="30"/>
  <c r="AC127" i="30"/>
  <c r="AG127" i="30" s="1"/>
  <c r="X113" i="30" l="1"/>
  <c r="U113" i="30"/>
  <c r="O113" i="30"/>
  <c r="X112" i="30"/>
  <c r="U112" i="30"/>
  <c r="O112" i="30"/>
  <c r="P112" i="30" s="1"/>
  <c r="Q112" i="30" s="1"/>
  <c r="L112" i="30"/>
  <c r="X111" i="30"/>
  <c r="U111" i="30"/>
  <c r="O111" i="30"/>
  <c r="X110" i="30"/>
  <c r="U110" i="30"/>
  <c r="O110" i="30"/>
  <c r="O109" i="30"/>
  <c r="X108" i="30"/>
  <c r="U108" i="30"/>
  <c r="X107" i="30"/>
  <c r="U107" i="30"/>
  <c r="O107" i="30"/>
  <c r="P107" i="30" s="1"/>
  <c r="Q107" i="30" s="1"/>
  <c r="AF107" i="30" s="1"/>
  <c r="AE107" i="30" s="1"/>
  <c r="L107" i="30"/>
  <c r="M107" i="30" s="1"/>
  <c r="AB107" i="30" l="1"/>
  <c r="AD107" i="30"/>
  <c r="AC107" i="30"/>
  <c r="AG107" i="30" s="1"/>
  <c r="R112" i="30"/>
  <c r="AF108" i="30"/>
  <c r="AE108" i="30" s="1"/>
  <c r="AF112" i="30"/>
  <c r="AE112" i="30" s="1"/>
  <c r="AB108" i="30"/>
  <c r="R107" i="30"/>
  <c r="AF110" i="30"/>
  <c r="AE110" i="30" s="1"/>
  <c r="M112" i="30"/>
  <c r="AB112" i="30" s="1"/>
  <c r="AF113" i="30" l="1"/>
  <c r="AE113" i="30" s="1"/>
  <c r="AF111" i="30"/>
  <c r="AE111" i="30" s="1"/>
  <c r="AD112" i="30"/>
  <c r="AB113" i="30" s="1"/>
  <c r="AC112" i="30"/>
  <c r="AG112" i="30" s="1"/>
  <c r="AD108" i="30"/>
  <c r="AB110" i="30" s="1"/>
  <c r="AC108" i="30"/>
  <c r="AG108" i="30" s="1"/>
  <c r="AC110" i="30" l="1"/>
  <c r="AG110" i="30" s="1"/>
  <c r="AD110" i="30"/>
  <c r="AB111" i="30" s="1"/>
  <c r="AC113" i="30"/>
  <c r="AG113" i="30" s="1"/>
  <c r="AD113" i="30"/>
  <c r="AD111" i="30" l="1"/>
  <c r="AC111" i="30"/>
  <c r="AG111" i="30" s="1"/>
  <c r="X96" i="30" l="1"/>
  <c r="U96" i="30"/>
  <c r="O96" i="30"/>
  <c r="X95" i="30"/>
  <c r="U95" i="30"/>
  <c r="O95" i="30"/>
  <c r="X94" i="30"/>
  <c r="U94" i="30"/>
  <c r="O94" i="30"/>
  <c r="X93" i="30"/>
  <c r="U93" i="30"/>
  <c r="O93" i="30"/>
  <c r="P93" i="30" s="1"/>
  <c r="Q93" i="30" s="1"/>
  <c r="AF93" i="30" s="1"/>
  <c r="AE93" i="30" s="1"/>
  <c r="L93" i="30"/>
  <c r="M93" i="30" s="1"/>
  <c r="AF94" i="30" l="1"/>
  <c r="AE94" i="30" s="1"/>
  <c r="R93" i="30"/>
  <c r="AB93" i="30"/>
  <c r="AD93" i="30" l="1"/>
  <c r="AB94" i="30" s="1"/>
  <c r="AC93" i="30"/>
  <c r="AG93" i="30" s="1"/>
  <c r="AF95" i="30"/>
  <c r="AE95" i="30" l="1"/>
  <c r="AF96" i="30"/>
  <c r="AE96" i="30" s="1"/>
  <c r="AD94" i="30"/>
  <c r="AC94" i="30"/>
  <c r="AG94" i="30" s="1"/>
  <c r="AB96" i="30" l="1"/>
  <c r="AB95" i="30"/>
  <c r="AD95" i="30" l="1"/>
  <c r="AC95" i="30"/>
  <c r="AG95" i="30" s="1"/>
  <c r="AD96" i="30"/>
  <c r="AC96" i="30"/>
  <c r="AG96" i="30" s="1"/>
  <c r="X83" i="30" l="1"/>
  <c r="U83" i="30"/>
  <c r="O83" i="30"/>
  <c r="X82" i="30"/>
  <c r="U82" i="30"/>
  <c r="O82" i="30"/>
  <c r="X81" i="30"/>
  <c r="U81" i="30"/>
  <c r="O81" i="30"/>
  <c r="P81" i="30" s="1"/>
  <c r="Q81" i="30" s="1"/>
  <c r="AF81" i="30" s="1"/>
  <c r="AE81" i="30" s="1"/>
  <c r="L81" i="30"/>
  <c r="R81" i="30" l="1"/>
  <c r="AF82" i="30"/>
  <c r="AE82" i="30" s="1"/>
  <c r="M81" i="30"/>
  <c r="AB81" i="30" s="1"/>
  <c r="AF83" i="30" l="1"/>
  <c r="AE83" i="30" s="1"/>
  <c r="AD81" i="30"/>
  <c r="AB82" i="30" s="1"/>
  <c r="AC81" i="30"/>
  <c r="AG81" i="30" s="1"/>
  <c r="AC82" i="30" l="1"/>
  <c r="AG82" i="30" s="1"/>
  <c r="AD82" i="30"/>
  <c r="AB83" i="30" s="1"/>
  <c r="AD83" i="30" l="1"/>
  <c r="AC83" i="30"/>
  <c r="AG83" i="30" s="1"/>
  <c r="X70" i="30" l="1"/>
  <c r="U70" i="30"/>
  <c r="O70" i="30"/>
  <c r="X69" i="30"/>
  <c r="U69" i="30"/>
  <c r="O69" i="30"/>
  <c r="P69" i="30" s="1"/>
  <c r="Q69" i="30" s="1"/>
  <c r="AF69" i="30" s="1"/>
  <c r="AE69" i="30" s="1"/>
  <c r="L69" i="30"/>
  <c r="M69" i="30" s="1"/>
  <c r="X68" i="30"/>
  <c r="U68" i="30"/>
  <c r="O68" i="30"/>
  <c r="X67" i="30"/>
  <c r="U67" i="30"/>
  <c r="O67" i="30"/>
  <c r="P67" i="30" s="1"/>
  <c r="Q67" i="30" s="1"/>
  <c r="K67" i="30"/>
  <c r="L67" i="30" s="1"/>
  <c r="AF70" i="30" l="1"/>
  <c r="AE70" i="30" s="1"/>
  <c r="M67" i="30"/>
  <c r="AB67" i="30" s="1"/>
  <c r="R67" i="30"/>
  <c r="AF67" i="30"/>
  <c r="R69" i="30"/>
  <c r="AB69" i="30"/>
  <c r="AD67" i="30" l="1"/>
  <c r="AB68" i="30" s="1"/>
  <c r="AC67" i="30"/>
  <c r="AE67" i="30"/>
  <c r="AF68" i="30"/>
  <c r="AE68" i="30" s="1"/>
  <c r="AD69" i="30"/>
  <c r="AB70" i="30" s="1"/>
  <c r="AC69" i="30"/>
  <c r="AG69" i="30" s="1"/>
  <c r="AG67" i="30" l="1"/>
  <c r="AD70" i="30"/>
  <c r="AC70" i="30"/>
  <c r="AG70" i="30" s="1"/>
  <c r="AD68" i="30"/>
  <c r="AC68" i="30"/>
  <c r="AG68" i="30" s="1"/>
  <c r="X56" i="30" l="1"/>
  <c r="U56" i="30"/>
  <c r="O56" i="30"/>
  <c r="X55" i="30"/>
  <c r="U55" i="30"/>
  <c r="O55" i="30"/>
  <c r="X54" i="30"/>
  <c r="U54" i="30"/>
  <c r="O54" i="30"/>
  <c r="X53" i="30"/>
  <c r="U53" i="30"/>
  <c r="O53" i="30"/>
  <c r="X52" i="30"/>
  <c r="U52" i="30"/>
  <c r="O52" i="30"/>
  <c r="P52" i="30" s="1"/>
  <c r="Q52" i="30" s="1"/>
  <c r="L52" i="30"/>
  <c r="R52" i="30" l="1"/>
  <c r="M52" i="30"/>
  <c r="AB52" i="30" s="1"/>
  <c r="AF52" i="30"/>
  <c r="AF53" i="30" l="1"/>
  <c r="AE52" i="30"/>
  <c r="AD52" i="30"/>
  <c r="AB53" i="30" s="1"/>
  <c r="AC52" i="30"/>
  <c r="AG52" i="30" s="1"/>
  <c r="AD53" i="30" l="1"/>
  <c r="AB54" i="30" s="1"/>
  <c r="AC53" i="30"/>
  <c r="AE53" i="30"/>
  <c r="AF54" i="30"/>
  <c r="AE54" i="30" s="1"/>
  <c r="AF55" i="30"/>
  <c r="AE55" i="30" l="1"/>
  <c r="AF56" i="30"/>
  <c r="AG53" i="30"/>
  <c r="AD54" i="30"/>
  <c r="AC54" i="30"/>
  <c r="AG54" i="30" s="1"/>
  <c r="AB56" i="30" l="1"/>
  <c r="AD56" i="30" s="1"/>
  <c r="AB55" i="30"/>
  <c r="AD55" i="30" l="1"/>
  <c r="AC55" i="30"/>
  <c r="AG55" i="30" s="1"/>
  <c r="O40" i="30" l="1"/>
  <c r="O41" i="30"/>
  <c r="X41" i="30"/>
  <c r="X40" i="30"/>
  <c r="Q40" i="30"/>
  <c r="AF40" i="30" s="1"/>
  <c r="AF41" i="30" s="1"/>
  <c r="L40" i="30"/>
  <c r="R40" i="30" s="1"/>
  <c r="X39" i="30"/>
  <c r="U39" i="30"/>
  <c r="O39" i="30"/>
  <c r="X38" i="30"/>
  <c r="U38" i="30"/>
  <c r="O38" i="30"/>
  <c r="P38" i="30" s="1"/>
  <c r="L38" i="30"/>
  <c r="M38" i="30" s="1"/>
  <c r="X37" i="30"/>
  <c r="U37" i="30"/>
  <c r="O37" i="30"/>
  <c r="X36" i="30"/>
  <c r="U36" i="30"/>
  <c r="O36" i="30"/>
  <c r="X35" i="30"/>
  <c r="U35" i="30"/>
  <c r="O35" i="30"/>
  <c r="P35" i="30" s="1"/>
  <c r="L35" i="30"/>
  <c r="M35" i="30" s="1"/>
  <c r="Q38" i="30" l="1"/>
  <c r="R38" i="30"/>
  <c r="AF38" i="30"/>
  <c r="AE38" i="30" s="1"/>
  <c r="R35" i="30"/>
  <c r="Q35" i="30"/>
  <c r="AF35" i="30" s="1"/>
  <c r="AE35" i="30" s="1"/>
  <c r="AB38" i="30"/>
  <c r="AB35" i="30"/>
  <c r="M40" i="30"/>
  <c r="AB40" i="30" s="1"/>
  <c r="AF39" i="30" l="1"/>
  <c r="AE39" i="30" s="1"/>
  <c r="AF36" i="30"/>
  <c r="AD40" i="30"/>
  <c r="AB41" i="30" s="1"/>
  <c r="AC40" i="30"/>
  <c r="AG40" i="30" s="1"/>
  <c r="AD35" i="30"/>
  <c r="AB36" i="30" s="1"/>
  <c r="AC35" i="30"/>
  <c r="AG35" i="30" s="1"/>
  <c r="AD38" i="30"/>
  <c r="AB39" i="30" s="1"/>
  <c r="AC38" i="30"/>
  <c r="AG38" i="30" s="1"/>
  <c r="AD39" i="30" l="1"/>
  <c r="AC39" i="30"/>
  <c r="AG39" i="30" s="1"/>
  <c r="AD41" i="30"/>
  <c r="AC41" i="30"/>
  <c r="AG41" i="30" s="1"/>
  <c r="AE36" i="30"/>
  <c r="AF37" i="30"/>
  <c r="AE37" i="30" s="1"/>
  <c r="AD36" i="30"/>
  <c r="AB37" i="30" s="1"/>
  <c r="AC36" i="30"/>
  <c r="AG36" i="30" s="1"/>
  <c r="AC37" i="30" l="1"/>
  <c r="AG37" i="30" s="1"/>
  <c r="AD37" i="30"/>
  <c r="W24" i="30" l="1"/>
  <c r="T24" i="30"/>
  <c r="W23" i="30"/>
  <c r="T23" i="30"/>
  <c r="K23" i="30"/>
  <c r="W22" i="30"/>
  <c r="T22" i="30"/>
  <c r="W21" i="30"/>
  <c r="T21" i="30"/>
  <c r="W20" i="30"/>
  <c r="T20" i="30"/>
  <c r="K20" i="30"/>
  <c r="L20" i="30" s="1"/>
  <c r="AA20" i="30" l="1"/>
  <c r="AC20" i="30" s="1"/>
  <c r="AA21" i="30" s="1"/>
  <c r="L23" i="30"/>
  <c r="AA23" i="30" s="1"/>
  <c r="N23" i="30"/>
  <c r="O23" i="30" s="1"/>
  <c r="P23" i="30" s="1"/>
  <c r="AE23" i="30" s="1"/>
  <c r="N20" i="30"/>
  <c r="O20" i="30" s="1"/>
  <c r="P20" i="30" s="1"/>
  <c r="AE20" i="30" s="1"/>
  <c r="AD20" i="30" s="1"/>
  <c r="AB20" i="30" l="1"/>
  <c r="AE24" i="30"/>
  <c r="AD24" i="30" s="1"/>
  <c r="AD23" i="30"/>
  <c r="AC23" i="30"/>
  <c r="AA24" i="30" s="1"/>
  <c r="AB23" i="30"/>
  <c r="AC21" i="30"/>
  <c r="AA22" i="30" s="1"/>
  <c r="AB21" i="30"/>
  <c r="Q23" i="30"/>
  <c r="AF20" i="30"/>
  <c r="Q20" i="30"/>
  <c r="AE21" i="30"/>
  <c r="AF23" i="30" l="1"/>
  <c r="AD21" i="30"/>
  <c r="AF21" i="30" s="1"/>
  <c r="AE22" i="30"/>
  <c r="AD22" i="30" s="1"/>
  <c r="AC22" i="30"/>
  <c r="AB22" i="30"/>
  <c r="AB24" i="30"/>
  <c r="AF24" i="30" s="1"/>
  <c r="AC24" i="30"/>
  <c r="AF22" i="30" l="1"/>
  <c r="W9" i="30" l="1"/>
  <c r="T9" i="30"/>
  <c r="S9" i="30"/>
  <c r="N9" i="30"/>
  <c r="W8" i="30"/>
  <c r="T8" i="30"/>
  <c r="S8" i="30"/>
  <c r="N8" i="30"/>
  <c r="O8" i="30" s="1"/>
  <c r="P8" i="30" s="1"/>
  <c r="K8" i="30"/>
  <c r="L8" i="30" s="1"/>
  <c r="Q8" i="30" l="1"/>
  <c r="AE8" i="30"/>
  <c r="AD8" i="30" s="1"/>
  <c r="AA8" i="30"/>
  <c r="AE9" i="30"/>
  <c r="AD9" i="30" s="1"/>
  <c r="AC8" i="30" l="1"/>
  <c r="AA9" i="30" s="1"/>
  <c r="AB8" i="30"/>
  <c r="AF8" i="30" s="1"/>
  <c r="AC9" i="30" l="1"/>
  <c r="AB9" i="30"/>
  <c r="AF9" i="30" s="1"/>
  <c r="N437" i="29" l="1"/>
  <c r="N436" i="29"/>
  <c r="N435" i="29"/>
  <c r="N434" i="29"/>
  <c r="N433" i="29"/>
  <c r="W432" i="29"/>
  <c r="T432" i="29"/>
  <c r="N432" i="29"/>
  <c r="O432" i="29" s="1"/>
  <c r="P432" i="29" s="1"/>
  <c r="K432" i="29"/>
  <c r="N431" i="29"/>
  <c r="N430" i="29"/>
  <c r="W429" i="29"/>
  <c r="T429" i="29"/>
  <c r="N429" i="29"/>
  <c r="W428" i="29"/>
  <c r="T428" i="29"/>
  <c r="N428" i="29"/>
  <c r="W427" i="29"/>
  <c r="T427" i="29"/>
  <c r="N427" i="29"/>
  <c r="W426" i="29"/>
  <c r="T426" i="29"/>
  <c r="N426" i="29"/>
  <c r="O426" i="29" s="1"/>
  <c r="P426" i="29" s="1"/>
  <c r="K426" i="29"/>
  <c r="Q432" i="29" l="1"/>
  <c r="Q426" i="29"/>
  <c r="AE432" i="29"/>
  <c r="AD432" i="29" s="1"/>
  <c r="AE427" i="29"/>
  <c r="AD427" i="29" s="1"/>
  <c r="L432" i="29"/>
  <c r="AE426" i="29"/>
  <c r="AD426" i="29" s="1"/>
  <c r="L426" i="29"/>
  <c r="AA426" i="29" s="1"/>
  <c r="AA432" i="29"/>
  <c r="AC432" i="29" l="1"/>
  <c r="AB432" i="29"/>
  <c r="AF432" i="29" s="1"/>
  <c r="AC426" i="29"/>
  <c r="AA427" i="29" s="1"/>
  <c r="AB426" i="29"/>
  <c r="AF426" i="29" s="1"/>
  <c r="AE428" i="29"/>
  <c r="AD428" i="29" l="1"/>
  <c r="AE429" i="29"/>
  <c r="AD429" i="29" s="1"/>
  <c r="AB427" i="29"/>
  <c r="AC427" i="29"/>
  <c r="AA428" i="29" s="1"/>
  <c r="AB428" i="29" l="1"/>
  <c r="AC428" i="29"/>
  <c r="AA429" i="29" s="1"/>
  <c r="AB429" i="29" l="1"/>
  <c r="AC429" i="29"/>
  <c r="W411" i="29" l="1"/>
  <c r="T411" i="29"/>
  <c r="W410" i="29"/>
  <c r="T410" i="29"/>
  <c r="K410" i="29"/>
  <c r="W405" i="29"/>
  <c r="T405" i="29"/>
  <c r="W404" i="29"/>
  <c r="T404" i="29"/>
  <c r="AA404" i="29" s="1"/>
  <c r="L404" i="29"/>
  <c r="K404" i="29"/>
  <c r="W399" i="29"/>
  <c r="T399" i="29"/>
  <c r="W398" i="29"/>
  <c r="T398" i="29"/>
  <c r="L398" i="29"/>
  <c r="K398" i="29"/>
  <c r="N404" i="29" l="1"/>
  <c r="O404" i="29" s="1"/>
  <c r="P404" i="29" s="1"/>
  <c r="AE404" i="29" s="1"/>
  <c r="N398" i="29"/>
  <c r="O398" i="29" s="1"/>
  <c r="P398" i="29" s="1"/>
  <c r="AE398" i="29" s="1"/>
  <c r="AB404" i="29"/>
  <c r="AC404" i="29"/>
  <c r="AA405" i="29" s="1"/>
  <c r="L410" i="29"/>
  <c r="AA410" i="29" s="1"/>
  <c r="N410" i="29"/>
  <c r="O410" i="29" s="1"/>
  <c r="P410" i="29" s="1"/>
  <c r="AE410" i="29" s="1"/>
  <c r="AA398" i="29"/>
  <c r="Q404" i="29" l="1"/>
  <c r="Q398" i="29"/>
  <c r="AD398" i="29"/>
  <c r="AE399" i="29"/>
  <c r="AD399" i="29" s="1"/>
  <c r="AD410" i="29"/>
  <c r="AE411" i="29"/>
  <c r="AD411" i="29" s="1"/>
  <c r="AB410" i="29"/>
  <c r="AC410" i="29"/>
  <c r="AA411" i="29" s="1"/>
  <c r="Q410" i="29"/>
  <c r="AC398" i="29"/>
  <c r="AA399" i="29" s="1"/>
  <c r="AB398" i="29"/>
  <c r="AC405" i="29"/>
  <c r="AB405" i="29"/>
  <c r="AD404" i="29"/>
  <c r="AF404" i="29" s="1"/>
  <c r="AE405" i="29"/>
  <c r="AD405" i="29" s="1"/>
  <c r="AF398" i="29" l="1"/>
  <c r="AF410" i="29"/>
  <c r="AB411" i="29"/>
  <c r="AF411" i="29" s="1"/>
  <c r="AC411" i="29"/>
  <c r="AC399" i="29"/>
  <c r="AB399" i="29"/>
  <c r="AF399" i="29" s="1"/>
  <c r="AF405" i="29"/>
  <c r="W387" i="29" l="1"/>
  <c r="W386" i="29"/>
  <c r="T386" i="29"/>
  <c r="W385" i="29"/>
  <c r="T385" i="29"/>
  <c r="W384" i="29"/>
  <c r="T384" i="29"/>
  <c r="N384" i="29"/>
  <c r="O384" i="29" s="1"/>
  <c r="P384" i="29" s="1"/>
  <c r="AE384" i="29" s="1"/>
  <c r="K384" i="29"/>
  <c r="AE385" i="29" l="1"/>
  <c r="AD385" i="29" s="1"/>
  <c r="AD384" i="29"/>
  <c r="Q384" i="29"/>
  <c r="L384" i="29"/>
  <c r="AA384" i="29" s="1"/>
  <c r="AC384" i="29" l="1"/>
  <c r="AA385" i="29" s="1"/>
  <c r="AB384" i="29"/>
  <c r="AF384" i="29" s="1"/>
  <c r="AE386" i="29"/>
  <c r="AD386" i="29" l="1"/>
  <c r="AE387" i="29"/>
  <c r="AD387" i="29" s="1"/>
  <c r="AC385" i="29"/>
  <c r="AA386" i="29" s="1"/>
  <c r="AB385" i="29"/>
  <c r="AF385" i="29" s="1"/>
  <c r="AC386" i="29" l="1"/>
  <c r="AA387" i="29" s="1"/>
  <c r="AB386" i="29"/>
  <c r="AF386" i="29" s="1"/>
  <c r="AC387" i="29" l="1"/>
  <c r="AB387" i="29"/>
  <c r="AF387" i="29" s="1"/>
  <c r="W373" i="29" l="1"/>
  <c r="T373" i="29"/>
  <c r="N373" i="29"/>
  <c r="W372" i="29"/>
  <c r="T372" i="29"/>
  <c r="AE373" i="29" s="1"/>
  <c r="AD373" i="29" s="1"/>
  <c r="N372" i="29"/>
  <c r="W371" i="29"/>
  <c r="T371" i="29"/>
  <c r="AA372" i="29" s="1"/>
  <c r="N371" i="29"/>
  <c r="O371" i="29" s="1"/>
  <c r="P371" i="29" s="1"/>
  <c r="K371" i="29"/>
  <c r="W370" i="29"/>
  <c r="T370" i="29"/>
  <c r="AE370" i="29" s="1"/>
  <c r="AD370" i="29" s="1"/>
  <c r="N370" i="29"/>
  <c r="W369" i="29"/>
  <c r="T369" i="29"/>
  <c r="AA369" i="29" s="1"/>
  <c r="N369" i="29"/>
  <c r="W368" i="29"/>
  <c r="T368" i="29"/>
  <c r="N368" i="29"/>
  <c r="O368" i="29" s="1"/>
  <c r="K368" i="29"/>
  <c r="L368" i="29" s="1"/>
  <c r="W367" i="29"/>
  <c r="T367" i="29"/>
  <c r="N367" i="29"/>
  <c r="W366" i="29"/>
  <c r="T366" i="29"/>
  <c r="AA367" i="29" s="1"/>
  <c r="N366" i="29"/>
  <c r="W365" i="29"/>
  <c r="T365" i="29"/>
  <c r="AE366" i="29" s="1"/>
  <c r="AD366" i="29" s="1"/>
  <c r="N365" i="29"/>
  <c r="W364" i="29"/>
  <c r="T364" i="29"/>
  <c r="N364" i="29"/>
  <c r="O364" i="29" s="1"/>
  <c r="P364" i="29" s="1"/>
  <c r="AE364" i="29" s="1"/>
  <c r="AD364" i="29" s="1"/>
  <c r="K364" i="29"/>
  <c r="W363" i="29"/>
  <c r="T363" i="29"/>
  <c r="N363" i="29"/>
  <c r="W362" i="29"/>
  <c r="T362" i="29"/>
  <c r="AA363" i="29" s="1"/>
  <c r="N362" i="29"/>
  <c r="AE361" i="29"/>
  <c r="AD361" i="29" s="1"/>
  <c r="W361" i="29"/>
  <c r="T361" i="29"/>
  <c r="N361" i="29"/>
  <c r="W360" i="29"/>
  <c r="T360" i="29"/>
  <c r="AA361" i="29" s="1"/>
  <c r="S360" i="29"/>
  <c r="N360" i="29"/>
  <c r="O360" i="29" s="1"/>
  <c r="P360" i="29" s="1"/>
  <c r="AE360" i="29" s="1"/>
  <c r="AD360" i="29" s="1"/>
  <c r="K360" i="29"/>
  <c r="AB361" i="29" l="1"/>
  <c r="AC361" i="29"/>
  <c r="AB369" i="29"/>
  <c r="AC369" i="29"/>
  <c r="AE372" i="29"/>
  <c r="AD372" i="29" s="1"/>
  <c r="AE367" i="29"/>
  <c r="AD367" i="29" s="1"/>
  <c r="AA370" i="29"/>
  <c r="AE362" i="29"/>
  <c r="AD362" i="29" s="1"/>
  <c r="AF361" i="29"/>
  <c r="Q371" i="29"/>
  <c r="Q360" i="29"/>
  <c r="AB363" i="29"/>
  <c r="AC363" i="29"/>
  <c r="AC372" i="29"/>
  <c r="AB372" i="29"/>
  <c r="AC367" i="29"/>
  <c r="AB367" i="29"/>
  <c r="Q364" i="29"/>
  <c r="Q368" i="29"/>
  <c r="P368" i="29"/>
  <c r="AE368" i="29" s="1"/>
  <c r="AD368" i="29" s="1"/>
  <c r="L360" i="29"/>
  <c r="AA360" i="29" s="1"/>
  <c r="AA362" i="29"/>
  <c r="AE365" i="29"/>
  <c r="AD365" i="29" s="1"/>
  <c r="AE363" i="29"/>
  <c r="AD363" i="29" s="1"/>
  <c r="L364" i="29"/>
  <c r="AA364" i="29" s="1"/>
  <c r="AA368" i="29"/>
  <c r="AE371" i="29"/>
  <c r="AD371" i="29" s="1"/>
  <c r="AA366" i="29"/>
  <c r="AE369" i="29"/>
  <c r="AD369" i="29" s="1"/>
  <c r="AF369" i="29" s="1"/>
  <c r="L371" i="29"/>
  <c r="AA371" i="29" s="1"/>
  <c r="AA373" i="29"/>
  <c r="AB370" i="29" l="1"/>
  <c r="AF370" i="29" s="1"/>
  <c r="AC370" i="29"/>
  <c r="AF367" i="29"/>
  <c r="AF372" i="29"/>
  <c r="AC368" i="29"/>
  <c r="AB368" i="29"/>
  <c r="AF368" i="29" s="1"/>
  <c r="AC364" i="29"/>
  <c r="AA365" i="29" s="1"/>
  <c r="AB364" i="29"/>
  <c r="AF364" i="29" s="1"/>
  <c r="AC373" i="29"/>
  <c r="AB373" i="29"/>
  <c r="AF373" i="29" s="1"/>
  <c r="AC366" i="29"/>
  <c r="AB366" i="29"/>
  <c r="AF366" i="29" s="1"/>
  <c r="AC362" i="29"/>
  <c r="AB362" i="29"/>
  <c r="AF362" i="29" s="1"/>
  <c r="AC360" i="29"/>
  <c r="AB360" i="29"/>
  <c r="AF360" i="29" s="1"/>
  <c r="AF363" i="29"/>
  <c r="AC371" i="29"/>
  <c r="AB371" i="29"/>
  <c r="AF371" i="29" s="1"/>
  <c r="AB365" i="29" l="1"/>
  <c r="AF365" i="29" s="1"/>
  <c r="AC365" i="29"/>
  <c r="W346" i="29" l="1"/>
  <c r="T346" i="29"/>
  <c r="N346" i="29"/>
  <c r="O346" i="29" s="1"/>
  <c r="K346" i="29"/>
  <c r="L346" i="29" s="1"/>
  <c r="W343" i="29"/>
  <c r="AA343" i="29" s="1"/>
  <c r="T343" i="29"/>
  <c r="AE343" i="29" s="1"/>
  <c r="AD343" i="29" s="1"/>
  <c r="N343" i="29"/>
  <c r="W342" i="29"/>
  <c r="T342" i="29"/>
  <c r="N342" i="29"/>
  <c r="O342" i="29" s="1"/>
  <c r="K342" i="29"/>
  <c r="L342" i="29" s="1"/>
  <c r="N341" i="29"/>
  <c r="N340" i="29"/>
  <c r="W339" i="29"/>
  <c r="T339" i="29"/>
  <c r="N339" i="29"/>
  <c r="W338" i="29"/>
  <c r="T338" i="29"/>
  <c r="N338" i="29"/>
  <c r="O338" i="29" s="1"/>
  <c r="K338" i="29"/>
  <c r="L338" i="29" s="1"/>
  <c r="AB343" i="29" l="1"/>
  <c r="AF343" i="29" s="1"/>
  <c r="AC343" i="29"/>
  <c r="Q338" i="29"/>
  <c r="P338" i="29"/>
  <c r="AE338" i="29" s="1"/>
  <c r="P342" i="29"/>
  <c r="AE342" i="29" s="1"/>
  <c r="AD342" i="29" s="1"/>
  <c r="Q342" i="29"/>
  <c r="Q346" i="29"/>
  <c r="P346" i="29"/>
  <c r="AE346" i="29" s="1"/>
  <c r="AD346" i="29" s="1"/>
  <c r="AA346" i="29"/>
  <c r="AA338" i="29"/>
  <c r="AA342" i="29"/>
  <c r="AD338" i="29" l="1"/>
  <c r="AE339" i="29"/>
  <c r="AD339" i="29" s="1"/>
  <c r="AC342" i="29"/>
  <c r="AB342" i="29"/>
  <c r="AF342" i="29" s="1"/>
  <c r="AC338" i="29"/>
  <c r="AA339" i="29" s="1"/>
  <c r="AB338" i="29"/>
  <c r="AF338" i="29" s="1"/>
  <c r="AC346" i="29"/>
  <c r="AB346" i="29"/>
  <c r="AF346" i="29" s="1"/>
  <c r="AC339" i="29" l="1"/>
  <c r="AB339" i="29"/>
  <c r="AF339" i="29" s="1"/>
  <c r="W327" i="29" l="1"/>
  <c r="T327" i="29"/>
  <c r="W326" i="29"/>
  <c r="T326" i="29"/>
  <c r="AE327" i="29" s="1"/>
  <c r="AD327" i="29" s="1"/>
  <c r="W325" i="29"/>
  <c r="T325" i="29"/>
  <c r="AA326" i="29" s="1"/>
  <c r="W324" i="29"/>
  <c r="T324" i="29"/>
  <c r="W323" i="29"/>
  <c r="T323" i="29"/>
  <c r="W322" i="29"/>
  <c r="T322" i="29"/>
  <c r="J322" i="29"/>
  <c r="K322" i="29" s="1"/>
  <c r="AE326" i="29" l="1"/>
  <c r="AD326" i="29" s="1"/>
  <c r="AB326" i="29"/>
  <c r="AC326" i="29"/>
  <c r="L322" i="29"/>
  <c r="AA322" i="29" s="1"/>
  <c r="AA327" i="29"/>
  <c r="N322" i="29"/>
  <c r="O322" i="29" s="1"/>
  <c r="P322" i="29" s="1"/>
  <c r="AE322" i="29" s="1"/>
  <c r="AF326" i="29" l="1"/>
  <c r="AE323" i="29"/>
  <c r="AD322" i="29"/>
  <c r="AC327" i="29"/>
  <c r="AB327" i="29"/>
  <c r="AF327" i="29" s="1"/>
  <c r="AC322" i="29"/>
  <c r="AA323" i="29" s="1"/>
  <c r="AB322" i="29"/>
  <c r="Q322" i="29"/>
  <c r="AF322" i="29" l="1"/>
  <c r="AB323" i="29"/>
  <c r="AC323" i="29"/>
  <c r="AA324" i="29" s="1"/>
  <c r="AD323" i="29"/>
  <c r="AE324" i="29"/>
  <c r="AD324" i="29" l="1"/>
  <c r="AE325" i="29"/>
  <c r="AD325" i="29" s="1"/>
  <c r="AC324" i="29"/>
  <c r="AA325" i="29" s="1"/>
  <c r="AB324" i="29"/>
  <c r="AF324" i="29" s="1"/>
  <c r="AF323" i="29"/>
  <c r="AC325" i="29" l="1"/>
  <c r="AB325" i="29"/>
  <c r="AF325" i="29" s="1"/>
  <c r="N311" i="29" l="1"/>
  <c r="N310" i="29"/>
  <c r="N309" i="29"/>
  <c r="N308" i="29"/>
  <c r="N307" i="29"/>
  <c r="W306" i="29"/>
  <c r="T306" i="29"/>
  <c r="N306" i="29"/>
  <c r="O306" i="29" s="1"/>
  <c r="Q306" i="29" s="1"/>
  <c r="K306" i="29"/>
  <c r="L306" i="29" s="1"/>
  <c r="AA306" i="29" s="1"/>
  <c r="N305" i="29"/>
  <c r="N304" i="29"/>
  <c r="N303" i="29"/>
  <c r="N302" i="29"/>
  <c r="N301" i="29"/>
  <c r="W300" i="29"/>
  <c r="T300" i="29"/>
  <c r="N300" i="29"/>
  <c r="O300" i="29" s="1"/>
  <c r="K300" i="29"/>
  <c r="L300" i="29" s="1"/>
  <c r="W299" i="29"/>
  <c r="T299" i="29"/>
  <c r="N299" i="29"/>
  <c r="O299" i="29" s="1"/>
  <c r="K299" i="29"/>
  <c r="L299" i="29" s="1"/>
  <c r="W298" i="29"/>
  <c r="T298" i="29"/>
  <c r="N298" i="29"/>
  <c r="O298" i="29" s="1"/>
  <c r="K298" i="29"/>
  <c r="L298" i="29" s="1"/>
  <c r="W297" i="29"/>
  <c r="T297" i="29"/>
  <c r="N297" i="29"/>
  <c r="O297" i="29" s="1"/>
  <c r="P297" i="29" s="1"/>
  <c r="AE297" i="29" s="1"/>
  <c r="AD297" i="29" s="1"/>
  <c r="J297" i="29"/>
  <c r="K297" i="29" s="1"/>
  <c r="Q299" i="29" l="1"/>
  <c r="P299" i="29"/>
  <c r="AA300" i="29"/>
  <c r="AB300" i="29" s="1"/>
  <c r="AA298" i="29"/>
  <c r="AB298" i="29" s="1"/>
  <c r="AA299" i="29"/>
  <c r="AC299" i="29" s="1"/>
  <c r="AB306" i="29"/>
  <c r="AC306" i="29"/>
  <c r="Q298" i="29"/>
  <c r="P298" i="29"/>
  <c r="AE298" i="29" s="1"/>
  <c r="AD298" i="29" s="1"/>
  <c r="P300" i="29"/>
  <c r="AE300" i="29" s="1"/>
  <c r="AD300" i="29" s="1"/>
  <c r="Q300" i="29"/>
  <c r="L297" i="29"/>
  <c r="AA297" i="29" s="1"/>
  <c r="Q297" i="29"/>
  <c r="AE299" i="29"/>
  <c r="AD299" i="29" s="1"/>
  <c r="P306" i="29"/>
  <c r="AE306" i="29" s="1"/>
  <c r="AD306" i="29" s="1"/>
  <c r="AB299" i="29" l="1"/>
  <c r="AC298" i="29"/>
  <c r="AC300" i="29"/>
  <c r="AF298" i="29"/>
  <c r="AC297" i="29"/>
  <c r="AB297" i="29"/>
  <c r="AF297" i="29" s="1"/>
  <c r="AF300" i="29"/>
  <c r="AF306" i="29"/>
  <c r="AF299" i="29"/>
  <c r="W286" i="29" l="1"/>
  <c r="T286" i="29"/>
  <c r="N286" i="29"/>
  <c r="W285" i="29"/>
  <c r="T285" i="29"/>
  <c r="N285" i="29"/>
  <c r="W284" i="29"/>
  <c r="T284" i="29"/>
  <c r="N284" i="29"/>
  <c r="O284" i="29" s="1"/>
  <c r="P284" i="29" s="1"/>
  <c r="K284" i="29"/>
  <c r="Q284" i="29" l="1"/>
  <c r="AE284" i="29"/>
  <c r="AD284" i="29" s="1"/>
  <c r="AE285" i="29"/>
  <c r="AD285" i="29" s="1"/>
  <c r="L284" i="29"/>
  <c r="AA284" i="29" s="1"/>
  <c r="AC284" i="29" l="1"/>
  <c r="AB284" i="29"/>
  <c r="AF284" i="29" s="1"/>
  <c r="AE286" i="29"/>
  <c r="AD286" i="29" s="1"/>
  <c r="AA285" i="29" l="1"/>
  <c r="AA286" i="29"/>
  <c r="AC286" i="29" l="1"/>
  <c r="AB286" i="29"/>
  <c r="AF286" i="29" s="1"/>
  <c r="AC285" i="29"/>
  <c r="AB285" i="29"/>
  <c r="AF285" i="29" s="1"/>
  <c r="W273" i="29" l="1"/>
  <c r="T273" i="29"/>
  <c r="N273" i="29"/>
  <c r="W272" i="29"/>
  <c r="T272" i="29"/>
  <c r="AE273" i="29" s="1"/>
  <c r="AD273" i="29" s="1"/>
  <c r="N272" i="29"/>
  <c r="W271" i="29"/>
  <c r="T271" i="29"/>
  <c r="AA272" i="29" s="1"/>
  <c r="N271" i="29"/>
  <c r="W270" i="29"/>
  <c r="T270" i="29"/>
  <c r="AE271" i="29" s="1"/>
  <c r="AD271" i="29" s="1"/>
  <c r="N270" i="29"/>
  <c r="W269" i="29"/>
  <c r="T269" i="29"/>
  <c r="N269" i="29"/>
  <c r="W268" i="29"/>
  <c r="T268" i="29"/>
  <c r="N268" i="29"/>
  <c r="O268" i="29" s="1"/>
  <c r="P268" i="29" s="1"/>
  <c r="K268" i="29"/>
  <c r="AE270" i="29" l="1"/>
  <c r="AD270" i="29" s="1"/>
  <c r="Q268" i="29"/>
  <c r="AC272" i="29"/>
  <c r="AB272" i="29"/>
  <c r="AE269" i="29"/>
  <c r="AD269" i="29" s="1"/>
  <c r="AA271" i="29"/>
  <c r="AE272" i="29"/>
  <c r="AD272" i="29" s="1"/>
  <c r="AE268" i="29"/>
  <c r="AD268" i="29" s="1"/>
  <c r="L268" i="29"/>
  <c r="AA270" i="29"/>
  <c r="AA273" i="29"/>
  <c r="AA268" i="29"/>
  <c r="AC268" i="29" l="1"/>
  <c r="AA269" i="29" s="1"/>
  <c r="AB268" i="29"/>
  <c r="AF268" i="29" s="1"/>
  <c r="AC273" i="29"/>
  <c r="AB273" i="29"/>
  <c r="AF273" i="29" s="1"/>
  <c r="AC271" i="29"/>
  <c r="AB271" i="29"/>
  <c r="AF271" i="29" s="1"/>
  <c r="AB270" i="29"/>
  <c r="AF270" i="29" s="1"/>
  <c r="AC270" i="29"/>
  <c r="AF272" i="29"/>
  <c r="AC269" i="29" l="1"/>
  <c r="AB269" i="29"/>
  <c r="AF269" i="29" s="1"/>
  <c r="W257" i="29" l="1"/>
  <c r="N257" i="29"/>
  <c r="O257" i="29" s="1"/>
  <c r="P257" i="29" s="1"/>
  <c r="AE257" i="29" s="1"/>
  <c r="AD257" i="29" s="1"/>
  <c r="K257" i="29"/>
  <c r="N256" i="29"/>
  <c r="N255" i="29"/>
  <c r="N254" i="29"/>
  <c r="N253" i="29"/>
  <c r="N252" i="29"/>
  <c r="N251" i="29"/>
  <c r="O251" i="29" s="1"/>
  <c r="K251" i="29"/>
  <c r="L251" i="29" s="1"/>
  <c r="AC250" i="29"/>
  <c r="AB250" i="29"/>
  <c r="N250" i="29"/>
  <c r="O250" i="29" s="1"/>
  <c r="P250" i="29" s="1"/>
  <c r="AE250" i="29" s="1"/>
  <c r="AD250" i="29" s="1"/>
  <c r="AF250" i="29" s="1"/>
  <c r="K250" i="29"/>
  <c r="W249" i="29"/>
  <c r="T249" i="29"/>
  <c r="N249" i="29"/>
  <c r="O249" i="29" s="1"/>
  <c r="P249" i="29" s="1"/>
  <c r="K249" i="29"/>
  <c r="Q250" i="29" l="1"/>
  <c r="Q257" i="29"/>
  <c r="Q251" i="29"/>
  <c r="P251" i="29"/>
  <c r="Q249" i="29"/>
  <c r="AE249" i="29"/>
  <c r="AD249" i="29" s="1"/>
  <c r="L249" i="29"/>
  <c r="AA249" i="29" s="1"/>
  <c r="L257" i="29"/>
  <c r="AA257" i="29" s="1"/>
  <c r="L250" i="29"/>
  <c r="AC257" i="29" l="1"/>
  <c r="AB257" i="29"/>
  <c r="AF257" i="29" s="1"/>
  <c r="AC249" i="29"/>
  <c r="AB249" i="29"/>
  <c r="AF249" i="29" s="1"/>
  <c r="W238" i="29" l="1"/>
  <c r="T238" i="29"/>
  <c r="N238" i="29"/>
  <c r="W237" i="29"/>
  <c r="T237" i="29"/>
  <c r="N237" i="29"/>
  <c r="O237" i="29" s="1"/>
  <c r="P237" i="29" s="1"/>
  <c r="K237" i="29"/>
  <c r="W236" i="29"/>
  <c r="T236" i="29"/>
  <c r="N236" i="29"/>
  <c r="W235" i="29"/>
  <c r="T235" i="29"/>
  <c r="N235" i="29"/>
  <c r="N234" i="29"/>
  <c r="W233" i="29"/>
  <c r="T233" i="29"/>
  <c r="W232" i="29"/>
  <c r="T232" i="29"/>
  <c r="N232" i="29"/>
  <c r="O232" i="29" s="1"/>
  <c r="P232" i="29" s="1"/>
  <c r="AE232" i="29" s="1"/>
  <c r="K232" i="29"/>
  <c r="L232" i="29" s="1"/>
  <c r="AA232" i="29" l="1"/>
  <c r="AB232" i="29" s="1"/>
  <c r="AC232" i="29"/>
  <c r="AA233" i="29" s="1"/>
  <c r="AD232" i="29"/>
  <c r="AE233" i="29"/>
  <c r="AD233" i="29" s="1"/>
  <c r="Q237" i="29"/>
  <c r="AE237" i="29"/>
  <c r="AD237" i="29" s="1"/>
  <c r="Q232" i="29"/>
  <c r="AE235" i="29"/>
  <c r="AD235" i="29" s="1"/>
  <c r="L237" i="29"/>
  <c r="AA237" i="29" s="1"/>
  <c r="AC237" i="29" l="1"/>
  <c r="AA238" i="29" s="1"/>
  <c r="AB237" i="29"/>
  <c r="AF237" i="29" s="1"/>
  <c r="AE238" i="29"/>
  <c r="AD238" i="29" s="1"/>
  <c r="AC233" i="29"/>
  <c r="AA235" i="29" s="1"/>
  <c r="AB233" i="29"/>
  <c r="AF233" i="29" s="1"/>
  <c r="AF232" i="29"/>
  <c r="AE236" i="29"/>
  <c r="AD236" i="29" s="1"/>
  <c r="AB235" i="29" l="1"/>
  <c r="AF235" i="29" s="1"/>
  <c r="AC235" i="29"/>
  <c r="AA236" i="29" s="1"/>
  <c r="AC238" i="29"/>
  <c r="AB238" i="29"/>
  <c r="AF238" i="29" s="1"/>
  <c r="AC236" i="29" l="1"/>
  <c r="AB236" i="29"/>
  <c r="AF236" i="29" s="1"/>
  <c r="W221" i="29" l="1"/>
  <c r="T221" i="29"/>
  <c r="N221" i="29"/>
  <c r="W220" i="29"/>
  <c r="T220" i="29"/>
  <c r="N220" i="29"/>
  <c r="W219" i="29"/>
  <c r="T219" i="29"/>
  <c r="N219" i="29"/>
  <c r="W218" i="29"/>
  <c r="T218" i="29"/>
  <c r="N218" i="29"/>
  <c r="O218" i="29" s="1"/>
  <c r="P218" i="29" s="1"/>
  <c r="K218" i="29"/>
  <c r="Q218" i="29" l="1"/>
  <c r="AE219" i="29"/>
  <c r="AE218" i="29"/>
  <c r="AD218" i="29" s="1"/>
  <c r="L218" i="29"/>
  <c r="AA218" i="29" s="1"/>
  <c r="AB218" i="29" l="1"/>
  <c r="AF218" i="29" s="1"/>
  <c r="AC218" i="29"/>
  <c r="AA219" i="29" s="1"/>
  <c r="AD219" i="29"/>
  <c r="AE220" i="29"/>
  <c r="AD220" i="29" l="1"/>
  <c r="AE221" i="29"/>
  <c r="AD221" i="29" s="1"/>
  <c r="AC219" i="29"/>
  <c r="AB219" i="29"/>
  <c r="AF219" i="29" s="1"/>
  <c r="AA220" i="29" l="1"/>
  <c r="AA221" i="29"/>
  <c r="AC221" i="29" l="1"/>
  <c r="AB221" i="29"/>
  <c r="AF221" i="29" s="1"/>
  <c r="AC220" i="29"/>
  <c r="AB220" i="29"/>
  <c r="AF220" i="29" s="1"/>
  <c r="W207" i="29" l="1"/>
  <c r="T207" i="29"/>
  <c r="N207" i="29"/>
  <c r="W206" i="29"/>
  <c r="T206" i="29"/>
  <c r="N206" i="29"/>
  <c r="W205" i="29"/>
  <c r="T205" i="29"/>
  <c r="N205" i="29"/>
  <c r="O205" i="29" s="1"/>
  <c r="P205" i="29" s="1"/>
  <c r="AE205" i="29" s="1"/>
  <c r="K205" i="29"/>
  <c r="Q205" i="29" l="1"/>
  <c r="AE206" i="29"/>
  <c r="AD206" i="29" s="1"/>
  <c r="AD205" i="29"/>
  <c r="L205" i="29"/>
  <c r="AA205" i="29" s="1"/>
  <c r="AC205" i="29" l="1"/>
  <c r="AA206" i="29" s="1"/>
  <c r="AB205" i="29"/>
  <c r="AF205" i="29" s="1"/>
  <c r="AE207" i="29"/>
  <c r="AD207" i="29" s="1"/>
  <c r="AC206" i="29" l="1"/>
  <c r="AA207" i="29" s="1"/>
  <c r="AB206" i="29"/>
  <c r="AF206" i="29" s="1"/>
  <c r="AC207" i="29" l="1"/>
  <c r="AB207" i="29"/>
  <c r="AF207" i="29" s="1"/>
  <c r="AC189" i="29" l="1"/>
  <c r="AB189" i="29"/>
  <c r="AF189" i="29" s="1"/>
  <c r="W189" i="29"/>
  <c r="K189" i="29"/>
  <c r="AC187" i="29"/>
  <c r="AB187" i="29"/>
  <c r="AF187" i="29" s="1"/>
  <c r="W187" i="29"/>
  <c r="AC183" i="29"/>
  <c r="AB183" i="29"/>
  <c r="AF183" i="29" s="1"/>
  <c r="W183" i="29"/>
  <c r="K183" i="29"/>
  <c r="L183" i="29" s="1"/>
  <c r="N189" i="29"/>
  <c r="O189" i="29" s="1"/>
  <c r="P189" i="29" s="1"/>
  <c r="Q189" i="29" l="1"/>
  <c r="N183" i="29"/>
  <c r="O183" i="29" s="1"/>
  <c r="P183" i="29" s="1"/>
  <c r="L189" i="29"/>
  <c r="Q183" i="29" l="1"/>
  <c r="AB172" i="29" l="1"/>
  <c r="N172" i="29"/>
  <c r="AB171" i="29"/>
  <c r="N171" i="29"/>
  <c r="AB170" i="29"/>
  <c r="N170" i="29"/>
  <c r="AB169" i="29"/>
  <c r="N169" i="29"/>
  <c r="AB168" i="29"/>
  <c r="N168" i="29"/>
  <c r="AB167" i="29"/>
  <c r="N167" i="29"/>
  <c r="O167" i="29" s="1"/>
  <c r="P167" i="29" s="1"/>
  <c r="K167" i="29"/>
  <c r="L167" i="29" s="1"/>
  <c r="AB166" i="29"/>
  <c r="N166" i="29"/>
  <c r="AB165" i="29"/>
  <c r="N165" i="29"/>
  <c r="AD164" i="29"/>
  <c r="AC164" i="29"/>
  <c r="AB164" i="29"/>
  <c r="W164" i="29"/>
  <c r="T164" i="29"/>
  <c r="N164" i="29"/>
  <c r="N163" i="29"/>
  <c r="N162" i="29"/>
  <c r="N161" i="29"/>
  <c r="O161" i="29" s="1"/>
  <c r="P161" i="29" s="1"/>
  <c r="K161" i="29"/>
  <c r="L161" i="29" s="1"/>
  <c r="N160" i="29"/>
  <c r="N159" i="29"/>
  <c r="N158" i="29"/>
  <c r="N157" i="29"/>
  <c r="N156" i="29"/>
  <c r="W155" i="29"/>
  <c r="T155" i="29"/>
  <c r="N155" i="29"/>
  <c r="O155" i="29" s="1"/>
  <c r="P155" i="29" s="1"/>
  <c r="K155" i="29"/>
  <c r="L155" i="29" s="1"/>
  <c r="W154" i="29"/>
  <c r="T154" i="29"/>
  <c r="N154" i="29"/>
  <c r="W153" i="29"/>
  <c r="T153" i="29"/>
  <c r="N153" i="29"/>
  <c r="O153" i="29" s="1"/>
  <c r="K153" i="29"/>
  <c r="L153" i="29" s="1"/>
  <c r="AF164" i="29" l="1"/>
  <c r="AA153" i="29"/>
  <c r="AA155" i="29"/>
  <c r="AE155" i="29"/>
  <c r="AD155" i="29" s="1"/>
  <c r="Q153" i="29"/>
  <c r="P153" i="29"/>
  <c r="AE153" i="29" s="1"/>
  <c r="AD153" i="29" s="1"/>
  <c r="Q161" i="29"/>
  <c r="AC153" i="29"/>
  <c r="AA154" i="29" s="1"/>
  <c r="AB153" i="29"/>
  <c r="Q167" i="29"/>
  <c r="AB155" i="29"/>
  <c r="AC155" i="29"/>
  <c r="Q155" i="29"/>
  <c r="AF155" i="29" l="1"/>
  <c r="AE154" i="29"/>
  <c r="AD154" i="29" s="1"/>
  <c r="AF153" i="29"/>
  <c r="AC154" i="29"/>
  <c r="AB154" i="29"/>
  <c r="AF154" i="29" l="1"/>
  <c r="W143" i="29" l="1"/>
  <c r="T143" i="29"/>
  <c r="N143" i="29"/>
  <c r="W142" i="29"/>
  <c r="T142" i="29"/>
  <c r="AE143" i="29" s="1"/>
  <c r="AD143" i="29" s="1"/>
  <c r="N142" i="29"/>
  <c r="W141" i="29"/>
  <c r="T141" i="29"/>
  <c r="N141" i="29"/>
  <c r="W140" i="29"/>
  <c r="T140" i="29"/>
  <c r="N140" i="29"/>
  <c r="W139" i="29"/>
  <c r="T139" i="29"/>
  <c r="N139" i="29"/>
  <c r="W138" i="29"/>
  <c r="T138" i="29"/>
  <c r="N138" i="29"/>
  <c r="O138" i="29" s="1"/>
  <c r="P138" i="29" s="1"/>
  <c r="AE138" i="29" s="1"/>
  <c r="K138" i="29"/>
  <c r="Q138" i="29" l="1"/>
  <c r="AE139" i="29"/>
  <c r="AD139" i="29" s="1"/>
  <c r="AD138" i="29"/>
  <c r="L138" i="29"/>
  <c r="AA138" i="29" s="1"/>
  <c r="AA143" i="29"/>
  <c r="AE141" i="29"/>
  <c r="AD141" i="29" s="1"/>
  <c r="AC143" i="29" l="1"/>
  <c r="AB143" i="29"/>
  <c r="AF143" i="29" s="1"/>
  <c r="AE142" i="29"/>
  <c r="AB138" i="29"/>
  <c r="AF138" i="29" s="1"/>
  <c r="AC138" i="29"/>
  <c r="AA139" i="29" s="1"/>
  <c r="AE140" i="29"/>
  <c r="AD140" i="29" s="1"/>
  <c r="AC139" i="29" l="1"/>
  <c r="AA140" i="29" s="1"/>
  <c r="AB139" i="29"/>
  <c r="AF139" i="29" s="1"/>
  <c r="AC140" i="29" l="1"/>
  <c r="AB140" i="29"/>
  <c r="AF140" i="29" s="1"/>
  <c r="AA142" i="29" l="1"/>
  <c r="AC142" i="29" s="1"/>
  <c r="AA141" i="29"/>
  <c r="AC141" i="29" l="1"/>
  <c r="AB141" i="29"/>
  <c r="AF141" i="29" s="1"/>
  <c r="W127" i="29" l="1"/>
  <c r="T127" i="29"/>
  <c r="N127" i="29"/>
  <c r="W126" i="29"/>
  <c r="T126" i="29"/>
  <c r="AE127" i="29" s="1"/>
  <c r="AD127" i="29" s="1"/>
  <c r="N126" i="29"/>
  <c r="O126" i="29" s="1"/>
  <c r="P126" i="29" s="1"/>
  <c r="AE126" i="29" s="1"/>
  <c r="AD126" i="29" s="1"/>
  <c r="K126" i="29"/>
  <c r="W125" i="29"/>
  <c r="T125" i="29"/>
  <c r="N125" i="29"/>
  <c r="W124" i="29"/>
  <c r="T124" i="29"/>
  <c r="N124" i="29"/>
  <c r="O124" i="29" s="1"/>
  <c r="K124" i="29"/>
  <c r="L124" i="29" s="1"/>
  <c r="W123" i="29"/>
  <c r="T123" i="29"/>
  <c r="N123" i="29"/>
  <c r="W122" i="29"/>
  <c r="T122" i="29"/>
  <c r="N122" i="29"/>
  <c r="W121" i="29"/>
  <c r="T121" i="29"/>
  <c r="N121" i="29"/>
  <c r="O121" i="29" s="1"/>
  <c r="P121" i="29" s="1"/>
  <c r="K121" i="29"/>
  <c r="Q121" i="29" l="1"/>
  <c r="Q126" i="29"/>
  <c r="Q124" i="29"/>
  <c r="P124" i="29"/>
  <c r="AE124" i="29" s="1"/>
  <c r="AD124" i="29" s="1"/>
  <c r="L126" i="29"/>
  <c r="AA126" i="29" s="1"/>
  <c r="AA127" i="29"/>
  <c r="AA125" i="29"/>
  <c r="AE121" i="29"/>
  <c r="L121" i="29"/>
  <c r="AA121" i="29" s="1"/>
  <c r="AA124" i="29"/>
  <c r="AC126" i="29" l="1"/>
  <c r="AB126" i="29"/>
  <c r="AF126" i="29" s="1"/>
  <c r="AB125" i="29"/>
  <c r="AC125" i="29"/>
  <c r="AC127" i="29"/>
  <c r="AB127" i="29"/>
  <c r="AF127" i="29" s="1"/>
  <c r="AC121" i="29"/>
  <c r="AA122" i="29" s="1"/>
  <c r="AB121" i="29"/>
  <c r="AB124" i="29"/>
  <c r="AF124" i="29" s="1"/>
  <c r="AC124" i="29"/>
  <c r="AD121" i="29"/>
  <c r="AE122" i="29"/>
  <c r="AE125" i="29"/>
  <c r="AD125" i="29" s="1"/>
  <c r="AD122" i="29" l="1"/>
  <c r="AE123" i="29"/>
  <c r="AD123" i="29" s="1"/>
  <c r="AF121" i="29"/>
  <c r="AC122" i="29"/>
  <c r="AA123" i="29" s="1"/>
  <c r="AB122" i="29"/>
  <c r="AF122" i="29" s="1"/>
  <c r="AF125" i="29"/>
  <c r="AB123" i="29" l="1"/>
  <c r="AF123" i="29" s="1"/>
  <c r="AC123" i="29"/>
  <c r="W111" i="29" l="1"/>
  <c r="T111" i="29"/>
  <c r="W110" i="29"/>
  <c r="T110" i="29"/>
  <c r="AE111" i="29" s="1"/>
  <c r="AD111" i="29" s="1"/>
  <c r="W109" i="29"/>
  <c r="T109" i="29"/>
  <c r="AA110" i="29" s="1"/>
  <c r="W108" i="29"/>
  <c r="T108" i="29"/>
  <c r="W107" i="29"/>
  <c r="T107" i="29"/>
  <c r="AA107" i="29" s="1"/>
  <c r="AC107" i="29" s="1"/>
  <c r="O107" i="29"/>
  <c r="Q109" i="29" s="1"/>
  <c r="K107" i="29"/>
  <c r="L107" i="29" s="1"/>
  <c r="W105" i="29"/>
  <c r="T105" i="29"/>
  <c r="AA106" i="29" s="1"/>
  <c r="K105" i="29"/>
  <c r="L105" i="29" s="1"/>
  <c r="W103" i="29"/>
  <c r="T103" i="29"/>
  <c r="K103" i="29"/>
  <c r="L103" i="29" s="1"/>
  <c r="AA108" i="29" l="1"/>
  <c r="AB108" i="29" s="1"/>
  <c r="AE108" i="29"/>
  <c r="AD108" i="29" s="1"/>
  <c r="AB110" i="29"/>
  <c r="AC110" i="29"/>
  <c r="AC106" i="29"/>
  <c r="AB106" i="29"/>
  <c r="AA109" i="29"/>
  <c r="AE110" i="29"/>
  <c r="AD110" i="29" s="1"/>
  <c r="AA105" i="29"/>
  <c r="AA103" i="29"/>
  <c r="AC108" i="29"/>
  <c r="AE109" i="29"/>
  <c r="AD109" i="29" s="1"/>
  <c r="AA111" i="29"/>
  <c r="AE105" i="29"/>
  <c r="AD105" i="29" s="1"/>
  <c r="AE106" i="29"/>
  <c r="AB107" i="29"/>
  <c r="P109" i="29"/>
  <c r="AF108" i="29" l="1"/>
  <c r="AC109" i="29"/>
  <c r="AB109" i="29"/>
  <c r="AF109" i="29" s="1"/>
  <c r="AC103" i="29"/>
  <c r="AB103" i="29"/>
  <c r="AC105" i="29"/>
  <c r="AB105" i="29"/>
  <c r="AF105" i="29" s="1"/>
  <c r="AE107" i="29"/>
  <c r="AD107" i="29" s="1"/>
  <c r="AF107" i="29" s="1"/>
  <c r="AD106" i="29"/>
  <c r="AF106" i="29" s="1"/>
  <c r="AF110" i="29"/>
  <c r="AC111" i="29"/>
  <c r="AB111" i="29"/>
  <c r="AF111" i="29" s="1"/>
  <c r="N103" i="29"/>
  <c r="O103" i="29" s="1"/>
  <c r="P103" i="29" l="1"/>
  <c r="AE103" i="29" s="1"/>
  <c r="AD103" i="29" s="1"/>
  <c r="AF103" i="29" s="1"/>
  <c r="Q103" i="29"/>
  <c r="W92" i="29" l="1"/>
  <c r="T92" i="29"/>
  <c r="W91" i="29"/>
  <c r="T91" i="29"/>
  <c r="W90" i="29"/>
  <c r="T90" i="29"/>
  <c r="N90" i="29"/>
  <c r="W89" i="29"/>
  <c r="T89" i="29"/>
  <c r="N89" i="29"/>
  <c r="O89" i="29" s="1"/>
  <c r="P89" i="29" s="1"/>
  <c r="K89" i="29"/>
  <c r="L89" i="29" s="1"/>
  <c r="W88" i="29"/>
  <c r="T88" i="29"/>
  <c r="N88" i="29"/>
  <c r="W87" i="29"/>
  <c r="T87" i="29"/>
  <c r="N87" i="29"/>
  <c r="W86" i="29"/>
  <c r="T86" i="29"/>
  <c r="N86" i="29"/>
  <c r="W85" i="29"/>
  <c r="T85" i="29"/>
  <c r="N85" i="29"/>
  <c r="W84" i="29"/>
  <c r="T84" i="29"/>
  <c r="N84" i="29"/>
  <c r="O84" i="29" s="1"/>
  <c r="K84" i="29"/>
  <c r="L84" i="29" s="1"/>
  <c r="AE89" i="29" l="1"/>
  <c r="AD89" i="29" s="1"/>
  <c r="Q84" i="29"/>
  <c r="P84" i="29"/>
  <c r="AE84" i="29" s="1"/>
  <c r="AD84" i="29" s="1"/>
  <c r="Q89" i="29"/>
  <c r="AA89" i="29"/>
  <c r="AE90" i="29"/>
  <c r="AD90" i="29" s="1"/>
  <c r="AA84" i="29"/>
  <c r="AE91" i="29" l="1"/>
  <c r="AD91" i="29" s="1"/>
  <c r="AE85" i="29"/>
  <c r="AE92" i="29"/>
  <c r="AD92" i="29" s="1"/>
  <c r="AC84" i="29"/>
  <c r="AA85" i="29" s="1"/>
  <c r="AB84" i="29"/>
  <c r="AF84" i="29" s="1"/>
  <c r="AC89" i="29"/>
  <c r="AA90" i="29" s="1"/>
  <c r="AB89" i="29"/>
  <c r="AF89" i="29" s="1"/>
  <c r="AB90" i="29" l="1"/>
  <c r="AF90" i="29" s="1"/>
  <c r="AC90" i="29"/>
  <c r="AA91" i="29" s="1"/>
  <c r="AB85" i="29"/>
  <c r="AC85" i="29"/>
  <c r="AA86" i="29" s="1"/>
  <c r="AD85" i="29"/>
  <c r="AE86" i="29"/>
  <c r="AD86" i="29" l="1"/>
  <c r="AE87" i="29"/>
  <c r="AB86" i="29"/>
  <c r="AF86" i="29" s="1"/>
  <c r="AC86" i="29"/>
  <c r="AA87" i="29" s="1"/>
  <c r="AF85" i="29"/>
  <c r="AB91" i="29"/>
  <c r="AF91" i="29" s="1"/>
  <c r="AC91" i="29"/>
  <c r="AA92" i="29" s="1"/>
  <c r="AC92" i="29" l="1"/>
  <c r="AB92" i="29"/>
  <c r="AF92" i="29" s="1"/>
  <c r="AC87" i="29"/>
  <c r="AA88" i="29" s="1"/>
  <c r="AB87" i="29"/>
  <c r="AD87" i="29"/>
  <c r="AE88" i="29"/>
  <c r="AD88" i="29" s="1"/>
  <c r="AF87" i="29" l="1"/>
  <c r="AB88" i="29"/>
  <c r="AF88" i="29" s="1"/>
  <c r="AC88" i="29"/>
  <c r="W71" i="29" l="1"/>
  <c r="T71" i="29"/>
  <c r="N71" i="29"/>
  <c r="K71" i="29"/>
  <c r="L71" i="29" s="1"/>
  <c r="W70" i="29"/>
  <c r="T70" i="29"/>
  <c r="W69" i="29"/>
  <c r="T69" i="29"/>
  <c r="AA70" i="29" s="1"/>
  <c r="W68" i="29"/>
  <c r="T68" i="29"/>
  <c r="N68" i="29"/>
  <c r="O68" i="29" s="1"/>
  <c r="K68" i="29"/>
  <c r="Q68" i="29" l="1"/>
  <c r="P68" i="29"/>
  <c r="AE68" i="29" s="1"/>
  <c r="AD68" i="29" s="1"/>
  <c r="Q71" i="29"/>
  <c r="O71" i="29"/>
  <c r="P71" i="29" s="1"/>
  <c r="AE71" i="29" s="1"/>
  <c r="AD71" i="29" s="1"/>
  <c r="L68" i="29"/>
  <c r="AA68" i="29" s="1"/>
  <c r="AA69" i="29"/>
  <c r="AA71" i="29"/>
  <c r="AB68" i="29" l="1"/>
  <c r="AC68" i="29"/>
  <c r="AB71" i="29"/>
  <c r="AC71" i="29"/>
  <c r="AF71" i="29" l="1"/>
  <c r="AF68" i="29"/>
  <c r="W57" i="29" l="1"/>
  <c r="N57" i="29"/>
  <c r="W56" i="29"/>
  <c r="P56" i="29"/>
  <c r="AE56" i="29" s="1"/>
  <c r="AE57" i="29" s="1"/>
  <c r="N56" i="29"/>
  <c r="K56" i="29"/>
  <c r="Q56" i="29" s="1"/>
  <c r="W55" i="29"/>
  <c r="T55" i="29"/>
  <c r="N55" i="29"/>
  <c r="W54" i="29"/>
  <c r="T54" i="29"/>
  <c r="AE55" i="29" s="1"/>
  <c r="AD55" i="29" s="1"/>
  <c r="N54" i="29"/>
  <c r="W53" i="29"/>
  <c r="T53" i="29"/>
  <c r="N53" i="29"/>
  <c r="W52" i="29"/>
  <c r="T52" i="29"/>
  <c r="N52" i="29"/>
  <c r="W51" i="29"/>
  <c r="T51" i="29"/>
  <c r="N51" i="29"/>
  <c r="W50" i="29"/>
  <c r="T50" i="29"/>
  <c r="N50" i="29"/>
  <c r="O50" i="29" s="1"/>
  <c r="K50" i="29"/>
  <c r="L50" i="29" s="1"/>
  <c r="W49" i="29"/>
  <c r="T49" i="29"/>
  <c r="N49" i="29"/>
  <c r="W48" i="29"/>
  <c r="T48" i="29"/>
  <c r="AA49" i="29" s="1"/>
  <c r="AC49" i="29" s="1"/>
  <c r="N48" i="29"/>
  <c r="W47" i="29"/>
  <c r="T47" i="29"/>
  <c r="N47" i="29"/>
  <c r="W46" i="29"/>
  <c r="T46" i="29"/>
  <c r="N46" i="29"/>
  <c r="W45" i="29"/>
  <c r="T45" i="29"/>
  <c r="N45" i="29"/>
  <c r="W44" i="29"/>
  <c r="T44" i="29"/>
  <c r="N44" i="29"/>
  <c r="O44" i="29" s="1"/>
  <c r="K44" i="29"/>
  <c r="L44" i="29" s="1"/>
  <c r="AE48" i="29" l="1"/>
  <c r="AD48" i="29" s="1"/>
  <c r="AA52" i="29"/>
  <c r="AC52" i="29" s="1"/>
  <c r="AA48" i="29"/>
  <c r="AC48" i="29" s="1"/>
  <c r="AE49" i="29"/>
  <c r="AD49" i="29" s="1"/>
  <c r="AE54" i="29"/>
  <c r="AD54" i="29" s="1"/>
  <c r="AE53" i="29"/>
  <c r="AD53" i="29" s="1"/>
  <c r="AA55" i="29"/>
  <c r="AB55" i="29" s="1"/>
  <c r="AF55" i="29" s="1"/>
  <c r="AE47" i="29"/>
  <c r="AD47" i="29" s="1"/>
  <c r="AE52" i="29"/>
  <c r="AD52" i="29" s="1"/>
  <c r="AA44" i="29"/>
  <c r="AC44" i="29" s="1"/>
  <c r="AA45" i="29" s="1"/>
  <c r="Q44" i="29"/>
  <c r="P44" i="29"/>
  <c r="AE44" i="29" s="1"/>
  <c r="AD44" i="29" s="1"/>
  <c r="P50" i="29"/>
  <c r="AE50" i="29" s="1"/>
  <c r="Q50" i="29"/>
  <c r="AB49" i="29"/>
  <c r="AA50" i="29"/>
  <c r="AA54" i="29"/>
  <c r="AB48" i="29"/>
  <c r="AF48" i="29" s="1"/>
  <c r="AA53" i="29"/>
  <c r="AA47" i="29"/>
  <c r="L56" i="29"/>
  <c r="AA56" i="29" s="1"/>
  <c r="AF49" i="29" l="1"/>
  <c r="AB52" i="29"/>
  <c r="AB44" i="29"/>
  <c r="AC55" i="29"/>
  <c r="AF52" i="29"/>
  <c r="AE45" i="29"/>
  <c r="AF44" i="29"/>
  <c r="AD50" i="29"/>
  <c r="AE51" i="29"/>
  <c r="AD51" i="29" s="1"/>
  <c r="AC56" i="29"/>
  <c r="AA57" i="29" s="1"/>
  <c r="AB56" i="29"/>
  <c r="AF56" i="29" s="1"/>
  <c r="AC47" i="29"/>
  <c r="AB47" i="29"/>
  <c r="AF47" i="29" s="1"/>
  <c r="AC53" i="29"/>
  <c r="AB53" i="29"/>
  <c r="AF53" i="29" s="1"/>
  <c r="AC45" i="29"/>
  <c r="AA46" i="29" s="1"/>
  <c r="AB45" i="29"/>
  <c r="AB54" i="29"/>
  <c r="AF54" i="29" s="1"/>
  <c r="AC54" i="29"/>
  <c r="AC50" i="29"/>
  <c r="AA51" i="29" s="1"/>
  <c r="AB50" i="29"/>
  <c r="AF50" i="29" l="1"/>
  <c r="AD45" i="29"/>
  <c r="AF45" i="29" s="1"/>
  <c r="AE46" i="29"/>
  <c r="AD46" i="29" s="1"/>
  <c r="AB46" i="29"/>
  <c r="AC46" i="29"/>
  <c r="AC57" i="29"/>
  <c r="AB57" i="29"/>
  <c r="AF57" i="29" s="1"/>
  <c r="AB51" i="29"/>
  <c r="AF51" i="29" s="1"/>
  <c r="AC51" i="29"/>
  <c r="AF46" i="29" l="1"/>
  <c r="W33" i="29"/>
  <c r="T33" i="29"/>
  <c r="W32" i="29"/>
  <c r="T32" i="29"/>
  <c r="W31" i="29"/>
  <c r="T31" i="29"/>
  <c r="AE32" i="29" s="1"/>
  <c r="AD32" i="29" s="1"/>
  <c r="W30" i="29"/>
  <c r="T30" i="29"/>
  <c r="AA31" i="29" s="1"/>
  <c r="AC31" i="29" s="1"/>
  <c r="W29" i="29"/>
  <c r="T29" i="29"/>
  <c r="AA30" i="29" s="1"/>
  <c r="W28" i="29"/>
  <c r="T28" i="29"/>
  <c r="K28" i="29"/>
  <c r="W27" i="29"/>
  <c r="T27" i="29"/>
  <c r="W26" i="29"/>
  <c r="T26" i="29"/>
  <c r="W25" i="29"/>
  <c r="T25" i="29"/>
  <c r="W24" i="29"/>
  <c r="T24" i="29"/>
  <c r="AA25" i="29" s="1"/>
  <c r="W23" i="29"/>
  <c r="T23" i="29"/>
  <c r="W22" i="29"/>
  <c r="T22" i="29"/>
  <c r="K22" i="29"/>
  <c r="N22" i="29"/>
  <c r="O22" i="29" s="1"/>
  <c r="P22" i="29" s="1"/>
  <c r="AE22" i="29" s="1"/>
  <c r="AD22" i="29" s="1"/>
  <c r="AE26" i="29" l="1"/>
  <c r="AD26" i="29" s="1"/>
  <c r="AE30" i="29"/>
  <c r="AD30" i="29" s="1"/>
  <c r="AE33" i="29"/>
  <c r="AD33" i="29" s="1"/>
  <c r="AA32" i="29"/>
  <c r="AB32" i="29" s="1"/>
  <c r="AF32" i="29" s="1"/>
  <c r="AE31" i="29"/>
  <c r="AD31" i="29" s="1"/>
  <c r="Q22" i="29"/>
  <c r="AE23" i="29"/>
  <c r="AD23" i="29" s="1"/>
  <c r="AC30" i="29"/>
  <c r="AB30" i="29"/>
  <c r="AF30" i="29" s="1"/>
  <c r="AC25" i="29"/>
  <c r="AB25" i="29"/>
  <c r="AE25" i="29"/>
  <c r="AD25" i="29" s="1"/>
  <c r="AA27" i="29"/>
  <c r="L22" i="29"/>
  <c r="AA22" i="29" s="1"/>
  <c r="AB31" i="29"/>
  <c r="AA26" i="29"/>
  <c r="AE27" i="29"/>
  <c r="AD27" i="29" s="1"/>
  <c r="AA33" i="29"/>
  <c r="L28" i="29"/>
  <c r="AA28" i="29" s="1"/>
  <c r="N28" i="29"/>
  <c r="O28" i="29" s="1"/>
  <c r="P28" i="29" s="1"/>
  <c r="AE28" i="29" s="1"/>
  <c r="AF31" i="29" l="1"/>
  <c r="AC32" i="29"/>
  <c r="AE24" i="29"/>
  <c r="AD24" i="29" s="1"/>
  <c r="AE29" i="29"/>
  <c r="AD29" i="29" s="1"/>
  <c r="AD28" i="29"/>
  <c r="AC27" i="29"/>
  <c r="AB27" i="29"/>
  <c r="AF27" i="29" s="1"/>
  <c r="AF25" i="29"/>
  <c r="AC28" i="29"/>
  <c r="AA29" i="29" s="1"/>
  <c r="AB28" i="29"/>
  <c r="AC33" i="29"/>
  <c r="AB33" i="29"/>
  <c r="AF33" i="29" s="1"/>
  <c r="AC26" i="29"/>
  <c r="AB26" i="29"/>
  <c r="AF26" i="29" s="1"/>
  <c r="Q28" i="29"/>
  <c r="AC22" i="29"/>
  <c r="AA23" i="29" s="1"/>
  <c r="AB22" i="29"/>
  <c r="AF22" i="29" s="1"/>
  <c r="AF28" i="29" l="1"/>
  <c r="AC23" i="29"/>
  <c r="AA24" i="29" s="1"/>
  <c r="AB23" i="29"/>
  <c r="AF23" i="29" s="1"/>
  <c r="AB29" i="29"/>
  <c r="AF29" i="29" s="1"/>
  <c r="AC29" i="29"/>
  <c r="AC24" i="29" l="1"/>
  <c r="AB24" i="29"/>
  <c r="AF24" i="29" s="1"/>
  <c r="W11" i="29" l="1"/>
  <c r="T11" i="29"/>
  <c r="S11" i="29"/>
  <c r="W10" i="29"/>
  <c r="T10" i="29"/>
  <c r="AE10" i="29" s="1"/>
  <c r="AD10" i="29" s="1"/>
  <c r="S10" i="29"/>
  <c r="AA10" i="29" l="1"/>
  <c r="AE11" i="29"/>
  <c r="AD11" i="29" s="1"/>
  <c r="AC10" i="29" l="1"/>
  <c r="AA11" i="29" s="1"/>
  <c r="AB10" i="29"/>
  <c r="AF10" i="29" s="1"/>
  <c r="AC11" i="29" l="1"/>
  <c r="AB11" i="29"/>
  <c r="AF11" i="29" s="1"/>
  <c r="W412" i="28" l="1"/>
  <c r="T412" i="28"/>
  <c r="W411" i="28"/>
  <c r="T411" i="28"/>
  <c r="W410" i="28"/>
  <c r="T410" i="28"/>
  <c r="N410" i="28"/>
  <c r="W409" i="28"/>
  <c r="T409" i="28"/>
  <c r="N409" i="28"/>
  <c r="O409" i="28" s="1"/>
  <c r="P409" i="28" s="1"/>
  <c r="AE409" i="28" s="1"/>
  <c r="AD409" i="28" s="1"/>
  <c r="K409" i="28"/>
  <c r="L409" i="28" s="1"/>
  <c r="AA409" i="28" s="1"/>
  <c r="W408" i="28"/>
  <c r="T408" i="28"/>
  <c r="N408" i="28"/>
  <c r="W407" i="28"/>
  <c r="T407" i="28"/>
  <c r="N407" i="28"/>
  <c r="W406" i="28"/>
  <c r="T406" i="28"/>
  <c r="N406" i="28"/>
  <c r="W405" i="28"/>
  <c r="T405" i="28"/>
  <c r="N405" i="28"/>
  <c r="W404" i="28"/>
  <c r="T404" i="28"/>
  <c r="N404" i="28"/>
  <c r="O404" i="28" s="1"/>
  <c r="L404" i="28"/>
  <c r="K404" i="28"/>
  <c r="AE410" i="28" l="1"/>
  <c r="AD410" i="28" s="1"/>
  <c r="AC409" i="28"/>
  <c r="AB409" i="28"/>
  <c r="AF409" i="28" s="1"/>
  <c r="P404" i="28"/>
  <c r="Q404" i="28"/>
  <c r="AE404" i="28"/>
  <c r="AD404" i="28" s="1"/>
  <c r="Q409" i="28"/>
  <c r="AA410" i="28"/>
  <c r="AE411" i="28"/>
  <c r="AD411" i="28" s="1"/>
  <c r="AA404" i="28"/>
  <c r="AE412" i="28" l="1"/>
  <c r="AD412" i="28" s="1"/>
  <c r="AE405" i="28"/>
  <c r="AC404" i="28"/>
  <c r="AA405" i="28" s="1"/>
  <c r="AB404" i="28"/>
  <c r="AF404" i="28" s="1"/>
  <c r="AC410" i="28"/>
  <c r="AA411" i="28" s="1"/>
  <c r="AB410" i="28"/>
  <c r="AF410" i="28" s="1"/>
  <c r="AC411" i="28" l="1"/>
  <c r="AA412" i="28" s="1"/>
  <c r="AB411" i="28"/>
  <c r="AF411" i="28" s="1"/>
  <c r="AC405" i="28"/>
  <c r="AA406" i="28" s="1"/>
  <c r="AB405" i="28"/>
  <c r="AD405" i="28"/>
  <c r="AE406" i="28"/>
  <c r="AD406" i="28" l="1"/>
  <c r="AE407" i="28"/>
  <c r="AF405" i="28"/>
  <c r="AB406" i="28"/>
  <c r="AF406" i="28" s="1"/>
  <c r="AC406" i="28"/>
  <c r="AA407" i="28" s="1"/>
  <c r="AC412" i="28"/>
  <c r="AB412" i="28"/>
  <c r="AF412" i="28" s="1"/>
  <c r="AC407" i="28" l="1"/>
  <c r="AA408" i="28" s="1"/>
  <c r="AB407" i="28"/>
  <c r="AD407" i="28"/>
  <c r="AE408" i="28"/>
  <c r="AD408" i="28" s="1"/>
  <c r="AF407" i="28" l="1"/>
  <c r="AC408" i="28"/>
  <c r="AB408" i="28"/>
  <c r="AF408" i="28" s="1"/>
  <c r="AE394" i="28" l="1"/>
  <c r="AD394" i="28" s="1"/>
  <c r="W394" i="28"/>
  <c r="T394" i="28"/>
  <c r="N394" i="28"/>
  <c r="W393" i="28"/>
  <c r="T393" i="28"/>
  <c r="AA394" i="28" s="1"/>
  <c r="N393" i="28"/>
  <c r="W392" i="28"/>
  <c r="T392" i="28"/>
  <c r="AA393" i="28" s="1"/>
  <c r="N392" i="28"/>
  <c r="W391" i="28"/>
  <c r="T391" i="28"/>
  <c r="AA392" i="28" s="1"/>
  <c r="N391" i="28"/>
  <c r="AE390" i="28"/>
  <c r="AD390" i="28" s="1"/>
  <c r="W390" i="28"/>
  <c r="T390" i="28"/>
  <c r="AE391" i="28" s="1"/>
  <c r="AD391" i="28" s="1"/>
  <c r="N390" i="28"/>
  <c r="W389" i="28"/>
  <c r="T389" i="28"/>
  <c r="N389" i="28"/>
  <c r="O389" i="28" s="1"/>
  <c r="P389" i="28" s="1"/>
  <c r="K389" i="28"/>
  <c r="AE388" i="28"/>
  <c r="AD388" i="28" s="1"/>
  <c r="W388" i="28"/>
  <c r="T388" i="28"/>
  <c r="N388" i="28"/>
  <c r="AA387" i="28"/>
  <c r="AB387" i="28" s="1"/>
  <c r="W387" i="28"/>
  <c r="T387" i="28"/>
  <c r="AA388" i="28" s="1"/>
  <c r="N387" i="28"/>
  <c r="W386" i="28"/>
  <c r="T386" i="28"/>
  <c r="AE387" i="28" s="1"/>
  <c r="AD387" i="28" s="1"/>
  <c r="N386" i="28"/>
  <c r="W385" i="28"/>
  <c r="T385" i="28"/>
  <c r="N385" i="28"/>
  <c r="W384" i="28"/>
  <c r="T384" i="28"/>
  <c r="N384" i="28"/>
  <c r="W383" i="28"/>
  <c r="T383" i="28"/>
  <c r="N383" i="28"/>
  <c r="O383" i="28" s="1"/>
  <c r="K383" i="28"/>
  <c r="L383" i="28" s="1"/>
  <c r="AC392" i="28" l="1"/>
  <c r="AB392" i="28"/>
  <c r="Q389" i="28"/>
  <c r="AB393" i="28"/>
  <c r="AC393" i="28"/>
  <c r="AC394" i="28"/>
  <c r="AB394" i="28"/>
  <c r="AF394" i="28" s="1"/>
  <c r="P383" i="28"/>
  <c r="AE383" i="28" s="1"/>
  <c r="AD383" i="28" s="1"/>
  <c r="Q383" i="28"/>
  <c r="AC388" i="28"/>
  <c r="AB388" i="28"/>
  <c r="AF388" i="28" s="1"/>
  <c r="AF387" i="28"/>
  <c r="AC387" i="28"/>
  <c r="AA383" i="28"/>
  <c r="AE389" i="28"/>
  <c r="AD389" i="28" s="1"/>
  <c r="AE393" i="28"/>
  <c r="AD393" i="28" s="1"/>
  <c r="L389" i="28"/>
  <c r="AA389" i="28" s="1"/>
  <c r="AA391" i="28"/>
  <c r="AE392" i="28"/>
  <c r="AD392" i="28" s="1"/>
  <c r="AA390" i="28"/>
  <c r="AE384" i="28" l="1"/>
  <c r="AC389" i="28"/>
  <c r="AB389" i="28"/>
  <c r="AF389" i="28" s="1"/>
  <c r="AC391" i="28"/>
  <c r="AB391" i="28"/>
  <c r="AF391" i="28" s="1"/>
  <c r="AC390" i="28"/>
  <c r="AB390" i="28"/>
  <c r="AF390" i="28" s="1"/>
  <c r="AE385" i="28"/>
  <c r="AD384" i="28"/>
  <c r="AC383" i="28"/>
  <c r="AA384" i="28" s="1"/>
  <c r="AB383" i="28"/>
  <c r="AF383" i="28" s="1"/>
  <c r="AF393" i="28"/>
  <c r="AF392" i="28"/>
  <c r="AB384" i="28" l="1"/>
  <c r="AC384" i="28"/>
  <c r="AA385" i="28" s="1"/>
  <c r="AD385" i="28"/>
  <c r="AE386" i="28"/>
  <c r="AD386" i="28" s="1"/>
  <c r="AC385" i="28" l="1"/>
  <c r="AA386" i="28" s="1"/>
  <c r="AB385" i="28"/>
  <c r="AB386" i="28" l="1"/>
  <c r="AC386" i="28"/>
  <c r="W373" i="28" l="1"/>
  <c r="T373" i="28"/>
  <c r="N373" i="28"/>
  <c r="W372" i="28"/>
  <c r="T372" i="28"/>
  <c r="AA373" i="28" s="1"/>
  <c r="N372" i="28"/>
  <c r="W371" i="28"/>
  <c r="T371" i="28"/>
  <c r="AA372" i="28" s="1"/>
  <c r="N371" i="28"/>
  <c r="W370" i="28"/>
  <c r="T370" i="28"/>
  <c r="AE371" i="28" s="1"/>
  <c r="AD371" i="28" s="1"/>
  <c r="N370" i="28"/>
  <c r="W369" i="28"/>
  <c r="T369" i="28"/>
  <c r="S369" i="28"/>
  <c r="N369" i="28"/>
  <c r="W368" i="28"/>
  <c r="T368" i="28"/>
  <c r="S368" i="28"/>
  <c r="N368" i="28"/>
  <c r="O368" i="28" s="1"/>
  <c r="K368" i="28"/>
  <c r="L368" i="28" s="1"/>
  <c r="AA367" i="28"/>
  <c r="AC367" i="28" s="1"/>
  <c r="W367" i="28"/>
  <c r="T367" i="28"/>
  <c r="N367" i="28"/>
  <c r="W366" i="28"/>
  <c r="T366" i="28"/>
  <c r="N366" i="28"/>
  <c r="W365" i="28"/>
  <c r="T365" i="28"/>
  <c r="AA366" i="28" s="1"/>
  <c r="N365" i="28"/>
  <c r="AA364" i="28"/>
  <c r="AC364" i="28" s="1"/>
  <c r="W364" i="28"/>
  <c r="T364" i="28"/>
  <c r="AE365" i="28" s="1"/>
  <c r="AD365" i="28" s="1"/>
  <c r="N364" i="28"/>
  <c r="W363" i="28"/>
  <c r="T363" i="28"/>
  <c r="S363" i="28"/>
  <c r="N363" i="28"/>
  <c r="W362" i="28"/>
  <c r="T362" i="28"/>
  <c r="S362" i="28"/>
  <c r="N362" i="28"/>
  <c r="O362" i="28" s="1"/>
  <c r="P362" i="28" s="1"/>
  <c r="K362" i="28"/>
  <c r="L362" i="28" s="1"/>
  <c r="W361" i="28"/>
  <c r="T361" i="28"/>
  <c r="N361" i="28"/>
  <c r="W360" i="28"/>
  <c r="T360" i="28"/>
  <c r="N360" i="28"/>
  <c r="W359" i="28"/>
  <c r="T359" i="28"/>
  <c r="AE360" i="28" s="1"/>
  <c r="AD360" i="28" s="1"/>
  <c r="N359" i="28"/>
  <c r="AA358" i="28"/>
  <c r="AB358" i="28" s="1"/>
  <c r="W358" i="28"/>
  <c r="T358" i="28"/>
  <c r="AE359" i="28" s="1"/>
  <c r="AD359" i="28" s="1"/>
  <c r="N358" i="28"/>
  <c r="W357" i="28"/>
  <c r="T357" i="28"/>
  <c r="S357" i="28"/>
  <c r="N357" i="28"/>
  <c r="E357" i="28"/>
  <c r="W356" i="28"/>
  <c r="T356" i="28"/>
  <c r="S356" i="28"/>
  <c r="N356" i="28"/>
  <c r="O356" i="28" s="1"/>
  <c r="K356" i="28"/>
  <c r="L356" i="28" s="1"/>
  <c r="AA359" i="28" l="1"/>
  <c r="AB359" i="28" s="1"/>
  <c r="AF359" i="28" s="1"/>
  <c r="AE358" i="28"/>
  <c r="AD358" i="28" s="1"/>
  <c r="AF358" i="28" s="1"/>
  <c r="AE361" i="28"/>
  <c r="AD361" i="28" s="1"/>
  <c r="AE364" i="28"/>
  <c r="AD364" i="28" s="1"/>
  <c r="AE367" i="28"/>
  <c r="AD367" i="28" s="1"/>
  <c r="AE372" i="28"/>
  <c r="AD372" i="28" s="1"/>
  <c r="AE370" i="28"/>
  <c r="AD370" i="28" s="1"/>
  <c r="AA356" i="28"/>
  <c r="AC356" i="28" s="1"/>
  <c r="AA357" i="28" s="1"/>
  <c r="AA365" i="28"/>
  <c r="AE373" i="28"/>
  <c r="AD373" i="28" s="1"/>
  <c r="AC372" i="28"/>
  <c r="AB372" i="28"/>
  <c r="AE362" i="28"/>
  <c r="AD362" i="28" s="1"/>
  <c r="AA368" i="28"/>
  <c r="AC373" i="28"/>
  <c r="AB373" i="28"/>
  <c r="Q356" i="28"/>
  <c r="P356" i="28"/>
  <c r="AE356" i="28" s="1"/>
  <c r="AB366" i="28"/>
  <c r="AC366" i="28"/>
  <c r="Q368" i="28"/>
  <c r="P368" i="28"/>
  <c r="AE368" i="28" s="1"/>
  <c r="AB356" i="28"/>
  <c r="AC365" i="28"/>
  <c r="AB365" i="28"/>
  <c r="AF365" i="28" s="1"/>
  <c r="AC359" i="28"/>
  <c r="AE366" i="28"/>
  <c r="AD366" i="28" s="1"/>
  <c r="AA371" i="28"/>
  <c r="AC358" i="28"/>
  <c r="Q362" i="28"/>
  <c r="AB364" i="28"/>
  <c r="AA370" i="28"/>
  <c r="AA361" i="28"/>
  <c r="AB367" i="28"/>
  <c r="AA360" i="28"/>
  <c r="AA362" i="28"/>
  <c r="AF367" i="28" l="1"/>
  <c r="AF364" i="28"/>
  <c r="AF366" i="28"/>
  <c r="AF372" i="28"/>
  <c r="AF373" i="28"/>
  <c r="AE363" i="28"/>
  <c r="AD363" i="28" s="1"/>
  <c r="AD368" i="28"/>
  <c r="AE369" i="28"/>
  <c r="AD369" i="28" s="1"/>
  <c r="AD356" i="28"/>
  <c r="AF356" i="28" s="1"/>
  <c r="AE357" i="28"/>
  <c r="AD357" i="28" s="1"/>
  <c r="AC371" i="28"/>
  <c r="AB371" i="28"/>
  <c r="AF371" i="28" s="1"/>
  <c r="AC370" i="28"/>
  <c r="AB370" i="28"/>
  <c r="AF370" i="28" s="1"/>
  <c r="AC362" i="28"/>
  <c r="AA363" i="28" s="1"/>
  <c r="AB362" i="28"/>
  <c r="AF362" i="28" s="1"/>
  <c r="AC360" i="28"/>
  <c r="AB360" i="28"/>
  <c r="AF360" i="28" s="1"/>
  <c r="AB368" i="28"/>
  <c r="AC368" i="28"/>
  <c r="AA369" i="28" s="1"/>
  <c r="AC361" i="28"/>
  <c r="AB361" i="28"/>
  <c r="AF361" i="28" s="1"/>
  <c r="AC357" i="28"/>
  <c r="AB357" i="28"/>
  <c r="AF368" i="28" l="1"/>
  <c r="AF357" i="28"/>
  <c r="AC363" i="28"/>
  <c r="AB363" i="28"/>
  <c r="AF363" i="28" s="1"/>
  <c r="AC369" i="28"/>
  <c r="AB369" i="28"/>
  <c r="AF369" i="28" s="1"/>
  <c r="AH346" i="28" l="1"/>
  <c r="W346" i="28"/>
  <c r="AH345" i="28"/>
  <c r="W345" i="28"/>
  <c r="T345" i="28"/>
  <c r="N345" i="28"/>
  <c r="W344" i="28"/>
  <c r="T344" i="28"/>
  <c r="N344" i="28"/>
  <c r="AH343" i="28"/>
  <c r="W343" i="28"/>
  <c r="T343" i="28"/>
  <c r="N343" i="28"/>
  <c r="O343" i="28" s="1"/>
  <c r="K343" i="28"/>
  <c r="L343" i="28" s="1"/>
  <c r="Q343" i="28" l="1"/>
  <c r="P343" i="28"/>
  <c r="AE343" i="28" s="1"/>
  <c r="AA343" i="28"/>
  <c r="AD343" i="28" l="1"/>
  <c r="AE344" i="28"/>
  <c r="AB343" i="28"/>
  <c r="AF343" i="28" s="1"/>
  <c r="AC343" i="28"/>
  <c r="AA344" i="28" s="1"/>
  <c r="AC344" i="28" l="1"/>
  <c r="AA345" i="28" s="1"/>
  <c r="AB344" i="28"/>
  <c r="AD344" i="28"/>
  <c r="AE345" i="28"/>
  <c r="AD345" i="28" l="1"/>
  <c r="AE346" i="28"/>
  <c r="AD346" i="28" s="1"/>
  <c r="AF344" i="28"/>
  <c r="AB345" i="28"/>
  <c r="AF345" i="28" s="1"/>
  <c r="AC345" i="28"/>
  <c r="AA346" i="28" s="1"/>
  <c r="AC346" i="28" l="1"/>
  <c r="AB346" i="28"/>
  <c r="AF346" i="28" s="1"/>
  <c r="W333" i="28" l="1"/>
  <c r="T333" i="28"/>
  <c r="N333" i="28"/>
  <c r="W332" i="28"/>
  <c r="T332" i="28"/>
  <c r="AE333" i="28" s="1"/>
  <c r="AD333" i="28" s="1"/>
  <c r="N332" i="28"/>
  <c r="W331" i="28"/>
  <c r="T331" i="28"/>
  <c r="AA332" i="28" s="1"/>
  <c r="N331" i="28"/>
  <c r="O331" i="28" s="1"/>
  <c r="P331" i="28" s="1"/>
  <c r="AE331" i="28" s="1"/>
  <c r="AD331" i="28" s="1"/>
  <c r="K331" i="28"/>
  <c r="W330" i="28"/>
  <c r="T330" i="28"/>
  <c r="AA330" i="28" s="1"/>
  <c r="N330" i="28"/>
  <c r="W329" i="28"/>
  <c r="T329" i="28"/>
  <c r="N329" i="28"/>
  <c r="W328" i="28"/>
  <c r="T328" i="28"/>
  <c r="AA329" i="28" s="1"/>
  <c r="AC329" i="28" s="1"/>
  <c r="N328" i="28"/>
  <c r="O328" i="28" s="1"/>
  <c r="K328" i="28"/>
  <c r="L328" i="28" s="1"/>
  <c r="AA328" i="28" s="1"/>
  <c r="AE327" i="28"/>
  <c r="AD327" i="28" s="1"/>
  <c r="W327" i="28"/>
  <c r="T327" i="28"/>
  <c r="N327" i="28"/>
  <c r="W326" i="28"/>
  <c r="T326" i="28"/>
  <c r="AA327" i="28" s="1"/>
  <c r="N326" i="28"/>
  <c r="W325" i="28"/>
  <c r="T325" i="28"/>
  <c r="AE326" i="28" s="1"/>
  <c r="AD326" i="28" s="1"/>
  <c r="N325" i="28"/>
  <c r="W324" i="28"/>
  <c r="T324" i="28"/>
  <c r="AA324" i="28" s="1"/>
  <c r="N324" i="28"/>
  <c r="O324" i="28" s="1"/>
  <c r="P324" i="28" s="1"/>
  <c r="AE324" i="28" s="1"/>
  <c r="AD324" i="28" s="1"/>
  <c r="L324" i="28"/>
  <c r="K324" i="28"/>
  <c r="AE323" i="28"/>
  <c r="AD323" i="28" s="1"/>
  <c r="W323" i="28"/>
  <c r="T323" i="28"/>
  <c r="N323" i="28"/>
  <c r="W322" i="28"/>
  <c r="T322" i="28"/>
  <c r="AA323" i="28" s="1"/>
  <c r="N322" i="28"/>
  <c r="W321" i="28"/>
  <c r="T321" i="28"/>
  <c r="AE322" i="28" s="1"/>
  <c r="AD322" i="28" s="1"/>
  <c r="N321" i="28"/>
  <c r="W320" i="28"/>
  <c r="T320" i="28"/>
  <c r="AE321" i="28" s="1"/>
  <c r="AD321" i="28" s="1"/>
  <c r="S320" i="28"/>
  <c r="N320" i="28"/>
  <c r="O320" i="28" s="1"/>
  <c r="P320" i="28" s="1"/>
  <c r="AE320" i="28" s="1"/>
  <c r="AD320" i="28" s="1"/>
  <c r="K320" i="28"/>
  <c r="L320" i="28" s="1"/>
  <c r="AA320" i="28" l="1"/>
  <c r="AC320" i="28" s="1"/>
  <c r="AE329" i="28"/>
  <c r="AD329" i="28" s="1"/>
  <c r="AE332" i="28"/>
  <c r="AD332" i="28" s="1"/>
  <c r="Q324" i="28"/>
  <c r="Q328" i="28"/>
  <c r="P328" i="28"/>
  <c r="AE328" i="28" s="1"/>
  <c r="AD328" i="28" s="1"/>
  <c r="AC332" i="28"/>
  <c r="AB332" i="28"/>
  <c r="AF332" i="28" s="1"/>
  <c r="AC328" i="28"/>
  <c r="AB328" i="28"/>
  <c r="AC323" i="28"/>
  <c r="AB323" i="28"/>
  <c r="AF323" i="28" s="1"/>
  <c r="Q331" i="28"/>
  <c r="Q320" i="28"/>
  <c r="AC324" i="28"/>
  <c r="AA325" i="28" s="1"/>
  <c r="AB324" i="28"/>
  <c r="AF324" i="28" s="1"/>
  <c r="AC327" i="28"/>
  <c r="AB327" i="28"/>
  <c r="AF327" i="28" s="1"/>
  <c r="AB330" i="28"/>
  <c r="AC330" i="28"/>
  <c r="AA322" i="28"/>
  <c r="AE325" i="28"/>
  <c r="AD325" i="28" s="1"/>
  <c r="AB329" i="28"/>
  <c r="AF329" i="28" s="1"/>
  <c r="AE330" i="28"/>
  <c r="AD330" i="28" s="1"/>
  <c r="AA321" i="28"/>
  <c r="AA326" i="28"/>
  <c r="L331" i="28"/>
  <c r="AA331" i="28" s="1"/>
  <c r="AA333" i="28"/>
  <c r="AB320" i="28"/>
  <c r="AF320" i="28" s="1"/>
  <c r="AF328" i="28" l="1"/>
  <c r="AC325" i="28"/>
  <c r="AB325" i="28"/>
  <c r="AF325" i="28" s="1"/>
  <c r="AC333" i="28"/>
  <c r="AB333" i="28"/>
  <c r="AF333" i="28" s="1"/>
  <c r="AB331" i="28"/>
  <c r="AF331" i="28" s="1"/>
  <c r="AC331" i="28"/>
  <c r="AB322" i="28"/>
  <c r="AF322" i="28" s="1"/>
  <c r="AC322" i="28"/>
  <c r="AC321" i="28"/>
  <c r="AB321" i="28"/>
  <c r="AF321" i="28" s="1"/>
  <c r="AF330" i="28"/>
  <c r="AC326" i="28"/>
  <c r="AB326" i="28"/>
  <c r="AF326" i="28" s="1"/>
  <c r="W310" i="28" l="1"/>
  <c r="T310" i="28"/>
  <c r="N310" i="28"/>
  <c r="W309" i="28"/>
  <c r="T309" i="28"/>
  <c r="N309" i="28"/>
  <c r="W308" i="28"/>
  <c r="T308" i="28"/>
  <c r="AA309" i="28" s="1"/>
  <c r="N308" i="28"/>
  <c r="W307" i="28"/>
  <c r="T307" i="28"/>
  <c r="N307" i="28"/>
  <c r="W306" i="28"/>
  <c r="T306" i="28"/>
  <c r="N306" i="28"/>
  <c r="W305" i="28"/>
  <c r="T305" i="28"/>
  <c r="N305" i="28"/>
  <c r="O305" i="28" s="1"/>
  <c r="P305" i="28" s="1"/>
  <c r="AE305" i="28" s="1"/>
  <c r="J305" i="28"/>
  <c r="K305" i="28" s="1"/>
  <c r="AA310" i="28" l="1"/>
  <c r="AE310" i="28"/>
  <c r="AD310" i="28" s="1"/>
  <c r="AC309" i="28"/>
  <c r="AB309" i="28"/>
  <c r="Q305" i="28"/>
  <c r="AC310" i="28"/>
  <c r="AB310" i="28"/>
  <c r="AE306" i="28"/>
  <c r="AD306" i="28" s="1"/>
  <c r="AD305" i="28"/>
  <c r="AE309" i="28"/>
  <c r="AD309" i="28" s="1"/>
  <c r="L305" i="28"/>
  <c r="AA305" i="28" s="1"/>
  <c r="AF310" i="28" l="1"/>
  <c r="AE307" i="28"/>
  <c r="AD307" i="28" s="1"/>
  <c r="AC305" i="28"/>
  <c r="AA306" i="28" s="1"/>
  <c r="AB305" i="28"/>
  <c r="AF305" i="28" s="1"/>
  <c r="AF309" i="28"/>
  <c r="AE308" i="28" l="1"/>
  <c r="AD308" i="28" s="1"/>
  <c r="AC306" i="28"/>
  <c r="AA307" i="28" s="1"/>
  <c r="AB306" i="28"/>
  <c r="AF306" i="28" s="1"/>
  <c r="AC307" i="28" l="1"/>
  <c r="AA308" i="28" s="1"/>
  <c r="AB307" i="28"/>
  <c r="AF307" i="28" s="1"/>
  <c r="AC308" i="28" l="1"/>
  <c r="AB308" i="28"/>
  <c r="AF308" i="28" s="1"/>
  <c r="N295" i="28" l="1"/>
  <c r="N294" i="28"/>
  <c r="N293" i="28"/>
  <c r="N292" i="28"/>
  <c r="N291" i="28"/>
  <c r="W290" i="28"/>
  <c r="T290" i="28"/>
  <c r="N290" i="28"/>
  <c r="O290" i="28" s="1"/>
  <c r="K290" i="28"/>
  <c r="L290" i="28" s="1"/>
  <c r="N289" i="28"/>
  <c r="N288" i="28"/>
  <c r="N287" i="28"/>
  <c r="N286" i="28"/>
  <c r="N285" i="28"/>
  <c r="W284" i="28"/>
  <c r="T284" i="28"/>
  <c r="N284" i="28"/>
  <c r="O284" i="28" s="1"/>
  <c r="P284" i="28" s="1"/>
  <c r="AE284" i="28" s="1"/>
  <c r="AD284" i="28" s="1"/>
  <c r="K284" i="28"/>
  <c r="L284" i="28" s="1"/>
  <c r="W283" i="28"/>
  <c r="T283" i="28"/>
  <c r="N283" i="28"/>
  <c r="O283" i="28" s="1"/>
  <c r="K283" i="28"/>
  <c r="L283" i="28" s="1"/>
  <c r="W282" i="28"/>
  <c r="T282" i="28"/>
  <c r="N282" i="28"/>
  <c r="O282" i="28" s="1"/>
  <c r="K282" i="28"/>
  <c r="L282" i="28" s="1"/>
  <c r="W281" i="28"/>
  <c r="T281" i="28"/>
  <c r="N281" i="28"/>
  <c r="O281" i="28" s="1"/>
  <c r="P281" i="28" s="1"/>
  <c r="J281" i="28"/>
  <c r="K281" i="28" s="1"/>
  <c r="AA290" i="28" l="1"/>
  <c r="AC290" i="28" s="1"/>
  <c r="AA283" i="28"/>
  <c r="AC283" i="28" s="1"/>
  <c r="Q281" i="28"/>
  <c r="Q283" i="28"/>
  <c r="P283" i="28"/>
  <c r="AE283" i="28" s="1"/>
  <c r="AD283" i="28" s="1"/>
  <c r="P290" i="28"/>
  <c r="AE290" i="28" s="1"/>
  <c r="AD290" i="28" s="1"/>
  <c r="Q290" i="28"/>
  <c r="AE281" i="28"/>
  <c r="AD281" i="28" s="1"/>
  <c r="AA284" i="28"/>
  <c r="Q282" i="28"/>
  <c r="P282" i="28"/>
  <c r="AE282" i="28" s="1"/>
  <c r="AD282" i="28" s="1"/>
  <c r="AA282" i="28"/>
  <c r="Q284" i="28"/>
  <c r="L281" i="28"/>
  <c r="AA281" i="28" s="1"/>
  <c r="AB290" i="28" l="1"/>
  <c r="AB283" i="28"/>
  <c r="AB281" i="28"/>
  <c r="AF281" i="28" s="1"/>
  <c r="AC281" i="28"/>
  <c r="AC284" i="28"/>
  <c r="AB284" i="28"/>
  <c r="AF284" i="28" s="1"/>
  <c r="AF290" i="28"/>
  <c r="AC282" i="28"/>
  <c r="AB282" i="28"/>
  <c r="AF282" i="28" s="1"/>
  <c r="AF283" i="28"/>
  <c r="W271" i="28" l="1"/>
  <c r="T271" i="28"/>
  <c r="N271" i="28"/>
  <c r="W270" i="28"/>
  <c r="T270" i="28"/>
  <c r="N270" i="28"/>
  <c r="W269" i="28"/>
  <c r="T269" i="28"/>
  <c r="N269" i="28"/>
  <c r="O269" i="28" s="1"/>
  <c r="P269" i="28" s="1"/>
  <c r="AE269" i="28" s="1"/>
  <c r="AD269" i="28" s="1"/>
  <c r="K269" i="28"/>
  <c r="Q269" i="28" l="1"/>
  <c r="AE270" i="28"/>
  <c r="AD270" i="28" s="1"/>
  <c r="L269" i="28"/>
  <c r="AA269" i="28" s="1"/>
  <c r="AC269" i="28" l="1"/>
  <c r="AB269" i="28"/>
  <c r="AF269" i="28" s="1"/>
  <c r="AE271" i="28"/>
  <c r="AD271" i="28" s="1"/>
  <c r="AA270" i="28" l="1"/>
  <c r="AA271" i="28"/>
  <c r="AC271" i="28" l="1"/>
  <c r="AB271" i="28"/>
  <c r="AF271" i="28" s="1"/>
  <c r="AB270" i="28"/>
  <c r="AF270" i="28" s="1"/>
  <c r="AC270" i="28"/>
  <c r="W259" i="28" l="1"/>
  <c r="T259" i="28"/>
  <c r="N259" i="28"/>
  <c r="W258" i="28"/>
  <c r="T258" i="28"/>
  <c r="AE259" i="28" s="1"/>
  <c r="AD259" i="28" s="1"/>
  <c r="N258" i="28"/>
  <c r="W257" i="28"/>
  <c r="T257" i="28"/>
  <c r="AA258" i="28" s="1"/>
  <c r="N257" i="28"/>
  <c r="W256" i="28"/>
  <c r="T256" i="28"/>
  <c r="N256" i="28"/>
  <c r="W255" i="28"/>
  <c r="T255" i="28"/>
  <c r="N255" i="28"/>
  <c r="W254" i="28"/>
  <c r="T254" i="28"/>
  <c r="N254" i="28"/>
  <c r="O254" i="28" s="1"/>
  <c r="P254" i="28" s="1"/>
  <c r="AE254" i="28" s="1"/>
  <c r="AD254" i="28" s="1"/>
  <c r="K254" i="28"/>
  <c r="AE257" i="28" l="1"/>
  <c r="AD257" i="28" s="1"/>
  <c r="AE256" i="28"/>
  <c r="AD256" i="28" s="1"/>
  <c r="AC258" i="28"/>
  <c r="AB258" i="28"/>
  <c r="Q254" i="28"/>
  <c r="AE255" i="28"/>
  <c r="AD255" i="28" s="1"/>
  <c r="AA257" i="28"/>
  <c r="AE258" i="28"/>
  <c r="AD258" i="28" s="1"/>
  <c r="L254" i="28"/>
  <c r="AA254" i="28" s="1"/>
  <c r="AA256" i="28"/>
  <c r="AA259" i="28"/>
  <c r="AC259" i="28" l="1"/>
  <c r="AB259" i="28"/>
  <c r="AF259" i="28" s="1"/>
  <c r="AC256" i="28"/>
  <c r="AB256" i="28"/>
  <c r="AF256" i="28" s="1"/>
  <c r="AC254" i="28"/>
  <c r="AA255" i="28" s="1"/>
  <c r="AB254" i="28"/>
  <c r="AF254" i="28" s="1"/>
  <c r="AC257" i="28"/>
  <c r="AB257" i="28"/>
  <c r="AF257" i="28" s="1"/>
  <c r="AF258" i="28"/>
  <c r="AC255" i="28" l="1"/>
  <c r="AB255" i="28"/>
  <c r="AF255" i="28" s="1"/>
  <c r="W244" i="28" l="1"/>
  <c r="T244" i="28"/>
  <c r="N244" i="28"/>
  <c r="W243" i="28"/>
  <c r="T243" i="28"/>
  <c r="AE244" i="28" s="1"/>
  <c r="AD244" i="28" s="1"/>
  <c r="N243" i="28"/>
  <c r="W242" i="28"/>
  <c r="T242" i="28"/>
  <c r="N242" i="28"/>
  <c r="W241" i="28"/>
  <c r="T241" i="28"/>
  <c r="N241" i="28"/>
  <c r="W240" i="28"/>
  <c r="T240" i="28"/>
  <c r="AE240" i="28" s="1"/>
  <c r="AD240" i="28" s="1"/>
  <c r="N240" i="28"/>
  <c r="W239" i="28"/>
  <c r="N239" i="28"/>
  <c r="O239" i="28" s="1"/>
  <c r="P239" i="28" s="1"/>
  <c r="AE239" i="28" s="1"/>
  <c r="AD239" i="28" s="1"/>
  <c r="K239" i="28"/>
  <c r="N238" i="28"/>
  <c r="N237" i="28"/>
  <c r="N236" i="28"/>
  <c r="N235" i="28"/>
  <c r="N234" i="28"/>
  <c r="N233" i="28"/>
  <c r="O233" i="28" s="1"/>
  <c r="K233" i="28"/>
  <c r="L233" i="28" s="1"/>
  <c r="AC232" i="28"/>
  <c r="AB232" i="28"/>
  <c r="N232" i="28"/>
  <c r="O232" i="28" s="1"/>
  <c r="P232" i="28" s="1"/>
  <c r="AE232" i="28" s="1"/>
  <c r="AD232" i="28" s="1"/>
  <c r="K232" i="28"/>
  <c r="L232" i="28" s="1"/>
  <c r="W231" i="28"/>
  <c r="T231" i="28"/>
  <c r="N231" i="28"/>
  <c r="W230" i="28"/>
  <c r="T230" i="28"/>
  <c r="N230" i="28"/>
  <c r="N229" i="28"/>
  <c r="N228" i="28"/>
  <c r="N227" i="28"/>
  <c r="W226" i="28"/>
  <c r="T226" i="28"/>
  <c r="N226" i="28"/>
  <c r="O226" i="28" s="1"/>
  <c r="P226" i="28" s="1"/>
  <c r="AE226" i="28" s="1"/>
  <c r="AD226" i="28" s="1"/>
  <c r="K226" i="28"/>
  <c r="AE242" i="28" l="1"/>
  <c r="AD242" i="28" s="1"/>
  <c r="AA243" i="28"/>
  <c r="AB243" i="28" s="1"/>
  <c r="AA231" i="28"/>
  <c r="AC231" i="28" s="1"/>
  <c r="AE243" i="28"/>
  <c r="AD243" i="28" s="1"/>
  <c r="Q226" i="28"/>
  <c r="Q239" i="28"/>
  <c r="AF232" i="28"/>
  <c r="Q233" i="28"/>
  <c r="P233" i="28"/>
  <c r="L226" i="28"/>
  <c r="AA226" i="28" s="1"/>
  <c r="AA242" i="28"/>
  <c r="AA227" i="28"/>
  <c r="AE231" i="28"/>
  <c r="AD231" i="28" s="1"/>
  <c r="AA230" i="28"/>
  <c r="L239" i="28"/>
  <c r="AA239" i="28" s="1"/>
  <c r="AA241" i="28"/>
  <c r="AA240" i="28"/>
  <c r="AA244" i="28"/>
  <c r="AE227" i="28"/>
  <c r="AD227" i="28" s="1"/>
  <c r="AE241" i="28"/>
  <c r="AD241" i="28" s="1"/>
  <c r="AE230" i="28"/>
  <c r="AD230" i="28" s="1"/>
  <c r="Q232" i="28"/>
  <c r="AB231" i="28" l="1"/>
  <c r="AC243" i="28"/>
  <c r="AF243" i="28"/>
  <c r="AC226" i="28"/>
  <c r="AB226" i="28"/>
  <c r="AF226" i="28" s="1"/>
  <c r="AB242" i="28"/>
  <c r="AF242" i="28" s="1"/>
  <c r="AC242" i="28"/>
  <c r="AC244" i="28"/>
  <c r="AB244" i="28"/>
  <c r="AF244" i="28" s="1"/>
  <c r="AC227" i="28"/>
  <c r="AB227" i="28"/>
  <c r="AF227" i="28" s="1"/>
  <c r="AB239" i="28"/>
  <c r="AF239" i="28" s="1"/>
  <c r="AC239" i="28"/>
  <c r="AF231" i="28"/>
  <c r="AC240" i="28"/>
  <c r="AB240" i="28"/>
  <c r="AF240" i="28" s="1"/>
  <c r="AC241" i="28"/>
  <c r="AB241" i="28"/>
  <c r="AF241" i="28" s="1"/>
  <c r="AC230" i="28"/>
  <c r="AB230" i="28"/>
  <c r="AF230" i="28" s="1"/>
  <c r="W216" i="28" l="1"/>
  <c r="T216" i="28"/>
  <c r="AA216" i="28" s="1"/>
  <c r="N216" i="28"/>
  <c r="AE215" i="28"/>
  <c r="AD215" i="28" s="1"/>
  <c r="AA215" i="28"/>
  <c r="AC215" i="28" s="1"/>
  <c r="W215" i="28"/>
  <c r="N215" i="28"/>
  <c r="AE214" i="28"/>
  <c r="AD214" i="28" s="1"/>
  <c r="AA214" i="28"/>
  <c r="AC214" i="28" s="1"/>
  <c r="W214" i="28"/>
  <c r="N214" i="28"/>
  <c r="N213" i="28"/>
  <c r="W212" i="28"/>
  <c r="T212" i="28"/>
  <c r="AE213" i="28" s="1"/>
  <c r="AD213" i="28" s="1"/>
  <c r="N212" i="28"/>
  <c r="W211" i="28"/>
  <c r="T211" i="28"/>
  <c r="N211" i="28"/>
  <c r="O211" i="28" s="1"/>
  <c r="K211" i="28"/>
  <c r="L211" i="28" s="1"/>
  <c r="W210" i="28"/>
  <c r="T210" i="28"/>
  <c r="N210" i="28"/>
  <c r="W209" i="28"/>
  <c r="T209" i="28"/>
  <c r="N209" i="28"/>
  <c r="N208" i="28"/>
  <c r="W207" i="28"/>
  <c r="T207" i="28"/>
  <c r="W206" i="28"/>
  <c r="T206" i="28"/>
  <c r="N206" i="28"/>
  <c r="O206" i="28" s="1"/>
  <c r="P206" i="28" s="1"/>
  <c r="AE206" i="28" s="1"/>
  <c r="K206" i="28"/>
  <c r="AB215" i="28" l="1"/>
  <c r="AE216" i="28"/>
  <c r="AD216" i="28" s="1"/>
  <c r="AE207" i="28"/>
  <c r="AD207" i="28" s="1"/>
  <c r="AD206" i="28"/>
  <c r="Q206" i="28"/>
  <c r="AF215" i="28"/>
  <c r="P211" i="28"/>
  <c r="AE211" i="28" s="1"/>
  <c r="Q211" i="28"/>
  <c r="AC216" i="28"/>
  <c r="AB216" i="28"/>
  <c r="L206" i="28"/>
  <c r="AA206" i="28" s="1"/>
  <c r="AA211" i="28"/>
  <c r="AB214" i="28"/>
  <c r="AF214" i="28" s="1"/>
  <c r="AA213" i="28"/>
  <c r="AF216" i="28" l="1"/>
  <c r="AD211" i="28"/>
  <c r="AE212" i="28"/>
  <c r="AD212" i="28" s="1"/>
  <c r="AC211" i="28"/>
  <c r="AA212" i="28" s="1"/>
  <c r="AB211" i="28"/>
  <c r="AB206" i="28"/>
  <c r="AF206" i="28" s="1"/>
  <c r="AC206" i="28"/>
  <c r="AA207" i="28" s="1"/>
  <c r="AE209" i="28"/>
  <c r="AC213" i="28"/>
  <c r="AB213" i="28"/>
  <c r="AF213" i="28" s="1"/>
  <c r="AD209" i="28" l="1"/>
  <c r="AE210" i="28"/>
  <c r="AD210" i="28" s="1"/>
  <c r="AC207" i="28"/>
  <c r="AA209" i="28" s="1"/>
  <c r="AB207" i="28"/>
  <c r="AF207" i="28" s="1"/>
  <c r="AF211" i="28"/>
  <c r="AB212" i="28"/>
  <c r="AF212" i="28" s="1"/>
  <c r="AC212" i="28"/>
  <c r="AC209" i="28" l="1"/>
  <c r="AA210" i="28" s="1"/>
  <c r="AB209" i="28"/>
  <c r="AF209" i="28" s="1"/>
  <c r="AC210" i="28" l="1"/>
  <c r="AB210" i="28"/>
  <c r="AF210" i="28" s="1"/>
  <c r="W196" i="28" l="1"/>
  <c r="T196" i="28"/>
  <c r="N196" i="28"/>
  <c r="W195" i="28"/>
  <c r="T195" i="28"/>
  <c r="N195" i="28"/>
  <c r="W194" i="28"/>
  <c r="T194" i="28"/>
  <c r="N194" i="28"/>
  <c r="W193" i="28"/>
  <c r="T193" i="28"/>
  <c r="AE193" i="28" s="1"/>
  <c r="AD193" i="28" s="1"/>
  <c r="N193" i="28"/>
  <c r="W192" i="28"/>
  <c r="T192" i="28"/>
  <c r="N192" i="28"/>
  <c r="O192" i="28" s="1"/>
  <c r="P192" i="28" s="1"/>
  <c r="AE192" i="28" s="1"/>
  <c r="AD192" i="28" s="1"/>
  <c r="K192" i="28"/>
  <c r="L192" i="28" s="1"/>
  <c r="AA196" i="28" l="1"/>
  <c r="AC196" i="28" s="1"/>
  <c r="AE196" i="28"/>
  <c r="AD196" i="28" s="1"/>
  <c r="AA192" i="28"/>
  <c r="Q192" i="28"/>
  <c r="AA193" i="28"/>
  <c r="AE194" i="28"/>
  <c r="AD194" i="28" s="1"/>
  <c r="AB196" i="28" l="1"/>
  <c r="AF196" i="28" s="1"/>
  <c r="AC193" i="28"/>
  <c r="AB193" i="28"/>
  <c r="AF193" i="28" s="1"/>
  <c r="AE195" i="28"/>
  <c r="AD195" i="28" s="1"/>
  <c r="AC192" i="28"/>
  <c r="AB192" i="28"/>
  <c r="AF192" i="28" s="1"/>
  <c r="AA195" i="28" l="1"/>
  <c r="AA194" i="28"/>
  <c r="AB194" i="28" l="1"/>
  <c r="AF194" i="28" s="1"/>
  <c r="AC194" i="28"/>
  <c r="AC195" i="28"/>
  <c r="AB195" i="28"/>
  <c r="AF195" i="28" s="1"/>
  <c r="W182" i="28" l="1"/>
  <c r="T182" i="28"/>
  <c r="N182" i="28"/>
  <c r="W181" i="28"/>
  <c r="T181" i="28"/>
  <c r="AE182" i="28" s="1"/>
  <c r="AD182" i="28" s="1"/>
  <c r="N181" i="28"/>
  <c r="W180" i="28"/>
  <c r="T180" i="28"/>
  <c r="AA181" i="28" s="1"/>
  <c r="N180" i="28"/>
  <c r="W179" i="28"/>
  <c r="T179" i="28"/>
  <c r="AA180" i="28" s="1"/>
  <c r="N179" i="28"/>
  <c r="W178" i="28"/>
  <c r="T178" i="28"/>
  <c r="N178" i="28"/>
  <c r="W177" i="28"/>
  <c r="T177" i="28"/>
  <c r="N177" i="28"/>
  <c r="O177" i="28" s="1"/>
  <c r="P177" i="28" s="1"/>
  <c r="AE177" i="28" s="1"/>
  <c r="AD177" i="28" s="1"/>
  <c r="K177" i="28"/>
  <c r="L177" i="28" s="1"/>
  <c r="AE180" i="28" l="1"/>
  <c r="AD180" i="28" s="1"/>
  <c r="AC180" i="28"/>
  <c r="AB180" i="28"/>
  <c r="AC181" i="28"/>
  <c r="AB181" i="28"/>
  <c r="AE178" i="28"/>
  <c r="AD178" i="28" s="1"/>
  <c r="Q177" i="28"/>
  <c r="AE181" i="28"/>
  <c r="AD181" i="28" s="1"/>
  <c r="AA182" i="28"/>
  <c r="AA177" i="28"/>
  <c r="AF180" i="28" l="1"/>
  <c r="AE179" i="28"/>
  <c r="AD179" i="28" s="1"/>
  <c r="AB177" i="28"/>
  <c r="AF177" i="28" s="1"/>
  <c r="AC177" i="28"/>
  <c r="AA178" i="28" s="1"/>
  <c r="AC182" i="28"/>
  <c r="AB182" i="28"/>
  <c r="AF182" i="28" s="1"/>
  <c r="AF181" i="28"/>
  <c r="AC178" i="28" l="1"/>
  <c r="AA179" i="28" s="1"/>
  <c r="AB178" i="28"/>
  <c r="AF178" i="28" s="1"/>
  <c r="AC179" i="28" l="1"/>
  <c r="AB179" i="28"/>
  <c r="AF179" i="28" s="1"/>
  <c r="W167" i="28" l="1"/>
  <c r="T167" i="28"/>
  <c r="N167" i="28"/>
  <c r="W166" i="28"/>
  <c r="T166" i="28"/>
  <c r="AE167" i="28" s="1"/>
  <c r="AD167" i="28" s="1"/>
  <c r="N166" i="28"/>
  <c r="O166" i="28" s="1"/>
  <c r="P166" i="28" s="1"/>
  <c r="K166" i="28"/>
  <c r="W165" i="28"/>
  <c r="T165" i="28"/>
  <c r="N165" i="28"/>
  <c r="W164" i="28"/>
  <c r="T164" i="28"/>
  <c r="N164" i="28"/>
  <c r="O164" i="28" s="1"/>
  <c r="P164" i="28" s="1"/>
  <c r="K164" i="28"/>
  <c r="L164" i="28" s="1"/>
  <c r="AE166" i="28" l="1"/>
  <c r="AD166" i="28" s="1"/>
  <c r="Q166" i="28"/>
  <c r="Q164" i="28"/>
  <c r="AE164" i="28"/>
  <c r="AD164" i="28" s="1"/>
  <c r="L166" i="28"/>
  <c r="AA167" i="28"/>
  <c r="AA166" i="28"/>
  <c r="AA164" i="28"/>
  <c r="AB164" i="28" l="1"/>
  <c r="AF164" i="28" s="1"/>
  <c r="AC164" i="28"/>
  <c r="AA165" i="28" s="1"/>
  <c r="AC166" i="28"/>
  <c r="AB166" i="28"/>
  <c r="AF166" i="28" s="1"/>
  <c r="AC167" i="28"/>
  <c r="AB167" i="28"/>
  <c r="AF167" i="28" s="1"/>
  <c r="AE165" i="28"/>
  <c r="AD165" i="28" s="1"/>
  <c r="AB165" i="28" l="1"/>
  <c r="AF165" i="28" s="1"/>
  <c r="AC165" i="28"/>
  <c r="AB154" i="28" l="1"/>
  <c r="N154" i="28"/>
  <c r="AB153" i="28"/>
  <c r="N153" i="28"/>
  <c r="AB152" i="28"/>
  <c r="N152" i="28"/>
  <c r="AB151" i="28"/>
  <c r="N151" i="28"/>
  <c r="AB150" i="28"/>
  <c r="N150" i="28"/>
  <c r="AB149" i="28"/>
  <c r="N149" i="28"/>
  <c r="O149" i="28" s="1"/>
  <c r="K149" i="28"/>
  <c r="L149" i="28" s="1"/>
  <c r="AB148" i="28"/>
  <c r="N148" i="28"/>
  <c r="AB147" i="28"/>
  <c r="N147" i="28"/>
  <c r="AD146" i="28"/>
  <c r="AC146" i="28"/>
  <c r="AB146" i="28"/>
  <c r="W146" i="28"/>
  <c r="T146" i="28"/>
  <c r="N146" i="28"/>
  <c r="N145" i="28"/>
  <c r="N144" i="28"/>
  <c r="N143" i="28"/>
  <c r="O143" i="28" s="1"/>
  <c r="P143" i="28" s="1"/>
  <c r="K143" i="28"/>
  <c r="L143" i="28" s="1"/>
  <c r="N142" i="28"/>
  <c r="N141" i="28"/>
  <c r="N140" i="28"/>
  <c r="N139" i="28"/>
  <c r="N138" i="28"/>
  <c r="W137" i="28"/>
  <c r="T137" i="28"/>
  <c r="N137" i="28"/>
  <c r="O137" i="28" s="1"/>
  <c r="K137" i="28"/>
  <c r="L137" i="28" s="1"/>
  <c r="W136" i="28"/>
  <c r="T136" i="28"/>
  <c r="N136" i="28"/>
  <c r="W135" i="28"/>
  <c r="T135" i="28"/>
  <c r="N135" i="28"/>
  <c r="O135" i="28" s="1"/>
  <c r="Q135" i="28" s="1"/>
  <c r="K135" i="28"/>
  <c r="L135" i="28" s="1"/>
  <c r="AA137" i="28" l="1"/>
  <c r="AF146" i="28"/>
  <c r="Q137" i="28"/>
  <c r="P137" i="28"/>
  <c r="AE137" i="28" s="1"/>
  <c r="AD137" i="28" s="1"/>
  <c r="P149" i="28"/>
  <c r="Q149" i="28"/>
  <c r="Q143" i="28"/>
  <c r="AC137" i="28"/>
  <c r="AB137" i="28"/>
  <c r="AA135" i="28"/>
  <c r="P135" i="28"/>
  <c r="AE135" i="28" s="1"/>
  <c r="AD135" i="28" l="1"/>
  <c r="AE136" i="28"/>
  <c r="AD136" i="28" s="1"/>
  <c r="AC135" i="28"/>
  <c r="AA136" i="28" s="1"/>
  <c r="AB135" i="28"/>
  <c r="AF137" i="28"/>
  <c r="AF135" i="28" l="1"/>
  <c r="AC136" i="28"/>
  <c r="AB136" i="28"/>
  <c r="AF136" i="28" s="1"/>
  <c r="W125" i="28" l="1"/>
  <c r="T125" i="28"/>
  <c r="N125" i="28"/>
  <c r="W124" i="28"/>
  <c r="T124" i="28"/>
  <c r="AE125" i="28" s="1"/>
  <c r="AD125" i="28" s="1"/>
  <c r="N124" i="28"/>
  <c r="W123" i="28"/>
  <c r="T123" i="28"/>
  <c r="N123" i="28"/>
  <c r="W122" i="28"/>
  <c r="T122" i="28"/>
  <c r="N122" i="28"/>
  <c r="W121" i="28"/>
  <c r="T121" i="28"/>
  <c r="N121" i="28"/>
  <c r="W120" i="28"/>
  <c r="T120" i="28"/>
  <c r="N120" i="28"/>
  <c r="O120" i="28" s="1"/>
  <c r="P120" i="28" s="1"/>
  <c r="AE120" i="28" s="1"/>
  <c r="AD120" i="28" s="1"/>
  <c r="K120" i="28"/>
  <c r="L120" i="28" s="1"/>
  <c r="AA120" i="28" l="1"/>
  <c r="AC120" i="28" s="1"/>
  <c r="AA121" i="28" s="1"/>
  <c r="AA125" i="28"/>
  <c r="Q120" i="28"/>
  <c r="AE121" i="28"/>
  <c r="AB120" i="28" l="1"/>
  <c r="AF120" i="28" s="1"/>
  <c r="AC125" i="28"/>
  <c r="AB125" i="28"/>
  <c r="AF125" i="28" s="1"/>
  <c r="AC121" i="28"/>
  <c r="AA122" i="28" s="1"/>
  <c r="AB121" i="28"/>
  <c r="AE123" i="28"/>
  <c r="AD121" i="28"/>
  <c r="AE122" i="28"/>
  <c r="AD122" i="28" s="1"/>
  <c r="AD123" i="28" l="1"/>
  <c r="AE124" i="28"/>
  <c r="AF121" i="28"/>
  <c r="AB122" i="28"/>
  <c r="AF122" i="28" s="1"/>
  <c r="AC122" i="28"/>
  <c r="AA123" i="28" l="1"/>
  <c r="AA124" i="28"/>
  <c r="AC124" i="28" s="1"/>
  <c r="AC123" i="28" l="1"/>
  <c r="AB123" i="28"/>
  <c r="AF123" i="28" s="1"/>
  <c r="W110" i="28" l="1"/>
  <c r="T110" i="28"/>
  <c r="N110" i="28"/>
  <c r="N109" i="28"/>
  <c r="W108" i="28"/>
  <c r="T108" i="28"/>
  <c r="AE110" i="28" s="1"/>
  <c r="AD110" i="28" s="1"/>
  <c r="N108" i="28"/>
  <c r="W107" i="28"/>
  <c r="T107" i="28"/>
  <c r="AE108" i="28" s="1"/>
  <c r="AD108" i="28" s="1"/>
  <c r="N107" i="28"/>
  <c r="W106" i="28"/>
  <c r="T106" i="28"/>
  <c r="N106" i="28"/>
  <c r="W105" i="28"/>
  <c r="T105" i="28"/>
  <c r="N105" i="28"/>
  <c r="O105" i="28" s="1"/>
  <c r="P105" i="28" s="1"/>
  <c r="AE105" i="28" s="1"/>
  <c r="K105" i="28"/>
  <c r="AA108" i="28" l="1"/>
  <c r="AC108" i="28" s="1"/>
  <c r="Q105" i="28"/>
  <c r="AD105" i="28"/>
  <c r="AE106" i="28"/>
  <c r="AD106" i="28" s="1"/>
  <c r="L105" i="28"/>
  <c r="AA105" i="28" s="1"/>
  <c r="AA110" i="28"/>
  <c r="AE109" i="28"/>
  <c r="AD109" i="28" s="1"/>
  <c r="AA109" i="28"/>
  <c r="AB108" i="28" l="1"/>
  <c r="AF108" i="28" s="1"/>
  <c r="AC109" i="28"/>
  <c r="AB109" i="28"/>
  <c r="AF109" i="28" s="1"/>
  <c r="AC110" i="28"/>
  <c r="AB110" i="28"/>
  <c r="AF110" i="28" s="1"/>
  <c r="AC105" i="28"/>
  <c r="AA106" i="28" s="1"/>
  <c r="AB105" i="28"/>
  <c r="AF105" i="28" s="1"/>
  <c r="AE107" i="28"/>
  <c r="AD107" i="28" s="1"/>
  <c r="AC106" i="28" l="1"/>
  <c r="AA107" i="28" s="1"/>
  <c r="AB106" i="28"/>
  <c r="AF106" i="28" s="1"/>
  <c r="AC107" i="28" l="1"/>
  <c r="AB107" i="28"/>
  <c r="AF107" i="28" s="1"/>
  <c r="W95" i="28" l="1"/>
  <c r="T95" i="28"/>
  <c r="N95" i="28"/>
  <c r="W94" i="28"/>
  <c r="T94" i="28"/>
  <c r="N94" i="28"/>
  <c r="O94" i="28" s="1"/>
  <c r="P94" i="28" s="1"/>
  <c r="K94" i="28"/>
  <c r="W93" i="28"/>
  <c r="T93" i="28"/>
  <c r="N93" i="28"/>
  <c r="W92" i="28"/>
  <c r="T92" i="28"/>
  <c r="N92" i="28"/>
  <c r="O92" i="28" s="1"/>
  <c r="K92" i="28"/>
  <c r="L92" i="28" s="1"/>
  <c r="W91" i="28"/>
  <c r="T91" i="28"/>
  <c r="N91" i="28"/>
  <c r="W90" i="28"/>
  <c r="T90" i="28"/>
  <c r="N90" i="28"/>
  <c r="W89" i="28"/>
  <c r="T89" i="28"/>
  <c r="N89" i="28"/>
  <c r="O89" i="28" s="1"/>
  <c r="P89" i="28" s="1"/>
  <c r="AE89" i="28" s="1"/>
  <c r="K89" i="28"/>
  <c r="L89" i="28" s="1"/>
  <c r="AA92" i="28" l="1"/>
  <c r="AA93" i="28"/>
  <c r="AC93" i="28" s="1"/>
  <c r="AE95" i="28"/>
  <c r="AD95" i="28" s="1"/>
  <c r="AA89" i="28"/>
  <c r="AD89" i="28"/>
  <c r="AE90" i="28"/>
  <c r="AD90" i="28" s="1"/>
  <c r="Q94" i="28"/>
  <c r="AC92" i="28"/>
  <c r="AB92" i="28"/>
  <c r="Q92" i="28"/>
  <c r="P92" i="28"/>
  <c r="AE92" i="28" s="1"/>
  <c r="Q89" i="28"/>
  <c r="AE94" i="28"/>
  <c r="AD94" i="28" s="1"/>
  <c r="L94" i="28"/>
  <c r="AA94" i="28" s="1"/>
  <c r="AA95" i="28"/>
  <c r="AE91" i="28" l="1"/>
  <c r="AD91" i="28" s="1"/>
  <c r="AB93" i="28"/>
  <c r="AE93" i="28"/>
  <c r="AD93" i="28" s="1"/>
  <c r="AF93" i="28" s="1"/>
  <c r="AD92" i="28"/>
  <c r="AF92" i="28" s="1"/>
  <c r="AB94" i="28"/>
  <c r="AF94" i="28" s="1"/>
  <c r="AC94" i="28"/>
  <c r="AC95" i="28"/>
  <c r="AB95" i="28"/>
  <c r="AF95" i="28" s="1"/>
  <c r="AB89" i="28"/>
  <c r="AF89" i="28" s="1"/>
  <c r="AC89" i="28"/>
  <c r="AA90" i="28" s="1"/>
  <c r="AC90" i="28" l="1"/>
  <c r="AA91" i="28" s="1"/>
  <c r="AB90" i="28"/>
  <c r="AF90" i="28" s="1"/>
  <c r="AB91" i="28" l="1"/>
  <c r="AF91" i="28" s="1"/>
  <c r="AC91" i="28"/>
  <c r="W79" i="28" l="1"/>
  <c r="T79" i="28"/>
  <c r="W78" i="28"/>
  <c r="T78" i="28"/>
  <c r="AE79" i="28" s="1"/>
  <c r="AD79" i="28" s="1"/>
  <c r="W77" i="28"/>
  <c r="T77" i="28"/>
  <c r="AA78" i="28" s="1"/>
  <c r="W76" i="28"/>
  <c r="T76" i="28"/>
  <c r="W75" i="28"/>
  <c r="T75" i="28"/>
  <c r="W74" i="28"/>
  <c r="T74" i="28"/>
  <c r="W73" i="28"/>
  <c r="T73" i="28"/>
  <c r="W72" i="28"/>
  <c r="T72" i="28"/>
  <c r="AE73" i="28" s="1"/>
  <c r="AD73" i="28" s="1"/>
  <c r="K72" i="28"/>
  <c r="L72" i="28" s="1"/>
  <c r="W70" i="28"/>
  <c r="T70" i="28"/>
  <c r="AA71" i="28" s="1"/>
  <c r="K70" i="28"/>
  <c r="L70" i="28" s="1"/>
  <c r="W68" i="28"/>
  <c r="T68" i="28"/>
  <c r="K68" i="28"/>
  <c r="L68" i="28" s="1"/>
  <c r="AE77" i="28" l="1"/>
  <c r="AD77" i="28" s="1"/>
  <c r="AE76" i="28"/>
  <c r="AD76" i="28" s="1"/>
  <c r="AA75" i="28"/>
  <c r="AB75" i="28" s="1"/>
  <c r="AC71" i="28"/>
  <c r="AB71" i="28"/>
  <c r="AB78" i="28"/>
  <c r="AC78" i="28"/>
  <c r="AE71" i="28"/>
  <c r="AA70" i="28"/>
  <c r="AA74" i="28"/>
  <c r="AE75" i="28"/>
  <c r="AD75" i="28" s="1"/>
  <c r="AA77" i="28"/>
  <c r="AE78" i="28"/>
  <c r="AD78" i="28" s="1"/>
  <c r="AA73" i="28"/>
  <c r="AA68" i="28"/>
  <c r="AE70" i="28"/>
  <c r="AD70" i="28" s="1"/>
  <c r="AE74" i="28"/>
  <c r="AD74" i="28" s="1"/>
  <c r="AA76" i="28"/>
  <c r="AA79" i="28"/>
  <c r="AA72" i="28"/>
  <c r="N74" i="28"/>
  <c r="O72" i="28" s="1"/>
  <c r="N68" i="28"/>
  <c r="O68" i="28" s="1"/>
  <c r="AC75" i="28" l="1"/>
  <c r="P74" i="28"/>
  <c r="Q74" i="28"/>
  <c r="AC70" i="28"/>
  <c r="AB70" i="28"/>
  <c r="AF70" i="28" s="1"/>
  <c r="AC74" i="28"/>
  <c r="AB74" i="28"/>
  <c r="AF74" i="28" s="1"/>
  <c r="AC72" i="28"/>
  <c r="AB72" i="28"/>
  <c r="AD71" i="28"/>
  <c r="AF71" i="28" s="1"/>
  <c r="AE72" i="28"/>
  <c r="AD72" i="28" s="1"/>
  <c r="Q68" i="28"/>
  <c r="P68" i="28"/>
  <c r="AE68" i="28" s="1"/>
  <c r="AD68" i="28" s="1"/>
  <c r="AC79" i="28"/>
  <c r="AB79" i="28"/>
  <c r="AF79" i="28" s="1"/>
  <c r="AC76" i="28"/>
  <c r="AB76" i="28"/>
  <c r="AF76" i="28" s="1"/>
  <c r="AF78" i="28"/>
  <c r="AC68" i="28"/>
  <c r="AB68" i="28"/>
  <c r="AC73" i="28"/>
  <c r="AB73" i="28"/>
  <c r="AF73" i="28" s="1"/>
  <c r="AC77" i="28"/>
  <c r="AB77" i="28"/>
  <c r="AF77" i="28" s="1"/>
  <c r="AF75" i="28"/>
  <c r="AF68" i="28" l="1"/>
  <c r="AF72" i="28"/>
  <c r="W57" i="28"/>
  <c r="T57" i="28"/>
  <c r="K57" i="28"/>
  <c r="L57" i="28" s="1"/>
  <c r="W56" i="28"/>
  <c r="T56" i="28"/>
  <c r="W55" i="28"/>
  <c r="T55" i="28"/>
  <c r="W54" i="28"/>
  <c r="T54" i="28"/>
  <c r="K54" i="28"/>
  <c r="N54" i="28"/>
  <c r="O54" i="28" s="1"/>
  <c r="P54" i="28" s="1"/>
  <c r="AE54" i="28" s="1"/>
  <c r="AD54" i="28" s="1"/>
  <c r="AA56" i="28" l="1"/>
  <c r="AC56" i="28" s="1"/>
  <c r="AE55" i="28"/>
  <c r="AD55" i="28" s="1"/>
  <c r="Q54" i="28"/>
  <c r="N57" i="28"/>
  <c r="O57" i="28" s="1"/>
  <c r="P57" i="28" s="1"/>
  <c r="AE57" i="28" s="1"/>
  <c r="AD57" i="28" s="1"/>
  <c r="L54" i="28"/>
  <c r="AA54" i="28" s="1"/>
  <c r="AA57" i="28"/>
  <c r="AA55" i="28"/>
  <c r="AB56" i="28" l="1"/>
  <c r="AE56" i="28"/>
  <c r="AD56" i="28" s="1"/>
  <c r="AC55" i="28"/>
  <c r="AB55" i="28"/>
  <c r="AF55" i="28" s="1"/>
  <c r="AC57" i="28"/>
  <c r="AB57" i="28"/>
  <c r="AF57" i="28" s="1"/>
  <c r="AC54" i="28"/>
  <c r="AB54" i="28"/>
  <c r="AF54" i="28" s="1"/>
  <c r="Q57" i="28"/>
  <c r="AF56" i="28" l="1"/>
  <c r="W47" i="28"/>
  <c r="T47" i="28"/>
  <c r="N47" i="28"/>
  <c r="W46" i="28"/>
  <c r="T46" i="28"/>
  <c r="N46" i="28"/>
  <c r="W45" i="28"/>
  <c r="T45" i="28"/>
  <c r="N45" i="28"/>
  <c r="W44" i="28"/>
  <c r="T44" i="28"/>
  <c r="AA44" i="28" s="1"/>
  <c r="AC44" i="28" s="1"/>
  <c r="N44" i="28"/>
  <c r="W43" i="28"/>
  <c r="N43" i="28"/>
  <c r="W42" i="28"/>
  <c r="P42" i="28"/>
  <c r="AE42" i="28" s="1"/>
  <c r="AE43" i="28" s="1"/>
  <c r="N42" i="28"/>
  <c r="K42" i="28"/>
  <c r="L42" i="28" s="1"/>
  <c r="W41" i="28"/>
  <c r="T41" i="28"/>
  <c r="N41" i="28"/>
  <c r="W40" i="28"/>
  <c r="T40" i="28"/>
  <c r="N40" i="28"/>
  <c r="W39" i="28"/>
  <c r="T39" i="28"/>
  <c r="N39" i="28"/>
  <c r="W38" i="28"/>
  <c r="T38" i="28"/>
  <c r="N38" i="28"/>
  <c r="W37" i="28"/>
  <c r="T37" i="28"/>
  <c r="N37" i="28"/>
  <c r="W36" i="28"/>
  <c r="T36" i="28"/>
  <c r="N36" i="28"/>
  <c r="O36" i="28" s="1"/>
  <c r="P36" i="28" s="1"/>
  <c r="AE36" i="28" s="1"/>
  <c r="AD36" i="28" s="1"/>
  <c r="K36" i="28"/>
  <c r="W35" i="28"/>
  <c r="T35" i="28"/>
  <c r="N35" i="28"/>
  <c r="W34" i="28"/>
  <c r="T34" i="28"/>
  <c r="N34" i="28"/>
  <c r="W33" i="28"/>
  <c r="T33" i="28"/>
  <c r="N33" i="28"/>
  <c r="W32" i="28"/>
  <c r="T32" i="28"/>
  <c r="AA33" i="28" s="1"/>
  <c r="N32" i="28"/>
  <c r="W31" i="28"/>
  <c r="T31" i="28"/>
  <c r="N31" i="28"/>
  <c r="W30" i="28"/>
  <c r="T30" i="28"/>
  <c r="N30" i="28"/>
  <c r="O30" i="28" s="1"/>
  <c r="P30" i="28" s="1"/>
  <c r="K30" i="28"/>
  <c r="L30" i="28" s="1"/>
  <c r="AE38" i="28" l="1"/>
  <c r="AD38" i="28" s="1"/>
  <c r="AA38" i="28"/>
  <c r="AC38" i="28" s="1"/>
  <c r="AA40" i="28"/>
  <c r="AC40" i="28" s="1"/>
  <c r="AA47" i="28"/>
  <c r="AE44" i="28"/>
  <c r="AD44" i="28" s="1"/>
  <c r="AA46" i="28"/>
  <c r="AB46" i="28" s="1"/>
  <c r="AA34" i="28"/>
  <c r="AC34" i="28" s="1"/>
  <c r="AA41" i="28"/>
  <c r="AB41" i="28" s="1"/>
  <c r="AA39" i="28"/>
  <c r="AC39" i="28" s="1"/>
  <c r="AA42" i="28"/>
  <c r="AC42" i="28" s="1"/>
  <c r="AA43" i="28" s="1"/>
  <c r="AE45" i="28"/>
  <c r="AD45" i="28" s="1"/>
  <c r="AE40" i="28"/>
  <c r="AD40" i="28" s="1"/>
  <c r="AA32" i="28"/>
  <c r="AB32" i="28" s="1"/>
  <c r="Q36" i="28"/>
  <c r="L36" i="28"/>
  <c r="AA36" i="28" s="1"/>
  <c r="AC36" i="28" s="1"/>
  <c r="AA37" i="28" s="1"/>
  <c r="AE47" i="28"/>
  <c r="AD47" i="28" s="1"/>
  <c r="AE39" i="28"/>
  <c r="AD39" i="28" s="1"/>
  <c r="AE32" i="28"/>
  <c r="AD32" i="28" s="1"/>
  <c r="AE34" i="28"/>
  <c r="AD34" i="28" s="1"/>
  <c r="Q42" i="28"/>
  <c r="AE33" i="28"/>
  <c r="AD33" i="28" s="1"/>
  <c r="AE41" i="28"/>
  <c r="AD41" i="28" s="1"/>
  <c r="AA45" i="28"/>
  <c r="AC45" i="28" s="1"/>
  <c r="AE37" i="28"/>
  <c r="AD37" i="28" s="1"/>
  <c r="AE30" i="28"/>
  <c r="AD30" i="28" s="1"/>
  <c r="AC47" i="28"/>
  <c r="AB47" i="28"/>
  <c r="Q30" i="28"/>
  <c r="AB33" i="28"/>
  <c r="AC33" i="28"/>
  <c r="AA35" i="28"/>
  <c r="AE46" i="28"/>
  <c r="AD46" i="28" s="1"/>
  <c r="AF46" i="28" s="1"/>
  <c r="AB38" i="28"/>
  <c r="AF38" i="28" s="1"/>
  <c r="AA30" i="28"/>
  <c r="AB40" i="28"/>
  <c r="AB44" i="28"/>
  <c r="AE35" i="28"/>
  <c r="AD35" i="28" s="1"/>
  <c r="AC32" i="28" l="1"/>
  <c r="AB34" i="28"/>
  <c r="AF34" i="28" s="1"/>
  <c r="AB42" i="28"/>
  <c r="AF42" i="28" s="1"/>
  <c r="AE31" i="28"/>
  <c r="AD31" i="28" s="1"/>
  <c r="AB39" i="28"/>
  <c r="AC46" i="28"/>
  <c r="AF44" i="28"/>
  <c r="AB45" i="28"/>
  <c r="AF45" i="28" s="1"/>
  <c r="AF40" i="28"/>
  <c r="AF47" i="28"/>
  <c r="AC41" i="28"/>
  <c r="AB36" i="28"/>
  <c r="AF36" i="28" s="1"/>
  <c r="AF41" i="28"/>
  <c r="AF33" i="28"/>
  <c r="AF32" i="28"/>
  <c r="AF39" i="28"/>
  <c r="AC37" i="28"/>
  <c r="AB37" i="28"/>
  <c r="AF37" i="28" s="1"/>
  <c r="AC30" i="28"/>
  <c r="AA31" i="28" s="1"/>
  <c r="AB30" i="28"/>
  <c r="AF30" i="28" s="1"/>
  <c r="AC35" i="28"/>
  <c r="AB35" i="28"/>
  <c r="AF35" i="28" s="1"/>
  <c r="AB43" i="28"/>
  <c r="AF43" i="28" s="1"/>
  <c r="AC43" i="28"/>
  <c r="AC31" i="28" l="1"/>
  <c r="AB31" i="28"/>
  <c r="AF31" i="28" s="1"/>
  <c r="W20" i="28" l="1"/>
  <c r="T20" i="28"/>
  <c r="N20" i="28"/>
  <c r="W19" i="28"/>
  <c r="T19" i="28"/>
  <c r="AE20" i="28" s="1"/>
  <c r="AD20" i="28" s="1"/>
  <c r="N19" i="28"/>
  <c r="W18" i="28"/>
  <c r="T18" i="28"/>
  <c r="N18" i="28"/>
  <c r="W17" i="28"/>
  <c r="T17" i="28"/>
  <c r="N17" i="28"/>
  <c r="W16" i="28"/>
  <c r="T16" i="28"/>
  <c r="N16" i="28"/>
  <c r="W15" i="28"/>
  <c r="T15" i="28"/>
  <c r="N15" i="28"/>
  <c r="O15" i="28" s="1"/>
  <c r="P15" i="28" s="1"/>
  <c r="AE15" i="28" s="1"/>
  <c r="AD15" i="28" s="1"/>
  <c r="K15" i="28"/>
  <c r="W14" i="28"/>
  <c r="T14" i="28"/>
  <c r="N14" i="28"/>
  <c r="W13" i="28"/>
  <c r="T13" i="28"/>
  <c r="N13" i="28"/>
  <c r="W12" i="28"/>
  <c r="T12" i="28"/>
  <c r="N12" i="28"/>
  <c r="W11" i="28"/>
  <c r="T11" i="28"/>
  <c r="AA12" i="28" s="1"/>
  <c r="AC12" i="28" s="1"/>
  <c r="N11" i="28"/>
  <c r="W10" i="28"/>
  <c r="T10" i="28"/>
  <c r="N10" i="28"/>
  <c r="W9" i="28"/>
  <c r="T9" i="28"/>
  <c r="N9" i="28"/>
  <c r="O9" i="28" s="1"/>
  <c r="P9" i="28" s="1"/>
  <c r="K9" i="28"/>
  <c r="AE17" i="28" l="1"/>
  <c r="AD17" i="28" s="1"/>
  <c r="AE18" i="28"/>
  <c r="AD18" i="28" s="1"/>
  <c r="AA13" i="28"/>
  <c r="AE19" i="28"/>
  <c r="AD19" i="28" s="1"/>
  <c r="AA14" i="28"/>
  <c r="AC14" i="28" s="1"/>
  <c r="AA19" i="28"/>
  <c r="AB19" i="28" s="1"/>
  <c r="Q15" i="28"/>
  <c r="AE16" i="28"/>
  <c r="AD16" i="28" s="1"/>
  <c r="AC13" i="28"/>
  <c r="AB13" i="28"/>
  <c r="Q9" i="28"/>
  <c r="AE14" i="28"/>
  <c r="AD14" i="28" s="1"/>
  <c r="AA18" i="28"/>
  <c r="AE9" i="28"/>
  <c r="AD9" i="28" s="1"/>
  <c r="AB12" i="28"/>
  <c r="AE13" i="28"/>
  <c r="AD13" i="28" s="1"/>
  <c r="L15" i="28"/>
  <c r="AA15" i="28" s="1"/>
  <c r="AA17" i="28"/>
  <c r="AE12" i="28"/>
  <c r="AD12" i="28" s="1"/>
  <c r="L9" i="28"/>
  <c r="AA9" i="28" s="1"/>
  <c r="AA20" i="28"/>
  <c r="AF19" i="28" l="1"/>
  <c r="AB14" i="28"/>
  <c r="AC19" i="28"/>
  <c r="AE10" i="28"/>
  <c r="AD10" i="28" s="1"/>
  <c r="AF13" i="28"/>
  <c r="AC9" i="28"/>
  <c r="AA10" i="28" s="1"/>
  <c r="AB9" i="28"/>
  <c r="AF9" i="28" s="1"/>
  <c r="AB15" i="28"/>
  <c r="AF15" i="28" s="1"/>
  <c r="AC15" i="28"/>
  <c r="AA16" i="28" s="1"/>
  <c r="AC17" i="28"/>
  <c r="AB17" i="28"/>
  <c r="AF17" i="28" s="1"/>
  <c r="AF14" i="28"/>
  <c r="AF12" i="28"/>
  <c r="AC20" i="28"/>
  <c r="AB20" i="28"/>
  <c r="AF20" i="28" s="1"/>
  <c r="AB18" i="28"/>
  <c r="AF18" i="28" s="1"/>
  <c r="AC18" i="28"/>
  <c r="AE11" i="28" l="1"/>
  <c r="AD11" i="28" s="1"/>
  <c r="AC16" i="28"/>
  <c r="AB16" i="28"/>
  <c r="AF16" i="28" s="1"/>
  <c r="AC10" i="28"/>
  <c r="AA11" i="28" s="1"/>
  <c r="AB10" i="28"/>
  <c r="AF10" i="28" s="1"/>
  <c r="AB11" i="28" l="1"/>
  <c r="AF11" i="28" s="1"/>
  <c r="AC11" i="28"/>
  <c r="B145" i="15" l="1"/>
  <c r="B144" i="15"/>
  <c r="B143" i="15"/>
  <c r="B142" i="15"/>
  <c r="B141" i="15"/>
  <c r="B140" i="15"/>
  <c r="B139" i="15"/>
  <c r="B138" i="15"/>
  <c r="B137" i="15"/>
  <c r="B136" i="15"/>
  <c r="B135" i="15"/>
  <c r="B134" i="15"/>
  <c r="B133" i="15"/>
  <c r="B132" i="15"/>
  <c r="B131" i="15"/>
  <c r="B130" i="15"/>
  <c r="B129" i="15"/>
  <c r="B128" i="15"/>
  <c r="B127" i="15"/>
  <c r="B146" i="15" s="1"/>
  <c r="B122" i="15"/>
  <c r="B121" i="15"/>
  <c r="B120" i="15"/>
  <c r="B119" i="15"/>
  <c r="B118" i="15"/>
  <c r="B117" i="15"/>
  <c r="B116" i="15"/>
  <c r="B115" i="15"/>
  <c r="B114" i="15"/>
  <c r="B113" i="15"/>
  <c r="B112" i="15"/>
  <c r="B111" i="15"/>
  <c r="B110" i="15"/>
  <c r="B109" i="15"/>
  <c r="B108" i="15"/>
  <c r="B107" i="15"/>
  <c r="B106" i="15"/>
  <c r="B105" i="15"/>
  <c r="B104" i="15"/>
  <c r="B123" i="15" s="1"/>
  <c r="B99" i="15"/>
  <c r="B98" i="15"/>
  <c r="B97" i="15"/>
  <c r="B96" i="15"/>
  <c r="B95" i="15"/>
  <c r="B94" i="15"/>
  <c r="B93" i="15"/>
  <c r="B92" i="15"/>
  <c r="B91" i="15"/>
  <c r="B90" i="15"/>
  <c r="B89" i="15"/>
  <c r="B88" i="15"/>
  <c r="B87" i="15"/>
  <c r="B86" i="15"/>
  <c r="B85" i="15"/>
  <c r="B84" i="15"/>
  <c r="B83" i="15"/>
  <c r="B82" i="15"/>
  <c r="B81" i="15"/>
  <c r="B100" i="15" s="1"/>
  <c r="B76" i="15"/>
  <c r="B75" i="15"/>
  <c r="B74" i="15"/>
  <c r="B73" i="15"/>
  <c r="B72" i="15"/>
  <c r="B71" i="15"/>
  <c r="B70" i="15"/>
  <c r="B69" i="15"/>
  <c r="B68" i="15"/>
  <c r="B67" i="15"/>
  <c r="B66" i="15"/>
  <c r="B65" i="15"/>
  <c r="B64" i="15"/>
  <c r="B63" i="15"/>
  <c r="B62" i="15"/>
  <c r="B61" i="15"/>
  <c r="B60" i="15"/>
  <c r="B59" i="15"/>
  <c r="B58" i="15"/>
  <c r="B77" i="15" s="1"/>
  <c r="B53" i="15"/>
  <c r="B52" i="15"/>
  <c r="B51" i="15"/>
  <c r="B50" i="15"/>
  <c r="B49" i="15"/>
  <c r="B48" i="15"/>
  <c r="B47" i="15"/>
  <c r="B46" i="15"/>
  <c r="B45" i="15"/>
  <c r="B44" i="15"/>
  <c r="B43" i="15"/>
  <c r="B42" i="15"/>
  <c r="B41" i="15"/>
  <c r="B40" i="15"/>
  <c r="B39" i="15"/>
  <c r="B38" i="15"/>
  <c r="B37" i="15"/>
  <c r="B36" i="15"/>
  <c r="B35" i="15"/>
  <c r="B54" i="15" s="1"/>
  <c r="N10" i="31" l="1"/>
  <c r="O10" i="31" s="1"/>
  <c r="P10" i="31" l="1"/>
  <c r="AE10" i="31" s="1"/>
  <c r="Q10" i="31"/>
  <c r="AD10" i="31" l="1"/>
  <c r="AF10" i="31" s="1"/>
  <c r="AE11" i="31"/>
  <c r="AD11" i="31" s="1"/>
  <c r="AF11"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IRMA</author>
    <author/>
    <author>MONI</author>
    <author>ATENCION CIUDADANO</author>
    <author>usuario</author>
    <author>CARLOS HERNANDO DIAZ BOTERO</author>
    <author>HACIENDA</author>
    <author>MAGALY</author>
    <author>Alba luz</author>
    <author>Natalia Bulla</author>
    <author>HACIENDA149</author>
    <author>ACER</author>
  </authors>
  <commentList>
    <comment ref="AK30" authorId="0" shapeId="0" xr:uid="{9F930B19-D22F-4B1B-B8D8-C8C770349314}">
      <text>
        <r>
          <rPr>
            <b/>
            <sz val="9"/>
            <color indexed="81"/>
            <rFont val="Tahoma"/>
            <family val="2"/>
          </rPr>
          <t>IRMA:</t>
        </r>
        <r>
          <rPr>
            <sz val="9"/>
            <color indexed="81"/>
            <rFont val="Tahoma"/>
            <family val="2"/>
          </rPr>
          <t xml:space="preserve">
 OJO CON EL MEMORANDO PONER EL NUMERO DE RADICADO A QUIEN Y EN QUE FECHA </t>
        </r>
      </text>
    </comment>
    <comment ref="I54" authorId="1" shapeId="0" xr:uid="{44945357-9367-4A0F-B3FF-31E4450B0784}">
      <text>
        <r>
          <rPr>
            <sz val="11"/>
            <color theme="1"/>
            <rFont val="Calibri"/>
            <family val="2"/>
            <scheme val="minor"/>
          </rPr>
          <t>======
ID#AAABMONj28s
JULIANC    (2024-05-03 13:30:13)
total de metal del plan de desarrollo por el numero de seguimientos al año</t>
        </r>
      </text>
    </comment>
    <comment ref="O54" authorId="1" shapeId="0" xr:uid="{C63AF06B-07A9-4B13-BD1E-40FD45081C93}">
      <text>
        <r>
          <rPr>
            <sz val="11"/>
            <color theme="1"/>
            <rFont val="Calibri"/>
            <family val="2"/>
            <scheme val="minor"/>
          </rPr>
          <t>======
ID#AAABMONj28o
JULIANC    (2024-05-03 13:30:13)
presupuesto asignado para ejecución de la vigencia dividido el el salario minimo</t>
        </r>
      </text>
    </comment>
    <comment ref="J192" authorId="2" shapeId="0" xr:uid="{5D90585D-911A-4169-93F8-D77B361FD6FA}">
      <text>
        <r>
          <rPr>
            <b/>
            <sz val="9"/>
            <color indexed="81"/>
            <rFont val="Tahoma"/>
            <family val="2"/>
          </rPr>
          <t>MONI:</t>
        </r>
        <r>
          <rPr>
            <sz val="9"/>
            <color indexed="81"/>
            <rFont val="Tahoma"/>
            <family val="2"/>
          </rPr>
          <t xml:space="preserve">
Se cuenta el promedio de contratos sin adiciones, teniendo en cuenta que mensualmente se revisa las necesidades para cumpliento de metas</t>
        </r>
      </text>
    </comment>
    <comment ref="J206" authorId="3" shapeId="0" xr:uid="{616E3E39-0D85-4F74-8B5A-323B6599251A}">
      <text>
        <r>
          <rPr>
            <b/>
            <sz val="9"/>
            <color indexed="81"/>
            <rFont val="Tahoma"/>
            <family val="2"/>
          </rPr>
          <t>ATENCION CIUDADANO:</t>
        </r>
        <r>
          <rPr>
            <sz val="9"/>
            <color indexed="81"/>
            <rFont val="Tahoma"/>
            <family val="2"/>
          </rPr>
          <t xml:space="preserve">
Número de PQRSD respondidos por fuera del termino y sin respuesta vencidos (enero - agosto). </t>
        </r>
      </text>
    </comment>
    <comment ref="J226" authorId="2" shapeId="0" xr:uid="{C01D3574-D1E1-4BFD-8597-0C6D32F93D75}">
      <text>
        <r>
          <rPr>
            <b/>
            <sz val="9"/>
            <color indexed="81"/>
            <rFont val="Tahoma"/>
            <family val="2"/>
          </rPr>
          <t>MONI:</t>
        </r>
        <r>
          <rPr>
            <sz val="9"/>
            <color indexed="81"/>
            <rFont val="Tahoma"/>
            <family val="2"/>
          </rPr>
          <t xml:space="preserve">
Se cuenta el promedio de contratos sin adiciones, teniendo en cuenta que mensualmente se revisa las necesidades para cumpliento de metas</t>
        </r>
      </text>
    </comment>
    <comment ref="S226" authorId="4" shapeId="0" xr:uid="{31B33BF6-3CB1-4F4A-AEA4-4B079880A1E0}">
      <text>
        <r>
          <rPr>
            <b/>
            <sz val="9"/>
            <color indexed="81"/>
            <rFont val="Tahoma"/>
            <family val="2"/>
          </rPr>
          <t>usuario:</t>
        </r>
        <r>
          <rPr>
            <sz val="9"/>
            <color indexed="81"/>
            <rFont val="Tahoma"/>
            <family val="2"/>
          </rPr>
          <t xml:space="preserve">
actualizar las politicas operacional de la caracterizacion incluyendo este control </t>
        </r>
      </text>
    </comment>
    <comment ref="U226" authorId="5" shapeId="0" xr:uid="{B609BAF8-22A3-4160-BDB7-75A4575ECA59}">
      <text>
        <r>
          <rPr>
            <sz val="9"/>
            <color indexed="81"/>
            <rFont val="Tahoma"/>
            <family val="2"/>
          </rPr>
          <t xml:space="preserve">el control es detectuvo porque esta asocuado al seguimiento de cumplimiento de las metas a través de la apicación de indicador de cada meta
</t>
        </r>
      </text>
    </comment>
    <comment ref="J232" authorId="2" shapeId="0" xr:uid="{10A991DF-CFEB-4ED7-BEE0-22DF00955FAF}">
      <text>
        <r>
          <rPr>
            <b/>
            <sz val="9"/>
            <color indexed="81"/>
            <rFont val="Tahoma"/>
            <family val="2"/>
          </rPr>
          <t>MONI:</t>
        </r>
        <r>
          <rPr>
            <sz val="9"/>
            <color indexed="81"/>
            <rFont val="Tahoma"/>
            <family val="2"/>
          </rPr>
          <t xml:space="preserve">
Se da este valor porque porque diariamente se debe impactar a la comunicad con recursos tecnológicos</t>
        </r>
      </text>
    </comment>
    <comment ref="AH278" authorId="6" shapeId="0" xr:uid="{F042744B-E27F-41BE-95B5-4E619F633368}">
      <text>
        <r>
          <rPr>
            <b/>
            <sz val="8"/>
            <color indexed="81"/>
            <rFont val="Tahoma"/>
            <family val="2"/>
          </rPr>
          <t xml:space="preserve">HACIENDA:
</t>
        </r>
        <r>
          <rPr>
            <sz val="8"/>
            <color indexed="81"/>
            <rFont val="Tahoma"/>
            <family val="2"/>
          </rPr>
          <t xml:space="preserve">
</t>
        </r>
        <r>
          <rPr>
            <sz val="9"/>
            <color indexed="81"/>
            <rFont val="Tahoma"/>
            <family val="2"/>
          </rPr>
          <t>Responsable, fecha implementación, fecha seguimiento, seguimiento.
 No es necesario controles complementarios
El plan de acción complementa el control que colocamos, 
No es otro control, 
NO es un plan de contingencia</t>
        </r>
      </text>
    </comment>
    <comment ref="B279" authorId="6" shapeId="0" xr:uid="{4FC5EF50-C859-41DC-AF15-E75B1D74BB6E}">
      <text>
        <r>
          <rPr>
            <b/>
            <sz val="8"/>
            <color indexed="81"/>
            <rFont val="Tahoma"/>
            <family val="2"/>
          </rPr>
          <t>HACIENDA:</t>
        </r>
        <r>
          <rPr>
            <sz val="8"/>
            <color indexed="81"/>
            <rFont val="Tahoma"/>
            <family val="2"/>
          </rPr>
          <t xml:space="preserve">
V5:las consecuencias que puede ocasionar a la organización la materialización del riesgo</t>
        </r>
      </text>
    </comment>
    <comment ref="C279" authorId="6" shapeId="0" xr:uid="{CBB4900E-7A65-4836-8F34-F906D4EC261F}">
      <text>
        <r>
          <rPr>
            <b/>
            <sz val="9"/>
            <color indexed="81"/>
            <rFont val="Tahoma"/>
            <family val="2"/>
          </rPr>
          <t xml:space="preserve">HACIENDA:
</t>
        </r>
        <r>
          <rPr>
            <sz val="9"/>
            <color indexed="81"/>
            <rFont val="Tahoma"/>
            <family val="2"/>
          </rPr>
          <t xml:space="preserve">
justificacion del por que, complemento del impacto
</t>
        </r>
        <r>
          <rPr>
            <b/>
            <sz val="9"/>
            <color indexed="81"/>
            <rFont val="Tahoma"/>
            <family val="2"/>
          </rPr>
          <t xml:space="preserve">
V5:</t>
        </r>
        <r>
          <rPr>
            <sz val="9"/>
            <color indexed="81"/>
            <rFont val="Tahoma"/>
            <family val="2"/>
          </rPr>
          <t xml:space="preserve"> circunstancias o situaciones más evidentes sobre las cuales se presenta el riesgo, las mismas no constituyen la causa principal o base para que se presente el riesgo</t>
        </r>
      </text>
    </comment>
    <comment ref="D279" authorId="6" shapeId="0" xr:uid="{C197CEE3-45D9-4D61-A51B-211279EB64E0}">
      <text>
        <r>
          <rPr>
            <b/>
            <sz val="9"/>
            <color indexed="81"/>
            <rFont val="Tahoma"/>
            <family val="2"/>
          </rPr>
          <t xml:space="preserve">HACIENDA:
</t>
        </r>
        <r>
          <rPr>
            <sz val="10"/>
            <color indexed="81"/>
            <rFont val="Tahoma"/>
            <family val="2"/>
          </rPr>
          <t xml:space="preserve">
Riesgo q detectamos del objetivo
</t>
        </r>
        <r>
          <rPr>
            <b/>
            <sz val="10"/>
            <color indexed="81"/>
            <rFont val="Tahoma"/>
            <family val="2"/>
          </rPr>
          <t>V5:</t>
        </r>
        <r>
          <rPr>
            <sz val="10"/>
            <color indexed="81"/>
            <rFont val="Tahoma"/>
            <family val="2"/>
          </rPr>
          <t>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279" authorId="6" shapeId="0" xr:uid="{5A23855B-7AD9-4A3D-A311-B3859E0C0790}">
      <text>
        <r>
          <rPr>
            <b/>
            <sz val="9"/>
            <color indexed="81"/>
            <rFont val="Tahoma"/>
            <family val="2"/>
          </rPr>
          <t>HACIENDA:</t>
        </r>
        <r>
          <rPr>
            <sz val="9"/>
            <color indexed="81"/>
            <rFont val="Tahoma"/>
            <family val="2"/>
          </rPr>
          <t xml:space="preserve">
</t>
        </r>
        <r>
          <rPr>
            <sz val="8"/>
            <color indexed="81"/>
            <rFont val="Tahoma"/>
            <family val="2"/>
          </rPr>
          <t>causa base para el control….VER CONTEXTO  DELA OTRA VERSION. Es el ultimo por q de los 5 por que.</t>
        </r>
      </text>
    </comment>
    <comment ref="F279" authorId="6" shapeId="0" xr:uid="{7744616E-4BA0-4925-8870-78A9A5E32424}">
      <text>
        <r>
          <rPr>
            <b/>
            <sz val="9"/>
            <color indexed="81"/>
            <rFont val="Tahoma"/>
            <family val="2"/>
          </rPr>
          <t>HACIENDA:</t>
        </r>
        <r>
          <rPr>
            <sz val="9"/>
            <color indexed="81"/>
            <rFont val="Tahoma"/>
            <family val="2"/>
          </rPr>
          <t xml:space="preserve">
este mapa es solo de gestión. 
POSIBILIDAD DE </t>
        </r>
        <r>
          <rPr>
            <b/>
            <sz val="9"/>
            <color indexed="81"/>
            <rFont val="Tahoma"/>
            <family val="2"/>
          </rPr>
          <t>(QUE:IMPACTO)+(COMO:CAUSA INMEDIATA)+(PORQUE:CAUSA RAIZ)
QUE</t>
        </r>
        <r>
          <rPr>
            <b/>
            <sz val="11"/>
            <color indexed="81"/>
            <rFont val="Tahoma"/>
            <family val="2"/>
          </rPr>
          <t xml:space="preserve"> +</t>
        </r>
        <r>
          <rPr>
            <b/>
            <sz val="9"/>
            <color indexed="81"/>
            <rFont val="Tahoma"/>
            <family val="2"/>
          </rPr>
          <t xml:space="preserve"> COMO= LO Q PUEDE OCURRIR</t>
        </r>
        <r>
          <rPr>
            <sz val="9"/>
            <color indexed="81"/>
            <rFont val="Tahoma"/>
            <family val="2"/>
          </rPr>
          <t xml:space="preserve">
</t>
        </r>
        <r>
          <rPr>
            <b/>
            <sz val="9"/>
            <color indexed="81"/>
            <rFont val="Tahoma"/>
            <family val="2"/>
          </rPr>
          <t xml:space="preserve">
EJ V5</t>
        </r>
        <r>
          <rPr>
            <sz val="9"/>
            <color indexed="81"/>
            <rFont val="Tahoma"/>
            <family val="2"/>
          </rPr>
          <t xml:space="preserve">
Posibilidad de</t>
        </r>
        <r>
          <rPr>
            <b/>
            <sz val="9"/>
            <color indexed="81"/>
            <rFont val="Tahoma"/>
            <family val="2"/>
          </rPr>
          <t xml:space="preserve"> (¿Qué? :Impacto )</t>
        </r>
        <r>
          <rPr>
            <sz val="9"/>
            <color indexed="81"/>
            <rFont val="Tahoma"/>
            <family val="2"/>
          </rPr>
          <t>afectación económica-</t>
        </r>
        <r>
          <rPr>
            <b/>
            <sz val="9"/>
            <color indexed="81"/>
            <rFont val="Tahoma"/>
            <family val="2"/>
          </rPr>
          <t xml:space="preserve">(¿Cómo?Causa Inmediata) </t>
        </r>
        <r>
          <rPr>
            <sz val="9"/>
            <color indexed="81"/>
            <rFont val="Tahoma"/>
            <family val="2"/>
          </rPr>
          <t>por multa y sanción del ente regulador-</t>
        </r>
        <r>
          <rPr>
            <b/>
            <sz val="9"/>
            <color indexed="81"/>
            <rFont val="Tahoma"/>
            <family val="2"/>
          </rPr>
          <t>(¿Por qué? Causa Raíz)</t>
        </r>
        <r>
          <rPr>
            <sz val="9"/>
            <color indexed="81"/>
            <rFont val="Tahoma"/>
            <family val="2"/>
          </rPr>
          <t>debido a adquisición de bienes y servicios fuera de los requerimientos normativos
OJO  ....</t>
        </r>
        <r>
          <rPr>
            <b/>
            <sz val="9"/>
            <color indexed="81"/>
            <rFont val="Tahoma"/>
            <family val="2"/>
          </rPr>
          <t>NOOOOO:</t>
        </r>
        <r>
          <rPr>
            <sz val="9"/>
            <color indexed="81"/>
            <rFont val="Tahoma"/>
            <family val="2"/>
          </rPr>
          <t xml:space="preserve"> 
No describir como riesgos omisiones ni desviaciones del control.
No describir causas como riesgos
No describir riesgos como la negación de un control
No existen riesgos transversales, lo que pueden existir son causas transversales.
 </t>
        </r>
      </text>
    </comment>
    <comment ref="I279" authorId="6" shapeId="0" xr:uid="{97055BB5-EAD9-4044-AEF2-6BC98F1B24DA}">
      <text>
        <r>
          <rPr>
            <b/>
            <sz val="9"/>
            <color indexed="81"/>
            <rFont val="Tahoma"/>
            <family val="2"/>
          </rPr>
          <t>HACIENDA:</t>
        </r>
        <r>
          <rPr>
            <sz val="9"/>
            <color indexed="81"/>
            <rFont val="Tahoma"/>
            <family val="2"/>
          </rPr>
          <t xml:space="preserve">
aplico el tipo de riesgo ver pag 38
</t>
        </r>
      </text>
    </comment>
    <comment ref="S279" authorId="6" shapeId="0" xr:uid="{B47A27E8-BE7F-4451-879D-0BA70B469E31}">
      <text>
        <r>
          <rPr>
            <b/>
            <sz val="9"/>
            <color indexed="81"/>
            <rFont val="Tahoma"/>
            <family val="2"/>
          </rPr>
          <t xml:space="preserve">HACIENDA:
</t>
        </r>
        <r>
          <rPr>
            <sz val="9"/>
            <color indexed="81"/>
            <rFont val="Tahoma"/>
            <family val="2"/>
          </rPr>
          <t xml:space="preserve">
subcausa(sacada de la act del proceso-ojo revisar proceso), con los 6pasos para el control
</t>
        </r>
        <r>
          <rPr>
            <b/>
            <sz val="9"/>
            <color indexed="81"/>
            <rFont val="Tahoma"/>
            <family val="2"/>
          </rPr>
          <t>V5</t>
        </r>
        <r>
          <rPr>
            <sz val="9"/>
            <color indexed="81"/>
            <rFont val="Tahoma"/>
            <family val="2"/>
          </rPr>
          <t xml:space="preserve">:  Estructura para la descripción del control: 
para una adecuada redacción del control se propone una estructura que facilitará más adelante entender su tipología y otros atributos para su valoración. La estructura es la siguiente:
</t>
        </r>
        <r>
          <rPr>
            <b/>
            <sz val="9"/>
            <color indexed="81"/>
            <rFont val="Tahoma"/>
            <family val="2"/>
          </rPr>
          <t>Responsable</t>
        </r>
        <r>
          <rPr>
            <sz val="9"/>
            <color indexed="81"/>
            <rFont val="Tahoma"/>
            <family val="2"/>
          </rPr>
          <t xml:space="preserve"> de ejecutar el control: identifica el cargo del servidor que ejecuta el control, en caso de que sean controles automáticos se identificará el sistema que realiza la activ idad.
</t>
        </r>
        <r>
          <rPr>
            <b/>
            <sz val="9"/>
            <color indexed="81"/>
            <rFont val="Tahoma"/>
            <family val="2"/>
          </rPr>
          <t xml:space="preserve">Acción: </t>
        </r>
        <r>
          <rPr>
            <sz val="9"/>
            <color indexed="81"/>
            <rFont val="Tahoma"/>
            <family val="2"/>
          </rPr>
          <t xml:space="preserve">se determina mediante verbos que indican la acción que deben realizar como parte del control.
</t>
        </r>
        <r>
          <rPr>
            <b/>
            <sz val="9"/>
            <color indexed="81"/>
            <rFont val="Tahoma"/>
            <family val="2"/>
          </rPr>
          <t xml:space="preserve">
Complemento:</t>
        </r>
        <r>
          <rPr>
            <sz val="9"/>
            <color indexed="81"/>
            <rFont val="Tahoma"/>
            <family val="2"/>
          </rPr>
          <t xml:space="preserve"> corresponde a los detalles que permiten identificar claramente el objeto del control.
EJ:
</t>
        </r>
        <r>
          <rPr>
            <b/>
            <sz val="9"/>
            <color indexed="81"/>
            <rFont val="Tahoma"/>
            <family val="2"/>
          </rPr>
          <t>(Responsable)</t>
        </r>
        <r>
          <rPr>
            <sz val="9"/>
            <color indexed="81"/>
            <rFont val="Tahoma"/>
            <family val="2"/>
          </rPr>
          <t>El profesional de Contratación +</t>
        </r>
        <r>
          <rPr>
            <b/>
            <sz val="9"/>
            <color indexed="81"/>
            <rFont val="Tahoma"/>
            <family val="2"/>
          </rPr>
          <t xml:space="preserve"> ( Acción) </t>
        </r>
        <r>
          <rPr>
            <sz val="9"/>
            <color indexed="81"/>
            <rFont val="Tahoma"/>
            <family val="2"/>
          </rPr>
          <t xml:space="preserve">verifica que la información suministrada por el proveedor corresponda con los requisitos establecidos acorde con el tipo de contratación,+ </t>
        </r>
        <r>
          <rPr>
            <b/>
            <sz val="9"/>
            <color indexed="81"/>
            <rFont val="Tahoma"/>
            <family val="2"/>
          </rPr>
          <t xml:space="preserve">(COMPLEMENTO) </t>
        </r>
        <r>
          <rPr>
            <sz val="9"/>
            <color indexed="81"/>
            <rFont val="Tahoma"/>
            <family val="2"/>
          </rPr>
          <t xml:space="preserve">a través de una lista de chequeo donde están los requisitos de información y la revisa con la información física suministrada por el proveedor, los contratos que cumplen son registrados en el sistema de información de contratación.
</t>
        </r>
      </text>
    </comment>
    <comment ref="U279" authorId="6" shapeId="0" xr:uid="{A155C44E-2F6C-4BD5-95D9-00EC9FB72488}">
      <text>
        <r>
          <rPr>
            <b/>
            <sz val="9"/>
            <color indexed="81"/>
            <rFont val="Tahoma"/>
            <family val="2"/>
          </rPr>
          <t>HACIENDA:</t>
        </r>
        <r>
          <rPr>
            <sz val="8"/>
            <color indexed="81"/>
            <rFont val="Tahoma"/>
            <family val="2"/>
          </rPr>
          <t xml:space="preserve">
ver en el proceso en donde esta el riesgo: entreda(preventivo) proceso(detectivo) o salida(correctivo)</t>
        </r>
      </text>
    </comment>
    <comment ref="H280" authorId="6" shapeId="0" xr:uid="{C447F0B4-4A88-4D39-A452-A3CB382C8127}">
      <text>
        <r>
          <rPr>
            <b/>
            <sz val="8"/>
            <color indexed="81"/>
            <rFont val="Tahoma"/>
            <family val="2"/>
          </rPr>
          <t>HACIENDA:</t>
        </r>
        <r>
          <rPr>
            <sz val="8"/>
            <color indexed="81"/>
            <rFont val="Tahoma"/>
            <family val="2"/>
          </rPr>
          <t xml:space="preserve">
GENERADORA DEL RIESGO. VER EL PROCESO Y TRAERLA. AGREGAR EL No del procedimiento.</t>
        </r>
      </text>
    </comment>
    <comment ref="J281" authorId="7" shapeId="0" xr:uid="{AB521765-CF83-4E19-B1A6-D272882484D0}">
      <text>
        <r>
          <rPr>
            <b/>
            <sz val="9"/>
            <color indexed="81"/>
            <rFont val="Tahoma"/>
            <family val="2"/>
          </rPr>
          <t>MAGALY:</t>
        </r>
        <r>
          <rPr>
            <sz val="9"/>
            <color indexed="81"/>
            <rFont val="Tahoma"/>
            <family val="2"/>
          </rPr>
          <t xml:space="preserve">
11 reportes de ejecución y 3 a la alata gerencia (trimestral)
</t>
        </r>
      </text>
    </comment>
    <comment ref="J283" authorId="7" shapeId="0" xr:uid="{52455F24-524E-49C7-B7A3-7D9DE0EC6FE9}">
      <text>
        <r>
          <rPr>
            <b/>
            <sz val="9"/>
            <color indexed="81"/>
            <rFont val="Tahoma"/>
            <family val="2"/>
          </rPr>
          <t>MAGALY:</t>
        </r>
        <r>
          <rPr>
            <sz val="9"/>
            <color indexed="81"/>
            <rFont val="Tahoma"/>
            <family val="2"/>
          </rPr>
          <t xml:space="preserve">
Revisión de documentos 1 vez al año y normograma trimestral (4 veces en el año)</t>
        </r>
      </text>
    </comment>
    <comment ref="J290" authorId="8" shapeId="0" xr:uid="{8B4ED6FE-8CA5-4E9A-BF22-476D5D4BD6E8}">
      <text>
        <r>
          <rPr>
            <b/>
            <sz val="9"/>
            <color indexed="81"/>
            <rFont val="Tahoma"/>
            <family val="2"/>
          </rPr>
          <t>DATOS DIRESSION DE RENTAS...DE LOS 258,000 PREDIOS FACTURADOS DEL IPU LA PROBABILIDAD DE EMISION DE LOS CLDO POR AÑO ES DE 5,000 SEGÚN PROYECCION DE PLAN DE ACCION DE RENTAS</t>
        </r>
        <r>
          <rPr>
            <sz val="9"/>
            <color indexed="81"/>
            <rFont val="Tahoma"/>
            <family val="2"/>
          </rPr>
          <t xml:space="preserve">
</t>
        </r>
      </text>
    </comment>
    <comment ref="J305" authorId="9" shapeId="0" xr:uid="{90BF4A76-DEE2-4977-A0DD-948B6F7B91C7}">
      <text>
        <r>
          <rPr>
            <b/>
            <sz val="10"/>
            <color rgb="FF000000"/>
            <rFont val="Tahoma"/>
            <family val="2"/>
          </rPr>
          <t>Natalia Bulla:</t>
        </r>
        <r>
          <rPr>
            <sz val="10"/>
            <color rgb="FF000000"/>
            <rFont val="Tahoma"/>
            <family val="2"/>
          </rPr>
          <t xml:space="preserve"> número de series por el numero de dias habiles por vigencia</t>
        </r>
      </text>
    </comment>
    <comment ref="C383" authorId="10" shapeId="0" xr:uid="{42C1B96F-6174-4B13-AB66-AA6DEA63E192}">
      <text>
        <r>
          <rPr>
            <sz val="9"/>
            <color indexed="81"/>
            <rFont val="Tahoma"/>
            <family val="2"/>
          </rPr>
          <t xml:space="preserve">Aunque la sanción del ente de control , el pago de la sanción no sale del presupuesto del municipio sino del  servidor público (Jefe de la oficina de Control Interno)  
</t>
        </r>
      </text>
    </comment>
    <comment ref="J383" authorId="10" shapeId="0" xr:uid="{B68C577A-E123-4BB0-BA95-2953C4923644}">
      <text>
        <r>
          <rPr>
            <sz val="9"/>
            <color indexed="81"/>
            <rFont val="Tahoma"/>
            <family val="2"/>
          </rPr>
          <t>Son 24 informes con entes de control  que se cargan  en aplicaivos 
R</t>
        </r>
        <r>
          <rPr>
            <sz val="12"/>
            <color indexed="81"/>
            <rFont val="Tahoma"/>
            <family val="2"/>
          </rPr>
          <t>endición de la cuenta a la CM.                           2. Informe derecho de autor                               3. Informe control interno contable           4. Rendición de la cuenta CGR.                        5. Seguimiento plan de mejoramiento CGR (2).                                                                      6. seguimiento a planes  de mejormaiento con CMI  (2)
7.. Obras inconclusas (12 - uno mensual)                                                                        8. delitos penales contra la admnistración pública (2).                                                            8. Reporte furag sobre evaluuación del SCI    
9. Reporte activis de información</t>
        </r>
      </text>
    </comment>
    <comment ref="S404" authorId="11" shapeId="0" xr:uid="{ECEB3812-D692-42B3-AA33-C69BAE82C59E}">
      <text>
        <r>
          <rPr>
            <b/>
            <sz val="9"/>
            <color indexed="81"/>
            <rFont val="Tahoma"/>
            <family val="2"/>
          </rPr>
          <t>ACER:</t>
        </r>
        <r>
          <rPr>
            <sz val="9"/>
            <color indexed="81"/>
            <rFont val="Tahoma"/>
            <family val="2"/>
          </rPr>
          <t xml:space="preserve">
Documentar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IRMA</author>
    <author/>
    <author>ACER</author>
    <author>ATENCION CIUDADANO</author>
    <author>HACIENDA</author>
    <author>MAGALY</author>
    <author>Alba luz</author>
    <author>HACIENDA149</author>
  </authors>
  <commentList>
    <comment ref="AK45" authorId="0" shapeId="0" xr:uid="{0D80D20B-3821-425F-AD9B-95B0B746E48E}">
      <text>
        <r>
          <rPr>
            <b/>
            <sz val="9"/>
            <color indexed="81"/>
            <rFont val="Tahoma"/>
            <family val="2"/>
          </rPr>
          <t>IRMA:</t>
        </r>
        <r>
          <rPr>
            <sz val="9"/>
            <color indexed="81"/>
            <rFont val="Tahoma"/>
            <family val="2"/>
          </rPr>
          <t xml:space="preserve">
 OJO CON EL MEMORANDO PONER EL NUMERO DE RADICADO A QUIEN Y EN QUE FECHA </t>
        </r>
      </text>
    </comment>
    <comment ref="AN45" authorId="0" shapeId="0" xr:uid="{97E14FCD-2E90-4992-A720-1F2D69F08216}">
      <text>
        <r>
          <rPr>
            <b/>
            <sz val="9"/>
            <color indexed="81"/>
            <rFont val="Tahoma"/>
            <family val="2"/>
          </rPr>
          <t>IRMA:</t>
        </r>
        <r>
          <rPr>
            <sz val="9"/>
            <color indexed="81"/>
            <rFont val="Tahoma"/>
            <family val="2"/>
          </rPr>
          <t xml:space="preserve">
 OJO CON EL MEMORANDO PONER EL NUMERO DE RADICADO A QUIEN Y EN QUE FECHA </t>
        </r>
      </text>
    </comment>
    <comment ref="AQ45" authorId="0" shapeId="0" xr:uid="{1B844E5C-239C-4F58-BA07-094A2999342E}">
      <text>
        <r>
          <rPr>
            <b/>
            <sz val="9"/>
            <color indexed="81"/>
            <rFont val="Tahoma"/>
            <family val="2"/>
          </rPr>
          <t>IRMA:</t>
        </r>
        <r>
          <rPr>
            <sz val="9"/>
            <color indexed="81"/>
            <rFont val="Tahoma"/>
            <family val="2"/>
          </rPr>
          <t xml:space="preserve">
 OJO CON EL MEMORANDO PONER EL NUMERO DE RADICADO A QUIEN Y EN QUE FECHA </t>
        </r>
      </text>
    </comment>
    <comment ref="AT45" authorId="0" shapeId="0" xr:uid="{67DDF70F-4E56-443C-ABAA-86607089B740}">
      <text>
        <r>
          <rPr>
            <b/>
            <sz val="9"/>
            <color indexed="81"/>
            <rFont val="Tahoma"/>
            <family val="2"/>
          </rPr>
          <t>IRMA:</t>
        </r>
        <r>
          <rPr>
            <sz val="9"/>
            <color indexed="81"/>
            <rFont val="Tahoma"/>
            <family val="2"/>
          </rPr>
          <t xml:space="preserve">
 OJO CON EL MEMORANDO PONER EL NUMERO DE RADICADO A QUIEN Y EN QUE FECHA </t>
        </r>
      </text>
    </comment>
    <comment ref="I68" authorId="1" shapeId="0" xr:uid="{71A8E084-3A7A-4ABE-9533-9F9B6700920F}">
      <text>
        <r>
          <rPr>
            <sz val="11"/>
            <color theme="1"/>
            <rFont val="Calibri"/>
            <family val="2"/>
            <scheme val="minor"/>
          </rPr>
          <t>======
ID#AAABMONj28s
JULIANC    (2024-05-03 13:30:13)
total de metal del plan de desarrollo por el numero de seguimientos al año</t>
        </r>
      </text>
    </comment>
    <comment ref="O68" authorId="1" shapeId="0" xr:uid="{2B48C640-33E8-4D51-BDFA-C65F6CCF14F6}">
      <text>
        <r>
          <rPr>
            <sz val="11"/>
            <color theme="1"/>
            <rFont val="Calibri"/>
            <family val="2"/>
            <scheme val="minor"/>
          </rPr>
          <t>======
ID#AAABMONj28o
JULIANC    (2024-05-03 13:30:13)
presupuesto asignado para ejecución de la vigencia dividido el el salario minimo</t>
        </r>
      </text>
    </comment>
    <comment ref="S84" authorId="2" shapeId="0" xr:uid="{D85F368D-A69F-45C7-A57F-67F9F87E6486}">
      <text>
        <r>
          <rPr>
            <b/>
            <sz val="9"/>
            <color indexed="81"/>
            <rFont val="Tahoma"/>
            <family val="2"/>
          </rPr>
          <t>ACER:</t>
        </r>
        <r>
          <rPr>
            <sz val="9"/>
            <color indexed="81"/>
            <rFont val="Tahoma"/>
            <family val="2"/>
          </rPr>
          <t xml:space="preserve">
Documentar</t>
        </r>
      </text>
    </comment>
    <comment ref="J232" authorId="3" shapeId="0" xr:uid="{9557FA18-8A17-4E8B-A896-DBEAB0E8C257}">
      <text>
        <r>
          <rPr>
            <b/>
            <sz val="9"/>
            <color indexed="81"/>
            <rFont val="Tahoma"/>
            <family val="2"/>
          </rPr>
          <t>ATENCION CIUDADANO:</t>
        </r>
        <r>
          <rPr>
            <sz val="9"/>
            <color indexed="81"/>
            <rFont val="Tahoma"/>
            <family val="2"/>
          </rPr>
          <t xml:space="preserve">
Número de PQRSD respondidos por fuera del termino y sin respuesta vencidos (enero - agosto). </t>
        </r>
      </text>
    </comment>
    <comment ref="AH294" authorId="4" shapeId="0" xr:uid="{EEA0D509-15FF-475F-BF3B-04FD9EF13A36}">
      <text>
        <r>
          <rPr>
            <b/>
            <sz val="8"/>
            <color indexed="81"/>
            <rFont val="Tahoma"/>
            <family val="2"/>
          </rPr>
          <t xml:space="preserve">HACIENDA:
</t>
        </r>
        <r>
          <rPr>
            <sz val="8"/>
            <color indexed="81"/>
            <rFont val="Tahoma"/>
            <family val="2"/>
          </rPr>
          <t xml:space="preserve">
</t>
        </r>
        <r>
          <rPr>
            <sz val="9"/>
            <color indexed="81"/>
            <rFont val="Tahoma"/>
            <family val="2"/>
          </rPr>
          <t>Responsable, fecha implementación, fecha seguimiento, seguimiento.
 No es necesario controles complementarios
El plan de acción complementa el control que colocamos, 
No es otro control, 
NO es un plan de contingencia</t>
        </r>
      </text>
    </comment>
    <comment ref="B295" authorId="4" shapeId="0" xr:uid="{08DD54FD-F8D2-458D-B3C2-D5016CA2B245}">
      <text>
        <r>
          <rPr>
            <b/>
            <sz val="8"/>
            <color indexed="81"/>
            <rFont val="Tahoma"/>
            <family val="2"/>
          </rPr>
          <t>HACIENDA:</t>
        </r>
        <r>
          <rPr>
            <sz val="8"/>
            <color indexed="81"/>
            <rFont val="Tahoma"/>
            <family val="2"/>
          </rPr>
          <t xml:space="preserve">
V5:las consecuencias que puede ocasionar a la organización la materialización del riesgo</t>
        </r>
      </text>
    </comment>
    <comment ref="C295" authorId="4" shapeId="0" xr:uid="{A48DDA8F-655B-4FAD-BD29-4B669CC0685F}">
      <text>
        <r>
          <rPr>
            <b/>
            <sz val="9"/>
            <color indexed="81"/>
            <rFont val="Tahoma"/>
            <family val="2"/>
          </rPr>
          <t xml:space="preserve">HACIENDA:
</t>
        </r>
        <r>
          <rPr>
            <sz val="9"/>
            <color indexed="81"/>
            <rFont val="Tahoma"/>
            <family val="2"/>
          </rPr>
          <t xml:space="preserve">
justificacion del por que, complemento del impacto
</t>
        </r>
        <r>
          <rPr>
            <b/>
            <sz val="9"/>
            <color indexed="81"/>
            <rFont val="Tahoma"/>
            <family val="2"/>
          </rPr>
          <t xml:space="preserve">
V5:</t>
        </r>
        <r>
          <rPr>
            <sz val="9"/>
            <color indexed="81"/>
            <rFont val="Tahoma"/>
            <family val="2"/>
          </rPr>
          <t xml:space="preserve"> circunstancias o situaciones más evidentes sobre las cuales se presenta el riesgo, las mismas no constituyen la causa principal o base para que se presente el riesgo</t>
        </r>
      </text>
    </comment>
    <comment ref="D295" authorId="4" shapeId="0" xr:uid="{21294329-0027-4708-9ABC-B029C1AFEEBC}">
      <text>
        <r>
          <rPr>
            <b/>
            <sz val="9"/>
            <color indexed="81"/>
            <rFont val="Tahoma"/>
            <family val="2"/>
          </rPr>
          <t xml:space="preserve">HACIENDA:
</t>
        </r>
        <r>
          <rPr>
            <sz val="10"/>
            <color indexed="81"/>
            <rFont val="Tahoma"/>
            <family val="2"/>
          </rPr>
          <t xml:space="preserve">
Riesgo q detectamos del objetivo
</t>
        </r>
        <r>
          <rPr>
            <b/>
            <sz val="10"/>
            <color indexed="81"/>
            <rFont val="Tahoma"/>
            <family val="2"/>
          </rPr>
          <t>V5:</t>
        </r>
        <r>
          <rPr>
            <sz val="10"/>
            <color indexed="81"/>
            <rFont val="Tahoma"/>
            <family val="2"/>
          </rPr>
          <t>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295" authorId="4" shapeId="0" xr:uid="{7F4A1793-FC8E-4D71-821D-76D60294F4E8}">
      <text>
        <r>
          <rPr>
            <b/>
            <sz val="9"/>
            <color indexed="81"/>
            <rFont val="Tahoma"/>
            <family val="2"/>
          </rPr>
          <t>HACIENDA:</t>
        </r>
        <r>
          <rPr>
            <sz val="9"/>
            <color indexed="81"/>
            <rFont val="Tahoma"/>
            <family val="2"/>
          </rPr>
          <t xml:space="preserve">
</t>
        </r>
        <r>
          <rPr>
            <sz val="8"/>
            <color indexed="81"/>
            <rFont val="Tahoma"/>
            <family val="2"/>
          </rPr>
          <t>causa base para el control….VER CONTEXTO  DELA OTRA VERSION. Es el ultimo por q de los 5 por que.</t>
        </r>
      </text>
    </comment>
    <comment ref="F295" authorId="4" shapeId="0" xr:uid="{A267A543-BC59-4BC0-B0C2-9AD1904AC761}">
      <text>
        <r>
          <rPr>
            <b/>
            <sz val="9"/>
            <color indexed="81"/>
            <rFont val="Tahoma"/>
            <family val="2"/>
          </rPr>
          <t>HACIENDA:</t>
        </r>
        <r>
          <rPr>
            <sz val="9"/>
            <color indexed="81"/>
            <rFont val="Tahoma"/>
            <family val="2"/>
          </rPr>
          <t xml:space="preserve">
este mapa es solo de gestión. 
POSIBILIDAD DE </t>
        </r>
        <r>
          <rPr>
            <b/>
            <sz val="9"/>
            <color indexed="81"/>
            <rFont val="Tahoma"/>
            <family val="2"/>
          </rPr>
          <t>(QUE:IMPACTO)+(COMO:CAUSA INMEDIATA)+(PORQUE:CAUSA RAIZ)
QUE</t>
        </r>
        <r>
          <rPr>
            <b/>
            <sz val="11"/>
            <color indexed="81"/>
            <rFont val="Tahoma"/>
            <family val="2"/>
          </rPr>
          <t xml:space="preserve"> +</t>
        </r>
        <r>
          <rPr>
            <b/>
            <sz val="9"/>
            <color indexed="81"/>
            <rFont val="Tahoma"/>
            <family val="2"/>
          </rPr>
          <t xml:space="preserve"> COMO= LO Q PUEDE OCURRIR</t>
        </r>
        <r>
          <rPr>
            <sz val="9"/>
            <color indexed="81"/>
            <rFont val="Tahoma"/>
            <family val="2"/>
          </rPr>
          <t xml:space="preserve">
</t>
        </r>
        <r>
          <rPr>
            <b/>
            <sz val="9"/>
            <color indexed="81"/>
            <rFont val="Tahoma"/>
            <family val="2"/>
          </rPr>
          <t xml:space="preserve">
EJ V5</t>
        </r>
        <r>
          <rPr>
            <sz val="9"/>
            <color indexed="81"/>
            <rFont val="Tahoma"/>
            <family val="2"/>
          </rPr>
          <t xml:space="preserve">
Posibilidad de</t>
        </r>
        <r>
          <rPr>
            <b/>
            <sz val="9"/>
            <color indexed="81"/>
            <rFont val="Tahoma"/>
            <family val="2"/>
          </rPr>
          <t xml:space="preserve"> (¿Qué? :Impacto )</t>
        </r>
        <r>
          <rPr>
            <sz val="9"/>
            <color indexed="81"/>
            <rFont val="Tahoma"/>
            <family val="2"/>
          </rPr>
          <t>afectación económica-</t>
        </r>
        <r>
          <rPr>
            <b/>
            <sz val="9"/>
            <color indexed="81"/>
            <rFont val="Tahoma"/>
            <family val="2"/>
          </rPr>
          <t xml:space="preserve">(¿Cómo?Causa Inmediata) </t>
        </r>
        <r>
          <rPr>
            <sz val="9"/>
            <color indexed="81"/>
            <rFont val="Tahoma"/>
            <family val="2"/>
          </rPr>
          <t>por multa y sanción del ente regulador-</t>
        </r>
        <r>
          <rPr>
            <b/>
            <sz val="9"/>
            <color indexed="81"/>
            <rFont val="Tahoma"/>
            <family val="2"/>
          </rPr>
          <t>(¿Por qué? Causa Raíz)</t>
        </r>
        <r>
          <rPr>
            <sz val="9"/>
            <color indexed="81"/>
            <rFont val="Tahoma"/>
            <family val="2"/>
          </rPr>
          <t>debido a adquisición de bienes y servicios fuera de los requerimientos normativos
OJO  ....</t>
        </r>
        <r>
          <rPr>
            <b/>
            <sz val="9"/>
            <color indexed="81"/>
            <rFont val="Tahoma"/>
            <family val="2"/>
          </rPr>
          <t>NOOOOO:</t>
        </r>
        <r>
          <rPr>
            <sz val="9"/>
            <color indexed="81"/>
            <rFont val="Tahoma"/>
            <family val="2"/>
          </rPr>
          <t xml:space="preserve"> 
No describir como riesgos omisiones ni desviaciones del control.
No describir causas como riesgos
No describir riesgos como la negación de un control
No existen riesgos transversales, lo que pueden existir son causas transversales.
 </t>
        </r>
      </text>
    </comment>
    <comment ref="I295" authorId="4" shapeId="0" xr:uid="{6D05BBD6-70E5-44D6-AC43-FD35A6B88A56}">
      <text>
        <r>
          <rPr>
            <b/>
            <sz val="9"/>
            <color indexed="81"/>
            <rFont val="Tahoma"/>
            <family val="2"/>
          </rPr>
          <t>HACIENDA:</t>
        </r>
        <r>
          <rPr>
            <sz val="9"/>
            <color indexed="81"/>
            <rFont val="Tahoma"/>
            <family val="2"/>
          </rPr>
          <t xml:space="preserve">
aplico el tipo de riesgo ver pag 38
</t>
        </r>
      </text>
    </comment>
    <comment ref="S295" authorId="4" shapeId="0" xr:uid="{DD44C836-8293-4612-83C2-93FB0938C2C6}">
      <text>
        <r>
          <rPr>
            <b/>
            <sz val="9"/>
            <color indexed="81"/>
            <rFont val="Tahoma"/>
            <family val="2"/>
          </rPr>
          <t xml:space="preserve">HACIENDA:
</t>
        </r>
        <r>
          <rPr>
            <sz val="9"/>
            <color indexed="81"/>
            <rFont val="Tahoma"/>
            <family val="2"/>
          </rPr>
          <t xml:space="preserve">
subcausa(sacada de la act del proceso-ojo revisar proceso), con los 6pasos para el control
</t>
        </r>
        <r>
          <rPr>
            <b/>
            <sz val="9"/>
            <color indexed="81"/>
            <rFont val="Tahoma"/>
            <family val="2"/>
          </rPr>
          <t>V5</t>
        </r>
        <r>
          <rPr>
            <sz val="9"/>
            <color indexed="81"/>
            <rFont val="Tahoma"/>
            <family val="2"/>
          </rPr>
          <t xml:space="preserve">:  Estructura para la descripción del control: 
para una adecuada redacción del control se propone una estructura que facilitará más adelante entender su tipología y otros atributos para su valoración. La estructura es la siguiente:
</t>
        </r>
        <r>
          <rPr>
            <b/>
            <sz val="9"/>
            <color indexed="81"/>
            <rFont val="Tahoma"/>
            <family val="2"/>
          </rPr>
          <t>Responsable</t>
        </r>
        <r>
          <rPr>
            <sz val="9"/>
            <color indexed="81"/>
            <rFont val="Tahoma"/>
            <family val="2"/>
          </rPr>
          <t xml:space="preserve"> de ejecutar el control: identifica el cargo del servidor que ejecuta el control, en caso de que sean controles automáticos se identificará el sistema que realiza la activ idad.
</t>
        </r>
        <r>
          <rPr>
            <b/>
            <sz val="9"/>
            <color indexed="81"/>
            <rFont val="Tahoma"/>
            <family val="2"/>
          </rPr>
          <t xml:space="preserve">Acción: </t>
        </r>
        <r>
          <rPr>
            <sz val="9"/>
            <color indexed="81"/>
            <rFont val="Tahoma"/>
            <family val="2"/>
          </rPr>
          <t xml:space="preserve">se determina mediante verbos que indican la acción que deben realizar como parte del control.
</t>
        </r>
        <r>
          <rPr>
            <b/>
            <sz val="9"/>
            <color indexed="81"/>
            <rFont val="Tahoma"/>
            <family val="2"/>
          </rPr>
          <t xml:space="preserve">
Complemento:</t>
        </r>
        <r>
          <rPr>
            <sz val="9"/>
            <color indexed="81"/>
            <rFont val="Tahoma"/>
            <family val="2"/>
          </rPr>
          <t xml:space="preserve"> corresponde a los detalles que permiten identificar claramente el objeto del control.
EJ:
</t>
        </r>
        <r>
          <rPr>
            <b/>
            <sz val="9"/>
            <color indexed="81"/>
            <rFont val="Tahoma"/>
            <family val="2"/>
          </rPr>
          <t>(Responsable)</t>
        </r>
        <r>
          <rPr>
            <sz val="9"/>
            <color indexed="81"/>
            <rFont val="Tahoma"/>
            <family val="2"/>
          </rPr>
          <t>El profesional de Contratación +</t>
        </r>
        <r>
          <rPr>
            <b/>
            <sz val="9"/>
            <color indexed="81"/>
            <rFont val="Tahoma"/>
            <family val="2"/>
          </rPr>
          <t xml:space="preserve"> ( Acción) </t>
        </r>
        <r>
          <rPr>
            <sz val="9"/>
            <color indexed="81"/>
            <rFont val="Tahoma"/>
            <family val="2"/>
          </rPr>
          <t xml:space="preserve">verifica que la información suministrada por el proveedor corresponda con los requisitos establecidos acorde con el tipo de contratación,+ </t>
        </r>
        <r>
          <rPr>
            <b/>
            <sz val="9"/>
            <color indexed="81"/>
            <rFont val="Tahoma"/>
            <family val="2"/>
          </rPr>
          <t xml:space="preserve">(COMPLEMENTO) </t>
        </r>
        <r>
          <rPr>
            <sz val="9"/>
            <color indexed="81"/>
            <rFont val="Tahoma"/>
            <family val="2"/>
          </rPr>
          <t xml:space="preserve">a través de una lista de chequeo donde están los requisitos de información y la revisa con la información física suministrada por el proveedor, los contratos que cumplen son registrados en el sistema de información de contratación.
</t>
        </r>
      </text>
    </comment>
    <comment ref="U295" authorId="4" shapeId="0" xr:uid="{F3CD8355-CD2B-4E06-A23E-D3F3841A75ED}">
      <text>
        <r>
          <rPr>
            <b/>
            <sz val="9"/>
            <color indexed="81"/>
            <rFont val="Tahoma"/>
            <family val="2"/>
          </rPr>
          <t>HACIENDA:</t>
        </r>
        <r>
          <rPr>
            <sz val="8"/>
            <color indexed="81"/>
            <rFont val="Tahoma"/>
            <family val="2"/>
          </rPr>
          <t xml:space="preserve">
ver en el proceso en donde esta el riesgo: entreda(preventivo) proceso(detectivo) o salida(correctivo)</t>
        </r>
      </text>
    </comment>
    <comment ref="H296" authorId="4" shapeId="0" xr:uid="{938307EF-53D3-4D11-AE66-604D0FBA776B}">
      <text>
        <r>
          <rPr>
            <b/>
            <sz val="8"/>
            <color indexed="81"/>
            <rFont val="Tahoma"/>
            <family val="2"/>
          </rPr>
          <t>HACIENDA:</t>
        </r>
        <r>
          <rPr>
            <sz val="8"/>
            <color indexed="81"/>
            <rFont val="Tahoma"/>
            <family val="2"/>
          </rPr>
          <t xml:space="preserve">
GENERADORA DEL RIESGO. VER EL PROCESO Y TRAERLA. AGREGAR EL No del procedimiento.</t>
        </r>
      </text>
    </comment>
    <comment ref="J297" authorId="5" shapeId="0" xr:uid="{1054641E-354C-4B5B-A656-8F0F7D182CF0}">
      <text>
        <r>
          <rPr>
            <b/>
            <sz val="9"/>
            <color indexed="81"/>
            <rFont val="Tahoma"/>
            <family val="2"/>
          </rPr>
          <t>MAGALY:</t>
        </r>
        <r>
          <rPr>
            <sz val="9"/>
            <color indexed="81"/>
            <rFont val="Tahoma"/>
            <family val="2"/>
          </rPr>
          <t xml:space="preserve">
11 reportes de ejecución y 3 a la alata gerencia (trimestral)
</t>
        </r>
      </text>
    </comment>
    <comment ref="J299" authorId="5" shapeId="0" xr:uid="{B9254A9E-14CE-4794-B45A-5810C9EC4EF9}">
      <text>
        <r>
          <rPr>
            <b/>
            <sz val="9"/>
            <color indexed="81"/>
            <rFont val="Tahoma"/>
            <family val="2"/>
          </rPr>
          <t>MAGALY:</t>
        </r>
        <r>
          <rPr>
            <sz val="9"/>
            <color indexed="81"/>
            <rFont val="Tahoma"/>
            <family val="2"/>
          </rPr>
          <t xml:space="preserve">
Revisión de documentos 1 vez al año y normograma trimestral (4 veces en el año)</t>
        </r>
      </text>
    </comment>
    <comment ref="J306" authorId="6" shapeId="0" xr:uid="{14BF9D0B-90E8-4D76-9D62-8E256FE9AB0D}">
      <text>
        <r>
          <rPr>
            <b/>
            <sz val="9"/>
            <color indexed="81"/>
            <rFont val="Tahoma"/>
            <family val="2"/>
          </rPr>
          <t>DATOS DIRESSION DE RENTAS...DE LOS 258,000 PREDIOS FACTURADOS DEL IPU LA PROBABILIDAD DE EMISION DE LOS CLDO POR AÑO ES DE 5,000 SEGÚN PROYECCION DE PLAN DE ACCION DE RENTAS</t>
        </r>
        <r>
          <rPr>
            <sz val="9"/>
            <color indexed="81"/>
            <rFont val="Tahoma"/>
            <family val="2"/>
          </rPr>
          <t xml:space="preserve">
</t>
        </r>
      </text>
    </comment>
    <comment ref="J322" authorId="1" shapeId="0" xr:uid="{8E0242ED-A8CE-4020-9142-3558F18D0B80}">
      <text>
        <r>
          <rPr>
            <sz val="11"/>
            <color theme="1"/>
            <rFont val="Calibri"/>
            <family val="2"/>
            <scheme val="minor"/>
          </rPr>
          <t>======
ID#AAABOWPvWhE
Natalia Bulla    (2024-07-09 16:09:32)
Natalia Bulla: número de series por el numero de dias habiles por vigencia</t>
        </r>
      </text>
    </comment>
    <comment ref="C426" authorId="7" shapeId="0" xr:uid="{A8249394-3B15-455B-8AD9-947965ECCB94}">
      <text>
        <r>
          <rPr>
            <sz val="9"/>
            <color indexed="81"/>
            <rFont val="Tahoma"/>
            <family val="2"/>
          </rPr>
          <t xml:space="preserve">Aunque la sanción del ente de control , el pago de la sanción no sale del presupuesto del municipio sino del  servidor público (Jefe de la oficina de Control Interno)  
</t>
        </r>
      </text>
    </comment>
    <comment ref="J426" authorId="7" shapeId="0" xr:uid="{50304A4A-45A4-4818-85DF-C481C8807851}">
      <text>
        <r>
          <rPr>
            <sz val="9"/>
            <color indexed="81"/>
            <rFont val="Tahoma"/>
            <family val="2"/>
          </rPr>
          <t>Son 24 informes con entes de control  que se cargan  en aplicaivos 
R</t>
        </r>
        <r>
          <rPr>
            <sz val="12"/>
            <color indexed="81"/>
            <rFont val="Tahoma"/>
            <family val="2"/>
          </rPr>
          <t>endición de la cuenta a la CM.                           2. Informe derecho de autor                               3. Informe control interno contable           4. Rendición de la cuenta CGR.                        5. Seguimiento plan de mejoramiento CGR (2).                                                                      6. seguimiento a planes  de mejormaiento con CMI  (2)
7.. Obras inconclusas (12 - uno mensual)                                                                        8. delitos penales contra la admnistración pública (2).                                                            8. Reporte furag sobre evaluuación del SCI    
9. Reporte activis de información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IRMA</author>
    <author>ATENCION CIUDADANO</author>
    <author>HACIENDA</author>
    <author/>
    <author>HACIENDA149</author>
  </authors>
  <commentList>
    <comment ref="AL36" authorId="0" shapeId="0" xr:uid="{3CA5E3BE-FFB3-4789-B444-C9B34AD73FA2}">
      <text>
        <r>
          <rPr>
            <b/>
            <sz val="9"/>
            <color indexed="81"/>
            <rFont val="Tahoma"/>
            <family val="2"/>
          </rPr>
          <t>IRMA:</t>
        </r>
        <r>
          <rPr>
            <sz val="9"/>
            <color indexed="81"/>
            <rFont val="Tahoma"/>
            <family val="2"/>
          </rPr>
          <t xml:space="preserve">
 OJO CON EL MEMORANDO PONER EL NUMERO DE RADICADO A QUIEN Y EN QUE FECHA </t>
        </r>
      </text>
    </comment>
    <comment ref="AO36" authorId="0" shapeId="0" xr:uid="{D1CF0BD8-0CE8-487A-825F-AE34EF05883A}">
      <text>
        <r>
          <rPr>
            <b/>
            <sz val="9"/>
            <color indexed="81"/>
            <rFont val="Tahoma"/>
            <family val="2"/>
          </rPr>
          <t>IRMA:</t>
        </r>
        <r>
          <rPr>
            <sz val="9"/>
            <color indexed="81"/>
            <rFont val="Tahoma"/>
            <family val="2"/>
          </rPr>
          <t xml:space="preserve">
 OJO CON EL MEMORANDO PONER EL NUMERO DE RADICADO A QUIEN Y EN QUE FECHA </t>
        </r>
      </text>
    </comment>
    <comment ref="AR36" authorId="0" shapeId="0" xr:uid="{9A619B9A-249C-43ED-9819-BDDC3E6389DD}">
      <text>
        <r>
          <rPr>
            <b/>
            <sz val="9"/>
            <color indexed="81"/>
            <rFont val="Tahoma"/>
            <family val="2"/>
          </rPr>
          <t>IRMA:</t>
        </r>
        <r>
          <rPr>
            <sz val="9"/>
            <color indexed="81"/>
            <rFont val="Tahoma"/>
            <family val="2"/>
          </rPr>
          <t xml:space="preserve">
 OJO CON EL MEMORANDO PONER EL NUMERO DE RADICADO A QUIEN Y EN QUE FECHA </t>
        </r>
      </text>
    </comment>
    <comment ref="AU36" authorId="0" shapeId="0" xr:uid="{1B030CE0-A903-40D3-8709-23BCD10A0110}">
      <text>
        <r>
          <rPr>
            <b/>
            <sz val="9"/>
            <color indexed="81"/>
            <rFont val="Tahoma"/>
            <family val="2"/>
          </rPr>
          <t>IRMA:</t>
        </r>
        <r>
          <rPr>
            <sz val="9"/>
            <color indexed="81"/>
            <rFont val="Tahoma"/>
            <family val="2"/>
          </rPr>
          <t xml:space="preserve">
 OJO CON EL MEMORANDO PONER EL NUMERO DE RADICADO A QUIEN Y EN QUE FECHA </t>
        </r>
      </text>
    </comment>
    <comment ref="AX36" authorId="0" shapeId="0" xr:uid="{BE1A8882-CE95-4035-91B2-2C2182B7C410}">
      <text>
        <r>
          <rPr>
            <b/>
            <sz val="9"/>
            <color indexed="81"/>
            <rFont val="Tahoma"/>
            <family val="2"/>
          </rPr>
          <t>IRMA:</t>
        </r>
        <r>
          <rPr>
            <sz val="9"/>
            <color indexed="81"/>
            <rFont val="Tahoma"/>
            <family val="2"/>
          </rPr>
          <t xml:space="preserve">
 OJO CON EL MEMORANDO PONER EL NUMERO DE RADICADO A QUIEN Y EN QUE FECHA </t>
        </r>
      </text>
    </comment>
    <comment ref="K107" authorId="1" shapeId="0" xr:uid="{BB9E573F-579D-48AD-B3B9-119AAA7BEE86}">
      <text>
        <r>
          <rPr>
            <b/>
            <sz val="9"/>
            <color indexed="81"/>
            <rFont val="Tahoma"/>
            <family val="2"/>
          </rPr>
          <t>ATENCION CIUDADANO:</t>
        </r>
        <r>
          <rPr>
            <sz val="9"/>
            <color indexed="81"/>
            <rFont val="Tahoma"/>
            <family val="2"/>
          </rPr>
          <t xml:space="preserve">
Número de PQRSD respondidos por fuera del termino y sin respuesta vencidos (enero - agosto). </t>
        </r>
      </text>
    </comment>
    <comment ref="C148" authorId="2" shapeId="0" xr:uid="{690AD3B7-0735-4EF8-B69E-695FACD99576}">
      <text>
        <r>
          <rPr>
            <b/>
            <sz val="9"/>
            <color indexed="81"/>
            <rFont val="Tahoma"/>
            <family val="2"/>
          </rPr>
          <t>HACIENDA:</t>
        </r>
        <r>
          <rPr>
            <sz val="9"/>
            <color indexed="81"/>
            <rFont val="Tahoma"/>
            <family val="2"/>
          </rPr>
          <t xml:space="preserve">
V5:las consecuencias que puede ocasionar a la organización la materialización del riesgo
</t>
        </r>
      </text>
    </comment>
    <comment ref="D148" authorId="2" shapeId="0" xr:uid="{9A819275-CCD7-4870-BFE6-0892F31C6F13}">
      <text>
        <r>
          <rPr>
            <b/>
            <sz val="9"/>
            <color indexed="81"/>
            <rFont val="Tahoma"/>
            <family val="2"/>
          </rPr>
          <t>HACIENDA:</t>
        </r>
        <r>
          <rPr>
            <sz val="9"/>
            <color indexed="81"/>
            <rFont val="Tahoma"/>
            <family val="2"/>
          </rPr>
          <t xml:space="preserve">
justificacion del por que, complemento del impacto
V5: circunstancias o situaciones más evidentes sobre las cuales se presenta el riesgo, las mismas no constituyen la causa principal o base para que se presente el riesgo
/////////****////////***
PARA RIESGO FISCAL
</t>
        </r>
        <r>
          <rPr>
            <b/>
            <sz val="9"/>
            <color indexed="81"/>
            <rFont val="Tahoma"/>
            <family val="2"/>
          </rPr>
          <t>Puntos de Riesgo Fiscal</t>
        </r>
        <r>
          <rPr>
            <sz val="9"/>
            <color indexed="81"/>
            <rFont val="Tahoma"/>
            <family val="2"/>
          </rPr>
          <t xml:space="preserve">
Actividad en la que potencialmente se origina el riesgo fiscal
</t>
        </r>
      </text>
    </comment>
    <comment ref="E148" authorId="2" shapeId="0" xr:uid="{CA030F22-EA93-416B-9B54-677AE9A12977}">
      <text>
        <r>
          <rPr>
            <b/>
            <sz val="9"/>
            <color indexed="81"/>
            <rFont val="Tahoma"/>
            <family val="2"/>
          </rPr>
          <t>HACIENDA:</t>
        </r>
        <r>
          <rPr>
            <sz val="9"/>
            <color indexed="81"/>
            <rFont val="Tahoma"/>
            <family val="2"/>
          </rPr>
          <t xml:space="preserve">
Riesgo q detectamos del objetivo
V5:es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
RIESGO FISCAL
Circunstancia Inmediata
Situación por la que se presenta el riesgo
</t>
        </r>
      </text>
    </comment>
    <comment ref="F148" authorId="2" shapeId="0" xr:uid="{94506D8E-EAE3-457A-9CE5-15C08E94B55C}">
      <text>
        <r>
          <rPr>
            <b/>
            <sz val="9"/>
            <color indexed="81"/>
            <rFont val="Tahoma"/>
            <family val="2"/>
          </rPr>
          <t>HACIENDA:</t>
        </r>
        <r>
          <rPr>
            <sz val="9"/>
            <color indexed="81"/>
            <rFont val="Tahoma"/>
            <family val="2"/>
          </rPr>
          <t xml:space="preserve">
causa base para el control….VER CONTEXTO  DELA OTRA VERSION. Es el ultimo por q de los 5 por que.</t>
        </r>
      </text>
    </comment>
    <comment ref="G148" authorId="2" shapeId="0" xr:uid="{80C0C9D1-8526-4B5C-9D00-09B3F2497FDC}">
      <text>
        <r>
          <rPr>
            <b/>
            <sz val="9"/>
            <color indexed="81"/>
            <rFont val="Tahoma"/>
            <family val="2"/>
          </rPr>
          <t>HACIENDA:</t>
        </r>
        <r>
          <rPr>
            <sz val="9"/>
            <color indexed="81"/>
            <rFont val="Tahoma"/>
            <family val="2"/>
          </rPr>
          <t xml:space="preserve">
este mapa es solo de gestión. 
POSIBILIDAD DE </t>
        </r>
        <r>
          <rPr>
            <b/>
            <sz val="9"/>
            <color indexed="81"/>
            <rFont val="Tahoma"/>
            <family val="2"/>
          </rPr>
          <t>(QUE:IMPACTO)+(COMO:CAUSA INMEDIATA)+(PORQUE:CAUSA RAIZ)</t>
        </r>
        <r>
          <rPr>
            <sz val="9"/>
            <color indexed="81"/>
            <rFont val="Tahoma"/>
            <family val="2"/>
          </rPr>
          <t xml:space="preserve">
</t>
        </r>
        <r>
          <rPr>
            <b/>
            <sz val="9"/>
            <color indexed="81"/>
            <rFont val="Tahoma"/>
            <family val="2"/>
          </rPr>
          <t xml:space="preserve">QUE + COMO= LO Q PUEDE OCURRIR
 </t>
        </r>
        <r>
          <rPr>
            <sz val="9"/>
            <color indexed="81"/>
            <rFont val="Tahoma"/>
            <family val="2"/>
          </rPr>
          <t xml:space="preserve">
</t>
        </r>
        <r>
          <rPr>
            <b/>
            <sz val="9"/>
            <color indexed="81"/>
            <rFont val="Tahoma"/>
            <family val="2"/>
          </rPr>
          <t>EJ V5</t>
        </r>
        <r>
          <rPr>
            <sz val="9"/>
            <color indexed="81"/>
            <rFont val="Tahoma"/>
            <family val="2"/>
          </rPr>
          <t xml:space="preserve">
Posibilidad de</t>
        </r>
        <r>
          <rPr>
            <b/>
            <sz val="9"/>
            <color indexed="81"/>
            <rFont val="Tahoma"/>
            <family val="2"/>
          </rPr>
          <t xml:space="preserve"> (¿Qué? :Impacto )</t>
        </r>
        <r>
          <rPr>
            <sz val="9"/>
            <color indexed="81"/>
            <rFont val="Tahoma"/>
            <family val="2"/>
          </rPr>
          <t>afectación económica-(</t>
        </r>
        <r>
          <rPr>
            <b/>
            <sz val="9"/>
            <color indexed="81"/>
            <rFont val="Tahoma"/>
            <family val="2"/>
          </rPr>
          <t xml:space="preserve">¿Cómo?Causa Inmediata) </t>
        </r>
        <r>
          <rPr>
            <sz val="9"/>
            <color indexed="81"/>
            <rFont val="Tahoma"/>
            <family val="2"/>
          </rPr>
          <t>por multa y sanción del ente regulador-</t>
        </r>
        <r>
          <rPr>
            <b/>
            <sz val="9"/>
            <color indexed="81"/>
            <rFont val="Tahoma"/>
            <family val="2"/>
          </rPr>
          <t>(¿Por qué? Causa Raíz)</t>
        </r>
        <r>
          <rPr>
            <sz val="9"/>
            <color indexed="81"/>
            <rFont val="Tahoma"/>
            <family val="2"/>
          </rPr>
          <t>debido a adquisición de bienes y servicios fuera de los requerimientos normativos
OJO  ...</t>
        </r>
        <r>
          <rPr>
            <b/>
            <sz val="9"/>
            <color indexed="81"/>
            <rFont val="Tahoma"/>
            <family val="2"/>
          </rPr>
          <t xml:space="preserve">.NOOOOO: </t>
        </r>
        <r>
          <rPr>
            <sz val="9"/>
            <color indexed="81"/>
            <rFont val="Tahoma"/>
            <family val="2"/>
          </rPr>
          <t xml:space="preserve">
No describir como riesgos omisiones ni desviaciones del control.
No describir causas como riesgos
No describir riesgos como la negación de un control
No existen riesgos transversales, lo que pueden existir son causas transversales.
 </t>
        </r>
      </text>
    </comment>
    <comment ref="J148" authorId="2" shapeId="0" xr:uid="{8EFCDCE7-507D-420B-9290-95E727D3B9DE}">
      <text>
        <r>
          <rPr>
            <b/>
            <sz val="9"/>
            <color indexed="81"/>
            <rFont val="Tahoma"/>
            <family val="2"/>
          </rPr>
          <t>HACIENDA:</t>
        </r>
        <r>
          <rPr>
            <sz val="9"/>
            <color indexed="81"/>
            <rFont val="Tahoma"/>
            <family val="2"/>
          </rPr>
          <t xml:space="preserve">
aplico el tipo de riesgo ver pag 38
</t>
        </r>
      </text>
    </comment>
    <comment ref="T148" authorId="2" shapeId="0" xr:uid="{37E12990-F0CC-413D-BF5C-FF15F1EB1DF3}">
      <text>
        <r>
          <rPr>
            <b/>
            <sz val="9"/>
            <color indexed="81"/>
            <rFont val="Tahoma"/>
            <family val="2"/>
          </rPr>
          <t>HACIENDA:</t>
        </r>
        <r>
          <rPr>
            <sz val="9"/>
            <color indexed="81"/>
            <rFont val="Tahoma"/>
            <family val="2"/>
          </rPr>
          <t xml:space="preserve">
</t>
        </r>
        <r>
          <rPr>
            <b/>
            <sz val="9"/>
            <color indexed="81"/>
            <rFont val="Tahoma"/>
            <family val="2"/>
          </rPr>
          <t>subcausa(sacada de la act del proceso-ojo revisar proceso), con los 6pasos para el control</t>
        </r>
        <r>
          <rPr>
            <sz val="9"/>
            <color indexed="81"/>
            <rFont val="Tahoma"/>
            <family val="2"/>
          </rPr>
          <t xml:space="preserve">
</t>
        </r>
        <r>
          <rPr>
            <b/>
            <sz val="9"/>
            <color indexed="81"/>
            <rFont val="Tahoma"/>
            <family val="2"/>
          </rPr>
          <t>V5:</t>
        </r>
        <r>
          <rPr>
            <sz val="9"/>
            <color indexed="81"/>
            <rFont val="Tahoma"/>
            <family val="2"/>
          </rPr>
          <t xml:space="preserve">  Estructura para la descripción del control: 
para una adecuada redacción del control se propone una estructura que facilitará más adelante entender su tipología y otros atributos para su valoración. La estructura es la siguiente:
</t>
        </r>
        <r>
          <rPr>
            <b/>
            <sz val="9"/>
            <color indexed="81"/>
            <rFont val="Tahoma"/>
            <family val="2"/>
          </rPr>
          <t xml:space="preserve">Responsable </t>
        </r>
        <r>
          <rPr>
            <sz val="9"/>
            <color indexed="81"/>
            <rFont val="Tahoma"/>
            <family val="2"/>
          </rPr>
          <t xml:space="preserve">de ejecutar el control: identifica el cargo del servidor que ejecuta el control, en caso de que sean controles automáticos se identificará el sistema que realiza la activ idad.
Acción: se determina mediante verbos que indican la acción que deben realizar como parte del control.
</t>
        </r>
        <r>
          <rPr>
            <b/>
            <sz val="9"/>
            <color indexed="81"/>
            <rFont val="Tahoma"/>
            <family val="2"/>
          </rPr>
          <t>Complemento: c</t>
        </r>
        <r>
          <rPr>
            <sz val="9"/>
            <color indexed="81"/>
            <rFont val="Tahoma"/>
            <family val="2"/>
          </rPr>
          <t xml:space="preserve">orresponde a los detalles que permiten identificar claramente el objeto del control.
EJ:
</t>
        </r>
        <r>
          <rPr>
            <b/>
            <sz val="9"/>
            <color indexed="81"/>
            <rFont val="Tahoma"/>
            <family val="2"/>
          </rPr>
          <t>(Responsable)E</t>
        </r>
        <r>
          <rPr>
            <sz val="9"/>
            <color indexed="81"/>
            <rFont val="Tahoma"/>
            <family val="2"/>
          </rPr>
          <t>l profesional de Contratación</t>
        </r>
        <r>
          <rPr>
            <b/>
            <sz val="9"/>
            <color indexed="81"/>
            <rFont val="Tahoma"/>
            <family val="2"/>
          </rPr>
          <t xml:space="preserve"> + ( Acción)</t>
        </r>
        <r>
          <rPr>
            <sz val="9"/>
            <color indexed="81"/>
            <rFont val="Tahoma"/>
            <family val="2"/>
          </rPr>
          <t xml:space="preserve"> verifica que la información suministrada por el proveedor corresponda con los requisitos establecidos acorde con el tipo de contratación,+</t>
        </r>
        <r>
          <rPr>
            <b/>
            <sz val="9"/>
            <color indexed="81"/>
            <rFont val="Tahoma"/>
            <family val="2"/>
          </rPr>
          <t xml:space="preserve"> (COMPLEMENTO) </t>
        </r>
        <r>
          <rPr>
            <sz val="9"/>
            <color indexed="81"/>
            <rFont val="Tahoma"/>
            <family val="2"/>
          </rPr>
          <t xml:space="preserve">a través de una lista de chequeo donde están los requisitos de información y la revisa con la información física suministrada por el proveedor, los contratos que cumplen son registrados en el sistema de información de contratación.
 </t>
        </r>
      </text>
    </comment>
    <comment ref="V148" authorId="2" shapeId="0" xr:uid="{A134BA68-39DD-4B24-808D-DCA19421B6F7}">
      <text>
        <r>
          <rPr>
            <b/>
            <sz val="9"/>
            <color indexed="81"/>
            <rFont val="Tahoma"/>
            <family val="2"/>
          </rPr>
          <t>HACIENDA:</t>
        </r>
        <r>
          <rPr>
            <sz val="9"/>
            <color indexed="81"/>
            <rFont val="Tahoma"/>
            <family val="2"/>
          </rPr>
          <t xml:space="preserve">
ver en el proceso en donde esta el riesgo: entreda(preventivo) proceso(detectivo) o salida(correctivo)</t>
        </r>
      </text>
    </comment>
    <comment ref="AI148" authorId="2" shapeId="0" xr:uid="{13D78C6A-C437-4D0D-962B-C6094FFB0A51}">
      <text>
        <r>
          <rPr>
            <b/>
            <sz val="9"/>
            <color indexed="81"/>
            <rFont val="Tahoma"/>
            <family val="2"/>
          </rPr>
          <t>HACIENDA:</t>
        </r>
        <r>
          <rPr>
            <sz val="9"/>
            <color indexed="81"/>
            <rFont val="Tahoma"/>
            <family val="2"/>
          </rPr>
          <t xml:space="preserve">
COMPLEMENTA APOYA 
 LA ACCION CONTROL
Esta casilla dependerá del tratamiento establecido, si es</t>
        </r>
        <r>
          <rPr>
            <b/>
            <sz val="9"/>
            <color indexed="81"/>
            <rFont val="Tahoma"/>
            <family val="2"/>
          </rPr>
          <t xml:space="preserve"> Acepta</t>
        </r>
        <r>
          <rPr>
            <sz val="9"/>
            <color indexed="81"/>
            <rFont val="Tahoma"/>
            <family val="2"/>
          </rPr>
          <t xml:space="preserve">r no se requieren acciones adicionales, en caso de escoger </t>
        </r>
        <r>
          <rPr>
            <b/>
            <sz val="9"/>
            <color indexed="81"/>
            <rFont val="Tahoma"/>
            <family val="2"/>
          </rPr>
          <t xml:space="preserve">Reducir (mitigar) </t>
        </r>
        <r>
          <rPr>
            <sz val="9"/>
            <color indexed="81"/>
            <rFont val="Tahoma"/>
            <family val="2"/>
          </rPr>
          <t>se deben diligenciar las acciones que se adelantarán como complemento a los controles establecidos, no necesariamente son controles adicionales. Para</t>
        </r>
        <r>
          <rPr>
            <sz val="9"/>
            <color indexed="81"/>
            <rFont val="Tahoma"/>
            <family val="2"/>
          </rPr>
          <t xml:space="preserve">, es viable diligenciar la acción que deriva de esta (ejemplo póliza seguros, terceración), indicando información relevante. </t>
        </r>
      </text>
    </comment>
    <comment ref="I149" authorId="2" shapeId="0" xr:uid="{FCC8701D-4EE8-49B1-B59A-436542BEF231}">
      <text>
        <r>
          <rPr>
            <b/>
            <sz val="9"/>
            <color indexed="81"/>
            <rFont val="Tahoma"/>
            <family val="2"/>
          </rPr>
          <t>HACIENDA:</t>
        </r>
        <r>
          <rPr>
            <sz val="9"/>
            <color indexed="81"/>
            <rFont val="Tahoma"/>
            <family val="2"/>
          </rPr>
          <t xml:space="preserve">
GENERADORA DEL RIESGO. VER EL PROCESO Y TRAERLA. AGREGAR EL No del procedimiento.</t>
        </r>
      </text>
    </comment>
    <comment ref="K150" authorId="2" shapeId="0" xr:uid="{0541D9F1-D787-4EF6-9C41-FD9610372411}">
      <text>
        <r>
          <rPr>
            <b/>
            <sz val="9"/>
            <color indexed="81"/>
            <rFont val="Tahoma"/>
            <family val="2"/>
          </rPr>
          <t>HACIENDA:</t>
        </r>
        <r>
          <rPr>
            <sz val="9"/>
            <color indexed="81"/>
            <rFont val="Tahoma"/>
            <family val="2"/>
          </rPr>
          <t xml:space="preserve">
11 reportes de ejecución y 3 a la alata gerencia (trimestral)</t>
        </r>
      </text>
    </comment>
    <comment ref="K152" authorId="2" shapeId="0" xr:uid="{010448A3-7CE8-4FFA-A3F4-09C3E2451C82}">
      <text>
        <r>
          <rPr>
            <b/>
            <sz val="9"/>
            <color indexed="81"/>
            <rFont val="Tahoma"/>
            <family val="2"/>
          </rPr>
          <t>HACIENDA:</t>
        </r>
        <r>
          <rPr>
            <sz val="9"/>
            <color indexed="81"/>
            <rFont val="Tahoma"/>
            <family val="2"/>
          </rPr>
          <t xml:space="preserve">
Revisión de documentos 1 vez al año y normograma trimestral (4 veces en el año)</t>
        </r>
      </text>
    </comment>
    <comment ref="K154" authorId="2" shapeId="0" xr:uid="{7040803E-7BED-4F0D-8BBC-DE6B6A972B94}">
      <text>
        <r>
          <rPr>
            <b/>
            <sz val="9"/>
            <color indexed="81"/>
            <rFont val="Tahoma"/>
            <family val="2"/>
          </rPr>
          <t>HACIENDA:</t>
        </r>
        <r>
          <rPr>
            <sz val="9"/>
            <color indexed="81"/>
            <rFont val="Tahoma"/>
            <family val="2"/>
          </rPr>
          <t xml:space="preserve">
DATOS DIRESSION DE RENTAS...DE LOS 258,000 PREDIOS FACTURADOS DEL IPU LA PROBABILIDAD DE EMISION DE LOS CLDO POR AÑO ES DE 5,000 SEGÚN PROYECCION DE PLAN DE ACCION DE RENTAS
------
ID#AAABTLYZ7rk
PILAR CUEVAS    (2024-09-13 15:36:06)
la actividad que conlleva el riesgo se ejecuta aproximadamente 100 veces al año</t>
        </r>
      </text>
    </comment>
    <comment ref="K155" authorId="2" shapeId="0" xr:uid="{018BF829-0CE3-4D60-A094-CB3A3E7BC5D2}">
      <text>
        <r>
          <rPr>
            <b/>
            <sz val="9"/>
            <color indexed="81"/>
            <rFont val="Tahoma"/>
            <family val="2"/>
          </rPr>
          <t>HACIENDA:</t>
        </r>
        <r>
          <rPr>
            <sz val="9"/>
            <color indexed="81"/>
            <rFont val="Tahoma"/>
            <family val="2"/>
          </rPr>
          <t xml:space="preserve">
promedio con riedgo de prescripcion anual cartera prescrita 2023-300,000,000
</t>
        </r>
      </text>
    </comment>
    <comment ref="K167" authorId="3" shapeId="0" xr:uid="{DF133EE7-AF9A-4183-96CE-4DCDBFFED4AD}">
      <text>
        <r>
          <rPr>
            <sz val="11"/>
            <color theme="1"/>
            <rFont val="Calibri"/>
            <family val="2"/>
            <scheme val="minor"/>
          </rPr>
          <t>======
ID#AAABOWPvWhE
Natalia Bulla    (2024-07-09 16:09:32)
Natalia Bulla: número de series por el numero de dias habiles por vigencia</t>
        </r>
      </text>
    </comment>
    <comment ref="D213" authorId="4" shapeId="0" xr:uid="{424F8863-EA99-473A-A168-B809595069BE}">
      <text>
        <r>
          <rPr>
            <sz val="9"/>
            <color indexed="81"/>
            <rFont val="Tahoma"/>
            <family val="2"/>
          </rPr>
          <t xml:space="preserve">Aunque la sanción del ente de control , el pago de la sanción no sale del presupuesto del municipio sino del  servidor público (Jefe de la oficina de Control Interno)  
</t>
        </r>
      </text>
    </comment>
    <comment ref="K213" authorId="4" shapeId="0" xr:uid="{B0AD257B-AF2B-4E41-9680-258A0E941C42}">
      <text>
        <r>
          <rPr>
            <sz val="9"/>
            <color indexed="81"/>
            <rFont val="Tahoma"/>
            <family val="2"/>
          </rPr>
          <t>Son 24 informes con entes de control  que se cargan  en aplicaivos 
R</t>
        </r>
        <r>
          <rPr>
            <sz val="12"/>
            <color indexed="81"/>
            <rFont val="Tahoma"/>
            <family val="2"/>
          </rPr>
          <t>endición de la cuenta a la CM.                           2. Informe derecho de autor                               3. Informe control interno contable           4. Rendición de la cuenta CGR.                        5. Seguimiento plan de mejoramiento CGR (2).                                                                      6. seguimiento a planes  de mejormaiento con CMI  (2)
7.. Obras inconclusas (12 - uno mensual)                                                                        8. delitos penales contra la admnistración pública (2).                                                            8. Reporte furag sobre evaluuación del SCI    
9. Reporte activis de información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IRMA</author>
    <author>ACER</author>
    <author>EDUARDO HERNANDEZ</author>
    <author>ATENCION CIUDADANO</author>
    <author/>
    <author>HACIENDA</author>
    <author>HACIENDA149</author>
  </authors>
  <commentList>
    <comment ref="AK22" authorId="0" shapeId="0" xr:uid="{2EA1C2F1-0F48-4AAA-931B-3664A883DA53}">
      <text>
        <r>
          <rPr>
            <b/>
            <sz val="9"/>
            <color indexed="81"/>
            <rFont val="Tahoma"/>
            <family val="2"/>
          </rPr>
          <t>IRMA:</t>
        </r>
        <r>
          <rPr>
            <sz val="9"/>
            <color indexed="81"/>
            <rFont val="Tahoma"/>
            <family val="2"/>
          </rPr>
          <t xml:space="preserve">
 OJO CON EL MEMORANDO PONER EL NUMERO DE RADICADO A QUIEN Y EN QUE FECHA </t>
        </r>
      </text>
    </comment>
    <comment ref="AN22" authorId="0" shapeId="0" xr:uid="{39505329-CC22-4CBC-92A8-C0810233BFA1}">
      <text>
        <r>
          <rPr>
            <b/>
            <sz val="9"/>
            <color indexed="81"/>
            <rFont val="Tahoma"/>
            <family val="2"/>
          </rPr>
          <t>IRMA:</t>
        </r>
        <r>
          <rPr>
            <sz val="9"/>
            <color indexed="81"/>
            <rFont val="Tahoma"/>
            <family val="2"/>
          </rPr>
          <t xml:space="preserve">
 OJO CON EL MEMORANDO PONER EL NUMERO DE RADICADO A QUIEN Y EN QUE FECHA </t>
        </r>
      </text>
    </comment>
    <comment ref="AQ22" authorId="0" shapeId="0" xr:uid="{206E3D9D-DEA0-45C1-8FF1-AD96C2F587FF}">
      <text>
        <r>
          <rPr>
            <b/>
            <sz val="9"/>
            <color indexed="81"/>
            <rFont val="Tahoma"/>
            <family val="2"/>
          </rPr>
          <t>IRMA:</t>
        </r>
        <r>
          <rPr>
            <sz val="9"/>
            <color indexed="81"/>
            <rFont val="Tahoma"/>
            <family val="2"/>
          </rPr>
          <t xml:space="preserve">
 OJO CON EL MEMORANDO PONER EL NUMERO DE RADICADO A QUIEN Y EN QUE FECHA </t>
        </r>
      </text>
    </comment>
    <comment ref="AT22" authorId="0" shapeId="0" xr:uid="{9A34F8A2-48E1-48EF-AC7A-040BADC722B0}">
      <text>
        <r>
          <rPr>
            <b/>
            <sz val="9"/>
            <color indexed="81"/>
            <rFont val="Tahoma"/>
            <family val="2"/>
          </rPr>
          <t>IRMA:</t>
        </r>
        <r>
          <rPr>
            <sz val="9"/>
            <color indexed="81"/>
            <rFont val="Tahoma"/>
            <family val="2"/>
          </rPr>
          <t xml:space="preserve">
 OJO CON EL MEMORANDO PONER EL NUMERO DE RADICADO A QUIEN Y EN QUE FECHA </t>
        </r>
      </text>
    </comment>
    <comment ref="AW22" authorId="0" shapeId="0" xr:uid="{59D11037-A2C0-4F03-B8C4-1B7E4B40CE6A}">
      <text>
        <r>
          <rPr>
            <b/>
            <sz val="9"/>
            <color indexed="81"/>
            <rFont val="Tahoma"/>
            <family val="2"/>
          </rPr>
          <t>IRMA:</t>
        </r>
        <r>
          <rPr>
            <sz val="9"/>
            <color indexed="81"/>
            <rFont val="Tahoma"/>
            <family val="2"/>
          </rPr>
          <t xml:space="preserve">
 OJO CON EL MEMORANDO PONER EL NUMERO DE RADICADO A QUIEN Y EN QUE FECHA </t>
        </r>
      </text>
    </comment>
    <comment ref="AZ22" authorId="0" shapeId="0" xr:uid="{AB59DD58-31D5-4A0B-82F4-FE44109E0E4D}">
      <text>
        <r>
          <rPr>
            <b/>
            <sz val="9"/>
            <color indexed="81"/>
            <rFont val="Tahoma"/>
            <family val="2"/>
          </rPr>
          <t>IRMA:</t>
        </r>
        <r>
          <rPr>
            <sz val="9"/>
            <color indexed="81"/>
            <rFont val="Tahoma"/>
            <family val="2"/>
          </rPr>
          <t xml:space="preserve">
 OJO CON EL MEMORANDO PONER EL NUMERO DE RADICADO A QUIEN Y EN QUE FECHA </t>
        </r>
      </text>
    </comment>
    <comment ref="S37" authorId="1" shapeId="0" xr:uid="{9AF8FF37-9D43-4B4F-A012-0646E3B2F0AF}">
      <text>
        <r>
          <rPr>
            <b/>
            <sz val="9"/>
            <color indexed="81"/>
            <rFont val="Tahoma"/>
            <family val="2"/>
          </rPr>
          <t>ACER:</t>
        </r>
        <r>
          <rPr>
            <sz val="9"/>
            <color indexed="81"/>
            <rFont val="Tahoma"/>
            <family val="2"/>
          </rPr>
          <t xml:space="preserve">
Documentar
FORMULAR QUE PASA CON LA DESVIACION Y CUAL PUEDE SER LA EVIDENCIA, en donde tenbemos establecido ques e debe hacer el seguimiento - EN QUE DOCUMENTO DEL PROCESO
</t>
        </r>
      </text>
    </comment>
    <comment ref="S38" authorId="2" shapeId="0" xr:uid="{E738C7E8-4660-4CD7-ACF0-0505868F1AEE}">
      <text>
        <r>
          <rPr>
            <b/>
            <sz val="9"/>
            <color indexed="81"/>
            <rFont val="Tahoma"/>
            <family val="2"/>
          </rPr>
          <t>EDUARDO HERNANDEZ:</t>
        </r>
        <r>
          <rPr>
            <sz val="9"/>
            <color indexed="81"/>
            <rFont val="Tahoma"/>
            <family val="2"/>
          </rPr>
          <t xml:space="preserve">
FALTA REGISTRO</t>
        </r>
      </text>
    </comment>
    <comment ref="J100" authorId="3" shapeId="0" xr:uid="{3AA09C20-C995-411D-AAA9-1859EB9296CB}">
      <text>
        <r>
          <rPr>
            <b/>
            <sz val="9"/>
            <color indexed="81"/>
            <rFont val="Tahoma"/>
            <family val="2"/>
          </rPr>
          <t>ATENCION CIUDADANO:</t>
        </r>
        <r>
          <rPr>
            <sz val="9"/>
            <color indexed="81"/>
            <rFont val="Tahoma"/>
            <family val="2"/>
          </rPr>
          <t xml:space="preserve">
Número de PQRSD respondidos por fuera del termino y sin respuesta vencidos (enero - agosto). </t>
        </r>
      </text>
    </comment>
    <comment ref="I116" authorId="4" shapeId="0" xr:uid="{5EAE1489-EDDA-4794-9F8E-35A24D9B45E4}">
      <text>
        <r>
          <rPr>
            <sz val="11"/>
            <color theme="1"/>
            <rFont val="Calibri"/>
            <family val="2"/>
            <scheme val="minor"/>
          </rPr>
          <t>======
ID#AAABdCjVM3Q
JULIANC    (2024-05-03 13:30:13)
total de metal del plan de desarrollo por el numero de seguimientos al año</t>
        </r>
      </text>
    </comment>
    <comment ref="O116" authorId="4" shapeId="0" xr:uid="{4A768644-00FF-45B0-B3A1-2F3106E7D08D}">
      <text>
        <r>
          <rPr>
            <sz val="11"/>
            <color theme="1"/>
            <rFont val="Calibri"/>
            <family val="2"/>
            <scheme val="minor"/>
          </rPr>
          <t>======
ID#AAABdCjVM3U
JULIANC    (2024-05-03 13:30:13)
presupuesto asignado para ejecución de la vigencia dividido el el salario minimo</t>
        </r>
      </text>
    </comment>
    <comment ref="B130" authorId="5" shapeId="0" xr:uid="{EC0EFA6B-1A26-4039-A807-23DE717272D6}">
      <text>
        <r>
          <rPr>
            <b/>
            <sz val="9"/>
            <color indexed="81"/>
            <rFont val="Tahoma"/>
            <family val="2"/>
          </rPr>
          <t>HACIENDA:</t>
        </r>
        <r>
          <rPr>
            <sz val="9"/>
            <color indexed="81"/>
            <rFont val="Tahoma"/>
            <family val="2"/>
          </rPr>
          <t xml:space="preserve">
V5:las consecuencias que puede ocasionar a la organización la materialización del riesgo
</t>
        </r>
      </text>
    </comment>
    <comment ref="C130" authorId="5" shapeId="0" xr:uid="{DD4325B9-5A44-4588-A7ED-73ADAFB26FE1}">
      <text>
        <r>
          <rPr>
            <b/>
            <sz val="9"/>
            <color indexed="81"/>
            <rFont val="Tahoma"/>
            <family val="2"/>
          </rPr>
          <t>HACIENDA:</t>
        </r>
        <r>
          <rPr>
            <sz val="9"/>
            <color indexed="81"/>
            <rFont val="Tahoma"/>
            <family val="2"/>
          </rPr>
          <t xml:space="preserve">
justificacion del por que, complemento del impacto
V5: circunstancias o situaciones más evidentes sobre las cuales se presenta el riesgo, las mismas no constituyen la causa principal o base para que se presente el riesgo
/////////****////////***
PARA RIESGO FISCAL
</t>
        </r>
        <r>
          <rPr>
            <b/>
            <sz val="9"/>
            <color indexed="81"/>
            <rFont val="Tahoma"/>
            <family val="2"/>
          </rPr>
          <t>Puntos de Riesgo Fiscal</t>
        </r>
        <r>
          <rPr>
            <sz val="9"/>
            <color indexed="81"/>
            <rFont val="Tahoma"/>
            <family val="2"/>
          </rPr>
          <t xml:space="preserve">
Actividad en la que potencialmente se origina el riesgo fiscal
</t>
        </r>
      </text>
    </comment>
    <comment ref="D130" authorId="5" shapeId="0" xr:uid="{B0FC031A-9CCF-4B09-B077-9798A3B9F3E1}">
      <text>
        <r>
          <rPr>
            <b/>
            <sz val="9"/>
            <color indexed="81"/>
            <rFont val="Tahoma"/>
            <family val="2"/>
          </rPr>
          <t>HACIENDA:</t>
        </r>
        <r>
          <rPr>
            <sz val="9"/>
            <color indexed="81"/>
            <rFont val="Tahoma"/>
            <family val="2"/>
          </rPr>
          <t xml:space="preserve">
Riesgo q detectamos del objetivo
V5:es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
RIESGO FISCAL
Circunstancia Inmediata
Situación por la que se presenta el riesgo
</t>
        </r>
      </text>
    </comment>
    <comment ref="E130" authorId="5" shapeId="0" xr:uid="{09D3D36A-BBE0-4FB5-A85A-BD58F9A32022}">
      <text>
        <r>
          <rPr>
            <b/>
            <sz val="9"/>
            <color indexed="81"/>
            <rFont val="Tahoma"/>
            <family val="2"/>
          </rPr>
          <t>HACIENDA:</t>
        </r>
        <r>
          <rPr>
            <sz val="9"/>
            <color indexed="81"/>
            <rFont val="Tahoma"/>
            <family val="2"/>
          </rPr>
          <t xml:space="preserve">
causa base para el control….VER CONTEXTO  DELA OTRA VERSION. Es el ultimo por q de los 5 por que.</t>
        </r>
      </text>
    </comment>
    <comment ref="F130" authorId="5" shapeId="0" xr:uid="{EA4DCC69-7F4C-4B6E-A1DC-5C81E8734ECE}">
      <text>
        <r>
          <rPr>
            <b/>
            <sz val="9"/>
            <color indexed="81"/>
            <rFont val="Tahoma"/>
            <family val="2"/>
          </rPr>
          <t>HACIENDA:</t>
        </r>
        <r>
          <rPr>
            <sz val="9"/>
            <color indexed="81"/>
            <rFont val="Tahoma"/>
            <family val="2"/>
          </rPr>
          <t xml:space="preserve">
este mapa es solo de gestión. 
POSIBILIDAD DE </t>
        </r>
        <r>
          <rPr>
            <b/>
            <sz val="9"/>
            <color indexed="81"/>
            <rFont val="Tahoma"/>
            <family val="2"/>
          </rPr>
          <t>(QUE:IMPACTO)+(COMO:CAUSA INMEDIATA)+(PORQUE:CAUSA RAIZ)</t>
        </r>
        <r>
          <rPr>
            <sz val="9"/>
            <color indexed="81"/>
            <rFont val="Tahoma"/>
            <family val="2"/>
          </rPr>
          <t xml:space="preserve">
</t>
        </r>
        <r>
          <rPr>
            <b/>
            <sz val="9"/>
            <color indexed="81"/>
            <rFont val="Tahoma"/>
            <family val="2"/>
          </rPr>
          <t xml:space="preserve">QUE + COMO= LO Q PUEDE OCURRIR
 </t>
        </r>
        <r>
          <rPr>
            <sz val="9"/>
            <color indexed="81"/>
            <rFont val="Tahoma"/>
            <family val="2"/>
          </rPr>
          <t xml:space="preserve">
</t>
        </r>
        <r>
          <rPr>
            <b/>
            <sz val="9"/>
            <color indexed="81"/>
            <rFont val="Tahoma"/>
            <family val="2"/>
          </rPr>
          <t>EJ V5</t>
        </r>
        <r>
          <rPr>
            <sz val="9"/>
            <color indexed="81"/>
            <rFont val="Tahoma"/>
            <family val="2"/>
          </rPr>
          <t xml:space="preserve">
Posibilidad de</t>
        </r>
        <r>
          <rPr>
            <b/>
            <sz val="9"/>
            <color indexed="81"/>
            <rFont val="Tahoma"/>
            <family val="2"/>
          </rPr>
          <t xml:space="preserve"> (¿Qué? :Impacto )</t>
        </r>
        <r>
          <rPr>
            <sz val="9"/>
            <color indexed="81"/>
            <rFont val="Tahoma"/>
            <family val="2"/>
          </rPr>
          <t>afectación económica-(</t>
        </r>
        <r>
          <rPr>
            <b/>
            <sz val="9"/>
            <color indexed="81"/>
            <rFont val="Tahoma"/>
            <family val="2"/>
          </rPr>
          <t xml:space="preserve">¿Cómo?Causa Inmediata) </t>
        </r>
        <r>
          <rPr>
            <sz val="9"/>
            <color indexed="81"/>
            <rFont val="Tahoma"/>
            <family val="2"/>
          </rPr>
          <t>por multa y sanción del ente regulador-</t>
        </r>
        <r>
          <rPr>
            <b/>
            <sz val="9"/>
            <color indexed="81"/>
            <rFont val="Tahoma"/>
            <family val="2"/>
          </rPr>
          <t>(¿Por qué? Causa Raíz)</t>
        </r>
        <r>
          <rPr>
            <sz val="9"/>
            <color indexed="81"/>
            <rFont val="Tahoma"/>
            <family val="2"/>
          </rPr>
          <t>debido a adquisición de bienes y servicios fuera de los requerimientos normativos
OJO  ...</t>
        </r>
        <r>
          <rPr>
            <b/>
            <sz val="9"/>
            <color indexed="81"/>
            <rFont val="Tahoma"/>
            <family val="2"/>
          </rPr>
          <t xml:space="preserve">.NOOOOO: </t>
        </r>
        <r>
          <rPr>
            <sz val="9"/>
            <color indexed="81"/>
            <rFont val="Tahoma"/>
            <family val="2"/>
          </rPr>
          <t xml:space="preserve">
No describir como riesgos omisiones ni desviaciones del control.
No describir causas como riesgos
No describir riesgos como la negación de un control
No existen riesgos transversales, lo que pueden existir son causas transversales.
 </t>
        </r>
      </text>
    </comment>
    <comment ref="I130" authorId="5" shapeId="0" xr:uid="{756C3296-30FA-49DB-B894-83838E455B0D}">
      <text>
        <r>
          <rPr>
            <b/>
            <sz val="9"/>
            <color indexed="81"/>
            <rFont val="Tahoma"/>
            <family val="2"/>
          </rPr>
          <t>HACIENDA:</t>
        </r>
        <r>
          <rPr>
            <sz val="9"/>
            <color indexed="81"/>
            <rFont val="Tahoma"/>
            <family val="2"/>
          </rPr>
          <t xml:space="preserve">
aplico el tipo de riesgo ver pag 38
</t>
        </r>
      </text>
    </comment>
    <comment ref="S130" authorId="5" shapeId="0" xr:uid="{431FFE5E-D3E9-4DBB-8626-D3F8BA2E070C}">
      <text>
        <r>
          <rPr>
            <b/>
            <sz val="9"/>
            <color indexed="81"/>
            <rFont val="Tahoma"/>
            <family val="2"/>
          </rPr>
          <t>HACIENDA:</t>
        </r>
        <r>
          <rPr>
            <sz val="9"/>
            <color indexed="81"/>
            <rFont val="Tahoma"/>
            <family val="2"/>
          </rPr>
          <t xml:space="preserve">
</t>
        </r>
        <r>
          <rPr>
            <b/>
            <sz val="9"/>
            <color indexed="81"/>
            <rFont val="Tahoma"/>
            <family val="2"/>
          </rPr>
          <t>subcausa(sacada de la act del proceso-ojo revisar proceso), con los 6pasos para el control</t>
        </r>
        <r>
          <rPr>
            <sz val="9"/>
            <color indexed="81"/>
            <rFont val="Tahoma"/>
            <family val="2"/>
          </rPr>
          <t xml:space="preserve">
</t>
        </r>
        <r>
          <rPr>
            <b/>
            <sz val="9"/>
            <color indexed="81"/>
            <rFont val="Tahoma"/>
            <family val="2"/>
          </rPr>
          <t>V5:</t>
        </r>
        <r>
          <rPr>
            <sz val="9"/>
            <color indexed="81"/>
            <rFont val="Tahoma"/>
            <family val="2"/>
          </rPr>
          <t xml:space="preserve">  Estructura para la descripción del control: 
para una adecuada redacción del control se propone una estructura que facilitará más adelante entender su tipología y otros atributos para su valoración. La estructura es la siguiente:
</t>
        </r>
        <r>
          <rPr>
            <b/>
            <sz val="9"/>
            <color indexed="81"/>
            <rFont val="Tahoma"/>
            <family val="2"/>
          </rPr>
          <t xml:space="preserve">Responsable </t>
        </r>
        <r>
          <rPr>
            <sz val="9"/>
            <color indexed="81"/>
            <rFont val="Tahoma"/>
            <family val="2"/>
          </rPr>
          <t xml:space="preserve">de ejecutar el control: identifica el cargo del servidor que ejecuta el control, en caso de que sean controles automáticos se identificará el sistema que realiza la activ idad.
Acción: se determina mediante verbos que indican la acción que deben realizar como parte del control.
</t>
        </r>
        <r>
          <rPr>
            <b/>
            <sz val="9"/>
            <color indexed="81"/>
            <rFont val="Tahoma"/>
            <family val="2"/>
          </rPr>
          <t>Complemento: c</t>
        </r>
        <r>
          <rPr>
            <sz val="9"/>
            <color indexed="81"/>
            <rFont val="Tahoma"/>
            <family val="2"/>
          </rPr>
          <t xml:space="preserve">orresponde a los detalles que permiten identificar claramente el objeto del control.
EJ:
</t>
        </r>
        <r>
          <rPr>
            <b/>
            <sz val="9"/>
            <color indexed="81"/>
            <rFont val="Tahoma"/>
            <family val="2"/>
          </rPr>
          <t>(Responsable)E</t>
        </r>
        <r>
          <rPr>
            <sz val="9"/>
            <color indexed="81"/>
            <rFont val="Tahoma"/>
            <family val="2"/>
          </rPr>
          <t>l profesional de Contratación</t>
        </r>
        <r>
          <rPr>
            <b/>
            <sz val="9"/>
            <color indexed="81"/>
            <rFont val="Tahoma"/>
            <family val="2"/>
          </rPr>
          <t xml:space="preserve"> + ( Acción)</t>
        </r>
        <r>
          <rPr>
            <sz val="9"/>
            <color indexed="81"/>
            <rFont val="Tahoma"/>
            <family val="2"/>
          </rPr>
          <t xml:space="preserve"> verifica que la información suministrada por el proveedor corresponda con los requisitos establecidos acorde con el tipo de contratación,+</t>
        </r>
        <r>
          <rPr>
            <b/>
            <sz val="9"/>
            <color indexed="81"/>
            <rFont val="Tahoma"/>
            <family val="2"/>
          </rPr>
          <t xml:space="preserve"> (COMPLEMENTO) </t>
        </r>
        <r>
          <rPr>
            <sz val="9"/>
            <color indexed="81"/>
            <rFont val="Tahoma"/>
            <family val="2"/>
          </rPr>
          <t xml:space="preserve">a través de una lista de chequeo donde están los requisitos de información y la revisa con la información física suministrada por el proveedor, los contratos que cumplen son registrados en el sistema de información de contratación.
 </t>
        </r>
      </text>
    </comment>
    <comment ref="U130" authorId="5" shapeId="0" xr:uid="{EDEC39C6-BD89-41E5-AC67-F44CDA0483DC}">
      <text>
        <r>
          <rPr>
            <b/>
            <sz val="9"/>
            <color indexed="81"/>
            <rFont val="Tahoma"/>
            <family val="2"/>
          </rPr>
          <t>HACIENDA:</t>
        </r>
        <r>
          <rPr>
            <sz val="9"/>
            <color indexed="81"/>
            <rFont val="Tahoma"/>
            <family val="2"/>
          </rPr>
          <t xml:space="preserve">
ver en el proceso en donde esta el riesgo: entreda(preventivo) proceso(detectivo) o salida(correctivo)</t>
        </r>
      </text>
    </comment>
    <comment ref="AH130" authorId="5" shapeId="0" xr:uid="{3194948A-9854-4E6E-9113-4CE4ACC3A79D}">
      <text>
        <r>
          <rPr>
            <b/>
            <sz val="9"/>
            <color indexed="81"/>
            <rFont val="Tahoma"/>
            <family val="2"/>
          </rPr>
          <t>HACIENDA:</t>
        </r>
        <r>
          <rPr>
            <sz val="9"/>
            <color indexed="81"/>
            <rFont val="Tahoma"/>
            <family val="2"/>
          </rPr>
          <t xml:space="preserve">
COMPLEMENTA APOYA 
 LA ACCION CONTROL
Esta casilla dependerá del tratamiento establecido, si es</t>
        </r>
        <r>
          <rPr>
            <b/>
            <sz val="9"/>
            <color indexed="81"/>
            <rFont val="Tahoma"/>
            <family val="2"/>
          </rPr>
          <t xml:space="preserve"> Acepta</t>
        </r>
        <r>
          <rPr>
            <sz val="9"/>
            <color indexed="81"/>
            <rFont val="Tahoma"/>
            <family val="2"/>
          </rPr>
          <t xml:space="preserve">r no se requieren acciones adicionales, en caso de escoger </t>
        </r>
        <r>
          <rPr>
            <b/>
            <sz val="9"/>
            <color indexed="81"/>
            <rFont val="Tahoma"/>
            <family val="2"/>
          </rPr>
          <t xml:space="preserve">Reducir (mitigar) </t>
        </r>
        <r>
          <rPr>
            <sz val="9"/>
            <color indexed="81"/>
            <rFont val="Tahoma"/>
            <family val="2"/>
          </rPr>
          <t>se deben diligenciar las acciones que se adelantarán como complemento a los controles establecidos, no necesariamente son controles adicionales. Para</t>
        </r>
        <r>
          <rPr>
            <sz val="9"/>
            <color indexed="81"/>
            <rFont val="Tahoma"/>
            <family val="2"/>
          </rPr>
          <t xml:space="preserve">, es viable diligenciar la acción que deriva de esta (ejemplo póliza seguros, terceración), indicando información relevante. </t>
        </r>
      </text>
    </comment>
    <comment ref="H131" authorId="5" shapeId="0" xr:uid="{1D733148-8230-43A7-940A-14A583E7758F}">
      <text>
        <r>
          <rPr>
            <b/>
            <sz val="9"/>
            <color indexed="81"/>
            <rFont val="Tahoma"/>
            <family val="2"/>
          </rPr>
          <t>HACIENDA:</t>
        </r>
        <r>
          <rPr>
            <sz val="9"/>
            <color indexed="81"/>
            <rFont val="Tahoma"/>
            <family val="2"/>
          </rPr>
          <t xml:space="preserve">
GENERADORA DEL RIESGO. VER EL PROCESO Y TRAERLA. AGREGAR EL No del procedimiento.</t>
        </r>
      </text>
    </comment>
    <comment ref="J132" authorId="5" shapeId="0" xr:uid="{FA4EF714-AD2C-484E-85EB-80B16D2C1EA8}">
      <text>
        <r>
          <rPr>
            <b/>
            <sz val="9"/>
            <color indexed="81"/>
            <rFont val="Tahoma"/>
            <family val="2"/>
          </rPr>
          <t>HACIENDA:</t>
        </r>
        <r>
          <rPr>
            <sz val="9"/>
            <color indexed="81"/>
            <rFont val="Tahoma"/>
            <family val="2"/>
          </rPr>
          <t xml:space="preserve">
11 reportes de ejecución y 3 a la alata gerencia (trimestral)</t>
        </r>
      </text>
    </comment>
    <comment ref="J134" authorId="5" shapeId="0" xr:uid="{EA2A48D9-8705-4A8C-B11F-04095377B9B1}">
      <text>
        <r>
          <rPr>
            <b/>
            <sz val="9"/>
            <color indexed="81"/>
            <rFont val="Tahoma"/>
            <family val="2"/>
          </rPr>
          <t>HACIENDA:</t>
        </r>
        <r>
          <rPr>
            <sz val="9"/>
            <color indexed="81"/>
            <rFont val="Tahoma"/>
            <family val="2"/>
          </rPr>
          <t xml:space="preserve">
Revisión de documentos 1 vez al año y normograma trimestral (4 veces en el año)</t>
        </r>
      </text>
    </comment>
    <comment ref="J136" authorId="5" shapeId="0" xr:uid="{BE9A9FA0-5328-4B4F-BE72-1F46A257884B}">
      <text>
        <r>
          <rPr>
            <b/>
            <sz val="9"/>
            <color indexed="81"/>
            <rFont val="Tahoma"/>
            <family val="2"/>
          </rPr>
          <t>HACIENDA:</t>
        </r>
        <r>
          <rPr>
            <sz val="9"/>
            <color indexed="81"/>
            <rFont val="Tahoma"/>
            <family val="2"/>
          </rPr>
          <t xml:space="preserve">
DATOS DIRESSION DE RENTAS...DE LOS 258,000 PREDIOS FACTURADOS DEL IPU LA PROBABILIDAD DE EMISION DE LOS CLDO POR AÑO ES DE 5,000 SEGÚN PROYECCION DE PLAN DE ACCION DE RENTAS
------
ID#AAABTLYZ7rk
PILAR CUEVAS    (2024-09-13 15:36:06)
la actividad que conlleva el riesgo se ejecuta aproximadamente 100 veces al año</t>
        </r>
      </text>
    </comment>
    <comment ref="J137" authorId="5" shapeId="0" xr:uid="{A3E149FC-DA8E-4E9B-864E-D0BBFA14725B}">
      <text>
        <r>
          <rPr>
            <b/>
            <sz val="9"/>
            <color indexed="81"/>
            <rFont val="Tahoma"/>
            <family val="2"/>
          </rPr>
          <t>HACIENDA:</t>
        </r>
        <r>
          <rPr>
            <sz val="9"/>
            <color indexed="81"/>
            <rFont val="Tahoma"/>
            <family val="2"/>
          </rPr>
          <t xml:space="preserve">
promedio con riedgo de prescripcion anual cartera prescrita 2023-300,000,000
</t>
        </r>
      </text>
    </comment>
    <comment ref="J206" authorId="4" shapeId="0" xr:uid="{23DFB38C-DD04-4D3C-9516-C62C4EA97AC5}">
      <text>
        <r>
          <rPr>
            <sz val="11"/>
            <color theme="1"/>
            <rFont val="Calibri"/>
            <family val="2"/>
            <scheme val="minor"/>
          </rPr>
          <t>======
ID#AAABOWPvWhE
Natalia Bulla    (2024-07-09 16:09:32)
Natalia Bulla: número de series por el numero de dias habiles por vigencia</t>
        </r>
      </text>
    </comment>
    <comment ref="J219" authorId="6" shapeId="0" xr:uid="{96A91742-365C-4E7E-B268-6ECDC6E265A9}">
      <text>
        <r>
          <rPr>
            <sz val="9"/>
            <color indexed="81"/>
            <rFont val="Tahoma"/>
            <family val="2"/>
          </rPr>
          <t xml:space="preserve">Informes de ley con cargue en plataformas: Rendición de la cuenta anual (2), Control Interno contable, Seguimiento PM CMI y CGR (4), Reporte furag (1), derechos de autor, Reporte Obras inconclusas (12), Reporte de delitos penales (2),  los planes de las auditoria anual que realiza CGR ( PAE; SGP).  Para un total de 25. 
</t>
        </r>
      </text>
    </comment>
  </commentList>
</comments>
</file>

<file path=xl/sharedStrings.xml><?xml version="1.0" encoding="utf-8"?>
<sst xmlns="http://schemas.openxmlformats.org/spreadsheetml/2006/main" count="10779" uniqueCount="1570">
  <si>
    <t>EXTREMA</t>
  </si>
  <si>
    <t>ALTA</t>
  </si>
  <si>
    <t>MODERADA</t>
  </si>
  <si>
    <t>BAJA</t>
  </si>
  <si>
    <t>NORMATIVOS: Modificaciones normativas</t>
  </si>
  <si>
    <t>SOCIALES: Orden Público</t>
  </si>
  <si>
    <t xml:space="preserve">POLITICOS </t>
  </si>
  <si>
    <t>LEGALES Y REGLAMENTARIOS</t>
  </si>
  <si>
    <t>FINANCIEROS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</si>
  <si>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</si>
  <si>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</si>
  <si>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</si>
  <si>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</si>
  <si>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</si>
  <si>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</si>
  <si>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</si>
  <si>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</si>
  <si>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</si>
  <si>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</si>
  <si>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</si>
  <si>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</si>
  <si>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</si>
  <si>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OTROS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</si>
  <si>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</si>
  <si>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</si>
  <si>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</si>
  <si>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</si>
  <si>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</si>
  <si>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</si>
  <si>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</si>
  <si>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</si>
  <si>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</si>
  <si>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</si>
  <si>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</si>
  <si>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</si>
  <si>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</si>
  <si>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</si>
  <si>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</si>
  <si>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</si>
  <si>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</si>
  <si>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</si>
  <si>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</si>
  <si>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</si>
  <si>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</si>
  <si>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</si>
  <si>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</si>
  <si>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</si>
  <si>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</si>
  <si>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</si>
  <si>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</si>
  <si>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</si>
  <si>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</si>
  <si>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</si>
  <si>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</si>
  <si>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</si>
  <si>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</si>
  <si>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</si>
  <si>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</si>
  <si>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</si>
  <si>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</si>
  <si>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</si>
  <si>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Insignificante</t>
  </si>
  <si>
    <t>Menor</t>
  </si>
  <si>
    <t>Moderado</t>
  </si>
  <si>
    <t>Mayor</t>
  </si>
  <si>
    <t>Catastrófico</t>
  </si>
  <si>
    <t>DEFINICION RIESGO</t>
  </si>
  <si>
    <t>X</t>
  </si>
  <si>
    <t>NA</t>
  </si>
  <si>
    <t>TIPOLOGIA</t>
  </si>
  <si>
    <t xml:space="preserve">Seleccione </t>
  </si>
  <si>
    <t>Estratégico</t>
  </si>
  <si>
    <t>Gerencial</t>
  </si>
  <si>
    <t>Operativo</t>
  </si>
  <si>
    <t>Financiero</t>
  </si>
  <si>
    <t>Tecnológico</t>
  </si>
  <si>
    <t>Cumplimiento</t>
  </si>
  <si>
    <t>Imagen o Reputación</t>
  </si>
  <si>
    <t>Corrupción</t>
  </si>
  <si>
    <t>Seguridad Digital</t>
  </si>
  <si>
    <t>IMPACTO</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</si>
  <si>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</si>
  <si>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</si>
  <si>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</si>
  <si>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</si>
  <si>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</si>
  <si>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</si>
  <si>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</si>
  <si>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</si>
  <si>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</si>
  <si>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</si>
  <si>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</si>
  <si>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</si>
  <si>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</si>
  <si>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</si>
  <si>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</si>
  <si>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</si>
  <si>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</si>
  <si>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</si>
  <si>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</si>
  <si>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</si>
  <si>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</si>
  <si>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</si>
  <si>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</si>
  <si>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</si>
  <si>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</si>
  <si>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</si>
  <si>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</si>
  <si>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</si>
  <si>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</si>
  <si>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</si>
  <si>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</si>
  <si>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</si>
  <si>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</si>
  <si>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</si>
  <si>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</si>
  <si>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</si>
  <si>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</si>
  <si>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</si>
  <si>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</si>
  <si>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</si>
  <si>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</si>
  <si>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</si>
  <si>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</si>
  <si>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</si>
  <si>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</si>
  <si>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</si>
  <si>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</si>
  <si>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</si>
  <si>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</si>
  <si>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</si>
  <si>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</si>
  <si>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</si>
  <si>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</si>
  <si>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</si>
  <si>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</si>
  <si>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</si>
  <si>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Improbable</t>
  </si>
  <si>
    <t>Posible</t>
  </si>
  <si>
    <t>Probable</t>
  </si>
  <si>
    <t>Casi seguro</t>
  </si>
  <si>
    <t>Probabilidad</t>
  </si>
  <si>
    <t>Impacto</t>
  </si>
  <si>
    <t>Responsable</t>
  </si>
  <si>
    <t>EVITAR EL RIESGO</t>
  </si>
  <si>
    <t>Semestral</t>
  </si>
  <si>
    <t>REDUCIR EL RIESGO</t>
  </si>
  <si>
    <t>Bimestral</t>
  </si>
  <si>
    <t>Trimestral</t>
  </si>
  <si>
    <t>Jefe de Oficina</t>
  </si>
  <si>
    <t>CATASTRÓFICO</t>
  </si>
  <si>
    <t>ACEPTAR EL RIESGO</t>
  </si>
  <si>
    <t>COMPARTIR EL RIESGO</t>
  </si>
  <si>
    <t>Anual</t>
  </si>
  <si>
    <t>01/01/2024 - 31/12/2024</t>
  </si>
  <si>
    <t>Memorandos</t>
  </si>
  <si>
    <t xml:space="preserve">Formato Mapa Riesgos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</si>
  <si>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</si>
  <si>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</si>
  <si>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</si>
  <si>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</si>
  <si>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</si>
  <si>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</si>
  <si>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</si>
  <si>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</si>
  <si>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</si>
  <si>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Causa Inmediata</t>
  </si>
  <si>
    <t>Causa Raíz</t>
  </si>
  <si>
    <t>Subcausas</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</si>
  <si>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</si>
  <si>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</si>
  <si>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</si>
  <si>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</si>
  <si>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</si>
  <si>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</si>
  <si>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</si>
  <si>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</si>
  <si>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</si>
  <si>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</si>
  <si>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</si>
  <si>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</si>
  <si>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</si>
  <si>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</si>
  <si>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</si>
  <si>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</si>
  <si>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</si>
  <si>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Fecha Implementación</t>
  </si>
  <si>
    <t>Fecha Seguimiento</t>
  </si>
  <si>
    <t>Seguimiento</t>
  </si>
  <si>
    <t>Estado</t>
  </si>
  <si>
    <t>Actividades de Riesgo</t>
  </si>
  <si>
    <t>Tipo</t>
  </si>
  <si>
    <t>Implementación</t>
  </si>
  <si>
    <t>Calificación</t>
  </si>
  <si>
    <t>Documentación</t>
  </si>
  <si>
    <t>Frecuencia</t>
  </si>
  <si>
    <t>Evidencia</t>
  </si>
  <si>
    <t>Reputacional</t>
  </si>
  <si>
    <t>Ejecucion y Administracion de procesos</t>
  </si>
  <si>
    <t xml:space="preserve">     El riesgo afecta la imagen de de la entidad con efecto publicitario sostenido a nivel de sector administrativo, nivel departamental o municipal</t>
  </si>
  <si>
    <t>Detectivo</t>
  </si>
  <si>
    <t>Manual</t>
  </si>
  <si>
    <t>Sin Documentar</t>
  </si>
  <si>
    <t>Continua</t>
  </si>
  <si>
    <t>Con Registro</t>
  </si>
  <si>
    <t>Reducir (mitigar)</t>
  </si>
  <si>
    <t>En curso</t>
  </si>
  <si>
    <t>Preventivo</t>
  </si>
  <si>
    <t>Documentado</t>
  </si>
  <si>
    <t>Económico y Reputacional</t>
  </si>
  <si>
    <t>Aleatoria</t>
  </si>
  <si>
    <t>Actividad  Riesgos</t>
  </si>
  <si>
    <t>Se realizaran Cuatrimestral cada una en Las  Secretaría Desarrollo económico (Dirección de emprendimiento, fortalecimiento empresarial y empleo y Dirección de Turismo) y Secretaría de agricultura y desarrollo rural, comite tecnico , para   revisar  los planes de acción y a la ejecución de los mismos. dejando como evidencia un acta y planilla de asistencia.</t>
  </si>
  <si>
    <t xml:space="preserve">     El riesgo afecta la imagen de la entidad internamente, de conocimiento general, nivel interno, de junta dircetiva y accionistas y/o de provedores</t>
  </si>
  <si>
    <t>Semestralmente las Secretaría Desarrollo económico (Dirección de emprendimiento, fortalecimiento empresarial y empleo y Dirección de Turismo) y Secretaría de agricultura y desarrollo rural, cada una con los  asesores, profesionales  universitarios y contratistas se reuniran dos veces por  vigencia, empezando vigencia y cada vez que se requiera para mirar el avance físico de las metas producto del plan indicativo y generar estrategias para cumplir las mismas.  Las respectivas evidencias de las reuniones son las planillas de asistencia internas y actas.</t>
  </si>
  <si>
    <t xml:space="preserve">Deficiencia en la actualización al Talento Humano de conocimientos de los procesos de cada Dirección. </t>
  </si>
  <si>
    <t xml:space="preserve">     El riesgo afecta la imagen de alguna área de la organización</t>
  </si>
  <si>
    <t xml:space="preserve">Cuatrimestralmente las Secretaría Desarrollo económico y Secretaría de agricultura y desarrollo rural realizaran socialización, del sigami y  del código de integridad y buen gobierno a las personas que conforman las secretarías y se les recuerda que en el contrato de prestación de servicios queda estipulado que se acogen a este código; dejando como evidencias actas y/o planillas de asistencia interna de la socializaciòn. </t>
  </si>
  <si>
    <t xml:space="preserve">GESTION DE  EVALUACION Y SEGUIMIENTO </t>
  </si>
  <si>
    <t xml:space="preserve">AGREGAR VALOR A LA GESTION Y MEJORAR LAS OPERACIONES DE LA ENTIDAD, ENTREGANDO A LIDERES DE PROCESOS Y AL COMITÉ  DE COOORDINACIÓN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</si>
  <si>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 xml:space="preserve">INICIA CON LA ELABORACIÓN DEL PLAN ANUAL DE AUDITORÍA, INCLUYE LAS ACTIVIDADES REQUERIDAS PARA LA IMPLEMENTACIÓN DE LOS  5 ROLES ASIGNADOS A LAS OFICINAS DE CONTROL INTERNO, Y FINALIZA CON LA EVALUACIÓN DEL CUMPLIMIENTO DEL PLAN ANUAL DE AUDITORIA. </t>
  </si>
  <si>
    <t xml:space="preserve">Multa o sanción del ente  de control </t>
  </si>
  <si>
    <t xml:space="preserve">Inoportunidad en el cargue   de informes de ley  a través de aplicativos dispuestos por entes de control  </t>
  </si>
  <si>
    <r>
      <rPr>
        <sz val="12"/>
        <color rgb="FFFF0000"/>
        <rFont val="Arial Narrow"/>
        <family val="2"/>
      </rPr>
      <t>Posibilidad</t>
    </r>
    <r>
      <rPr>
        <sz val="12"/>
        <rFont val="Arial Narrow"/>
        <family val="2"/>
      </rPr>
      <t xml:space="preserve">  de afectación reputacional </t>
    </r>
    <r>
      <rPr>
        <sz val="12"/>
        <color rgb="FFFF0000"/>
        <rFont val="Arial Narrow"/>
        <family val="2"/>
      </rPr>
      <t>por</t>
    </r>
    <r>
      <rPr>
        <sz val="12"/>
        <rFont val="Arial Narrow"/>
        <family val="2"/>
      </rPr>
      <t xml:space="preserve"> multa o sanción del ente de control, </t>
    </r>
    <r>
      <rPr>
        <sz val="12"/>
        <color rgb="FFFF0000"/>
        <rFont val="Arial Narrow"/>
        <family val="2"/>
      </rPr>
      <t>debido a</t>
    </r>
    <r>
      <rPr>
        <sz val="12"/>
        <rFont val="Arial Narrow"/>
        <family val="2"/>
      </rPr>
      <t xml:space="preserve"> la  Inoportunidad en el cargue  de informes de ley  a través de aplicativos dispuestos por entes de control. </t>
    </r>
  </si>
  <si>
    <t xml:space="preserve">Emitir informes de ley a través de aplicativos  establecido por el ente de control  ( actividad documentada en los siguientes documentos:  Guia rendicición de la cuenta anual  a la contraloria Municipal, guía rendición de la cuenta a la contraloria general, guía informe de control interno contable, guia informe de derechos de autor y  procedimiento evaluación del sistema de control interno con énfasis del reporte Furag). </t>
  </si>
  <si>
    <t xml:space="preserve">     El riesgo afecta la imagen de la entidad con algunos usuarios de relevancia frente al logro de los objetivos</t>
  </si>
  <si>
    <t xml:space="preserve">El auditor asignado en el plan anual de auditoria para realizar  el informe de ley  o  coordinar el cargue en los  aplicativos del ente del control, cada vez que realiza un informe o lo coordine;   verifica que los líderes de procesos responsables del reporte de información, se encuentre designada en personal de planta  la digitalización de  la información  solicitada  en  formatos,   con el fin de asegurar que realicen  adecuadamente la  validación de  la información   y generen  el  log del cargue  a través de los aplicativos  dispuestos por el ente de control;  para ello cada auditor  proyecta   una circular solicitando a los líderes de proceso  que asignen  la responsabilidad  del reporte  de la información solicitada,  en personal de planta, con el fin de garantizar  la calidad y   oportunidad  del reporte del informe al ente de control. En el caso de  detectar que el reporte no este a cargo de personal de planta, se reitera el cumplimiento de esta directriz.  Como evidencia de ejecución de control queda la circular proyecctada, la respuesta emitada por la unidad administrativa citando el nombre y cargo del funcionario asignado y el memorando del reiterado  si fue necesario. </t>
  </si>
  <si>
    <t xml:space="preserve">Jefe de la oficina de Control Interno </t>
  </si>
  <si>
    <t xml:space="preserve">Jefe  de la oficina y equipo de trabajo </t>
  </si>
  <si>
    <t xml:space="preserve">Falta de asignación en las unidades  administrativas de un   funcionario   responsable de  consultar  diariamente  la correspondencia,  generando en los líderes de proceso el   desconocimiento de  los requerimientos   y  la emisión extemporánea   a la fecha limite fijada por la Oficina,  para emitir la respuesta al requerimiento.  </t>
  </si>
  <si>
    <t>Entidades públicas realizando cargue  de informes de ley  a través de aplicativos de entes de control,  de forma simultanea. (Control interno contable, derechos de autor y furag)</t>
  </si>
  <si>
    <t xml:space="preserve">El auditor responsable de elaborar el informe, conforme al plazo establecido por el ente de control 3) previene la  emisión  inoportuna  del informe, por fallas en los aplicativos,  confrontando  la fecha limite para el cargue del informe en los aplicativos dispuestos por los entes de control  VERSUS la fecha establecida el organismo de control para  la solicitud de prórroga;  con el fin de asegurase que la falla presentada no afecte la oportundad del cargue  del informe, dejando como registro los panatallazos de las falllas en el aplicativo.  Si las fallas se presentan dentro del rango de los  6 días previos a la fecha establecida por el ente control para el reporte, se solicita prórroga para el reporte,  adjuntando el registro de los pantallazos;  con el fin de justificar y obtener  la disponibilidad del aplicativo para realizar el cargue 6) como evidencia queda el oficio de soliictud de prórroga, la respuesta emitida por el ente de control y el log de cargue del informe o reporte.  </t>
  </si>
  <si>
    <t xml:space="preserve">Tomar pantallazos como evidencia de fallas en el aplicativo   y solicitar  prórroga al ente de control,  fundamentando fuerza mayor y caso fortuito, en cumplimiento de los lineamientos establecidos en   las  guías adoptadas e implementadas   para elaborar  los informes con entes de  control y asu vez, las resoluciones vigentes para la rendición de la cuenta,  expedidas por los entes de  control; con el fin de obtener  disponibilidad del aplicativo  para  realizar el  cargue del informe. </t>
  </si>
  <si>
    <t xml:space="preserve">Profesional asignado para  coordinar  y realizar  el informe de ley </t>
  </si>
  <si>
    <t xml:space="preserve">Incumplimiento del  rol de liderazgo estratégico </t>
  </si>
  <si>
    <t>socialización inoportuna de los informes emitidos por la Oficina  en  el  Comité de Coordinación de Control Interno</t>
  </si>
  <si>
    <r>
      <rPr>
        <sz val="11"/>
        <color rgb="FFFF0000"/>
        <rFont val="Arial Narrow"/>
        <family val="2"/>
      </rPr>
      <t>Posibilidad  de</t>
    </r>
    <r>
      <rPr>
        <sz val="11"/>
        <rFont val="Arial Narrow"/>
        <family val="2"/>
      </rPr>
      <t xml:space="preserve">   afectación  reputacional </t>
    </r>
    <r>
      <rPr>
        <sz val="11"/>
        <color rgb="FFFF0000"/>
        <rFont val="Arial Narrow"/>
        <family val="2"/>
      </rPr>
      <t xml:space="preserve"> por </t>
    </r>
    <r>
      <rPr>
        <sz val="11"/>
        <rFont val="Arial Narrow"/>
        <family val="2"/>
      </rPr>
      <t xml:space="preserve">incumplimiento del rol  de liderazgo estratégico </t>
    </r>
    <r>
      <rPr>
        <sz val="11"/>
        <color rgb="FFFF0000"/>
        <rFont val="Arial Narrow"/>
        <family val="2"/>
      </rPr>
      <t xml:space="preserve"> debido a </t>
    </r>
    <r>
      <rPr>
        <sz val="11"/>
        <rFont val="Arial Narrow"/>
        <family val="2"/>
      </rPr>
      <t xml:space="preserve"> la  socialización  inoportuna de los informes emitidos por la Oficina   en el Comité  de  Coordinación de Control Interno. </t>
    </r>
  </si>
  <si>
    <t xml:space="preserve">Procedimiento  liderazgo   estratégico </t>
  </si>
  <si>
    <t xml:space="preserve">1. El jefe la Oficina de Control Interno 2. cada vez que  convoque al comité de coordinación de control interno, 3. verifica  que los informes programados   a realizar  en el plan Anual de Auditoria en el trimestre   previo al comite   se encuentren elaborados 4. Para ello  consulta en el  Plan Anual de Auditoria  qué  informes se encuentran programados  a realizar entre la fecha del último comité  y la definida para el siguiente comité  y los confronta  con los que se encuentran elaborados  durante el mismo  periodo usando como fuente de información  el aplicativo PISAMI, el Link  de transparencia  y los expedientes Físicos , con el fin de asegurar  la disponibilidad  de los informes  para la socialización  a la Alta dirección en el Comité.   Acto seguido  genera  el orden del día  con los informes a socializar  y  convoca al Comité de Coordinación de Control Interno  . 5. No obstante, si se  presenta diferencia  entre los informes programados a realizar en el PAA   VS  los  informes  realizados;   procede  a realizar comité extraordinario en fecha  posterior  al Comité ordinario,  o se incluyen  junto a los que se deben socializar  en el  próximo  comité.  6.  Como evidencia de ejecución  quedan las actas de comité técnico de la oficina de  control interno, la  hoja de vida del indicador descrito: Indice de informes socializados y las actas  del comité de  coordinación de control interno.  </t>
  </si>
  <si>
    <t>profesional   Especializado  de la Oficina de Control Interno</t>
  </si>
  <si>
    <t>GESTIÓN AMBIENTAL</t>
  </si>
  <si>
    <t>GESTIONAR LA CONSERVACIÓN, RESTAURACIÓN Y APROVECHAMIENTO SOSTENIBLE DE LOS RECURSOS NATURALES ASÌ
COMO EJECUTAR ACCIONES DE CONOCIMIENTO, REDUCCIÓN DEL RIESGO Y MANEJO DEL DESASTRE DE MANERA
PERMANENTE, MEDIANTE LA IMPLEMENTACIÓN DE PLANES, PROGRAMAS Y PROYECTOS EN PROCURA DE ALCANZAR
CALIDAD AMBIENTAL PARA EL DESARROLLO HUMANO INTEGRAL EN EL MUNICIPIO DE IBAGUÉ.</t>
  </si>
  <si>
    <t>INICIA CON LA PLANEACIÓN DEL PROCESO, CONTINUANDO CON LAS ACTIVIDADES DE SOCIALIZACIÓN, SENSIBILIZACIÓN E
IMPLEMENTACIÓN DE LA POLÍTICA PÚBLICA AMBIENTAL, PLAN PARA LA GESTION DEL RIESGO, Y DEMÁS ESTRATEGIAS
AMBIENTALES, VERIFICANDO EL CUMPLIMIENTO DE LA NORMATIVA AMBIENTAL Y FINALIZA CON EL SEGUIMIENTO Y
EVALUACIÓN DEL PROCESO</t>
  </si>
  <si>
    <t>Observación</t>
  </si>
  <si>
    <t>Evitar</t>
  </si>
  <si>
    <t>Secretaria de Ambiente y gestión el riesgo</t>
  </si>
  <si>
    <t>SECRETARIA DE HACIENDA PUBLICA MUNICIPAL</t>
  </si>
  <si>
    <t xml:space="preserve">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t>
  </si>
  <si>
    <t>INICIA CON LA PLANEACIÓN DEL PROCESO PARA EL CUATRENIO, TENIENDO EN CUENTA EL MARCO FISCAL A MEDIANO PLAZO (MFMP) Y EL PLAN DE DESARROLLO MUNICIPAL, HASTA EL SEGUIMIENTO Y EVALUACIÓN DEL PROCESO. POSTERIORMENTE REALIZA EL TRÁMITE DE RECURSOS EN LA APROPIACIÓN Y ARMONIZACIÓN DE LA EJECUCIÓN DEL PRESUPUESTO MUNICIPAL, PASANDO POR LA RECEPCIÓN, CAUSACION Y REALIZACIÓN DE PAGOS DE COMPROMISOS ADQUIRIDOS POR EL MUNICIPIO, LLEVANDO LOS REGISTROS DE INGRESOS, COORDINANDO EL SEGUIMIENTO, CONTROL Y COBRO DE LA CARTERA MUNICIPAL. A SU VEZ REALIZA EL RECAUDO Y FISCALIZACIÓN DE LAS RENTAS, FINALIZANDO CON EL ANÁLISIS Y REALIZACIÓN DE LOS ESTADOS DE ACTIVIDAD FINANCIERA, ECONÓMICA Y SOCIAL DEL MUNICIPIO DE IBAGUÉ.</t>
  </si>
  <si>
    <t>Descripción 
del Riesgo</t>
  </si>
  <si>
    <t>Actividades 
de Riesgo</t>
  </si>
  <si>
    <t>baja calificación en los indicadores de desempeño fiscal, pérdida de confianza de los ciudadanos hacia la administración y posible reducción en las asignaciones de recursos del Sistema General de Participacion - SGP</t>
  </si>
  <si>
    <t>Baja ejecución presupuestal de gastos de inversión del Municipio de parte de las Secretarias Ejecutoras</t>
  </si>
  <si>
    <t xml:space="preserve">Deficiente seguimiento por parte de los ordenadores del gasto  en la ejecución presupuestal </t>
  </si>
  <si>
    <r>
      <rPr>
        <b/>
        <sz val="9"/>
        <color rgb="FFFF0000"/>
        <rFont val="Arial Narrow"/>
        <family val="2"/>
      </rPr>
      <t>1. Posibilidad de pérdida reputacional y económia</t>
    </r>
    <r>
      <rPr>
        <b/>
        <sz val="9"/>
        <color rgb="FF002060"/>
        <rFont val="Arial Narrow"/>
        <family val="2"/>
      </rPr>
      <t xml:space="preserve"> </t>
    </r>
    <r>
      <rPr>
        <b/>
        <sz val="9"/>
        <color rgb="FFFF9900"/>
        <rFont val="Arial Narrow"/>
        <family val="2"/>
      </rPr>
      <t>por</t>
    </r>
    <r>
      <rPr>
        <b/>
        <sz val="9"/>
        <color rgb="FF002060"/>
        <rFont val="Arial Narrow"/>
        <family val="2"/>
      </rPr>
      <t xml:space="preserve">  baja calificación en los indicadores de desempeño fiscal, pérdida de confianza de los ciudadanos hacia la administración y posible reducción en las asignaciones de recursos del Sistema General de Participacion - SGP, </t>
    </r>
    <r>
      <rPr>
        <b/>
        <sz val="9"/>
        <rFont val="Arial Narrow"/>
        <family val="2"/>
      </rPr>
      <t xml:space="preserve"> </t>
    </r>
    <r>
      <rPr>
        <b/>
        <sz val="9"/>
        <color rgb="FF00B050"/>
        <rFont val="Arial Narrow"/>
        <family val="2"/>
      </rPr>
      <t xml:space="preserve"> </t>
    </r>
    <r>
      <rPr>
        <b/>
        <sz val="9"/>
        <color rgb="FFFF9900"/>
        <rFont val="Arial Narrow"/>
        <family val="2"/>
      </rPr>
      <t>debido a</t>
    </r>
    <r>
      <rPr>
        <b/>
        <sz val="9"/>
        <color rgb="FF00B050"/>
        <rFont val="Arial Narrow"/>
        <family val="2"/>
      </rPr>
      <t xml:space="preserve"> baja ejecución presupuestal de gastos de inversión del Municipio de parte de las Secretarias Ejecutora</t>
    </r>
  </si>
  <si>
    <t>Ejecución y administración del presupuesto de las Secretarías Ejecutoras</t>
  </si>
  <si>
    <t xml:space="preserve">     Mayor a 10000 SMLMV</t>
  </si>
  <si>
    <r>
      <rPr>
        <b/>
        <sz val="9"/>
        <color rgb="FFFF0000"/>
        <rFont val="Arial Narrow"/>
        <family val="2"/>
      </rPr>
      <t>El director (a) de Presupuesto por medio de su equipo de trabajo,</t>
    </r>
    <r>
      <rPr>
        <b/>
        <sz val="9"/>
        <color theme="8" tint="-0.499984740745262"/>
        <rFont val="Arial Narrow"/>
        <family val="2"/>
      </rPr>
      <t xml:space="preserve"> realizará seguimiento a la ejecución presupuestal </t>
    </r>
    <r>
      <rPr>
        <b/>
        <sz val="9"/>
        <color rgb="FF002060"/>
        <rFont val="Arial Narrow"/>
        <family val="2"/>
      </rPr>
      <t xml:space="preserve">elaborando y presentando </t>
    </r>
    <r>
      <rPr>
        <b/>
        <sz val="9"/>
        <color theme="8" tint="-0.499984740745262"/>
        <rFont val="Arial Narrow"/>
        <family val="2"/>
      </rPr>
      <t>de manera</t>
    </r>
    <r>
      <rPr>
        <b/>
        <sz val="9"/>
        <color rgb="FF00B050"/>
        <rFont val="Arial Narrow"/>
        <family val="2"/>
      </rPr>
      <t xml:space="preserve"> mensual</t>
    </r>
    <r>
      <rPr>
        <b/>
        <sz val="9"/>
        <color theme="8" tint="-0.499984740745262"/>
        <rFont val="Arial Narrow"/>
        <family val="2"/>
      </rPr>
      <t xml:space="preserve"> un INFORME EJECUTIVO  DE LA EJECUCIÓN PRESUPUESTAL DE GASTOS, que resume las principales líneas de la ejecución oficial de gastos con el fin de generar las alertas  tempranas que procuren un incremento en la ejecución del gasto público por parte de las secretarias del despacho municipal,</t>
    </r>
    <r>
      <rPr>
        <b/>
        <sz val="9"/>
        <color rgb="FF00B050"/>
        <rFont val="Arial Narrow"/>
        <family val="2"/>
      </rPr>
      <t xml:space="preserve">
</t>
    </r>
    <r>
      <rPr>
        <b/>
        <sz val="9"/>
        <color theme="5" tint="-0.249977111117893"/>
        <rFont val="Arial Narrow"/>
        <family val="2"/>
      </rPr>
      <t>Dejando como evidencia los correos electrónicos institucionales. (MANUAL  PRESUPUESTO: MAN-GHP-01//CARACTERIZACION DEL PROCESO: CAR-GHP-001)</t>
    </r>
  </si>
  <si>
    <t>Director(a) de Presupuesto</t>
  </si>
  <si>
    <t>Pérdida de memoria institucional y sanciones disciplinarias, fiscales y administrativas</t>
  </si>
  <si>
    <r>
      <rPr>
        <b/>
        <sz val="9"/>
        <color rgb="FF00B050"/>
        <rFont val="Arial Narrow"/>
        <family val="2"/>
      </rPr>
      <t xml:space="preserve">
 Pérdida de información en los expedientes de los procesos de Gestión de Hacienda pú</t>
    </r>
    <r>
      <rPr>
        <sz val="9"/>
        <color theme="1"/>
        <rFont val="Arial Narrow"/>
        <family val="2"/>
      </rPr>
      <t>blica</t>
    </r>
  </si>
  <si>
    <t>Falta de apliacación de las políticas del proceso de gestión docuemntal en el control y préstamo de la documentación.</t>
  </si>
  <si>
    <r>
      <rPr>
        <b/>
        <sz val="9"/>
        <color rgb="FFFF0000"/>
        <rFont val="Arial Narrow"/>
        <family val="2"/>
      </rPr>
      <t xml:space="preserve">2. Posibilidad de pérdida económica y reputacional </t>
    </r>
    <r>
      <rPr>
        <b/>
        <sz val="9"/>
        <color rgb="FFFF9900"/>
        <rFont val="Arial Narrow"/>
        <family val="2"/>
      </rPr>
      <t>po</t>
    </r>
    <r>
      <rPr>
        <b/>
        <sz val="9"/>
        <color rgb="FF002060"/>
        <rFont val="Arial Narrow"/>
        <family val="2"/>
      </rPr>
      <t xml:space="preserve">r  pérdida de memoria institucional y sanciones disciplinarias, fiscales y administrativas </t>
    </r>
    <r>
      <rPr>
        <b/>
        <sz val="9"/>
        <color rgb="FFFF9900"/>
        <rFont val="Arial Narrow"/>
        <family val="2"/>
      </rPr>
      <t xml:space="preserve">debido a </t>
    </r>
    <r>
      <rPr>
        <b/>
        <sz val="9"/>
        <color rgb="FF002060"/>
        <rFont val="Arial Narrow"/>
        <family val="2"/>
      </rPr>
      <t xml:space="preserve">la  </t>
    </r>
    <r>
      <rPr>
        <b/>
        <sz val="9"/>
        <color rgb="FF00B050"/>
        <rFont val="Arial Narrow"/>
        <family val="2"/>
      </rPr>
      <t>Pérdida de información en los expedientes de los procesos de Gestión de Hacienda pública</t>
    </r>
  </si>
  <si>
    <t>Custodia del archivo físico y digital de los expedientes de Gestión de Hacienda Públic</t>
  </si>
  <si>
    <r>
      <rPr>
        <b/>
        <sz val="9"/>
        <color rgb="FFFF0000"/>
        <rFont val="Arial Narrow"/>
        <family val="2"/>
      </rPr>
      <t>El Profesional Universitado y/o técnico Operativo</t>
    </r>
    <r>
      <rPr>
        <b/>
        <sz val="9"/>
        <color rgb="FFFF9900"/>
        <rFont val="Arial Narrow"/>
        <family val="2"/>
      </rPr>
      <t xml:space="preserve"> </t>
    </r>
    <r>
      <rPr>
        <b/>
        <sz val="9"/>
        <color rgb="FF00B050"/>
        <rFont val="Arial Narrow"/>
        <family val="2"/>
      </rPr>
      <t>cada vez que se requiera</t>
    </r>
    <r>
      <rPr>
        <b/>
        <sz val="9"/>
        <color theme="1"/>
        <rFont val="Arial Narrow"/>
        <family val="2"/>
      </rPr>
      <t xml:space="preserve"> controla el prestamo y devolución de expedientes   deacuerdo a los lineamientos establecidos por Gestión Documental,</t>
    </r>
    <r>
      <rPr>
        <b/>
        <sz val="9"/>
        <color rgb="FFC00000"/>
        <rFont val="Arial Narrow"/>
        <family val="2"/>
      </rPr>
      <t xml:space="preserve"> dejando como Evidencia Planillas de control.
(GESTION DOCUMENTAL: FORMATO CONTROL PRESTAMO: PRO-GD-03)</t>
    </r>
  </si>
  <si>
    <t>sanciones disciplinarias  y administrativas</t>
  </si>
  <si>
    <t>Deficiencia en la aplicación de los cambios normativos para entidades del gobierno</t>
  </si>
  <si>
    <t xml:space="preserve"> falta de actualización de los documentos de los procesos de gestión de la Secretaría de Hacienda.</t>
  </si>
  <si>
    <r>
      <rPr>
        <b/>
        <sz val="9"/>
        <color rgb="FFFF0000"/>
        <rFont val="Arial Narrow"/>
        <family val="2"/>
      </rPr>
      <t>3. Posibilidad de pérdida reputaciona</t>
    </r>
    <r>
      <rPr>
        <b/>
        <sz val="9"/>
        <rFont val="Arial Narrow"/>
        <family val="2"/>
      </rPr>
      <t xml:space="preserve">l </t>
    </r>
    <r>
      <rPr>
        <b/>
        <sz val="9"/>
        <color rgb="FFFF9900"/>
        <rFont val="Arial Narrow"/>
        <family val="2"/>
      </rPr>
      <t>por</t>
    </r>
    <r>
      <rPr>
        <b/>
        <sz val="9"/>
        <color rgb="FF002060"/>
        <rFont val="Arial Narrow"/>
        <family val="2"/>
      </rPr>
      <t xml:space="preserve"> sanciones disciplinarias  y administrativas  </t>
    </r>
    <r>
      <rPr>
        <b/>
        <sz val="9"/>
        <color rgb="FFFF9900"/>
        <rFont val="Arial Narrow"/>
        <family val="2"/>
      </rPr>
      <t>debido a</t>
    </r>
    <r>
      <rPr>
        <b/>
        <sz val="9"/>
        <color rgb="FF002060"/>
        <rFont val="Arial Narrow"/>
        <family val="2"/>
      </rPr>
      <t xml:space="preserve"> </t>
    </r>
    <r>
      <rPr>
        <b/>
        <sz val="9"/>
        <rFont val="Arial Narrow"/>
        <family val="2"/>
      </rPr>
      <t xml:space="preserve"> </t>
    </r>
    <r>
      <rPr>
        <b/>
        <sz val="9"/>
        <color rgb="FF00B050"/>
        <rFont val="Arial Narrow"/>
        <family val="2"/>
      </rPr>
      <t>deficiencia en la aplicación de los cambios normativos para entidades del gobierno</t>
    </r>
  </si>
  <si>
    <t>actualización de los documentos y normograma</t>
  </si>
  <si>
    <r>
      <rPr>
        <b/>
        <sz val="9"/>
        <color rgb="FFFF0000"/>
        <rFont val="Arial Narrow"/>
        <family val="2"/>
      </rPr>
      <t xml:space="preserve">Los Directores </t>
    </r>
    <r>
      <rPr>
        <b/>
        <sz val="9"/>
        <color theme="1"/>
        <rFont val="Arial Narrow"/>
        <family val="2"/>
      </rPr>
      <t xml:space="preserve"> por medio de su equipo de trabajo revisarán los documentos del proceso de gestión de Hacienda Pública  </t>
    </r>
    <r>
      <rPr>
        <b/>
        <sz val="9"/>
        <color rgb="FF00B050"/>
        <rFont val="Arial Narrow"/>
        <family val="2"/>
      </rPr>
      <t xml:space="preserve">y actualizará si se requiere </t>
    </r>
    <r>
      <rPr>
        <b/>
        <sz val="9"/>
        <color theme="1"/>
        <rFont val="Arial Narrow"/>
        <family val="2"/>
      </rPr>
      <t xml:space="preserve"> </t>
    </r>
    <r>
      <rPr>
        <b/>
        <sz val="9"/>
        <color rgb="FF00B050"/>
        <rFont val="Arial Narrow"/>
        <family val="2"/>
      </rPr>
      <t>anualmente</t>
    </r>
    <r>
      <rPr>
        <b/>
        <sz val="9"/>
        <color theme="1"/>
        <rFont val="Arial Narrow"/>
        <family val="2"/>
      </rPr>
      <t xml:space="preserve"> los documentos,</t>
    </r>
    <r>
      <rPr>
        <b/>
        <sz val="9"/>
        <color rgb="FFC00000"/>
        <rFont val="Arial Narrow"/>
        <family val="2"/>
      </rPr>
      <t xml:space="preserve"> dejando como evidencia el correo electrónico con el envío de los docuementos a actualizar a la Dirección de Fortalecimiento Institucional.
(GESTION DOCUMENTAL: POLITICA GESTION DOCUMENTAL: POL-GD-001)
</t>
    </r>
  </si>
  <si>
    <t xml:space="preserve">SECRETARIO DE HACIENDA Y/O DIRECTORES 
 </t>
  </si>
  <si>
    <t>sanciones disciplinarias  y/o administrativas</t>
  </si>
  <si>
    <t>falta de incorporación de recursos que no pudiesen ser incorporados como superavit.</t>
  </si>
  <si>
    <t>1. Inconsistencia en los cruces entre bancos y las certificaciones</t>
  </si>
  <si>
    <r>
      <t xml:space="preserve">5. </t>
    </r>
    <r>
      <rPr>
        <b/>
        <sz val="9"/>
        <color rgb="FFFF0000"/>
        <rFont val="Arial Narrow"/>
        <family val="2"/>
      </rPr>
      <t xml:space="preserve">Posibilidad de perdida reputacional </t>
    </r>
    <r>
      <rPr>
        <b/>
        <sz val="9"/>
        <color rgb="FFFFC000"/>
        <rFont val="Arial Narrow"/>
        <family val="2"/>
      </rPr>
      <t>por</t>
    </r>
    <r>
      <rPr>
        <b/>
        <sz val="9"/>
        <color theme="3"/>
        <rFont val="Arial Narrow"/>
        <family val="2"/>
      </rPr>
      <t xml:space="preserve"> sanciones disciplinarias y administrativas </t>
    </r>
    <r>
      <rPr>
        <b/>
        <sz val="9"/>
        <color rgb="FFFFC000"/>
        <rFont val="Arial Narrow"/>
        <family val="2"/>
      </rPr>
      <t>debido a</t>
    </r>
    <r>
      <rPr>
        <b/>
        <sz val="9"/>
        <color rgb="FF92D050"/>
        <rFont val="Arial Narrow"/>
        <family val="2"/>
      </rPr>
      <t xml:space="preserve"> </t>
    </r>
    <r>
      <rPr>
        <b/>
        <sz val="9"/>
        <color rgb="FF00B050"/>
        <rFont val="Arial Narrow"/>
        <family val="2"/>
      </rPr>
      <t>la falta de incorporación de recursos que no pudiesen ser incorporados como superavit.</t>
    </r>
  </si>
  <si>
    <t>Certificaciones superavit y de cuentas bancarias</t>
  </si>
  <si>
    <t>DIRECTOR DE TESORERIA</t>
  </si>
  <si>
    <r>
      <rPr>
        <sz val="9"/>
        <color rgb="FF00B050"/>
        <rFont val="Arial Narrow"/>
        <family val="2"/>
      </rPr>
      <t>Deficiencias e Incumplimiento en la gestión de la Determinación del Impuesto Predial Unificad</t>
    </r>
    <r>
      <rPr>
        <sz val="9"/>
        <color theme="1"/>
        <rFont val="Arial Narrow"/>
        <family val="2"/>
      </rPr>
      <t>o.</t>
    </r>
  </si>
  <si>
    <t>1, Retraso en la entrega de información relacionada con actualización y/o conservación catastral por parte del Gestor catastral.  Notificación indebida y/o extemporanea</t>
  </si>
  <si>
    <r>
      <rPr>
        <b/>
        <sz val="9"/>
        <color rgb="FFFF0000"/>
        <rFont val="Arial Narrow"/>
        <family val="2"/>
      </rPr>
      <t>Posibilidad de perdida reputacional y economica</t>
    </r>
    <r>
      <rPr>
        <b/>
        <sz val="9"/>
        <color theme="3"/>
        <rFont val="Arial Narrow"/>
        <family val="2"/>
      </rPr>
      <t xml:space="preserve"> por sanciones disciplinarias y administrativas </t>
    </r>
    <r>
      <rPr>
        <b/>
        <sz val="9"/>
        <color rgb="FFFFC000"/>
        <rFont val="Arial Narrow"/>
        <family val="2"/>
      </rPr>
      <t>debido a</t>
    </r>
    <r>
      <rPr>
        <b/>
        <sz val="9"/>
        <color rgb="FF00B050"/>
        <rFont val="Arial Narrow"/>
        <family val="2"/>
      </rPr>
      <t xml:space="preserve"> la deficiencias e Incumplimiento en la gestión de la Determinación del Impuesto Predial Unificado</t>
    </r>
    <r>
      <rPr>
        <b/>
        <sz val="9"/>
        <rFont val="Arial Narrow"/>
        <family val="2"/>
      </rPr>
      <t>.</t>
    </r>
  </si>
  <si>
    <t>Aplicación del procedimiento PRO-GHP-05 FACTURACION  I.P.U para la actividad No. 11-12 y 13 (C.L.D.O)</t>
  </si>
  <si>
    <t xml:space="preserve">     Entre 1000 y 5000 SMLMV </t>
  </si>
  <si>
    <r>
      <rPr>
        <b/>
        <sz val="9"/>
        <color rgb="FFFF0000"/>
        <rFont val="Arial Narrow"/>
        <family val="2"/>
      </rPr>
      <t>El director (a) de Rentas, con su equipo de trabajo</t>
    </r>
    <r>
      <rPr>
        <b/>
        <sz val="9"/>
        <color theme="1"/>
        <rFont val="Arial Narrow"/>
        <family val="2"/>
      </rPr>
      <t xml:space="preserve">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t>
    </r>
    <r>
      <rPr>
        <b/>
        <sz val="9"/>
        <color rgb="FFC00000"/>
        <rFont val="Arial Narrow"/>
        <family val="2"/>
      </rPr>
      <t xml:space="preserve">dejando como evidencia los avances presentados en el plan de accion de gestion </t>
    </r>
    <r>
      <rPr>
        <b/>
        <sz val="9"/>
        <color rgb="FF00B050"/>
        <rFont val="Arial Narrow"/>
        <family val="2"/>
      </rPr>
      <t>trimestral</t>
    </r>
    <r>
      <rPr>
        <b/>
        <sz val="9"/>
        <color rgb="FFC00000"/>
        <rFont val="Arial Narrow"/>
        <family val="2"/>
      </rPr>
      <t xml:space="preserve"> de la direccion de rentas. 
 PRO-GHP-05 FACTURACION  I.P.U para la actividad No. 11-12 y 13 (C.L.D.O)</t>
    </r>
  </si>
  <si>
    <t>Constitución y trámite Tributario establecido para los TÍTULOS EJECUTIVOS a Cobro Coactivo – Cartera. Concepto: Impuesto Predial Unificado evidenciado en la matriz del plan de accion de gestion de la vigencia y los memorandos de remision de expedientes de la cartera a cobro coactivo.</t>
  </si>
  <si>
    <t>DIRECTOR (A) DE RENTAS</t>
  </si>
  <si>
    <t>GESTION DE INFRAESTRUCTURA TECNOLÓGICA</t>
  </si>
  <si>
    <t xml:space="preserve">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</si>
  <si>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Inicia con la planeación del proceso e incluye las actividades relacionadas con la gestión de la infraestructura tecnológica (software y hardware), gestión de la seguridad de la información y culmina con el seguimiento y evaluación del proceso.</t>
  </si>
  <si>
    <t xml:space="preserve"> Indisponibilidad  de  recurso tecnológico para el funcionamiento de los procesos</t>
  </si>
  <si>
    <t>perdida, daño o desaprovechamiento de  recurso tecnológico</t>
  </si>
  <si>
    <t xml:space="preserve">Uso de recurso Tecnológico </t>
  </si>
  <si>
    <t>Fallas Tecnologicas</t>
  </si>
  <si>
    <t>Secretaría de las TIC</t>
  </si>
  <si>
    <t>F6,7 A4  Difundir y aplicar las políticas de seguridad de la información de equipos</t>
  </si>
  <si>
    <t>Finalizado</t>
  </si>
  <si>
    <t>La Dirección de Contratación cada vez que se inicie un proceso precontractual que incluya adquisición de recurso tecnológico, con el propósito de garantizar el cumplimiento de la política de seguridad, verifica que cuente con el aval de la Secretaria de las TIC, en caso de omisión  solicitará a la secretaria Ejecutora el aval técnico de la Secretaria de las TIC. La Secretaria de las TIC cuando identifique procesos contractuales sin el aval de la Secretaria, socializará nuevamente la política e interpondrá la queja ante la oficina de control único disciplinario. Las evidencias de estas acciones deben reposar en PISAMI Gestión Documental.</t>
  </si>
  <si>
    <t>Secretaria de las TIC</t>
  </si>
  <si>
    <t>Sin Registro</t>
  </si>
  <si>
    <t>GESTIÓN DE INNOVACION Y TIC</t>
  </si>
  <si>
    <t>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  POLÍTICA PÚBLICA DE CIENCIA, TECNOLOGÍA E INNOVACIÓN Y PLAN DE DESARROLLO EN UN NIVEL DE CUMPLIMIENTO ESTIMADO EN EL 90%</t>
  </si>
  <si>
    <t>INICIA CON LA FORMULACIÓN DE LA POLÍTICA PÚBLICA DE INNOVACIÓN Y TIC, CONTINÚA CON LA EJECUCIÓN Y SEGUIMIENTO DE LA POLÍTICA PÚBLICA, LA GESTIÓN DE PROYECTOS DE INNOVACIÓN Y TIC, LA GESTIÓN DE TIC PARA SERVICIOS Y GOBIERNO ABIERTO, FINALIZANDO CON EL SEGUIMIENTO Y EVALUACIÓN DEL PROCESO.</t>
  </si>
  <si>
    <t>No cumplir anualmente con las metas o acciones de la política pública o plan de desarrollo establecidos ocasionando disminución de la credibilidad ante la ciudadanía y disminución del presupuesto  asignado</t>
  </si>
  <si>
    <t xml:space="preserve">     El riesgo afecta la imagen de la entidad a nivel nacional, con efecto publicitarios sostenible a nivel país</t>
  </si>
  <si>
    <t xml:space="preserve"> La Secretario de las TIC en conjutno con Asesor y Profesional Especializado del Grupo de Innovación y TIC ) ,trimestralmente verifica el cumplimiento de los siguientes instrumentos (Plan de Acción Política Pública, plan de anual de adquisiciones, plan operativo anual de inversión, plan anual de caja y plan de acción de metas del plan de desarrollo) donde se encuentra progrmadas las líneas estratégicas con sus actividades, así mismo las metas de producto planteadas en el plan de desarrollo; la evidencia reposará en la serie documental de Informe de Gestión de la Secretaría de las TIC, también en el correo institucional innovaciontic@ibague.gov.co y Plataforma PISAMI. En caso de que no se asigne presupuesto, se debe contemplar alianzas públicas y/o solicitar recursos al alcalde justificando la necesidad.</t>
  </si>
  <si>
    <t>D1;O5;O6: Obligatoriedad de metas en el plan Desarrollo para la  asignacion de recursos metas para cubrir necesidades de la comunidad para el uso y gestion TIC  e Investigacion de ciencia y tecnologia</t>
  </si>
  <si>
    <t>Obsolescencia tecnológica que impacten los programas de masificación y apropiación de TIC</t>
  </si>
  <si>
    <t xml:space="preserve"> La Secretario de las TIC en conjutno con Asesor y Profesional Especializado del Grupo de Innovación y TIC,  anualmente realiza procesos contractuales se adquiere de software y hardware con el objeto de potencializar los centros digitales y así mismo impulsar el uso y apropiación de las tecnologías de la información lo anterior contemplado en el plan de anual de adquisiciones,  plan operativo anual de inversión, plan anual de caja y plan de acción. Así mismo el mobiliario y los equipos tecnológicos se encuentran amparados en una póliza de seguro en caso eventuales de daños a equipos. Así mismo se hacen brigadas de mantenimiento preventivo y correctivo a los equipos. La evidencia reposa en Plataforma PISAMI y en la serie documental de Informe de Gestión de la Secretaría de las TIC. En caso de que no se asigne recursos económicos mediante adiciones presupuestales, justificando la necesidad.</t>
  </si>
  <si>
    <t>Correctivo</t>
  </si>
  <si>
    <t>D2;O8: Realizacion de estudios económicos y análisis de mercado para la celebracion de contratos de tecnologico con el objeto de mejorar la infraestructura tecnológica;</t>
  </si>
  <si>
    <t>Deterioro en la infraestructura de los centros tecnológicos provocado por el ambiente.</t>
  </si>
  <si>
    <t xml:space="preserve"> La Secretario de las TIC en conjutno con Asesor y Profesional Especializado del Grupo de Innovación y TIC y con el apoyo del proceso de Gestión de Recursos Físicos, anualmente fortalece la infraestructura de los centros digitales cuando éstos presentan eventos naturales, fallas estructurales y fallas del fluido eléctrico o por factores de orden público o ambientales.  Así mismo el mobiliario y los equipos tecnológicos se encuentran amparados en una póliza de seguro en caso eventuales de daños a equipos. La evidencia reposa en Plataforma PISAMI (Mmemorando, oficicios, circulaes) y en la serie documental de Informe de Gestión de la Secretaría de las TIC y proceso contractual en calidad de comodato o arriendo. Si se presenta el caso de que no se logre la alianza con la Secretaría Administrativa, se debe solicitar recursos económicos justificando la necesidad del servicio.</t>
  </si>
  <si>
    <t>Reducir (compartir)</t>
  </si>
  <si>
    <t>A1;A2;D1: Aplicar el procedimiento para efectuar mantenimiento a la infraestructura física, bienes muebles y recurso tecnológico.  A1;F5: Estabalece un buen canal de comunicación con los otros pocesos para el apoyo de seguridad o vigilancia  A2;D1: Solicitar vigilancia 24/7 en los Puntos Vive Digitale (Donde la alcaldía tiene moviliario a cargo) a recursos físicos.</t>
  </si>
  <si>
    <t>La Secretaría de las TIC en conjutno con Asesor y Profesional Especializado del Grupo de Innovación y TIC, trimestralmente verifica el cumplimiento de las acciones en el Plan de Acción de la Política Pública y las mentas del Plan de desarrollo vigente, teniendo en cuenta el avance mediante el desarrollo estrategias de capacitaciones virtuales para incentivar el uso y apropiación de las TIC. La evidencia reposa en la plataforma ibagueaprendetic.ibague.gov.co, publicacion de oferta insticional, plataforma PISAMI, así mismo en los Formatos de Asistencia Externa que reposa en la gestión documental de la secretaría. Si se presenta el caso de que no se logre las mestas de capacitación se realizará alianzas público privadas para alcanzar el objetivo de la polítca.</t>
  </si>
  <si>
    <t>A2;D3: Cursos virtuales; Cursos Presenciales con Medidas de Bioseguridad; D1;O1;O3: Crear nuevos y manterner convenios de ofertas academicas gratuitas con entidades público o privadas aliadas para el desarrollo de metas en apropiación y uso de las  TICM; F1;F4;O1;O5: Convenios con entidades público o privadas para impulsar la transformación digital, la ciencia, la innovación e Investigación                                                       
D1;O2: Promover los PVD y VIVELAB a la comunidad por medios publicitarios para impulsar la transformación digital</t>
  </si>
  <si>
    <t>INICIA CON LA PLANEACIÓN DEL PROCESO, GESTIONANDO LOS BIENES Y SERVICIOS REQUERIDOS PARA GARANTIZAR EL FUNCIONAMIENTO DE LA ADMINISTRACIÓN, DESARROLLANDO LAS ACTIVIDADES DE MANEJO Y CONTROL DEL INVENTARIO DE LOS BIENES MUEBLES DEL MUNICIPIO, IDENTIFICAR, LEGALIZAR Y TITULAR LOS BIENES FISCALES Y DE USO PUBLICO Y EL MANTENIMIENTO PREVENTIVO Y CORRECTIVO DE VEHICULOS Y BIENES DEL MUNICIPIO, CULMINANDO CON EL SEGUIMIENTO Y EVALUACIÓN DEL PROCESO.</t>
  </si>
  <si>
    <t>Sancion del ente regulador</t>
  </si>
  <si>
    <t>Deficiente gestion de la Programacion Contractual Para el Funcionamiento de la Administracion Central</t>
  </si>
  <si>
    <t>Deficiente planeacion de las actividades del proceso</t>
  </si>
  <si>
    <t>GESTIÓN HUMANA</t>
  </si>
  <si>
    <t>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t>
  </si>
  <si>
    <t>INICIA CON LA IDENTIFICACIÓN DE LAS NECESIDADES DE PERSONAL, PARA SU VINCULACIÓN, TRAMITANDO LAS SITUACIONES ADMINISTRATIVAS, IMPLEMENTANDO EL PLAN INSTITUCIONAL DE CAPACITACIÓN Y EL SISTEMA DE ESTÍMULOS, GESTIONANDO LOS PROGRAMAS DE INDUCCIÓN, RE INDUCCIÓN, BIENESTAR E INCENTIVOS. AL IGUAL QUE GESTIONAR EL PAGO DE LA NÓMINA, IMPLEMENTAR LA ADAPTACIÓN AL CAMBIO ORGANIZACIONAL, HASTA EL RETIRO DEL SERVIDOR PÚBLICO</t>
  </si>
  <si>
    <t>Debilidad en las competencias, habilidades, conocimientos de los servidores públicos</t>
  </si>
  <si>
    <t>La inoportuna ejecución de las actividades establecidas en el plan estratégico de talento humano</t>
  </si>
  <si>
    <t>Demora en la adjudicación del proceso contractual para adelantar la actividades de bienestar social</t>
  </si>
  <si>
    <t>Posibilidad de pérdida reputacional por debilidad en las competencias, habilidades, conocimientos y la fuga de conocimiento de los servidores públicos, debido a la inoportuna ejecución de las actividades establecidas en el plan estratégico de talento humano</t>
  </si>
  <si>
    <t>Plan Estrategico de talento humano, plan de bienestar e incentivos,plan anual de vacantes, plan de prevision de recursos humanos y plan institucional de capacitación</t>
  </si>
  <si>
    <t>Asignación de personal para el proceso pre contractual del proceso de plan de bienestar</t>
  </si>
  <si>
    <t>Director (a) Talento Humano</t>
  </si>
  <si>
    <t>Demora en la implementación de las actividades programadas en en los planes a cargo de Talento Humano</t>
  </si>
  <si>
    <t xml:space="preserve">Identificar las actividades no ejecutadas y reprogramarlas </t>
  </si>
  <si>
    <t xml:space="preserve">Falta de transferencia del conocimiento entre los funcionarios de la Administración Municipal </t>
  </si>
  <si>
    <t>El inoportuno cumplimiento del Código de integridad y buen gobierno</t>
  </si>
  <si>
    <t xml:space="preserve">Incumplimiento de los valores institucionales por parte de los servidores públicos </t>
  </si>
  <si>
    <t>Posibilidad de pérdida reputacional por  el  incumplimiento del Código de integridad y buen gobierno</t>
  </si>
  <si>
    <t xml:space="preserve">Código de Intergidad y Buen Gobierno </t>
  </si>
  <si>
    <t>Fraude Interno</t>
  </si>
  <si>
    <t xml:space="preserve">Solicitar a La Oficina de Control Disciplinario el informe de quejas y denuncias que no ha sido enviado para su verificación por parte de la Dirección de Talento Humano </t>
  </si>
  <si>
    <t>Incumplimiento a la Ley 2013 del 2019  de los servidores  afectados por esta normativa</t>
  </si>
  <si>
    <t>Ley 2013 del 2019</t>
  </si>
  <si>
    <t xml:space="preserve"> Se realiza revisión de las declaraciones de conflcitos de intereses</t>
  </si>
  <si>
    <t>Incumplimiento al Decreto 830 del 2021 de los servidores  afectados por esta normativa</t>
  </si>
  <si>
    <t>Decreto 830 del 2021</t>
  </si>
  <si>
    <t>ASUMIR Y EJERCER LA TOTALIDAD DE LA DEFENSA JURÍDICA DEL MUNICIPIO DE IBAGUÉ, A PARTIR DE LA REPRESENTACIÓN JUDICIAL, EXTRAJUDICIAL O ADMINISTRATIVA Y LA ASESORÍA SISTEMÁTICA Y PERMANENTE DE LAS ACTUACIONES DE LA ADMINISTRACIÓN CENTRAL, EN ARAS DE LA PROTECCIÓN DEL PATRIMONIO PÚBLICO Y SALVAGUARDA DEL ORDENAMIENTO JURÍDICO.</t>
  </si>
  <si>
    <t>INICIA CON LA PLANEACIÓN DEL PROCESO, CONTINUA CON EL ACOMPAÑAMIENTO Y EL SOPORTE LEGAL EN TODAS LAS ACTUACIONES Y DECISIONES QUE SE TOMEN A NIVEL DE LA ADMINISTRACIÓN CENTRAL MUNICIPAL, LA REPRESENTACIÓN JUDICIAL, EXTRAJUDICIAL O ADMINISTRATIVA, LA NOTIFICACIÓN DE ACCIONES JUDICIALES QUE INVOLUCREN A LA ENTIDAD O LA INTERPOSICION DE ACCIONES JUDICIALES EN DEFENSA DE LOS INTERESES DE LA ENTIDAD, Y LA SENTENCIA DEBIDAMENTE EJECUTORIADA HASTA LA ADOPCIÓN DE LA DECISIÓN PROFERIDA POR LA AUTORIDAD COMPETENTE, EL SEGUIMIENTO A SU CUMPLIMIENTO Y EL PAGO DE LAS SUMAS DE DINERO PRODUCTO DE CONDENAS. FINALIZA CON EL SEGUIMIENTO Y EVALUACIÓN DEL PROCESO.</t>
  </si>
  <si>
    <t>No cumplimiento de las decisiones impartidas por los  despachos judiciales</t>
  </si>
  <si>
    <t>Gestión inoportuna para dar cumplimiento a las providencias  por parte de los Secretarios de Despacho</t>
  </si>
  <si>
    <t xml:space="preserve">posibilidad de perdida economica y reputacional, por sanciones disciplinarias e incidente de desacato, debido a la Gestión inoportuna para dar cumplimiento a las providencias  por parte de los Secretarios de Despacho </t>
  </si>
  <si>
    <t xml:space="preserve">EFECTUAR SEGUIMIENTO AL CUMPLIMIENTO DEL FALLO CONDENATORIO  PRO-GJ-001 
EJERCER LA REPRESENTACIÓN DEL MUNICIPIO EN EL PROCESO JUDICIAL  PRO-GJ-001 
REALIZAR ASESORÍA Y ACOMPAÑAMIENTO JURÍDICO PRO-GJ-003
                          </t>
  </si>
  <si>
    <t>Insuficiencia o inoportunidad en la entrega de informes y/o elementos materiales probatorios que se deban presentar en la actuaciones procesales por parte de las dependencias ejecutoras</t>
  </si>
  <si>
    <t xml:space="preserve">fallos desfavorables en los procesos judiciales </t>
  </si>
  <si>
    <t xml:space="preserve">Ausencia de propuestas de defensa  al interor de cada caso en concreto </t>
  </si>
  <si>
    <t>la jefe de oficina junto con los asesores y contratistas que ejercen Representacion Judicial, verifican la aplicacion de la adecuada normatividad en el caso concreto, en un comite juridico cada dos meses, en el que se estudien los procesos mas relavantes y la normatividad aplicable a los procesos que cursen en la dependencia, dejando acta de lo socializado en el comite.</t>
  </si>
  <si>
    <t>falta de actualizacion de las normas y jurisprudencia aplicable a cada caso concreto.</t>
  </si>
  <si>
    <t>La Jefe de oficina juridica, junto con su equipo de tecnicos operativos  verifica en el sistema de control de procesos judiciales, disciplinarios y contratos de la alcaldia de Ibauge SOFTCON  si los apoderados judiciales  han realizado la valoracion de probabilidad de condena de los procesos que tienen a cargo., dejando como evidencia la actuacion registrada en SOFTCON.</t>
  </si>
  <si>
    <t xml:space="preserve">Sanciones y disminución de recursos  </t>
  </si>
  <si>
    <t>Incumplimiento a las politicas publicas y a las metas del plan territorial de salud</t>
  </si>
  <si>
    <t>Posiblilidad de perdida reputacional y económica  por sanciones y/o disminución de recursos debido al imcumplimiento de las políticas publicas y a las metas del Plan Territorial de Salud  "PTS".</t>
  </si>
  <si>
    <t>Ejecución y Administración de procesos</t>
  </si>
  <si>
    <t>Permanente</t>
  </si>
  <si>
    <t>Bimensual</t>
  </si>
  <si>
    <t>Desarticulación entre las direcciónes de la secretraría para formular e implementar acciones y estrategias.</t>
  </si>
  <si>
    <t>La secretaria de salud convoca a comités técnicos mensuales al equipo directivo, con el fin de evaluar la ejecución de los instrumentos de planeación, la articulación entre los programas y las necesidades de apoyo a otro sectores para lograr los resultados propuestos, de considerarse necesario se convocara comité de forma extraordinaria o a solicitud motivada por los demás miembros del Comité, dejando como evidencia las actas de reunión y los registros de asistencia</t>
  </si>
  <si>
    <t>Planeación Estratégica y Territorial</t>
  </si>
  <si>
    <t>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t>
  </si>
  <si>
    <t>INICIA DESDE LA ELABORACION DEL PLAN DE ORDENAMIENTO TERRITORIAL, PLAN DE DESARROLLO MUNICIPAL, PLAN PLURIANUAL DE INVERSIONES, PLAN INDICATIVO, ADMINISTRACION DE LAS BASES DE DATOS DE LOS POTENCIALES BENEFICIARIOS A PROGRAMAS SOCIALES; HASTA EL SEGUIMIENTO A LA IMPLEMENTACION DE POLITICAS, PLANES, PROGRAMAS Y PROYECTOS.</t>
  </si>
  <si>
    <t>Director de Planeación del Desarrollo</t>
  </si>
  <si>
    <t xml:space="preserve">Falta de idoneidad y/o suficiencia  técnica por parte del personal enlace de las secretarías y entes descentralizados encargados de realizar el seguimiento al cumplimiento de sus respectivas y debido reporte de instrumentos de planeación cumpliendo con los estándares exigidos por la dirección de planeación del desarrollo. </t>
  </si>
  <si>
    <t xml:space="preserve">En el comité institucional de gestión y desempeño y/o el consejo directivo el secretario de Planeación y el director de Planeación del Desarrollo podrán exponer los casos de mayor rezago en términos de avances de meta, y de esta manera plantear planes de acción para acelerar el cumplimiento. Evidencia acta </t>
  </si>
  <si>
    <t>Inconsistencia y/o indebida formulación de los instrumentos de planeación</t>
  </si>
  <si>
    <t>Posibilidad de perdida económica y reputacional por implementación de un modelo de desarrollo territorial por fuera de las realidades del municipio</t>
  </si>
  <si>
    <t xml:space="preserve">1. Elaboración del plan de ordenamiento territorial </t>
  </si>
  <si>
    <t>Directora de ordenamiento territorial</t>
  </si>
  <si>
    <t>Perdida de Informacion</t>
  </si>
  <si>
    <t>Grupo de gestion documental</t>
  </si>
  <si>
    <t xml:space="preserve">Deficiencia en el control de prestamo de los documentos en las unidades administrativas </t>
  </si>
  <si>
    <t>Realizar anualmente visitas de seguimiento verificando la correcta aplicación del formato de control de prestamos documentales.</t>
  </si>
  <si>
    <t>Grupo de Gestion Documental</t>
  </si>
  <si>
    <t>GESTIÓN DEL SERVICIO Y ATENCIÓN AL CIUDADANO</t>
  </si>
  <si>
    <t>ATENDER, ORIENTAR Y EVALUAR CONTINUAMENTE DE MANERA OPORTUNA Y EFICAZ, LAS DIFERENTES SOLICITUDES DE LA CIUDADANÍA, EN EL MARCO DE SUS REQUISITOS Y NECESIDADES, CON EL FIN DE LOGRAR LA SATISFACCIÓN DEL CIUDADANO, FRENTE A LOS SERVICIOS Y LA ATENCIÓN PRESTADA EN LA ADMINISTRACIÓN MUNICIPAL.</t>
  </si>
  <si>
    <t>INICIA CON LA PRESENTACIÓN DE LAS NECESIDADES DE LOS CIUDADANOS EN CUANTO A LA PRESTACIÓN DE LOS SERVICIOS, PLANEACIÓN DE LAS ESTRATEGIAS Y ACTIVIDADES A REALIZAR PARA MEJORAR LA ATENCIÓN TENIENDO EN CUENTA LA ORIENTACIÓN QUE SE DEBE BRINDAR, PARA LA RECEPCIÓN DE SOLICITUDES, PQRS, Y FACILITAR LAS RESPUESTAS OPORTUNAS, EFECTUANDO EVALUACIONES PARA EL ANÁLISIS Y LA RETROALIMENTACIÓN DE LA INFORMACIÓN A LOS REQUERIMIENTOS, EJERCIENDO CONTROLES EN CUANTO A LA PERCEPCIÓN DEL CIUDADANO Y FINALIZA CON EL SEGUIMIENTO E IMPLEMENTACIÓN DE ACCIONES PREVENTIVAS, CORRECTIVAS Y DE MEJORA.</t>
  </si>
  <si>
    <t xml:space="preserve">Acciones legales (sanciones disciplinarias, demandas y demás acciones jurídicas) y/o hallazgos de los entes de control </t>
  </si>
  <si>
    <t>Directora de Atención al Ciudadano</t>
  </si>
  <si>
    <t>Errores en la clasificación del tipo de petición - Derechos de Petición</t>
  </si>
  <si>
    <t>Realizar informes consolidados de seguimiento a las ventanillas</t>
  </si>
  <si>
    <t>Errores en el direccionamiento del tipo de petición - Derechos de Petición</t>
  </si>
  <si>
    <t>El Profesional Universitaro(a) de la Dirección de Atención al Ciudadano y lider de cada unidad administrativa diariamente verifica y revisa aleatoreamente que la correspondencia haya sido remitida a la unidad administrativa competente a través de la plataforma PISAMI, donde se realiza la exportación de las peticiones radicadas y se verifica el grado de clasificación, de acuerdo a lo establecido en la resolución del trámite interno del Derecho de Petición de la Alcaldía y normatividad vigente. En caso de encontrar peticiones mal direccionadas, se procede a realizar el cambio en la Plataforma PISAMI y se envia correo electrónico informativo.</t>
  </si>
  <si>
    <t>Falta de seguimiento a los tiempos de respuestas de los Reclamos - Derechos de Petición formulados a la entidad</t>
  </si>
  <si>
    <t>El Director de Atención al Ciudadano trimestralmente verifica que las respuestas emitidas por las diferentes unidades administrativas de los Reclamos sean respondidas dentro de los términos establecidos por la ley y genera un informe que se exporta de la plataforma PISAMI, donde se puede visualizar el estado de las respuestas a los Reclamos de cada unidad administrativa perteneciente a los procesos misionales. En caso de encontrar Reclamos a los cuales no se les dio respuesta dentro de los términos establecidos por la ley, se remite un informe de lo ocurrido a las Dependencias y se expone en el Comité de Coordinación de Control Interno para que cada Dependencia implemente las acciones correspondientes, se procede a realizar informes de seguimiento con el respectivo seguimiento al indicador.</t>
  </si>
  <si>
    <t xml:space="preserve"> Reportar en el Comité de Coordinación de Control Interno mediante informe el estado de respuestas de los Reclamos con el fin de que cada Dependencia implemente las acciones de mejora correspondientes.</t>
  </si>
  <si>
    <t>Falta de socialización de los mecanismos de comunicación para con los ciudadanos</t>
  </si>
  <si>
    <t>Usuarios, productos y practicas , organizacionales</t>
  </si>
  <si>
    <t xml:space="preserve">     Entre 200 y 1000 SMLMV</t>
  </si>
  <si>
    <t>Socializar y difundir información de los canales de atención, trámites, servicios y correos electrónicos de las Dependencias a los ciudadanos.</t>
  </si>
  <si>
    <t>Económico</t>
  </si>
  <si>
    <t>Deficiencias en la planeación del proceso</t>
  </si>
  <si>
    <t>Gestión Educativa</t>
  </si>
  <si>
    <t>EL PROCESO INICIA CON LA PLANEACIÓN DE LAS ACTIVIDADES, CONTINÚA CON LA GESTIÓN DE LA COBERTURA, LA GESTIÓN DE LA CALIDAD EDUCATIVA, LA INSPECCIÒN Y VIGILANCIA CON EL SEGUIMIENTO Y EVALUACIÓN, PARA LA OBTENCIÓN DE LOS OBJETIVOS PROPUESTOS.</t>
  </si>
  <si>
    <t>Sanciones del Ente regulador e Inconformismo de la comunidad</t>
  </si>
  <si>
    <t>Deficiente prestación de servicio educativo por Incumplimiento de condiciones basicas</t>
  </si>
  <si>
    <t>Recursos humanos, tecnicos, administrativos y financieros insuficientes para lograr satisfacer las necesidades de los NNA beneficiarios del servicio educativo oficial</t>
  </si>
  <si>
    <t>Posibilidad de afectación  reputacional por Sanciones del Ente regulador e Inconformismo de la comunidad debido a deficiente prestación de servicio educativo por Incumplimiento de condiciones basicas</t>
  </si>
  <si>
    <t>Actividades de Cobertura, calidad e inspección educativa</t>
  </si>
  <si>
    <t>Contratar personal a traves de ordenes de prestación de servicios (100 personas) para cumplir las metas que hacen parte del servicio educativo</t>
  </si>
  <si>
    <t xml:space="preserve">Secretario de Educación </t>
  </si>
  <si>
    <t>El (la) Secretario (a) de educación y sus directores revisan las actividades y validan el cumplimiento del plan de acción de manera trimestral, con el fin de verificar posbiles desviaciones a la planeación. Dejando como evidencia el monitoreo y envío del plan de acción a planeación.</t>
  </si>
  <si>
    <t>Asignación de recursos en el POAI y Plan de acción,  conforme las metas del Plan de Desarrollo Municipal.</t>
  </si>
  <si>
    <t>Falta de liderazgo y compromiso por parte de las Directivas de algunas Insituciones Educativas</t>
  </si>
  <si>
    <t>El (la) Secretario de Educación y sus directores, semestralmente o cuando se requiera, comunican a los rectores de IE oficiales los lineamientos y pautas basados en normatividad vigente , mediante reuniones y la pagina WEB, dejando como evidencia comunicados oficiales y/o planillas de asistencia</t>
  </si>
  <si>
    <t>Dos (2) capacitaciones al personal directivo sobre la gestion educativa</t>
  </si>
  <si>
    <t>Dirección de Calidad y Dirección  Administrativa y Financiera</t>
  </si>
  <si>
    <t>Hallazgos por parte de entes de control y/o quejas de las partes interesada</t>
  </si>
  <si>
    <t>Falta de implementación de metodologias flexibles</t>
  </si>
  <si>
    <t>Posibilidad de afectación reputacional por hallazgos por parte del ente de control y/o quejas de las partes interesadas debido a Niñas y Niños sin acceso al sistema educativo oficial</t>
  </si>
  <si>
    <t>Actividades de Cobertura ( Acceso y Permanencia)</t>
  </si>
  <si>
    <t>Adopción de una (1) estrategia de  metodología flexible para manejo de población  en condición de vulnerabilidad</t>
  </si>
  <si>
    <t>Direccion de Cobertura</t>
  </si>
  <si>
    <t>Desconocimieto e infracción de normatividad relacionado con acceso al servicio educativo oficial</t>
  </si>
  <si>
    <t>El (la) Secretario (a) de educación y sus directores, de manera trimestralmente revisan, consolidan, hacen seguimiento y reportan el normograma institucional dejando como evidencia la matriz y el correo de envío</t>
  </si>
  <si>
    <t>Dos (2) capacitaciones al personal directivo sobre normatividad y la gestión educativa en el ingreso de niños, niñas y adolescentes al sistema educativo</t>
  </si>
  <si>
    <t xml:space="preserve">Incumplimiento de las metas establecidas en los planes de acción y en plan de desarrollo municipal . </t>
  </si>
  <si>
    <t>Planificación inadecuada de las acciones y estrategias propias de la entidad en cumplimiento al proceso de gestión Infraestructura y Obras Públicas</t>
  </si>
  <si>
    <t>Desarticulación entre la secretaría y las demas dependencias de la entidad  involucradas en los procesos contractuales del Proceso Gestión Infraestructura y Obras Públicas</t>
  </si>
  <si>
    <t>Posiblilidad de perdida reputacional y económica  por incumplimiento de las metas establecidas en los planes de acción y en plan de desarrollo municipal debido a la planificación inadecuada de las acciones y estrategias propias de la entidad en cumplimiento al proceso de gestión en Infraesructura y Obras Públicas</t>
  </si>
  <si>
    <t xml:space="preserve">REALIZAR LA FORMULACIÓN Y APROBACIÓN DEL PLAN DE DESARROLLO MUNICIPAL
REALIZAR LA IDENTIFICACION DE LOS ESTUDIOS Y DISEÑOS DE PROYECTOS PARA LA CONSTRUCCION DE INFRAESTRUCTURA Y OBRAS PUBLICAS
</t>
  </si>
  <si>
    <t>El secretario de Infraestructura convoca cada quince dias comite de contratación para hacer el seguimiento de los procesos contractuales, dejando como evidencia las actas de reunion y los registros de asistencia</t>
  </si>
  <si>
    <t xml:space="preserve">Implementar una herramienta ya sea Base de Datos o una Matriz que permita el seguimiento a los procesos contractuales  </t>
  </si>
  <si>
    <t>Secretario(a) de Infraestructura, Equipo Directivo</t>
  </si>
  <si>
    <t>Se realiza el seguimiento mediante documentos como actas de reunión y evidencia de la matriz o base de datos de seguimiento a los procesos contractuales de manera mensual.</t>
  </si>
  <si>
    <t>El secretario de infraestructura convoca a comités técnicos mensuales a funcionarios y contratistas, con el fin de realizar el seguimiento a los proyectos de infraestructura y Obras Públicas, dejando como evidencia las actas de reunión y los registros de asistencia</t>
  </si>
  <si>
    <t xml:space="preserve">Cumplir con la realizacion de los comites tecnicos mensuales para el seguimiento a los proyectos de infraestructura y obras publicas </t>
  </si>
  <si>
    <t>Incumplimiento en la entrega final de las obras de infraestructura y obras publicas por falta de recursos y demoras en la ejecucion del proyecto para atender la necesidades de la población.</t>
  </si>
  <si>
    <t xml:space="preserve">Falta de gestión al seguimiento y verificacion a la ejecuicon de obras de infraestructura y obras publicas </t>
  </si>
  <si>
    <t>Cambios normativos y de gobierno</t>
  </si>
  <si>
    <t>Posiblilidad de perdida reputacional y económica  por incumplimiento en la entrega final de las obras de infraestructura y obras publicas por falta de recursos y demoras en la ejecucion del proyecto para atender la necesidades de la población, obras inconclusas por falta de las debidas condiciones técnicas y de calidad requeridas y generción de residuos debido a la falta de gestión al seguimiento y verificacion a la ejecuicon de obras de infraestructura y obras publicas.</t>
  </si>
  <si>
    <t xml:space="preserve">Cumplir con la realizacion de los comites tecnicos semanales y/ o quincenales  para el seguimiento de las distintas actividades  de los proyectos de infraestructura y obras publicas </t>
  </si>
  <si>
    <t>Personal que no cumple con la competencia requerida</t>
  </si>
  <si>
    <t>Obras inconclusas por falta de las debidas condiciones técnicas y de calidad requeridas.</t>
  </si>
  <si>
    <t>Realizar mesas de trabajo quincenales y/o mensuales con el fin de revisar el desarrollo de las actividades del personal profesional y de apoyo a la gestion, como de los contratistas de obra e interventoria.</t>
  </si>
  <si>
    <t>Secretario(a) de Infraestructura, Equipo Directivo, Supervisores</t>
  </si>
  <si>
    <t xml:space="preserve">Seguimiento mediante actas de reunion </t>
  </si>
  <si>
    <t xml:space="preserve">Generción de residuos ocasionados por la construccion de obras de infraestructura y obras publicas </t>
  </si>
  <si>
    <t xml:space="preserve">Ausencia de control y exigencia por parte del supervisor del contrato a los contratistas en terminos ambientales y de seguridad y salud en el trabajo </t>
  </si>
  <si>
    <t>Investigaciones y sanciones del ente regulador y descontento de la comunidad artistica</t>
  </si>
  <si>
    <t xml:space="preserve"> Deficiente prestación de los bienes, servicios y manifestaciones artisticas y culturales</t>
  </si>
  <si>
    <t>Incumplimiento de las metas y deficiente ejecución en los planes, programas y proyectos del proceso</t>
  </si>
  <si>
    <t>Posiblidad de afectación economica y reputacional por Investigaciones y sanciones de los entes de control y descontento de la comunidad artistica debido a Deficiente prestación de los bienes, servicios y manifestaciones artisticas y culturales</t>
  </si>
  <si>
    <t>FORMULAR EJECUTAR Y
REALIZAR SEGUIMIENTO
DE POLÍTICAS, PLANES
PROGRAMAS Y
PROYECTOS</t>
  </si>
  <si>
    <t>Apoyar la coordinación de los programas trimestralmente evaluar, hacer seguimiento y reportar los avances de las metas de la Secretaria de Cultura,  a la secretaría de planeación dejando como evidencia el correo e informe de cumplimiento.</t>
  </si>
  <si>
    <t>Mensualmente se realizará comité técnico donde se socialicen las metas estrategicas del Proceso, las ejecuciones de metas y ejecuciones presupuestales</t>
  </si>
  <si>
    <t>Secretaria y Directora</t>
  </si>
  <si>
    <t>Revisar los reportes de cumplimiento de metas de los diferentes programas y valida la información para ser reportada a la Secretaría de Plaenacion, dejando como evidencia el correo y/o memorando de envío</t>
  </si>
  <si>
    <t>Falta de apropiación y destinación de los recursos necesarios en cada uno de los programas</t>
  </si>
  <si>
    <t>Elaborar el plan anual de adquisiciones y plan de acción validando que se destinen los recursos para las actividades planeadas durante ese año. Dejando como evidencia el PAA y Plan de Acción elaborados</t>
  </si>
  <si>
    <t>Desconocimiento de los temas estratégicos del proceso</t>
  </si>
  <si>
    <t xml:space="preserve">Socializar  los temas estratégicos de la secretaria de cultura en el marco del plan de desarrollo. </t>
  </si>
  <si>
    <t xml:space="preserve">Capacitación a los funcionarios y contratistas sobre temas estratégicos del Proceso </t>
  </si>
  <si>
    <t xml:space="preserve">Falta de planeación  en la contratacióin del OPS con perfil idóneo para el desarrollo de actividades y el cumplimiento de las metas </t>
  </si>
  <si>
    <t xml:space="preserve">Revisión del perfil idóneo  de los requerimientos de OPS de la secretaria de cultura de los diferentes grupos y áreas para el desarrollo de las actividades. </t>
  </si>
  <si>
    <t>Muy Baja</t>
  </si>
  <si>
    <t>moderado</t>
  </si>
  <si>
    <t>Alto</t>
  </si>
  <si>
    <t xml:space="preserve">Reunión con la Alta Dirección para revisión de las OPS requeridas </t>
  </si>
  <si>
    <t>secretaria y Directora</t>
  </si>
  <si>
    <t xml:space="preserve">Remisión perffiles correo electrónico </t>
  </si>
  <si>
    <t>Control unico Disciplinario</t>
  </si>
  <si>
    <t>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t>
  </si>
  <si>
    <t>INICIA DE OFICIO ANTE UNA QUEJA O INFORME DE SERVIDOR PÚBLICO, LA EVALUACIÓN DE LA QUEJA, QUE PUEDE DAR LUGAR A UN AUTO INHIBITORIO, AUTO DE INDAGACIÓN PRELIMINAR, AUTO DE INVESTIGACIÓN DISCIPLINARIO, AUTO POR REMISIÓN DE COMPETENCIA, PARA TERMINAR Y/O ARCHIVAR, DE ACUERDO AL FALLO SANCIONATORIO O ABSOLUTORIO</t>
  </si>
  <si>
    <t>Reconstrucción de expedientes o sanciones por parte del ente regulardor</t>
  </si>
  <si>
    <t>Perdida de informacion y expedientes disciplinarios</t>
  </si>
  <si>
    <t xml:space="preserve">Falta de continuidad del personal con las competencias administrativas idoneas </t>
  </si>
  <si>
    <t xml:space="preserve"> falta de una herramienta o sistema de información que permita registrar las etapas del proceso,  genere alertas y salvaguarde la información.</t>
  </si>
  <si>
    <t xml:space="preserve">Posibilidad de perdida reputacional por desatención al procedimiento que busca los fines del derecho disciplinario. </t>
  </si>
  <si>
    <t xml:space="preserve">Desacato de los  terminos de Ley. </t>
  </si>
  <si>
    <t xml:space="preserve"> Posibilidad de perdida reputacional por incumplimiento de los fines del procedimiento disciplinario, en busca de la verdad material y la justicia; debido a el desacato de los terminos de Ley.</t>
  </si>
  <si>
    <t xml:space="preserve">El jefe de la Oficina de Control Unico Disciplinario cada vez que se va a contratar personal, verifica el perfíl de la persona y lo compara frente a las necesidades reales del personal en la oficina. Dejando como evidencia la aprobación para la contratación. </t>
  </si>
  <si>
    <t xml:space="preserve">Ausencia de material probatorio. </t>
  </si>
  <si>
    <t>Falta de control en la recepción de quejas y desorganización en reparto.</t>
  </si>
  <si>
    <t>Pérdida Reputacional</t>
  </si>
  <si>
    <t>Las quejas son radicadas en diferentes entes de control, quienes remiten por competencia a la O.C.U.D las quejas a destiempo.</t>
  </si>
  <si>
    <t>PROCESO: PROCESO: GESTIÓN DE PARTICIPACION CIUDADANA</t>
  </si>
  <si>
    <t>FORMULAR, IMPLEMENTAR Y HACER SEGUIMIENTO CONTINUO A POLÍTICAS, PLANES, PROGRAMAS, PROYECTOS Y ESTRATEGIAS ENCAMINADOS A PROMOVER Y FORTALECER LA PARTICIPACIÓN CIUDADANA EN EL MARCO DE LA ÉTICA PUBLICA EN EL MUNICIPIO DE IBAGUÉ</t>
  </si>
  <si>
    <t>Investigaciones por parte de los organismos de control</t>
  </si>
  <si>
    <t>INCUMPLIMIENTO EN LA PROMOCIÓN Y DEFICIENCIAS EN EL FORTALECIMIENTO DE  LA PARTICIPACIÓN CIUDADANA EN EL  EN EL MUNICIPIO DE IBAGUÉ</t>
  </si>
  <si>
    <t xml:space="preserve"> POSIBILIDAD DE IMPACTO REPUTACIONAL A CAUSA DE INVESTIGACIONES POR PARTE DE LOS ORGANISMOS DE CONTROL DEBIDO AL INCUMPLIMIENTO EN LA PROMOCIÓN Y DEFICIENCIAS EN EL FORTALECIMIENTO DE  LA PARTICIPACIÓN CIUDADANA EN EL  EN EL MUNICIPIO DE IBAGUÉ</t>
  </si>
  <si>
    <t>Implementación de las actividades de la política de participación ciudadana</t>
  </si>
  <si>
    <t>El director (a) de participación ciudadana y comunitaria de manera anual revisa el plan indicativo y POAI, con el fin de elaborar el plan de acción de la vigencia, dejando como evidencia el plan de acción</t>
  </si>
  <si>
    <t>Director (a) de participación ciudadna y comunitaria</t>
  </si>
  <si>
    <t>Deficiencia en las comunicación interna con los demás procesos</t>
  </si>
  <si>
    <t>no existe control</t>
  </si>
  <si>
    <t>En comité técnico se revisara el plan estrategico de comunicacioens de la entidad, con el fin de definir una estrategia de comuniaciones adecuada las necesidades de la dirección y para la correcta implementación de la política</t>
  </si>
  <si>
    <t>Deficiencia de apropiación de la política de participación ciudadana por parte del personal de planta y contratistas</t>
  </si>
  <si>
    <t>El director (a) de participación ciudadana y comunitaria en los comités técnicos, revisa y socializa los diferentes componentes y avances de la política de participación ciudadana</t>
  </si>
  <si>
    <t>Realizar capacitación de la política de participación ciudadana al equipo de la dirección de participación ciudada y en comité técnico SIGAMI</t>
  </si>
  <si>
    <t>GESTIÓN SOCIAL Y COMUNITARIA</t>
  </si>
  <si>
    <t>Intervención de los Entes de Control</t>
  </si>
  <si>
    <t>insatisfacción de las necesidades y dificultad en el desarrollo de las
poblaciones, organizaciones sociales y comunidad vulnerable del municipio de Ibagué</t>
  </si>
  <si>
    <t>Incumplimiento de los planes, programas y proyectos que benefician a los grupos poblacionales</t>
  </si>
  <si>
    <t>Posibilidad de perdida economica y reputacional, debido a la intervención de los Entes de control por la insatisfacción de las necesidades y dificultad en el desarrollo de las
poblaciones, organizaciones sociales y comunidad vulnerable del municipio de Ibagué</t>
  </si>
  <si>
    <t>Ejecución fisica y financiera de los programas y proyectos</t>
  </si>
  <si>
    <t>La secretaria de Desarrollo Social realiza trimestralmente un comité técnico para hacer seguimiento a la planeación estrategica del proceso, dejando como evidencia el acta del comité</t>
  </si>
  <si>
    <t xml:space="preserve">Realizar un cronograma general de las actividades y/o compromisos del proceso, con el fin de que sirva de isumo para realizar un seguimiento integral </t>
  </si>
  <si>
    <t>Secretaria de Desarrollo Social</t>
  </si>
  <si>
    <t>31-01-2023 /           31-03-2023</t>
  </si>
  <si>
    <t>Los directores bimestralmente realizan comité técnico con sus equipos de trabajo para evaluar la ejecución de cada uno de los programa a su cargo, dejando como evidencia el acta</t>
  </si>
  <si>
    <t>Actas de comité técnico de las 3 direcciones adscritas a la secretaría de desarrollo social comunitario.</t>
  </si>
  <si>
    <t>Falta de personal idoneo para desarrollar las actividades correspondientes</t>
  </si>
  <si>
    <t>La secretaria de Desarrollo Social valida la necesidad de personal en cada uno de los programas para la ejecion de las actividades programadas para la vigencia y se incluyen en el plan anual de adquisiciones, dejando como evidencia el consolidado final de personas a contratar</t>
  </si>
  <si>
    <t>El secretario, directores y demás servidores mensualmente se reunen en comité técnico, con el fin de evaluar la ejecución de las metas y definen ajustes a la ejecución. Se deja como evidencia el Acta de la reunión</t>
  </si>
  <si>
    <t>31-01-2023 /           28-02-2023</t>
  </si>
  <si>
    <t>Tipo de Riesgos</t>
  </si>
  <si>
    <t>Gestión</t>
  </si>
  <si>
    <t>El Director de Talento Humano con su equipo de trabajo verifica el cumplimiento del cronograma del proceso contractual para su adjudicacion dentro de los tiempos establecidos</t>
  </si>
  <si>
    <t xml:space="preserve">Durante los meses de marzo y abril se ejecutaron las siguientes actividades dentro del contrato del plan de bienestar:
1. Celebración de los cumpleaños de Mayo
2. Feria de la salud
3. Día del padre
4. Jornada inicial pre-pensionados
5. Preselección Juegos CORDEMO
</t>
  </si>
  <si>
    <t>El Director de Talento Humano con su equipo de trabajo verifica la ejecución de las actividades establecidas en el cronograma de PIC y plan de bienestar, revisando la matriz pic y seguimiento de actividades</t>
  </si>
  <si>
    <t>Durante el periodo se ejecutaron las siguientes capacitaciones: 1. XVI CONGRESO NACIONAL DE DERECHO DISCIPLINARIO; 2. V FORO INTERNACIONAL DE DESARROLLO SOSTENIBLE; 3. CURSO EMPLEO PUBLICO; 4. TALLER CONOCIENDO LA CULTURA SORDA; 5. ASPECTOS RELEVANTES DEL PROCESO DISCIPLINARIO; 6. DECLARACIÓN DE CONFLICTO DE INTERESES</t>
  </si>
  <si>
    <t xml:space="preserve"> El Director de Talento Humano con su equipo de trabajo verifica que las evidencias de transferencia de conocimiento de las capacitaciones individuales, y solicita por medio de memorando las evidencias no entregadas</t>
  </si>
  <si>
    <t>Remitir memorando solicitando evidencias de tranferencia del conocimiento</t>
  </si>
  <si>
    <t>Durante el período no se solicitaron  evidencias</t>
  </si>
  <si>
    <t>Debilidad en el  cumplimiento del Código de integridad y buen gobierno</t>
  </si>
  <si>
    <t xml:space="preserve">El Director de Talento Humano con su equipo de trabajo verifica el  informe de las desviaciones, el cual consolida las quejas de comité de convivencia laboral y los procesos de control disciplinario y se encuentra Documentado en el  Decreto 1000-0612 del 24 de Noviembre de 2020 en los  articulos 14 y 29 </t>
  </si>
  <si>
    <t xml:space="preserve">Durante el período no se presentaron declaraciones de conflictos de intereses </t>
  </si>
  <si>
    <t>El Director de Talento Humano con su equipo  realiza revisión de las declaraciones de conflcitos de intereses</t>
  </si>
  <si>
    <t>Posibilidad de perdida reputacional debido al extravio de informacion y expedientes disciplinarios por la falta de una herramienta o sistema que permita registrar las etapas del procesos, que genere una alerta y salvaguarde la informacion ( vencimientos de terminos)</t>
  </si>
  <si>
    <t>Emitir informes consolidados  trimestrales  por parte de los abogados sustanciadores de los procesos  responsables.</t>
  </si>
  <si>
    <t>Los abogados sustanciadores realizaran un informe mensual a cerca de los procesos que cada uno tiene a su cargo , remitiendolos hacia el contratista encargado de organizar y guardar las evidencias.</t>
  </si>
  <si>
    <t>El jefe de la oficina solicitará, mediante un memorando a la secretaria administrativa, una vez identificada las necesidades, las herramientas, muebles y enseres, que son indispensables para el ejercicio y cumplimineto de las obligaciones y funciones de la oficina  para resguardar los expedientes.</t>
  </si>
  <si>
    <t>Febrero</t>
  </si>
  <si>
    <t xml:space="preserve"> Se envio un memorandos N° 003558 DEL 01/02/2024 y 003556 DEL 01/02/2024  con base en dar cumplimiento a las necesidades requeridas.</t>
  </si>
  <si>
    <t>Abril</t>
  </si>
  <si>
    <t>Se desarrolló un memorando con base en dar cumplimiento a las necesidades requeridas.</t>
  </si>
  <si>
    <t>Junio</t>
  </si>
  <si>
    <t>Se elaboró un correo electronico el dia 27 de junio reiterandole a la secretaría de recuersos físicos las necesidades de falta de equipos y enseres para el buen funcionamiento y desarrollo de la oficina.</t>
  </si>
  <si>
    <t>Agosto</t>
  </si>
  <si>
    <t>Ausencia de archivadores y gondolas para el resguardo de los expedientes</t>
  </si>
  <si>
    <t>El jefe de Oficina de control unico disciplinario revisa  la necesidad de bienes muebles de seguridad , archivadores existentes y capacidad de la oficina para poder salvaguardar los procesos disciplinarios meidante un memorando que sera enviado a la secretaria  administrativa y direccion de recursos fisicos</t>
  </si>
  <si>
    <t>Desconocimiento por parte de los servidores publicos de la oficina de control unico disciplinario respecto al procedimiento Unico Disciplinario</t>
  </si>
  <si>
    <t xml:space="preserve">en Comité Juridico, se realiza la revisión del estado de los procesos Activos, para efectuar un impulso procesal, donde queda como videnacia el Acta de Comité Juridico.
</t>
  </si>
  <si>
    <t xml:space="preserve">El jefe de la Oficina de Control Unico Disciplinario realiza capacitaciones a los funcionarios nuevos dentro de los tiempos establecidos dejando como evidencia un acta de reunión. </t>
  </si>
  <si>
    <t>Se realizo un comite juridico donde se reviso el cumplimiento de las actividades y el estado de los procesos de la oficina, ademas se dio a conocer la nueva ley vigente y entrega de inventario de quejas.</t>
  </si>
  <si>
    <t>Se realizó un comite jurídico donde se revisó el cumplimiento de las actividades y el estado de los procesos de la oficina, además se designaron los roles del grupo y entrega de nuevos expedientes.</t>
  </si>
  <si>
    <t>Se dió cumplimiento con la actividad capacitando a los nuevos funcionarios adscritos a la Oficina de Control Único Disciplinario dando así cumplimiento a este control.</t>
  </si>
  <si>
    <t>31/06/2024</t>
  </si>
  <si>
    <t>El jefe de la Oficina de Control Unico Disciplinario  junto con el técnico operativo cada  vez que  solicité una prueba verifican la recepción de las mismas, con el fin de identificar cuales no se han recibido para reiterar el envío.  Dejando como evidencia las comunicaciones enviadas y/o cuadro  de control de solicitudes.</t>
  </si>
  <si>
    <t>desconocimietno por parte del personal responsable de efectuar el reparto de las PQR´s</t>
  </si>
  <si>
    <t>Ausencia de controles en el traslado o designación de las quejas a la oficina de control unico disciplinario por parte de la oficina de radicación.</t>
  </si>
  <si>
    <t xml:space="preserve">Posibilidad de que se genera duplicidad de procesos disciplinarios en contra de un sujeto disciplinable por un solo hecho debido a la inexistencia de controles en el reparto. Por  desconocimiento y/o desorganización en el reparto. </t>
  </si>
  <si>
    <t>Verificar en plataforma PISAMI, mediante el numero radicado las PQR´s recibidas en la entidad y revisar el traslado a la Oficina de Control Unico Disciplinario. Diligenciando matriz en archivo Excel el reparto.</t>
  </si>
  <si>
    <t xml:space="preserve">El tecnico Operativo , realizará, un archivo en excel donde incluira las quejas allegadas  con la información completa, con el fin de tener un control de las quejas allegadas, de manera mensual, dejando como evidencias la actualizacion de la basa de datos.
</t>
  </si>
  <si>
    <t xml:space="preserve"> El técnico operativo se encargará de la elaboración de un cuadro en archivo excel y una base de datos en drive donde se consigne la información completa de las quejas recibidas. </t>
  </si>
  <si>
    <t>se realizó el seguimiento a la base de datos la cual reposa en el drive, donde se alimenta la información de los expedientes ya existentes y los nuevos que se incorporan.</t>
  </si>
  <si>
    <t>se realizó el seguimiento a la base de datos la cual reposa en el drive, donde se alimenta la información de los expedientes ya existentes y los nuevos que se incorporan</t>
  </si>
  <si>
    <t xml:space="preserve">El Asesor de la Oficina de Control Unico Disciplinario, revisará  el reparto a los abogados sustanciadores el cual se debe consultar en la base de datos cada 15 dias para corroborar si la queja anticipadamente fue asignada.  </t>
  </si>
  <si>
    <t>Monitoreo a 28/06/2024</t>
  </si>
  <si>
    <t xml:space="preserve">multa y sanción del ente regulador </t>
  </si>
  <si>
    <t>incumplimiento de metas del plan del desarrollo</t>
  </si>
  <si>
    <t>Inconsistencias en la formulación de metas del plan de desarrollo, al no poder ser cuantificadas ni medibles lo que dificulta su correcto seguimiento sometiendo a la entidad a posibles sanciones presupuestales y sociales
Falta de idoneidad y/o desconocimiento de las metodólogas de formulación de proyectos de inversión por parte del personal de las secretarias ejecutoras, generado incumplimiento de requisitos para su viabilidad BPIM 
Deficiencias y demoras en la detección de factores que ralentizan la ejecución de metas; insuficiente seguimiento.</t>
  </si>
  <si>
    <t xml:space="preserve">Posibilidad de perdida economica y reputacional por multa o sanción del ente regulador debido incumplimiento al plan de desarrollo en las metas de producto y bienestar </t>
  </si>
  <si>
    <t xml:space="preserve">ptocedimietnto para la formulación del plan de desarrollo 
procedimiento para el seguimiento al plan de desarrollo
</t>
  </si>
  <si>
    <t xml:space="preserve">El líder del grupo del Banco de Proyectos de Inversión BPIM recibe las solicitudes de registro y viabilidad de los proyectos radicados por las secretarías y entes descentralizados, a continuación hace la revisión y utilizando  el formato de evaluación técnica de proyectos (lista de chequeo) verifica el cumplimiento de requisitos de los mismos.  De ser satisfactoria la inspección se procede a emitir documento de viabilidad, de lo contario se responde mediante memorando ante el solicitante los motivos de la negación y se anexan las observaciones a superar.  evidencia memorandos de respuesta con viabilidad y/o lista de chequeo con observaciones </t>
  </si>
  <si>
    <t xml:space="preserve">Anualmente  a inicio de año se emite circular con los parámetros de actualización y/o registro de proyectos ante el BPIM y el SUIFP, y el cronograma de reporte de avance mensual de los mismos (estas circulares puede emitirse en ocasiones extraordinarias en caso de ser necesario) Evidencia circulares, memorandos reiterativos. </t>
  </si>
  <si>
    <t>Se emitieron las circulares y memorandos respectivos, se estableció el cronograma de  reporte y las reiteraciones en el caso de los que han incumplido para la actualización y registro de los proyectos del BPIM.</t>
  </si>
  <si>
    <t>Los profesionales de la Dirección de Planeación del Desarrollo trimestralmente verifican y validan la información suministradas por las secretarías para efectos de ser publicado en las plataformas respectivas. Dejando como evidencia la publicación de la información en las diferentes plataformas o en su defecto correo electrónico con observaciones y solicitud de información completa o mejorada</t>
  </si>
  <si>
    <t>Defectivo</t>
  </si>
  <si>
    <t xml:space="preserve">Al inicio de cada gobierno se hará la solicitud de acompañamiento metodológico para la formulación de plan de desarrollo y en especial en lo relacionado con la programación de metas para garantizar que sean medibles, cuantificables y posibles de cumplir. dejando como evidencia actas de capacitación.   Al principio de año se elaborará el cronograma de presentación de los instrumentos  igualmente se capacitará a los enlaces de cada secretaría en la formulación y reporte de ejecución de los instrumentos de planeación; dejando actas de reunión como evidencia y Trimestralmente se expedirá una circular en la cuál se recuerda el reporte de ejecución de instrumentos y fechas de entrega. En caso de incumplimiento en términos de calidad y/o puntualidad en entrega de la información relacionada con los instrumentos de seguimiento, se enviarán memorando reiterando la solicitud de la misma con el detalle de la inconformidad. se continua con la estrategia de acompañamiento permanente con sectorialistas a secretarias ejecutoras e institutos descentralizados, dejando como evidencia acta de mesa de trabajo mínimo una por trimestre o mas según sea necesario </t>
  </si>
  <si>
    <t>Se emitieron las circulares trimestrales para el reporte de los instrumentos de planeación, se realizo el acompañamiento con los sectorialistas a las secretarias e institutos descentralizados, se tienen las actas de reunión y las comunicaciones respectivas como evidencia en el seguimiento al cumplimiento de las metas del plan de desarrollo.</t>
  </si>
  <si>
    <t>El director de planeación del desarrollo bimestralmente verifica en los  comités técnicos la calidad de la información reportada por los sectorialistas con el fin de determinar acciones de mejora a las que haya lugar. Dejando como evidencia acta de reunión</t>
  </si>
  <si>
    <t>Se cuenta con las asistencias, registro fotográfico y la presentación de los Consejos Directivos y Comité institucional de desempeño donde se socializo el seguimiento a los avances en el cumplimiento de las metas del plan de desarrollo.</t>
  </si>
  <si>
    <t>Desarticulación entre el POT y la construcción del Plan de Desarrollo y los demás instrumentos de planeación</t>
  </si>
  <si>
    <t xml:space="preserve">     El riesgo afecta la imagen de  la entidad con efecto publicitario sostenido a nivel de sector administrativo, nivel departamental o municipal</t>
  </si>
  <si>
    <t xml:space="preserve">La directora de OTS junto con su equipo de trabajo anualmente  realiza la evaluación y seguimiento (Expediente Municipal) cotejando los artículos  frente a la ejecución e implementación del POT. Dejando como evidencia el documento de seguimiento y evaluación (Expediente Municipal). </t>
  </si>
  <si>
    <t>Realizar comunicaciones mediante canales internos en relación al cumplimiento a los compromisos de cada secretaría establecidos en el POT.</t>
  </si>
  <si>
    <t>No se enviaronos ni oficios y ni memorandos solicitando la relación del cumplimiento en lo establecido en el POT a las secretarias y entes descentralizados ya que en enivarion en el reporte anterior los de este semestre</t>
  </si>
  <si>
    <t>Desconocimiento procedimental y operativo del POT por parte de las demás secretarios de despacho y  gerentes</t>
  </si>
  <si>
    <t>Socializar a la alta dirección los lineamientos del POT con el fin de actualizar expediente municipal según competencia de cada despacho.</t>
  </si>
  <si>
    <t>No se logro realizar la socialización con la alta dirección sobre los lineamientos del POT en esta vigencia, pero se tiene actualizado el expediente municipal</t>
  </si>
  <si>
    <t>GESTION DE SALUD</t>
  </si>
  <si>
    <t>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t>
  </si>
  <si>
    <t>INICIA CON LA CONTRUCCION DEL PLAN TERRITORIAL DE SALUD – PTS MEDIANTE EL DESARROLLO DE LA METODOLOGIA PASE A LA EQUIDAD EN SALUD Y LA APROBACION DEL MISMO Y TERMINA CON EL DESARROLLO DE ACCIONES CORRECTIVAS CUANDO NO SE CUMPLEN LAS METAS Y OBJETIVOS DEL PLAN</t>
  </si>
  <si>
    <t xml:space="preserve">Planificación inadecuada de las acciones y estrategias de la entidad en cumplimiento al proceso gestión de salud.
</t>
  </si>
  <si>
    <t xml:space="preserve">Realizar la formulación, aprobación  y armonización del Plan Territorial de Salud con el plan de desarrollo . 
Realizar fomulación,  Aprobación y ejecución del plan de acción en salud  (PAS) y el componente operativo anual de inversión  ( COAI)
</t>
  </si>
  <si>
    <t xml:space="preserve">La asesora del despacho una vez al mes, realizará seguimiento de los procesos contractuales con el apoyo de la oficina de contatación con el fin de dar agilidad y contar con talento humano calificado y oportuno para la ejecución de actividades misionales de la institución, mediante la aplicación del Instrumento denomidado "Matriz de seguimiento gestión contractual"  de considerarse necesario se oficiará a través de la plataforma PISAMI a la dependencia correspondiente, dejando como evidencia  matriz debidamente diligenciada, comunicaciones internas.
</t>
  </si>
  <si>
    <t>Pérdida de información y/o demora para la toma de decisiones</t>
  </si>
  <si>
    <t>Falta de interoperabilidad de las bases de datos y diferentes fuentes de información en salud</t>
  </si>
  <si>
    <t>Posibilidad de pérdida económica y reputacional por sanciones y disminución de recursos, debido a la pérdida de  información y/o demora para la toma de decisiones.</t>
  </si>
  <si>
    <t xml:space="preserve">Implementación en el desarrollo de modulos en  el sistema AMISALUD como:
1. Auditorías a las EPS
2. Listados Censales.               
3. Maestra de Afiliaciones y novedades.                             
4.- Auditoría de IPS.                      
5. Peticiones Quejas y Reclamos.    
6.Resultado y análisis de indicadores en salud. </t>
  </si>
  <si>
    <t>El ingeniero de sistemas con su equipo de trabajo de la secretaría de salud municipal, continuamente realiza la programación y el mantenimiento del sistema para el intercambio de datos, e implementación de  módulos de acuerdo al cronograma de actividades según la necesidad y herramientas tecnológicas con las que se cuenta. De lo anterior se aporta informe mensual de avances y actas de reuniones.</t>
  </si>
  <si>
    <t>Desarrollar en el sistema de información AMISALUD la implementación de  módulos que apoyen los procedimientos del proceso Gestión Salud para la obtención de datos y la toma de decisiones.</t>
  </si>
  <si>
    <t>Profesional universitario (Ingeniero de sistemas dirección de aseguramiento), directores y contratista de apoyo</t>
  </si>
  <si>
    <t xml:space="preserve">Permanete </t>
  </si>
  <si>
    <t xml:space="preserve">No se cuenta con la integración de la  información necesaria para la toma de decisiones  que hacen parte del proceso Gestión Salud. </t>
  </si>
  <si>
    <t>Los directores con su equipo de trabajo de manera trimestral, en sus comités técnicos, revisan, evalúan y analizan los indicadores y demas información requerida, con el fin de verifiar el cumplimiento de las metas trazadas, si se observa desviación se debe corregir de inmediato dejando  evidencia en las respectivas actas de seguimiento.</t>
  </si>
  <si>
    <t>Multa / Sanción Organismos de control</t>
  </si>
  <si>
    <t>Incumplimiento requisitos de ley para el otorgamiento de subsidios y/o beneficios</t>
  </si>
  <si>
    <t xml:space="preserve">La dificultad de consecusión de la información de las bases de datos provenientes de la dirección del SISBEN, en periodos mensuales .
</t>
  </si>
  <si>
    <t>La posibilidad de afectación ecónomica y reputacional por multa o sanción de los organismos de control, debido al otorgamiento de subsidios o beneficios a personas que no cumplen con los requisitos de ley, y/o población fallecida.</t>
  </si>
  <si>
    <t>FISCAL</t>
  </si>
  <si>
    <t>revisar caracterización del proceso para identificar en que actividad se realizaría el otorgamiento de los beneficios o subsidios para identificar la actividad generadora del riesgo, donde se podría materializar el riesgo</t>
  </si>
  <si>
    <t xml:space="preserve">     Afectación menor a 200 SMLMV</t>
  </si>
  <si>
    <t>El ingeniero de sistemas de aseguramiento trimestralmente solicita por medio de correo electrónico y/o memorando la base de datos del SISBEN cuatro, con el fin de actualizar el sistema de información de amisalud y determinar usuarios con afiliación de oficio sin SISBEN y Usuarios subsiado por encima de clasificación C18, dejando como evidencia las solicitudes y reporte de cartgue de la información y en caso de que la dependencia (SISBEN) no envíe la información se reitera la solicitud.</t>
  </si>
  <si>
    <t>Realizar una mesa de trabajo al año, con las dependencias invocradas en el proceso, para socializar la normatividad que enmarca el el procedimiento de afiliación al régimen subsidiado, y la importancia de la oportundiad en la adquisición de la información para cumplir con lo establecido en Ley</t>
  </si>
  <si>
    <t>Profesional Universitario Ingeniero de Sistemas Aseguramiento</t>
  </si>
  <si>
    <t>ABRIL 30 DE 2024</t>
  </si>
  <si>
    <t>ABRIL 30/2024</t>
  </si>
  <si>
    <t>La dificultad en el acceso a la información de predial e industria y comercio debido a que la secretaría de Hacienda no la suministra, para determinar evasión y elusión</t>
  </si>
  <si>
    <t>El ingeniero de sistemas de aseguramiento, semestralmente solicita por medio de correo electrónico y/o memorando la base de datos de predial e industria y comercio, con el fin de  actualizar el sistema de información de amisalud y determinar usuarios con capacidad de pago, para realizar el debido proceso, dejando como evidencia las solicitudes y reporte de cargue de la información  a AMISALUD,  en caso de que la dependencia (HACIENDA) no envíe la información se reitera la solicitud.</t>
  </si>
  <si>
    <t>La no notificación a tiempo de las novedades de retiro del Sistema General de Seguridad Social en Salud</t>
  </si>
  <si>
    <t>El ingeniero de sistemas de aseguramiento, mensualmente revisa la información antes del cargue de la información en la plataforma del ADRES, con el fin de validar el reporte total de los registros, dejando como evidenciael informe del cargue de la información.</t>
  </si>
  <si>
    <t>Convenciones:  las causas rosadas pertenecen a los riesgos de gestión y fiscales
Los resaltados en color amarillo son las causas de los riesgos de corrupción.
Los resaltados en color verda son las cusas de los riesgos fiscels</t>
  </si>
  <si>
    <t>Tipo de Riesgo</t>
  </si>
  <si>
    <t>fecha de Seguimiento</t>
  </si>
  <si>
    <t xml:space="preserve">Estado </t>
  </si>
  <si>
    <t xml:space="preserve">El (la) Secretario (a) de educación y sus directores a principio a año revisan las necesidades de recursos humanos, tecnicos, administrativos y financieros con el fin de ser incluidos en el Plan Anual de Adquisiciones para el cumplimiento del plan de acción institucional, dejando como evidencia el PAA y Plan de Acción de la vigencia
</t>
  </si>
  <si>
    <t>01/042024 -  ACTA No. 01</t>
  </si>
  <si>
    <t>a la fecha de febrero se han relaizado 47 contratos de prestacion de servicios.</t>
  </si>
  <si>
    <t>03/052024 -  ACTA No. 02</t>
  </si>
  <si>
    <t>a la fecha de febrero se han relaizado 67  contratos de prestacion de servicios.</t>
  </si>
  <si>
    <t>02/07024 -  ACTA No. 03</t>
  </si>
  <si>
    <t>a la fecha de febrero se han relaizado 98 contratos de prestacion de servicios.</t>
  </si>
  <si>
    <t>como a la fecha no se tiene  aprobado el plan de desarrollo, se sigue con el presupuesto 2023.</t>
  </si>
  <si>
    <t>02/072024 -  ACTA No. 03</t>
  </si>
  <si>
    <t xml:space="preserve">sin avance </t>
  </si>
  <si>
    <t xml:space="preserve"> . Con circular 0210 de abril 30 de 2024. se realizo taller en GERENCIA PUBLICA - a Rectores y Coordinadores.</t>
  </si>
  <si>
    <t>Niñas y Niños sin acceso al sistema educativo oficial</t>
  </si>
  <si>
    <t>El (la) Secretario (a) de educación y sus directores con el soporte del equipo tecnico, tiendo como base la matricula resgistrada en el SIMAT , realizan un proceso de auditoría de matricula dejando como evidencia el informe</t>
  </si>
  <si>
    <t>02/0752024 -  ACTA No. 03</t>
  </si>
  <si>
    <t>Mediante Resolucion NO. 1700-0523 del 3 de Abril de 2024, se reconocen los Centros de Atencion Especializada CAE.</t>
  </si>
  <si>
    <t>Con circular 0064 de febrero 12 de 2024, se realizo taller de cierre de vigencia fiscal .</t>
  </si>
  <si>
    <t xml:space="preserve">Mediante Circular 000093 de Febrero 26 de 2024, se realizo Asistencia Tecnica Establecimientos Educativos. </t>
  </si>
  <si>
    <t>sobrecostos en precios de bienes y/o servicios contratados por la entidad</t>
  </si>
  <si>
    <t>Deficiencias en los estudios previos</t>
  </si>
  <si>
    <t>Posibilidad de perdida economica y reputacional, debido a Hallazgos por parte de entes de control y/o quejas de las partes interesada por sobrecostos en precios de bienes y/o servicios contratados por la entidad</t>
  </si>
  <si>
    <t>Actividades de Cobertura, suministro de alimentos a estudiantes</t>
  </si>
  <si>
    <t>Deficiencia en el seguimiento de la etapa precontractual y contractual</t>
  </si>
  <si>
    <t>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</si>
  <si>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 xml:space="preserve">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</si>
  <si>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 xml:space="preserve">INICIA CON EL DIAGNOSTICO DE LAS NECESIDADES DE LOS GRUPOS POBLACIONALES; TENIENDO EN CUENTA LO ESTABLECIDO
EN LAS POLÍTICAS PÚBLICAS, CUANDO ESTAS EXISTAN; SEGUIDO DE LA FORMULACIÓN Y EJECUCIÓN DE LOS PLANES DE
ACCIÓN; ASÍ MISMO SE VERIFICA EL CUMPLIMIENTO DE LOS REQUISITOS Y FORMALIDADES QUE DEBEN CUMPLIR LOS
BENEFICIARIOS DE LOS GRUPOS, Y FINALIZA REALIZANDO PROCESO DE SEGUIMIENTO Y EVALUACIÓN DE LA OPERACIÓN Y
FORMULACIÓN DE LAS ESTRATEGIAS DE MEJORA CON UNA REVISIÓN CONTINUA Y AJUSTES QUE SE CONSIDEREN SEGÚN
LOS CAMBIOS EN LA NORMATIVIDAD, O MODERNIZACIÓN CUANDO LOS HUBIERE. </t>
  </si>
  <si>
    <t>Acta No. 9 del 29 Junio de 2023, Comité técnico revisión seguimiento planeación estratégica a corte 28 de junio de 2023.
Acta No. 13 del 31 de agosto de 2023, Comité técnico revisión seguimiento planeación estratégica a corte 30 de agosto de 2023.</t>
  </si>
  <si>
    <t>Mediante memorandos No. 2100-022679 del 5 de junio de y memorando No. 2023  2023-048346 del 23 de octubre se realizó actualización del plan anual de adquisiciones de acuerdo a la necesidad.</t>
  </si>
  <si>
    <t>GESTIÓN ARTÍSTICA Y CULTURAL</t>
  </si>
  <si>
    <t xml:space="preserve">FORTALECER E IMPLEMENTAR DE MANERA EFICAZ, EFECTIVA Y EFICIENTE EN LOS DIFERENTES BIENES, SERVICIOS Y
MANIFESTACIONES ARTISTICAS Y CULTURALES DE INTERES COMUN A TRAVÉS DE PROCESOS, PROYECTOS, PROGRAMAS Y
POLÍTICAS QUE CONTRIBUYAN DE MANERA INTEGRAL A TRAVES DEL ACCESO DE TODA LA COMUNIDAD DE IBAGUE A LAS
DIFERENTES ACTIVIDADES ARTISTICAS CULTURALES Y DEL PATRIMONIO </t>
  </si>
  <si>
    <t>INICIA CON LA PLANEACIÓN DEL PROCESO A TRAVÉS DE LAS NECESIDADES DE LA COMUNIDAD CONTINUA CON LA
FORMULACIÓN Y EJECUCIÓN DE LOS PROGRAMAS, PROYECTOS ARTÍSTICOS CULTURALES Y FINALIZA CON SEGUIMIENTO DE
POLÍTICAS PLANES PROGRAMAS Y PROYECTOS.</t>
  </si>
  <si>
    <t xml:space="preserve">Acta de reunión </t>
  </si>
  <si>
    <t xml:space="preserve">Actas de Comité Técnico secretaria de cultura de </t>
  </si>
  <si>
    <t xml:space="preserve">Capacitación Talento Humano mediante Circular 0075 de Junio 20 de 2024, capacitación virtual en la Identificación, Declaración y gestión de posibles conflictos de intereses. Realizada el jueves 27 de Junio de 2024. </t>
  </si>
  <si>
    <t>Correo electronico de 30 de Enero de 2024 a secretario de cultura sobre perfiles</t>
  </si>
  <si>
    <t/>
  </si>
  <si>
    <t>GESTION DE INFRAESTRUCTURA Y OBRAS PUBLICAS</t>
  </si>
  <si>
    <t xml:space="preserve">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</si>
  <si>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 xml:space="preserve">PERIODO SEGUIMIENTO          MAYO -  JUNIO </t>
  </si>
  <si>
    <t>No se realizó Comité  de Contratación en este periodo</t>
  </si>
  <si>
    <t xml:space="preserve">.-  REALIZAR LA IDENTIFICACION DE LOS RECURSOS FINANCIEROS, TECNICOS Y ADMINISTRATIVOS QUE SE REQUIEREN PARA EL DESARROLLO  DE LOS PROYECTOS EN EL PROCESO GESTION DE INFRAESTRUCTURA Y OBRAS PUBLICAS                                                                      .-VERIFICAR CUMPLIMIENTO DE LA  GUIA SOCIO AMBIENTAL EN EL DESARROLLO  DE LOS PROYECTOS DEL PROCESO GESTION DE INFRAESTRUCTURA Y OBRAS PUBLICAS                                                                                                                                                                                                                                                                                  </t>
  </si>
  <si>
    <t>El secretario de infraestructura y/o Directores convocan a comités técnicos de manera semanal y/o quincenal y/o cuando se requiera al personal de planta  y contratistas, con el fin de realizar el seguimiento a las distintas actividades de los proyectos de infraestructura y Obras Públicas, dejando como evidencia las actas de reunión y los registros de asistencia</t>
  </si>
  <si>
    <t>Se realiza el seguimiento mediante actas de reunión  de los comites tecnicos y las evidencia presentadas al seguimiento de los proyectos ante la secretaria de planeación</t>
  </si>
  <si>
    <t>No se realizó Comité Tenico en este periodo</t>
  </si>
  <si>
    <t xml:space="preserve">El secretario de infraestructura y/o Directores junto con el supervisor evaluaran el desarrollo de las distintas actividades a desarrollar por el personal de contrato tanto profesional como de apoyo a la gestion, al igual con el contratista de obra e interventoria de manera mensual y/o cuando lo requiera, dejando como evidencia la certificacion que ha cumplido con las obligaciones para las cuales fueron contratados. </t>
  </si>
  <si>
    <t>Se realizan Comites Técnicos de obra de manera quincenal y/o semanal para su seguimiento ( Cto 2430-2022 Piscinas La 42 - Cto 1979-2023 Rehabilitacion Malla Vial - Cto 1646-2024 Complejo Acuatico)</t>
  </si>
  <si>
    <t xml:space="preserve">GESTION DE LA GOBERNABILIDAD CONVIVENCIA Y SEGURIDAD CIUDADANA </t>
  </si>
  <si>
    <t>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t>
  </si>
  <si>
    <t>Inicia con la planeación del proceso, formulando planes, programas y proyectos que fortalezcan la paz, la convivencia pacífica y el orden público, la coordinación de las autoridades municipales, mediación en la prevención y atención de problemas relacionados con la seguridad, convivencia ciudadana,  derecho internacional humanitario, hasta la protección de víctimas, atención, promoción, prevención y aplicación del código de policía, la recepción y evaluación de las pruebas, proteger los derechos de los niños, niñas y adolescentes, así como de los adultos mayores, en materia de alimentos y violencia intrafamiliar, además se desarrollan actividades asociadas al control y vigilancia de establecimientos comerciales, propiedad horizontal, matrícula inmobiliaria, verificando el cumplimiento de los derechos del consumidor, controlando y vigilando infracciones urbanísticas, de medio ambiente, protección animal y del espacio público, se implementan mecanismos alternativos de resolución de conflictos y audiencia pública, finaliza con el seguimiento y evaluación del proceso.</t>
  </si>
  <si>
    <t xml:space="preserve">Investigaciones y/o sanciones por parte de los entes de control </t>
  </si>
  <si>
    <t xml:space="preserve">incumplimiento de las metas del Plan de Desarrollo del proceso de gestion de la gobernabilidad, convivencia y seguridad ciudadana. </t>
  </si>
  <si>
    <t xml:space="preserve">Posibilidad de perdida economica y reputacional por investigaciones y/o sanciones por parte de los entes de control debido al incumplimiento de las metas del Plan de Desarrollo del proceso de gestion de la gobernabilidad, convivencia y seguridad ciudadana. </t>
  </si>
  <si>
    <t>Planeacion y Seguimiento a las actividades del proceso a través de los Comites Técnicos de cada dependencia de la Secretaria de Gobierno.</t>
  </si>
  <si>
    <t xml:space="preserve">El secretario, directores y referentes se reunen de forma mensual, mediante comites tecnicos, con el fin de validar la planeación y el seguimiento de las actividades plasmadas  en el plan de desarrollo y plan de accion de la secretaria de gobierno, dejando como evidencia actas de comite y planillas de asistencia. . </t>
  </si>
  <si>
    <t xml:space="preserve">Realizar reporte trimestral, del plan indicativo, plan de accion y normograma. </t>
  </si>
  <si>
    <t xml:space="preserve">Secretarios, Directores y sus delegados </t>
  </si>
  <si>
    <t>febrero 29/2024</t>
  </si>
  <si>
    <t>Se realizo y se evidencia con el acta 01 del 2 de febrero de 2024  para los planes de accion y plan de desarrollo</t>
  </si>
  <si>
    <t>abril 30/2024</t>
  </si>
  <si>
    <t xml:space="preserve">Se realizo y se evidencia con el acta 02 del 10 de abril  de 2024 para los planes de accion y plan de desarrollo </t>
  </si>
  <si>
    <t>junio 28/2024</t>
  </si>
  <si>
    <t xml:space="preserve">Se realizo y se evidencia con el acta 04 del 10 de mayo  de 2024 para los planes de accion y plan de desarrollo </t>
  </si>
  <si>
    <t xml:space="preserve">Dificultades de la transferencia del conocimiento. </t>
  </si>
  <si>
    <t>El secretario, los directores y referentes concertan mesas de trabajo de forma mensual, con el fin de revisar y validar los cambios normativos y posteriormente  socializar y actualizar el normograma,  quedando como evidencia el Acta de Reunión.</t>
  </si>
  <si>
    <t>sanciones administrativas, disciplinarias, penales, fiscales por las autoridades pertinentes</t>
  </si>
  <si>
    <t xml:space="preserve">deficiencia en la identificación del presunto infractor para el Pago de multas,  o cualquier tipo de sanción </t>
  </si>
  <si>
    <t>Falta de documentación del procedimiento alineado a la normatividad aplicable</t>
  </si>
  <si>
    <t xml:space="preserve">Posibilidad de afectacion economica por  sanciones administrativas, disciplinarias, penales, fiscales por las autoridades competentes por la deficiencia en la identificación del presunto infractor para el Pago de multas,  o cualquier tipo de sanción </t>
  </si>
  <si>
    <t>Momento de la identificación de la infracción</t>
  </si>
  <si>
    <t xml:space="preserve">No existen controles </t>
  </si>
  <si>
    <t>realizar la documentacion y adopcion de procedimientos y/o intructivos , manuales y formatos de acuerdo a la normatividad vigente. Institucionalizar el cumplimiento del diligenciamiento del formato FOR-04-PRO-GPC-03</t>
  </si>
  <si>
    <t xml:space="preserve">No se realizo </t>
  </si>
  <si>
    <t>se realizo mesa de trabajo con capacitacion actualizacion de normograma y se  evidencia con el acta 02 del 29/04/2024</t>
  </si>
  <si>
    <t>se realizo mesa de trabajo con capacitacion actualizacion de normograma</t>
  </si>
  <si>
    <t xml:space="preserve">Deficiencia en la aplicabilidad de la normatividad </t>
  </si>
  <si>
    <t>INICIA CON LA PLANEACIÓN DEL PROCESO, SE REALIZA UN DIAGNÓSTICO DEL SECTOR ECONÓMICO DE LA CIUDAD; SE PROMUEVE LA FORMALIZACIÓN EMPRESARIAL; SE PROMOCIONA LA OFERTA TURÍSTICA DE LA CIUDAD; SE FORTALECE EL TEJIDO EMPRESARIAL; SE IMPLEMENTAN ESTRATEGIAS PARA FACILITAR EL ACCESO DE LOS CIUDADANOS A LA RUTA DE EMPLEABILIDAD, HASTA REALIZAR EL SEGUIMIENTO, EVALUACIÓN Y CONTROL DE LOS PLANES, PROGRAMAS Y PROYECTOS DEL PROCESO.</t>
  </si>
  <si>
    <t>Seguimiento (Enero-Feb)</t>
  </si>
  <si>
    <t>Seguimiento (Mar-Abr)</t>
  </si>
  <si>
    <t>Seguimiento (May-Jun)</t>
  </si>
  <si>
    <t>Sanciones de entes de control</t>
  </si>
  <si>
    <t>DEFICIENCIA EN  LA FORMULACIÓN E IMPLEMENTACIÓN DE PLANES, PROGRAMAS Y PROYECTOS QUE FORTALEZCAN EL TEJIDO EMPRESARIAL, EL EMPRENDIMIENTO, LA EMPLEABILIDAD, EL TURISMO Y EL SECTOR RURAL</t>
  </si>
  <si>
    <t>La baja cobertura para la promoción del desarrollo económico y la competividad para los actores involucrados</t>
  </si>
  <si>
    <t>Posibilidad de perdida economica y reputacional, debido a sanciones de entes de control por deficiencia en  la formulación e implementación de planes, programas y proyectos que fortalezcan el tejido empresarial, el emprendimiento, la empleabilidad, el turismo y el sector rural</t>
  </si>
  <si>
    <t>Ejecución de los diferentes planes programas y proyectos de las secretaría</t>
  </si>
  <si>
    <t>Realizar la actualización de todos los ducumentos de SIGAMI y hacer la socialización de los mismos con todos los funcionarios de planta y conratistas</t>
  </si>
  <si>
    <t>Secretarios, Directores y enlaces SIGAMI</t>
  </si>
  <si>
    <t xml:space="preserve">Se analiza todo lo correspondiente al riesgo de gestión. Se decide, realizar reunión de capacitación frente al tema de riesgos tanto de gestión como administrativos en una reunión vía meet, la cual se realizará el próximo 23 de febrero. (Acta No. 01) </t>
  </si>
  <si>
    <t>El 30 de abril, se hace seguimiento de las metas, llegando a la conclusión que como a la fecha no hay plan de desarrollo no se ha ejecutado metas que comprometan el presupuesto. (ACTA No. 04)</t>
  </si>
  <si>
    <t>Se realiza socialización el 08 de mayo, haciendo referencia a todo lo correspondiente a las actividades del SIGAMI. A su vez, el 28 de junio, se recibió una capacitación por parte del equipo de fortalecimiento insitucional frente a este tema.</t>
  </si>
  <si>
    <t>Deficiencia en la planeación y seguimiento de las actividades del proceso</t>
  </si>
  <si>
    <t>Esta actividad se debe reportar cuatrimestralmente.</t>
  </si>
  <si>
    <t xml:space="preserve">El 23 de febrero, se realiza capacitación en riesgos de gestión, riesgos de corrupción y SIGAMI, </t>
  </si>
  <si>
    <t xml:space="preserve">El 1o de abril se realiza reunión para monitoreo de riesgo de gestión y de corrupción, se revisan los  dos mapas, se comprometen a realizar reunión de socialización de los riesgos y SIGAMI, a su vez, seguimiento a las actividades para mitigar los riesgos. </t>
  </si>
  <si>
    <t>PROCESO:  GESTIÓN DEL DESARROLLO ECONÓMICO Y LA COMPETITIVIDAD</t>
  </si>
  <si>
    <t>OBJETIVO:  PROMOVER EL DESARROLLO ECONÓMICO Y LA COMPETITIVIDAD DEL MUNICIPIO DE IBAGUÉ MEDIANTE LA FORMULACIÓN E IMPLEMENTACIÓN DE PLANES, PROGRAMAS Y PROYECTOS QUE FORTALEZCAN EL TEJIDO EMPRESARIAL, EL EMPRENDIMIENTO, LA EMPLEABILIDAD, EL TURISMO Y EL SECTOR RURAL</t>
  </si>
  <si>
    <t>Ausencia de acciones estratégicas para el cumplimiento de la Política Pública de Ciencia, Tecnología e Innovación y con visión a una Transformación Digital</t>
  </si>
  <si>
    <t>Recursos económicos insuficientes para el Cumplimiento del objetivo de la Polítca Polítca Pública de Ciencia, Tecnología e Innovación</t>
  </si>
  <si>
    <t>Posible perdida reputacional y económica por Disminución de la credibilidad ante la ciudadania y disminución del presupuesto  asignado debido a estratégias para el cumplimiento del objetivo de la Política Pública de Ciencia, Tecnología e Innovación y con visión a una transformación digital</t>
  </si>
  <si>
    <t>Desde la etapa de planeación, durante la ejecución y el seguimiento de las actividades para el cumplimiento de la Política Pública de CTeI y plan de Transformación Digital</t>
  </si>
  <si>
    <t>Durante el bimestre no se realizaron ajustes presupuestales</t>
  </si>
  <si>
    <r>
      <t xml:space="preserve">Durante el bimestre se realiza jornada de mantenimiento preventivo de equipos de cómputo de los Centros de Experiencia Digital donde se realizó por parte de cada uno de los administradores actualización del portátiles, desfragmento el disco duro, borrados de temporales, borrado de programas y archivos residentes
</t>
    </r>
    <r>
      <rPr>
        <b/>
        <sz val="10"/>
        <color theme="1"/>
        <rFont val="Arial Narrow"/>
        <family val="2"/>
      </rPr>
      <t>Evidencia:</t>
    </r>
    <r>
      <rPr>
        <sz val="10"/>
        <color theme="1"/>
        <rFont val="Arial Narrow"/>
        <family val="2"/>
      </rPr>
      <t xml:space="preserve"> Informes por cada Contratista</t>
    </r>
  </si>
  <si>
    <r>
      <t xml:space="preserve">´-	Solicitud de reparación de aires acondicionados
-	Solicitud de adecuaciones física de los Centro de Experiencia Digital 
</t>
    </r>
    <r>
      <rPr>
        <b/>
        <sz val="10"/>
        <color theme="1"/>
        <rFont val="Arial"/>
        <family val="2"/>
      </rPr>
      <t xml:space="preserve">Evidencia: </t>
    </r>
    <r>
      <rPr>
        <sz val="10"/>
        <color theme="1"/>
        <rFont val="Arial"/>
        <family val="2"/>
      </rPr>
      <t>Correos electrónicos enviados a Recursos Físicos</t>
    </r>
  </si>
  <si>
    <t>Desinterés de la comunidad para capacitarse en apropiación de las TIC;</t>
  </si>
  <si>
    <t>Durante el bimestre se tiene en cuenta con la activación del VIVELAB mediante el Contrato de Prestación de Servicios No. 0094 de fecha 26/01/2024, donde Gloria Botero presta el servicio profesional como Administradora del VIVELAB para brindar a la comunidad de Ibagué capacitaciones gratuitas en herramientas tecnológicas
-	Evidencia de correo electrónico con la información de capacitados con corte a 30/06/2024, donde informa que se ha brindado capacitación a 1287 usuarios.
Listado de contratistas para ejecutar acciones o actividades relacionas con el Proceso y Política Pública de Ciencia, Tecnología e innovación y TIC.
AÑO	NRO	FECHA FIRMA	CONTRATISTA
2024	263	2024-02-13	MAIRA CAMILA TRIANA PALMA
2024	677	2024-03-04	JHON EDISON PARRA QUINTERO
2024	678	2024-03-04	ERWIN ERICK IBAÑEZ HERNANDEZ
2024	816	2024-03-11	LAURA MILENA PERILLA MORENO
2024	910	2024-03-14	PAULA ALEXANDRA GARZON MAHECHA
2024	912	2024-03-14	EDWIN ARMANDO GUZMAN CRUZ
2024	1154	2024-03-22	ZAIDA LORENA CRUZ CASTRO
2024	1215	2024-04-03	LUIS EDWIN GARCIA CASTRO
2024	1420	2024-04-17	DIEGO ARMANDO ROZO LOZANO
2024	1531	2024-04-24	EDGAR ALFREDO MURILLO CHICA
2024	1760	2024-05-23	MARIA DEL PILAR ROJAS LIEVANO
2024	1808	2024-05-29	PEDRO EMILIO JIMENEZ LOPEZ
2024	1854	2024-06-04	MONICA CAPERA
2024	1869	2024-06-05	GERARDO RODRIGUEZ LOZANO
2024	1876	2024-06-05	JUAN SEBASTIAN BARRIGA CASTRO
2024	1922	2024/06/11	VICTORIA ARBOLEDA</t>
  </si>
  <si>
    <t>Seguimiento enero - febrero</t>
  </si>
  <si>
    <t>Seguimiento  marzo - abril</t>
  </si>
  <si>
    <t>Seguimiento  mayo - junio</t>
  </si>
  <si>
    <t xml:space="preserve">Incumplimiento a la oportunidad de respuesta de los PQRSD clasificados como Derechos de Petición a la Entidad. </t>
  </si>
  <si>
    <t>Falta de seguimiento a los tiempos de respuestas de las PQRSD - Derechos de Petición formuladas a la entidad</t>
  </si>
  <si>
    <t xml:space="preserve">Posibilidad de perdida económica y reputacional por acciones legales (sanciones disciplinarias, demandas y demás acciones jurídicas) y/o hallazgos de los entes de control debido al incumplimiento a la oportunidad de respuesta de los PQRSD clasificados como Derechos de Petición a la Entidad. </t>
  </si>
  <si>
    <t>Seguimiento a la gestión de mejoramiento de la reducción de las PQRSD al interior de los Procesos</t>
  </si>
  <si>
    <t>El Profesional Universitario(a) de la Dirección de Atención al Ciudadano quincenalmente  verifica que las respuestas emitidas por las diferentes unidades administrativas de las PQRSD sean respondidas dentro delos términos establecidos por la ley y se genera un informe que se exporta de la plataforma PISAMI, donde se puede visualizar el estado de las respuestas de las PQRSD de cada unidad administrativa. En caso de encontrar PQRSD a las cuales no se les dio respuesta dentro de los términos establecidos por la ley, se remite un informe de lo ocurrido a la oficina de control disciplinario y se proyectan informes de seguimiento con los respectivos memorandos.</t>
  </si>
  <si>
    <t>Realizar visitas a las seis
Dependencias de las
Secretarías de la
Administración Municipal
evidenciando el término
de respuesta dada a las
peticiones, quejas y
reclamos radicadas por los
ciudadanos para cumplir
con los parámetros
establecidos en la ley que
tengan PQRSD vencidos.</t>
  </si>
  <si>
    <r>
      <t xml:space="preserve">Durante el periodo de enero y febrero se realizaron visitas a las seis Dependencias con más PQRSD vencidos se deja constancias en las siguientes actas: </t>
    </r>
    <r>
      <rPr>
        <b/>
        <sz val="11"/>
        <rFont val="Arial Narrow"/>
        <family val="2"/>
      </rPr>
      <t>mes de enero</t>
    </r>
    <r>
      <rPr>
        <sz val="11"/>
        <rFont val="Arial Narrow"/>
        <family val="2"/>
      </rPr>
      <t xml:space="preserve"> (acta 01 a la acta 06) y </t>
    </r>
    <r>
      <rPr>
        <b/>
        <sz val="11"/>
        <rFont val="Arial Narrow"/>
        <family val="2"/>
      </rPr>
      <t>mes de febrero</t>
    </r>
    <r>
      <rPr>
        <sz val="11"/>
        <rFont val="Arial Narrow"/>
        <family val="2"/>
      </rPr>
      <t xml:space="preserve"> (acta 07 a la acta 12).</t>
    </r>
  </si>
  <si>
    <r>
      <t xml:space="preserve">Durante el periodo de marzo y abril se realizaron visitas a las seis Dependencias con más PQRSD vencidos se deja constancias en las siguientes actas: </t>
    </r>
    <r>
      <rPr>
        <b/>
        <sz val="11"/>
        <color theme="1"/>
        <rFont val="Arial Narrow"/>
        <family val="2"/>
      </rPr>
      <t>mes de marzo</t>
    </r>
    <r>
      <rPr>
        <sz val="11"/>
        <color theme="1"/>
        <rFont val="Arial Narrow"/>
        <family val="2"/>
      </rPr>
      <t xml:space="preserve"> (acta 13 a la acta 18) y </t>
    </r>
    <r>
      <rPr>
        <b/>
        <sz val="11"/>
        <color theme="1"/>
        <rFont val="Arial Narrow"/>
        <family val="2"/>
      </rPr>
      <t xml:space="preserve">mes de abril </t>
    </r>
    <r>
      <rPr>
        <sz val="11"/>
        <color theme="1"/>
        <rFont val="Arial Narrow"/>
        <family val="2"/>
      </rPr>
      <t>(acta 19 a la acta 24)</t>
    </r>
  </si>
  <si>
    <r>
      <t>Durante el periodo de mayo y junio se realizaron visitas a las seis Dependencias con más PQRSD vencidos se deja constancias en las siguientes actas:</t>
    </r>
    <r>
      <rPr>
        <b/>
        <sz val="11"/>
        <color theme="1"/>
        <rFont val="Arial Narrow"/>
        <family val="2"/>
      </rPr>
      <t xml:space="preserve"> mes de mayo</t>
    </r>
    <r>
      <rPr>
        <sz val="11"/>
        <color theme="1"/>
        <rFont val="Arial Narrow"/>
        <family val="2"/>
      </rPr>
      <t xml:space="preserve"> (acta 25 a la acta 30) y </t>
    </r>
    <r>
      <rPr>
        <b/>
        <sz val="11"/>
        <color theme="1"/>
        <rFont val="Arial Narrow"/>
        <family val="2"/>
      </rPr>
      <t>mes de junio</t>
    </r>
    <r>
      <rPr>
        <sz val="11"/>
        <color theme="1"/>
        <rFont val="Arial Narrow"/>
        <family val="2"/>
      </rPr>
      <t xml:space="preserve"> (acta 31 a la acta 36)</t>
    </r>
  </si>
  <si>
    <t>EL Profesional Universitaro(a) de la Dirección de Atención al Ciudadano y lider de cada unidad administrativa diariamente verifica y revisa aleatoreamente que la clasificación del tipo de petición sea la correcta a través de la consulta en la página web (modulo de radicación de peticiones, quejas y reclamos - clasificación de PQRSD y descripción de los mismos), el procedimiento del proceso y trámite interno del Derecho de petición de la Alcaldía. En caso de encontrar tipos de peticiones mal clasificadas, se procede a realizar el cambio en la plataforma PISAMI y se envia correo electrónico informativo.</t>
  </si>
  <si>
    <t>Durante el periodo de enero y febrero se realizaron los siguientes informes consolidados de seguimiento a las ventanillas: (02 al 05 de enero, 09 al 12 de enero, 15 al 19 de enero, 22 al 26 de enero, 29 al 02 de febrero, 05 al 09 de febrero, 12 al 17 de febrero, 19 al 23 de febrero y 26 al 02 de marzo).</t>
  </si>
  <si>
    <t>Durante el periodo de marzo y abril se realizaron los siguientes informes consolidados de seguimiento a las ventanillas: (04 al 08 de marzo, 11 al 15 de marzo, 18 al 22 de marzo, 01 al 05 de abril, 08 al 12 de abril, 15 al 19 de abril, 22 al 26 de abril y 29 al 03 de mayo).</t>
  </si>
  <si>
    <t>Durante el periodo de mayo y junio se realizaron los siguientes informes consolidados de seguimiento a las ventanillas: (06 al 10 de mayo, 14 al 17 de mayo, 20 al 24 de mayo, 27 al 31 de mayo, 04 al 07 de junio, 11 al 14 de junio, 17 al 21 de junio y 25 al 28 de junio).</t>
  </si>
  <si>
    <t>Realizar seguimiento a las
diferentes Dependencias
de la entidad por medio
de informes de
oportunidad de respuesta
de los traslados por
competencia.</t>
  </si>
  <si>
    <t>Se realizaron los siguientes informes de oportunidad de respuesta de los traslados por competencia y se enviaron por correo institucional en los meses comprendidos entre enero y febrero: (Informe del mes de enero enviado el 02 de febrero e informes del mes de febrero enviado el 01 de marzo).</t>
  </si>
  <si>
    <r>
      <t>Se realizaron los siguientes informes de oportunidad de respuesta de los traslados por competencia y se enviaron por correo institucional en los meses comprendidos entre marzo y abril: (Informe del mes de marzo enviado el 02 de abril e informes del mes de abril enviado e</t>
    </r>
    <r>
      <rPr>
        <sz val="11"/>
        <rFont val="Arial Narrow"/>
        <family val="2"/>
      </rPr>
      <t>l 02 de mayo</t>
    </r>
    <r>
      <rPr>
        <sz val="11"/>
        <color theme="1"/>
        <rFont val="Arial Narrow"/>
        <family val="2"/>
      </rPr>
      <t>).</t>
    </r>
  </si>
  <si>
    <t>Se realizaron los siguientes informes de oportunidad de respuesta de los traslados por competencia y se enviaron por correo institucional en los meses comprendidos entre mayo y junio: (Informe del mes de mayo  enviado el 01 de junio e informe del mes de junio enviado el 02 de julio).</t>
  </si>
  <si>
    <t xml:space="preserve">En este periodo no se tiene estipulado realizar esta actividad; ya que, el comité de Coordinación de Control Interno y el informe de Reclamos se  realiza de manera trimestral. </t>
  </si>
  <si>
    <t>Se solicito mediante memorando #012317 del 02 de abril participación en el Comité de Coordinación de Control Interno. 
Se socializo a la Alcaldesa y Directivos el día 22 de abril informes de PQRSD, informe de Reclamos y acciones de seguimiento.</t>
  </si>
  <si>
    <t xml:space="preserve">Se solicito mediante memorando #027678 del 02 de julio participación en el Comité de Coordinación de Control Interno. </t>
  </si>
  <si>
    <t xml:space="preserve"> Insatisfacción de los  ciudadanos frente a los servicios, trámites que presta la Entidad y PQRSD. </t>
  </si>
  <si>
    <t>Orientación inadecuada en la prestación de los servicios, trámites que presta la Entidad y PQRSD</t>
  </si>
  <si>
    <t>Posibilidad de perdida reputacional por insatisfacción de los ciudadanos frente a los servicios y trámites que presta la Entidad debido a la orientación inadecuada en la prestación de los servicios, trámites de la Entidad y PQRSD.</t>
  </si>
  <si>
    <t>Seguimiento a la orientación en la prestación de los servicios, trámites que presta la Entidad y PQRSD.</t>
  </si>
  <si>
    <t>El Director (a) de Atención al Ciudadano y su equipo de trabajo mensualmente verifica y revisa las actividades del componente Atención al Ciudadano del Plan Anticorrupción y Atención al Ciudadano y plan de mejoramiento con la Oficina de Control Interno relacionadas con los mecanismos de comunicación para con los ciudadanos y de la instatisfacción de los mismos frente a las respuesta de los PQRSD interpuestos a la Entidad. En caso de no encontrar implementados los mecanismos de comunicación entre la Entidad y los Ciudadanos, se procede a socializar en Comité Institucional de Gestión y Desempeño para que el Secretario comunique a la Alta Dirección las acciones de mejora a realizar, según sea el caso. Esta actividad se reporta mediante una presentación enviada al correo institucional de Fortalecimiento Institucional.</t>
  </si>
  <si>
    <r>
      <t xml:space="preserve">Durante el periodo de enero y febrero se realizaron las siguientes piezas gráficas: </t>
    </r>
    <r>
      <rPr>
        <b/>
        <sz val="11"/>
        <color theme="1"/>
        <rFont val="Arial Narrow"/>
        <family val="2"/>
      </rPr>
      <t>1.</t>
    </r>
    <r>
      <rPr>
        <sz val="11"/>
        <color theme="1"/>
        <rFont val="Arial Narrow"/>
        <family val="2"/>
      </rPr>
      <t xml:space="preserve"> banner del horario especial de atención al público, sábado 17 de febrero (se público en la página de la Alcaldía el 16 de febrero); </t>
    </r>
    <r>
      <rPr>
        <b/>
        <sz val="11"/>
        <color theme="1"/>
        <rFont val="Arial Narrow"/>
        <family val="2"/>
      </rPr>
      <t>2.</t>
    </r>
    <r>
      <rPr>
        <sz val="11"/>
        <color theme="1"/>
        <rFont val="Arial Narrow"/>
        <family val="2"/>
      </rPr>
      <t xml:space="preserve"> banner del horario especial de atención al público, sábado 02 de marzo (se público en la página de la Alcaldía el 28 de febrero); </t>
    </r>
    <r>
      <rPr>
        <b/>
        <sz val="11"/>
        <color theme="1"/>
        <rFont val="Arial Narrow"/>
        <family val="2"/>
      </rPr>
      <t>3.</t>
    </r>
    <r>
      <rPr>
        <sz val="11"/>
        <color theme="1"/>
        <rFont val="Arial Narrow"/>
        <family val="2"/>
      </rPr>
      <t xml:space="preserve"> pieza gráfica divulgación de horarios y canales de atención y</t>
    </r>
    <r>
      <rPr>
        <b/>
        <sz val="11"/>
        <color theme="1"/>
        <rFont val="Arial Narrow"/>
        <family val="2"/>
      </rPr>
      <t xml:space="preserve"> 4</t>
    </r>
    <r>
      <rPr>
        <sz val="11"/>
        <color theme="1"/>
        <rFont val="Arial Narrow"/>
        <family val="2"/>
      </rPr>
      <t>. pieza gráfica de puntos de atención presenciales (se públicaron en el instagram de la Alcaldía el 29 de febrero).</t>
    </r>
  </si>
  <si>
    <r>
      <t>Durante el periodo de marzo y abril se realizaron las siguientes piezas gráficas:</t>
    </r>
    <r>
      <rPr>
        <b/>
        <sz val="11"/>
        <color theme="1"/>
        <rFont val="Arial Narrow"/>
        <family val="2"/>
      </rPr>
      <t xml:space="preserve"> 5.</t>
    </r>
    <r>
      <rPr>
        <sz val="11"/>
        <color theme="1"/>
        <rFont val="Arial Narrow"/>
        <family val="2"/>
      </rPr>
      <t xml:space="preserve">	Banner y piezas gráficas información semana santa – marzo </t>
    </r>
    <r>
      <rPr>
        <b/>
        <sz val="11"/>
        <color theme="1"/>
        <rFont val="Arial Narrow"/>
        <family val="2"/>
      </rPr>
      <t xml:space="preserve">6.	</t>
    </r>
    <r>
      <rPr>
        <sz val="11"/>
        <color theme="1"/>
        <rFont val="Arial Narrow"/>
        <family val="2"/>
      </rPr>
      <t xml:space="preserve">Piezas gráficas radicación y seguimiento PQRSD – marzo </t>
    </r>
    <r>
      <rPr>
        <b/>
        <sz val="11"/>
        <color theme="1"/>
        <rFont val="Arial Narrow"/>
        <family val="2"/>
      </rPr>
      <t>7.</t>
    </r>
    <r>
      <rPr>
        <sz val="11"/>
        <color theme="1"/>
        <rFont val="Arial Narrow"/>
        <family val="2"/>
      </rPr>
      <t xml:space="preserve"> Pieza gráfica requisitos para radicar tus PQRS en las ventanillas de la Administración Municipal - abril  </t>
    </r>
    <r>
      <rPr>
        <b/>
        <sz val="11"/>
        <color theme="1"/>
        <rFont val="Arial Narrow"/>
        <family val="2"/>
      </rPr>
      <t xml:space="preserve">8.	</t>
    </r>
    <r>
      <rPr>
        <sz val="11"/>
        <color theme="1"/>
        <rFont val="Arial Narrow"/>
        <family val="2"/>
      </rPr>
      <t>Pieza gráfica información de los Centros de Atención Municipal - abril</t>
    </r>
  </si>
  <si>
    <r>
      <t xml:space="preserve">Durante el periodo de mayo y junio se realizaron las siguientes piezas gráficas: </t>
    </r>
    <r>
      <rPr>
        <b/>
        <sz val="11"/>
        <color theme="1"/>
        <rFont val="Arial Narrow"/>
        <family val="2"/>
      </rPr>
      <t xml:space="preserve">9.	</t>
    </r>
    <r>
      <rPr>
        <sz val="11"/>
        <color theme="1"/>
        <rFont val="Arial Narrow"/>
        <family val="2"/>
      </rPr>
      <t xml:space="preserve">Pieza gráfica informativa de la no atención por abastecimiento de agua – mayo </t>
    </r>
    <r>
      <rPr>
        <b/>
        <sz val="11"/>
        <color theme="1"/>
        <rFont val="Arial Narrow"/>
        <family val="2"/>
      </rPr>
      <t>10.</t>
    </r>
    <r>
      <rPr>
        <sz val="11"/>
        <color theme="1"/>
        <rFont val="Arial Narrow"/>
        <family val="2"/>
      </rPr>
      <t>Pieza gráfica de la atención en las ventanillas el día 08 de mayo – mayo</t>
    </r>
    <r>
      <rPr>
        <b/>
        <sz val="11"/>
        <color theme="1"/>
        <rFont val="Arial Narrow"/>
        <family val="2"/>
      </rPr>
      <t xml:space="preserve"> 11.</t>
    </r>
    <r>
      <rPr>
        <sz val="11"/>
        <color theme="1"/>
        <rFont val="Arial Narrow"/>
        <family val="2"/>
      </rPr>
      <t xml:space="preserve"> Pieza gráfica atención especial el día 08 de mayo - mayo </t>
    </r>
    <r>
      <rPr>
        <b/>
        <sz val="11"/>
        <color theme="1"/>
        <rFont val="Arial Narrow"/>
        <family val="2"/>
      </rPr>
      <t>12.</t>
    </r>
    <r>
      <rPr>
        <sz val="11"/>
        <color theme="1"/>
        <rFont val="Arial Narrow"/>
        <family val="2"/>
      </rPr>
      <t xml:space="preserve">Banner y pieza gráfica jornada especial por el día de la salud- junio </t>
    </r>
    <r>
      <rPr>
        <b/>
        <sz val="11"/>
        <color theme="1"/>
        <rFont val="Arial Narrow"/>
        <family val="2"/>
      </rPr>
      <t>13.</t>
    </r>
    <r>
      <rPr>
        <sz val="11"/>
        <color theme="1"/>
        <rFont val="Arial Narrow"/>
        <family val="2"/>
      </rPr>
      <t xml:space="preserve"> Banner y pieza gráfica del horario de atención del día 14 de junio por actividades internas de la Alcaldía - junio  </t>
    </r>
    <r>
      <rPr>
        <b/>
        <sz val="11"/>
        <color theme="1"/>
        <rFont val="Arial Narrow"/>
        <family val="2"/>
      </rPr>
      <t>14.</t>
    </r>
    <r>
      <rPr>
        <sz val="11"/>
        <color theme="1"/>
        <rFont val="Arial Narrow"/>
        <family val="2"/>
      </rPr>
      <t xml:space="preserve">	Banner y pieza gráfica informativa de la no atención por ser día cívico - junio</t>
    </r>
  </si>
  <si>
    <t xml:space="preserve">Baja competencia del personal frente al manejo de las PQRSD, orientación y atención al ciudadano </t>
  </si>
  <si>
    <t>El Director (a) de Atención al Ciudadano y Director(a) de Talento Humano cuatrimestralmente verifica y revisa las actividades del componente Atención al Ciudadano del Plan Anticorrupción y Atención al Ciudadano relacionadas con la capacitación al personal que atiende en ventanillas y da respuesta a las PQRSD - Derechos de Petición a través de capacitaciones programadas dentro del Programa de Transparencia y ética pública. En caso de no darsen las capacitaciones se procede a gestionar con otras entidades. Esta actividad se reporta en el avance del Informe del Plan Anticorrupción y de Atención al Ciudadano.</t>
  </si>
  <si>
    <t>Adelantar jornadas de
capacitación en el manejo de correspondencia</t>
  </si>
  <si>
    <t xml:space="preserve">En este periodo no se tiene estipulado realizar esta actividad; ya que, se realizará de manera trimestral. </t>
  </si>
  <si>
    <t xml:space="preserve">Durante este periodo se adelantaron dos jornadas de capacitación en el manejo de correspondencia.
La citación de la capacitación se realizó mediante memorando 010505 del 14 de marzo para la Dirección de Rentas en el manejo adecuado de la correspondencia interna y externa en la plataforma documental PISAMI, traslados por competencia y los formatos de comunicación oficial de la Entidad.
La capacitación se llevo a cabo el día 22 de marzo a las 7:30 am y se dejo como evidencia el acta 06. 
La citación de la capacitación se realizó mediante memorando 013382 del 08 de abril para la Dirección Operativa de Movilidad en el manejo adecuado de la correspondencia interna y externa en la plataforma documental PISAMI, traslados por competencia y los formatos de comunicación oficial de la Entidad.
La capacitación se llevó a cabo el día 15 de abril a partir de las 2:30 pm y se dejó como evidencia el acta 08. </t>
  </si>
  <si>
    <t xml:space="preserve">Durante este periodo se adelanto una jornadas de capacitación en el manejo de correspondencia.
La citación de la capacitación se realizó mediante memorando 020080 del 17 de mayo para la Dirección de Información y Aplicación de la Norma Urbanistica en el manejo adecuado de la correspondencia interna y externa en la plataforma documental PISAMI, traslados por competencia y los formatos de comunicación oficial de la Entidad.
La capacitación se llevo a cabo el día 23 de mayo a las 9:00 am y se dejo como evidencia el acta 14. </t>
  </si>
  <si>
    <t>Observación Monitoreo</t>
  </si>
  <si>
    <t>Incumplimiento  en la ejecución de  Planes, Programas y Proyectos,  priorizados en el Plan de Desarrollo</t>
  </si>
  <si>
    <t xml:space="preserve"> insuficientes recursos económicos y deficiencia en la formulacion ,implementacion  y seguimiento a las   políticas , planes y proyectos .</t>
  </si>
  <si>
    <t xml:space="preserve">Deficiente asignación de presupuesto por parte del municipio y deficiente gestión para conseguir otras fuentes de financiación </t>
  </si>
  <si>
    <t xml:space="preserve">Posibilidad de perdida  economica y reputacional por Incumplimiento en la ejecucion de planes , programas y proyectos debido a  insuficientes recursos económicos y deficiencia en la formulacion ,implementacion  y seguimiento a las   políticas , planes y proyectos .  </t>
  </si>
  <si>
    <t xml:space="preserve">Gestion </t>
  </si>
  <si>
    <t xml:space="preserve">La actividad generadora del riesgo se encuentran documentadas en la caracterizacion del proceso de gestion ambiental en las politicas de operación </t>
  </si>
  <si>
    <t>200 días</t>
  </si>
  <si>
    <r>
      <t>El Profesional Universitario asignado,para recopilar las evidencias de lo actuado o ejecutado, en cada programa  trimestralmente, verifica el avance en el cumplimiento de las metas de los diferentes programas  del plan de desarrollo, establecidos en los instrumentos de planeación ( POAI, PLan de Acción, Plan Indicativo),</t>
    </r>
    <r>
      <rPr>
        <sz val="11"/>
        <rFont val="Arial Narrow"/>
        <family val="2"/>
      </rPr>
      <t xml:space="preserve"> comparando lo programado con lo ejecutado determinando si se cumple o si existe desviación o incumplimiento de las metas establecidas en los programas , se tratan en los comites tecnicos, que se realizan previo al reporte trimestral, estableciendo acciones correctivas que quedan evidenciadas  en las actas de los comites en los compromisos</t>
    </r>
    <r>
      <rPr>
        <sz val="11"/>
        <color theme="1"/>
        <rFont val="Arial Narrow"/>
        <family val="2"/>
      </rPr>
      <t xml:space="preserve">. Como evidencias se dejan el Acta de Comite, y el correo electronico enviado a planeacion municipal con el reporte de avance de cumplimiento al plan de accion, plan indicativo , POAI y los registros del aplicativo al tablero. </t>
    </r>
  </si>
  <si>
    <t xml:space="preserve">Gestionar por parte de la alta dirección recursos a nivel nacional e internacional proyectos de preservación, conservación y protección del  medio ambiente, y gestion del riesgo - Realizar comité tecnico para analizar las metas resagadas </t>
  </si>
  <si>
    <t>28 de febrero del 2024-30 de Abril del 2024-30 de Junio del 2024-30 de Agosto- 30 de Octubre -31 de Diciembre -2024</t>
  </si>
  <si>
    <t xml:space="preserve">Para este semestre en el periodo transcurrido de la presente vigencia está en construcción el plan de desarrollo Municipal y a la fecha se han realizado 6 comités técnicos en la dirección de gestion del riesgo y 5 comites tecnicos en la direccion de ambiente, agua y cambio climático  para analizar el cumplimiento de metas que para este semestre aplican las mismas del año pasado, mientras se consolida el nuevo plan de desarrollo, sin embargo  en este mes de  junio se consolida información en los instrumentos de planeación ( Plan de acción,POAI). en el corte del primer semestre se puede evidenciar que la ejecución fisica de metas es muy  baja en todas los programas debido a que se esta  teminando de consolidar el plan de desarrollo . La ejecución presupuestal en el mes de junio fue de    53,57%.                                                                                                                       En cuanto  a gestionar por parte de la alta direccion recursos, se ha adelantado las siguientes acciones: Reunion con la ministra de vivienda y la alcaldesa municipal para concretar proyectos de acueductos , participacion en el proyecto "Gestion adaptativa ante la crisis climatica " con el  RAPE anexo carta de intención  </t>
  </si>
  <si>
    <t>Compra o inversion en bienes innecesarios</t>
  </si>
  <si>
    <t>Inadecuada   planeación  en  procesos de contratación pública.</t>
  </si>
  <si>
    <t xml:space="preserve">  Desconocimiento real y efectivo sobre la necesidad a satisfacer;¿qué es lo que se requiere contratar?, ¿con cuántos recursos se cuenta?, ¿cuáles son los términos tanto de la ejecución presupuestal, como los requisitos de la obra requerida por la comunidad? y ¿cuáles son los factores que inciden en el desarrollo de los procesos que se realizan? </t>
  </si>
  <si>
    <t xml:space="preserve">Posibilidad de Compra o inversion en bienes innecesarios </t>
  </si>
  <si>
    <t>Fiscal</t>
  </si>
  <si>
    <t>En la celebración y ejecucion de un contrato de obra</t>
  </si>
  <si>
    <t>200 dias</t>
  </si>
  <si>
    <t xml:space="preserve">El estructurador del proceso contractual así como el ordenador del gasto, verificaran en los estudios previos,  en la descripción de la necesidad, que cumpla con los requisitos expuestos en el Instructivo elabloracion de estudios previos INS-GC-006  y que la necesidad descrita en el estudio de mercado , obedezca al estudio de la necesidad realizado en Comite técnico previo a la elaboración de los estudios , el acta de dicho comite  se anexara al proceso contractual .   </t>
  </si>
  <si>
    <t xml:space="preserve">Realizar comité tecnico conformado por el ordenador del gasto , el estructurador del proceso contractual , los tecnicos y profesionales del area, para realizar un estudio de mercado acorde con las necesidades , previo a la elaboracion de estudios </t>
  </si>
  <si>
    <t>En lo corrido de este semestre no se ha llevado proceso de contratacion de suminitros o bienes</t>
  </si>
  <si>
    <t>Inadecuada deduccion de impuestos en el proceso contractual</t>
  </si>
  <si>
    <t xml:space="preserve">  Inapropiada aplicación y actualización normativa del impuesto al valor agregado (IVA),</t>
  </si>
  <si>
    <t xml:space="preserve"> falta de interés, conocimiento de causa y experticia por parte de los involucrados, que estructuran los procesos
 contractuales , contables , administrativos . </t>
  </si>
  <si>
    <t>Posible inadecuada deduccion de impuestos en el proceso contractual .</t>
  </si>
  <si>
    <t xml:space="preserve">El estructurador del proceso contractual , verificara en el estatuto tributario la normatividad vigente sobre excension de impuestos  según sea el caso y quedara plasmado en los esudios previos en el capitulo de Perfeccionamiento y requisitos de ejecución. </t>
  </si>
  <si>
    <t xml:space="preserve">Realizar seguimiento al 100% de los contratos verificando   si la compra a realizar o el bien a adquirir  esta excepto del impuesto IVA de acuerdo a los estatutos tributarios  </t>
  </si>
  <si>
    <t xml:space="preserve">En lo corrido de este semestre no se ha llevado proceso de contrrtacion de suminitros </t>
  </si>
  <si>
    <t>Efectos dañosos sobre bienes públicos por  obras inconclusas que no brindan utilidad o beneficio</t>
  </si>
  <si>
    <t>Deficiencias en el cumplimiento de  las funciones de Supervisión e Interventoría de los contratos de la Entidad</t>
  </si>
  <si>
    <t xml:space="preserve">Falta de  idoneidad y de experticia técnica en la  supervisión de  obligaciones contractuales </t>
  </si>
  <si>
    <t>Posibiliad de efectos dañosos sobre bienes públicos por  obras inconclusas que no brindan utilidad o beneficio</t>
  </si>
  <si>
    <t>Daños Activos Fisicos</t>
  </si>
  <si>
    <t>200n dias</t>
  </si>
  <si>
    <t>El supervisor designado ejercerá el control y seguimiento a la ejecución contractual para verificar el cumplimiento de las condiciones y especificaciones técnicas pactadas y establecidas en la etapa contractual, de presentarse incumplimiento se debe actuar de acuerrdo a lo establecido en el manual de supervision e interventoria Código: MAN-GC-02, especificiamente en el capitulo 4.1.INFORME SOBRE PRESUNTO INCUMPLIMIENTO CONTRACTUAL.Previo a la citación que realice la entidad al contratista y su garante</t>
  </si>
  <si>
    <t>Realizar seguimiento a los informes de supervisión del 100% de los contratos suscritos de la Secretaría de Ambiente y Gestión del Riesgo, para verificar el cumplimiento de las condiciones y especificaciones técnicas pactadas y establecidas en la etapa contractual, de acuerdo a las normas vigentes.</t>
  </si>
  <si>
    <t>GESTIÓN CATASTRAL</t>
  </si>
  <si>
    <t>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t>
  </si>
  <si>
    <t>INICIA DESDE LA PLANEACIÓN DE LAS ACTIVIDADES DE FORMACIÓN, ACTUALIZACIÓN, CONSERVACIÓN Y
DIFUSIÓN DE LA INFORMACIÓN CATASTRAL HASTA LA REALIZACIÓN DE LAS VERIFICACIONES DEL PROCESO</t>
  </si>
  <si>
    <t xml:space="preserve">* Inoportunidad en respeusta a la comunidad        *Sanciones por parte de los entes rectores (IGAC-SNR)                         </t>
  </si>
  <si>
    <t>Desactualización de la información catastral                                           * Por constantes quejas y denuncias de usuarios por el incumplimiento en los tiempos de respuesta</t>
  </si>
  <si>
    <t>Insuficiencia del personal de planta o contratistas para el adecuado cumplimiento de los tiempos de respuesta de los tramites</t>
  </si>
  <si>
    <t>Posibilidad de Impacto Economico y Reputacional, debido a la inoportunidad en respuestas a la comunidad y sanciones por parte de los entes rectores (IGAC-SNR, ect) por causa de Desactualización de la información catastral, constantes quejas y denuncias de usuarios por el incumplimiento en los tiempos de respuesta</t>
  </si>
  <si>
    <t>Desde la Radiciación, la respuesta y el seguimiento al tramite</t>
  </si>
  <si>
    <t xml:space="preserve">La Directora de Planeación Multipropósito de manera anual revisa las necesidades de personal de la Dirección con el fin de solicitar el personal de contrato requerido para desarrollar las actividades propias del proceso y poder ser incluidos en el Plan Anual de Adquisionces, dejando como evidencia el memorando de solicitud y el Plan Anual de Adquisiciones </t>
  </si>
  <si>
    <t>Realizar la documentación del control de seguimiento del software.                                                       Realizar quincenalmente seguimiento a las respuestas de los usuarios de PQR (Pisamis) y/o solicitudes radicadas en el Cam</t>
  </si>
  <si>
    <t>Directora de Planeación Multipropósito y su equipo de trabajo</t>
  </si>
  <si>
    <t>01/May/2024 al 31/Dic/2024</t>
  </si>
  <si>
    <r>
      <t xml:space="preserve">Mediante </t>
    </r>
    <r>
      <rPr>
        <sz val="12"/>
        <color rgb="FFFF0000"/>
        <rFont val="Arial Narrow"/>
        <family val="2"/>
      </rPr>
      <t>memorando (Colocar fecha de memorando o de solicitud)</t>
    </r>
    <r>
      <rPr>
        <sz val="12"/>
        <color theme="1"/>
        <rFont val="Arial Narrow"/>
        <family val="2"/>
      </rPr>
      <t xml:space="preserve"> se realiza solicitud a la Dirección de OTS para inlcluir el personal requerido para el proceso de gestión catastral.                             </t>
    </r>
  </si>
  <si>
    <t xml:space="preserve">Falta del sistema de información catastral adecuado y robusto que permita dar respuesta oportuna y llevar trazabilidad de los tramites </t>
  </si>
  <si>
    <t>La Directora de Planeación Multipropósito cada vez que se requiera valida el funcionamiento del sistema de información catastral, de ser necesario redefine las necesidades de servicio y del cliente para fortalecer o cambiar el software o los módulos de este cuando se requiera, dejando como evidencia los seguimientos de los soportes de contratación o del software.</t>
  </si>
  <si>
    <t xml:space="preserve">     SEGUIMIENTO ENERO Y FEBRERO 2024</t>
  </si>
  <si>
    <t xml:space="preserve">     SEGUIMIENTO MARZO Y ABRIL DE 2024</t>
  </si>
  <si>
    <t xml:space="preserve">     SEGUIMIENTO MAYO Y JUNIO DE 2024</t>
  </si>
  <si>
    <t>En comité técnico se revisará el plan de acción de la presente vigencia, con el fin de determinar el cronograma de las actividades a desarralloarse durante el año 2024</t>
  </si>
  <si>
    <t>abril de 2024</t>
  </si>
  <si>
    <t>Se realiza segumiento a través del plan de acción y el POAI, verificando que estos se encuentren actualizados y se revisa porcentaje de cumplimiento de las metas y actividades de esta Dirección.</t>
  </si>
  <si>
    <t>Se revisa el Plan de Acción y el POAI, estructurados para el año 2024, por parte de la DPCC.</t>
  </si>
  <si>
    <t>Se revisa el Plan de Acción y el POAI, se encuentra Memorando de Remisión de los instrumentos de planeación.</t>
  </si>
  <si>
    <t>Se revisa el Plan de Acción, a corte del 30 de junio de 2024.</t>
  </si>
  <si>
    <t>junio de 2024</t>
  </si>
  <si>
    <t xml:space="preserve">No existe control </t>
  </si>
  <si>
    <t xml:space="preserve">Se realiza segumiento mediante actas de reunión de los comites técnicos y las evidencias presentadas, tales son las acta de reunión. </t>
  </si>
  <si>
    <t xml:space="preserve">Se realiza revisión de la carpeta de comites tecnicos de la Dirección, en el que se encuentra lo sigueinte:                                 1) Acta N°001 DEL 16/01/2024, Folio #1-3.                  2)ActaN°002 DEL 26/01/2024, Folio #4-9.    </t>
  </si>
  <si>
    <t xml:space="preserve">Se realiza revisión de la carpeta de comites técnicos de la Dirección, en el que se encuentra lo sigueinte: Acta N°003 DEL 23/04/2024, Folio #10 al 18.  Donde se evidencia la socialización de puntos claves de la política de Participación Ciudadana y el codigo de integridad y buen gobierno. </t>
  </si>
  <si>
    <t xml:space="preserve">Se realiza revisión de la carpeta de comites tecnicos de la Dirección, en el que se encuentra lo sigueinte:  Acta N°004 DEL 24/05/2024, Folio #19 al 33.  Donde se evidencia que se hablo sobre la política de Participación Ciudadana y el codigo de integridad y buen gobierno. </t>
  </si>
  <si>
    <t>OBSERVACIONES
BIMESTRE 01 2024</t>
  </si>
  <si>
    <t>OBSERVACIONES- MAPA ACTUALIZADO PARA B02-2024
BIMESTRE 02 2024</t>
  </si>
  <si>
    <t>OBSERVACIONES-
BIMESTRE 03 2024</t>
  </si>
  <si>
    <t>Se enviará circular mensualmente a las Secretaría Ejecutoras que tengan saldos pendientes por ejecutar para que liberen los saldos o los ejecuten y se remitirá  trimestralmente el INFORME EJECUTIVO  DE LA EJECUCIÓN PRESUPUESTAL DE GASTOS  al Secretario de Hacienda, para presentalo ante la Alta Dirección en el  Comite de Coordinación de Control Interno.</t>
  </si>
  <si>
    <r>
      <rPr>
        <b/>
        <sz val="9"/>
        <color theme="1"/>
        <rFont val="Arial Narrow"/>
        <family val="2"/>
      </rPr>
      <t xml:space="preserve">PRESUPUESTO:  </t>
    </r>
    <r>
      <rPr>
        <sz val="9"/>
        <color theme="1"/>
        <rFont val="Arial Narrow"/>
        <family val="2"/>
      </rPr>
      <t xml:space="preserve">
1.1.  Correos 04/01/2024 Circular 0001 Presupuesto de Gastos 2024    Enero 04 2024.   
1.2.  Correos 29/01/2024 Envio Ejecución Gastos 31 de diciembre 2023 e Informe Ejecutivo de la Ejecución Presupuestal de Gasto, Reserva y Pasivos Exigibles 31 diciembre 2023. 
1.3.  Correos 31/01/2024 Circular 0003  Información Obligaciones Pendientes Enero 31 2024. 
1.4   Correos 14/02/2024 Ejecución Gastos 31 de enero 2024.    </t>
    </r>
  </si>
  <si>
    <r>
      <rPr>
        <b/>
        <sz val="9"/>
        <color theme="1"/>
        <rFont val="Arial Narrow"/>
        <family val="2"/>
      </rPr>
      <t xml:space="preserve">PRESUPUESTO:  </t>
    </r>
    <r>
      <rPr>
        <sz val="9"/>
        <color theme="1"/>
        <rFont val="Arial Narrow"/>
        <family val="2"/>
      </rPr>
      <t xml:space="preserve">
</t>
    </r>
    <r>
      <rPr>
        <b/>
        <sz val="9"/>
        <color theme="1"/>
        <rFont val="Arial Narrow"/>
        <family val="2"/>
      </rPr>
      <t xml:space="preserve">  Informe Seguimiento Ejecucion Presupuestal. 
</t>
    </r>
    <r>
      <rPr>
        <sz val="9"/>
        <color theme="1"/>
        <rFont val="Arial Narrow"/>
        <family val="2"/>
      </rPr>
      <t xml:space="preserve">Circulares:   0008 Marzo 04 2024, 0009 Abril 04 2024, 00011 Abril 18 2024.  </t>
    </r>
    <r>
      <rPr>
        <b/>
        <sz val="9"/>
        <color theme="1"/>
        <rFont val="Arial Narrow"/>
        <family val="2"/>
      </rPr>
      <t xml:space="preserve">Informe ejecución vigencia reserva presupuestal. 
</t>
    </r>
    <r>
      <rPr>
        <sz val="9"/>
        <color theme="1"/>
        <rFont val="Arial Narrow"/>
        <family val="2"/>
      </rPr>
      <t>Circulares: 00010 Abril 11 2024, 00012 Abril 18 2024.  
Ejecución Gastos 29 de Febrero 2024 - Correo del día 06-marzo 2024 y  del 31 de marzo 2024 - correo del día 03-abril 2024.</t>
    </r>
    <r>
      <rPr>
        <b/>
        <sz val="9"/>
        <color theme="1"/>
        <rFont val="Arial Narrow"/>
        <family val="2"/>
      </rPr>
      <t xml:space="preserve">  
Informe Ejecutivo de la Ejecución Presupuestal de Gastos y Reserva Febrero 2024 </t>
    </r>
    <r>
      <rPr>
        <sz val="9"/>
        <color theme="1"/>
        <rFont val="Arial Narrow"/>
        <family val="2"/>
      </rPr>
      <t xml:space="preserve">- Correo del día 08-marzo-2024 y del 08-abril-2024.
</t>
    </r>
    <r>
      <rPr>
        <b/>
        <sz val="9"/>
        <color theme="1"/>
        <rFont val="Arial Narrow"/>
        <family val="2"/>
      </rPr>
      <t xml:space="preserve">Memorando 015146 Abril 18 2024 a la Oficina de Control Interno </t>
    </r>
    <r>
      <rPr>
        <sz val="9"/>
        <color theme="1"/>
        <rFont val="Arial Narrow"/>
        <family val="2"/>
      </rPr>
      <t xml:space="preserve">solicitando agendar al Secretario de Hacienda para la presentación del Informe Ejecutivo en el Comité de Coordinación de Control Interno. </t>
    </r>
  </si>
  <si>
    <r>
      <rPr>
        <b/>
        <sz val="9"/>
        <color theme="1"/>
        <rFont val="Arial Narrow"/>
        <family val="2"/>
      </rPr>
      <t>PRESUPUESTO:</t>
    </r>
    <r>
      <rPr>
        <u/>
        <sz val="9"/>
        <color theme="1"/>
        <rFont val="Arial Narrow"/>
        <family val="2"/>
      </rPr>
      <t xml:space="preserve"> 
 Informe Seguimiento Ejecucion Presupuestal. </t>
    </r>
    <r>
      <rPr>
        <sz val="9"/>
        <color theme="1"/>
        <rFont val="Arial Narrow"/>
        <family val="2"/>
      </rPr>
      <t xml:space="preserve"> Circulares:   000013 Mayo 03 2024, 000017 Mayo 16 2024, 000020 Junio 05 2024 y 000025 Junio 17 2024.
  I</t>
    </r>
    <r>
      <rPr>
        <u/>
        <sz val="9"/>
        <color theme="1"/>
        <rFont val="Arial Narrow"/>
        <family val="2"/>
      </rPr>
      <t xml:space="preserve">nforme ejecución vigencia reserva presupuestal. </t>
    </r>
    <r>
      <rPr>
        <sz val="9"/>
        <color theme="1"/>
        <rFont val="Arial Narrow"/>
        <family val="2"/>
      </rPr>
      <t xml:space="preserve">
 Circulares: 000014 Mayo 03 2024, 00018 Mayo 16 2024, 000021 Junio 05 2024 y 000026 Junio 17 2024. 
</t>
    </r>
    <r>
      <rPr>
        <u/>
        <sz val="9"/>
        <color theme="1"/>
        <rFont val="Arial Narrow"/>
        <family val="2"/>
      </rPr>
      <t xml:space="preserve"> Ejecución Gastos y reserva:  mes de abril 2024 </t>
    </r>
    <r>
      <rPr>
        <sz val="9"/>
        <color theme="1"/>
        <rFont val="Arial Narrow"/>
        <family val="2"/>
      </rPr>
      <t xml:space="preserve">-Correo del día 08-mayo 2024 y mes de mayo 2024 -Correo del día 17-junio 2024. 
 </t>
    </r>
    <r>
      <rPr>
        <u/>
        <sz val="9"/>
        <color theme="1"/>
        <rFont val="Arial Narrow"/>
        <family val="2"/>
      </rPr>
      <t>Informe ejecutivo de la Ejecución Presupuestal de Gastos y Reserva:</t>
    </r>
    <r>
      <rPr>
        <sz val="9"/>
        <color theme="1"/>
        <rFont val="Arial Narrow"/>
        <family val="2"/>
      </rPr>
      <t xml:space="preserve"> mes Abril 2024 - Correo del día 09-mayo-2024 y mes  Mayo 2024 - Correo del día 17-junio-2024. </t>
    </r>
  </si>
  <si>
    <t xml:space="preserve">El Profesional Universitado y/o técnico Operativo responsable de los archivos de Gestión Documental: Carteras de Transito, Predial, ICA y Otras Multas, deberan presentar mensualmente al Director de Tesorería un informe de, control de prestamo y devolución de Expedientes. 
Este Informe debe contener la trazabilidad del control realizado a los expedientes que superen el plazo máximo de Devolución. </t>
  </si>
  <si>
    <t>DIRECTOR(A) DE  TESORERÍA</t>
  </si>
  <si>
    <r>
      <t xml:space="preserve">RENTAS:
</t>
    </r>
    <r>
      <rPr>
        <sz val="9"/>
        <color theme="1"/>
        <rFont val="Arial Narrow"/>
        <family val="2"/>
      </rPr>
      <t xml:space="preserve">la dirección de rentas en los meses de enero y febrero no ha realizado prestamos de expedientes, toda vez que los expedientes se trasladan directamente a la dirección de tesoreria por memorando, para darle continuidad al proceso de cobro.
</t>
    </r>
    <r>
      <rPr>
        <b/>
        <sz val="9"/>
        <color theme="1"/>
        <rFont val="Arial Narrow"/>
        <family val="2"/>
      </rPr>
      <t xml:space="preserve">TESORERIA: 
</t>
    </r>
    <r>
      <rPr>
        <sz val="9"/>
        <color theme="1"/>
        <rFont val="Arial Narrow"/>
        <family val="2"/>
      </rPr>
      <t xml:space="preserve">Se adjunta como evidencia las planillas de control de prestamo y devolucion de expedientes de los meses de enero y febrero del año 2024, de las areas de PREDIAL, ICA y TRANSITO.                                                                            
No se solicita capacitación dando espera a la contratación del personal del area de gestión documental de cobro coactivo, pero las funcionarias Amparo Diaz y Gina Acevedo (cordinadoras del area de gestion documental) asisten a capacitación convocada por la directora de recursos fisicos de la Alcaldia de Ibagué mediante circular 0013 del 20 de febrero de 2024. (la cual se adjunta como evidencia) 
</t>
    </r>
  </si>
  <si>
    <r>
      <t xml:space="preserve">TESORERIA: Se adjuntan dos informes de prestamo y devolución de los expedientes el primero de (predial e ica) y el segundo de (transito) con sus respectivas planillas. Lo anterior correspondiente a los meses de marzo y abril de 2024. 
</t>
    </r>
    <r>
      <rPr>
        <sz val="9"/>
        <color theme="1"/>
        <rFont val="Arial Narrow"/>
        <family val="2"/>
      </rPr>
      <t xml:space="preserve">
</t>
    </r>
  </si>
  <si>
    <r>
      <t>TESORERIA:</t>
    </r>
    <r>
      <rPr>
        <sz val="9"/>
        <color theme="1"/>
        <rFont val="Arial Narrow"/>
        <family val="2"/>
      </rPr>
      <t xml:space="preserve"> Se adjuntan dos informes de prestamo y devolución de los expedientes el primero de (predial e ica) y el segundo de (transito) con sus respectivas planillas. Lo anterior correspondiente a los meses de marzo y abril de 2024. </t>
    </r>
  </si>
  <si>
    <t>Cada Director o de maneja conjunta,  socializarán a su equipo de trabajo los documentos actualizados que hacen parte de su actividad diaria para promover el mejoramiento continuo de su proceso, dejando como evidencias actas o circulares.</t>
  </si>
  <si>
    <r>
      <t xml:space="preserve">RENTAS: 
</t>
    </r>
    <r>
      <rPr>
        <sz val="9"/>
        <color theme="1"/>
        <rFont val="Arial Narrow"/>
        <family val="2"/>
      </rPr>
      <t xml:space="preserve">ACTA 02 28 DE FEBRERO DE 2024. se socializa el procedimiento del impuesto de industria y comercio con sus ajustes realizados.
</t>
    </r>
    <r>
      <rPr>
        <b/>
        <sz val="9"/>
        <color theme="1"/>
        <rFont val="Arial Narrow"/>
        <family val="2"/>
      </rPr>
      <t xml:space="preserve">TESORERIA: </t>
    </r>
    <r>
      <rPr>
        <sz val="9"/>
        <color theme="1"/>
        <rFont val="Arial Narrow"/>
        <family val="2"/>
      </rPr>
      <t xml:space="preserve">
Mediante memorando No 006364 del 20 de febrero de 2024, se solicita apoyo a la Dirección de fortalecimiento institucional, para revision y actualización de los tramites de paz y salvo y estampillas electronicas correspondientes a la Direccion de Tesoreria Municipal. 
Se evidencia mediante acta de reunión No 01 del dia 19 de enero de 2024, la socializacion a los funcionarios de los manuales, procesos, instructivos, guias y demas formatos de la Secretaria de Hacienda - Dirección de Tesoreria.                                                                                                                                                                                          
</t>
    </r>
    <r>
      <rPr>
        <b/>
        <sz val="9"/>
        <color theme="1"/>
        <rFont val="Arial Narrow"/>
        <family val="2"/>
      </rPr>
      <t xml:space="preserve">PRESUPUESTO:
</t>
    </r>
    <r>
      <rPr>
        <sz val="9"/>
        <color theme="1"/>
        <rFont val="Arial Narrow"/>
        <family val="2"/>
      </rPr>
      <t xml:space="preserve"> El 17/02/2024 iniciamos la revisión del Procedimiento de Ordenes de Pago PRO-GHP-008 Versión 6, donde intervienen tres (3) direcciones de la Secretaría de Hacienda (Presupuesto, contabilidad y Tesorería).  Acta de reunión interna N.1  del 17/02/2024 con listado de asistencia.
</t>
    </r>
    <r>
      <rPr>
        <b/>
        <sz val="9"/>
        <color theme="1"/>
        <rFont val="Arial Narrow"/>
        <family val="2"/>
      </rPr>
      <t xml:space="preserve">
CONTABILIDAD: 
</t>
    </r>
    <r>
      <rPr>
        <sz val="9"/>
        <color theme="1"/>
        <rFont val="Arial Narrow"/>
        <family val="2"/>
      </rPr>
      <t xml:space="preserve">A la fecha no se ha realizado la actualizacion de los documentos del proceso de gestion de hacienda publica de la Direccion de Contabilidad. </t>
    </r>
    <r>
      <rPr>
        <b/>
        <sz val="9"/>
        <color theme="1"/>
        <rFont val="Arial Narrow"/>
        <family val="2"/>
      </rPr>
      <t xml:space="preserve">
</t>
    </r>
  </si>
  <si>
    <t xml:space="preserve">RENTAS:
ACTA 03  DEL 22 DE MARZO DE 2024. se socializa los ajustes realizados al procedimiento del Impuesto predial unificado, para su respectiva presentacion para autorizacion y aprobacion.
ACTA 04  DEL 29 DE ABRIL DE 2024. se socializa los ajustes realizados al procedimiento del Impuesto predial unificado, para su respectiva presentacion para autorizacion y aprobacion.
TESORERIA: Se proyecta la circular No 000003 del dia 29 de abril de 2024, en donde se socializa la creacion de un instructivo: 
NS-GHP-044 LEGALIZACIÓN DEL IMPUESTO PREDIAL UNIFICADO - IPU. 
Y la modificacion de otro: 
INS-GHP-019 LEGALIZACIÓN Y CONTABILIZACIÓN DEL RECAUDO DE RENTAS EXCEPTO - IPU.  
Los dos debidamente cargados en SIGAMI.
PRESUPUESTO:  Acta N.004  25/04/2024 Reunión operativa.   En el punto de Disposiciones varias, el director de presupuesto y el Grupo Central de Cuentas informan sobre las actividades adelantadas en la actualización del procedimiento "ordenes de pago" del proceso de Gestión de Hacienda Pública, en lo relacionado a la deducción del valor de estampilla en el primer pago que se efectúe a todos aquellos que celebren contratos con la Alcaldía de Ibagué a partir del 1 de abril del 2024. 
CONTABILIDAD: A la fecha no se ha requerido la actualizacion de los documentos del proceso de gestion de hacienda publica de la Direccion de Contabilidad. 
</t>
  </si>
  <si>
    <r>
      <t xml:space="preserve">
PRESUPUESTO:  </t>
    </r>
    <r>
      <rPr>
        <sz val="9"/>
        <color theme="1"/>
        <rFont val="Arial Narrow"/>
        <family val="2"/>
      </rPr>
      <t xml:space="preserve">Acta N.005 29/05/2024 Reunión operativa.   En el punto 3 Disposiciones varias, el director de presupuesto y el Grupo Central de Cuentas informan sobre actividades ejecutadas para la actualización del procedimiento "ordenes de pago" especialmente en la adaptación de los Sistemas de Información  de los módulos central de cuentas, contabilidad y tesoreria a la aplicación de los nuevos actos administrativos relacionados con las estampillas.  </t>
    </r>
    <r>
      <rPr>
        <b/>
        <sz val="9"/>
        <color theme="1"/>
        <rFont val="Arial Narrow"/>
        <family val="2"/>
      </rPr>
      <t xml:space="preserve">
RENTAS: 
</t>
    </r>
    <r>
      <rPr>
        <sz val="9"/>
        <color theme="1"/>
        <rFont val="Arial Narrow"/>
        <family val="2"/>
      </rPr>
      <t>ACTA 05 del 29 mayo de 2024, revisión y seguimiento a planes y programas año 2024. Socializacion de los documentos actualizados de la direccion de rentas.
ACTA 06 del 27 junio de 2024, revisión y seguimiento a planes y programas año 2024. Socializacion de los documentos actualizados de la direccion de rentas.</t>
    </r>
    <r>
      <rPr>
        <b/>
        <sz val="9"/>
        <color theme="1"/>
        <rFont val="Arial Narrow"/>
        <family val="2"/>
      </rPr>
      <t xml:space="preserve">
CONTABILIDAD: </t>
    </r>
    <r>
      <rPr>
        <sz val="9"/>
        <color theme="1"/>
        <rFont val="Arial Narrow"/>
        <family val="2"/>
      </rPr>
      <t xml:space="preserve">A la fecha no se ha requerido la actualizacion de los documentos del proceso de gestion de hacienda publica de la Direccion de Contabilidad. </t>
    </r>
  </si>
  <si>
    <r>
      <t xml:space="preserve">El Director de Tesoreria , </t>
    </r>
    <r>
      <rPr>
        <b/>
        <sz val="9"/>
        <color rgb="FF00B050"/>
        <rFont val="Arial Narrow"/>
        <family val="2"/>
      </rPr>
      <t xml:space="preserve">anualmente, emitirá </t>
    </r>
    <r>
      <rPr>
        <b/>
        <sz val="9"/>
        <color theme="3"/>
        <rFont val="Arial Narrow"/>
        <family val="2"/>
      </rPr>
      <t xml:space="preserve">Certificado de superávit o déficit fiscal, </t>
    </r>
    <r>
      <rPr>
        <b/>
        <sz val="9"/>
        <color rgb="FFC00000"/>
        <rFont val="Arial Narrow"/>
        <family val="2"/>
      </rPr>
      <t xml:space="preserve">dejando como evidencia dicha certificación. </t>
    </r>
    <r>
      <rPr>
        <b/>
        <sz val="9"/>
        <color rgb="FFFF0000"/>
        <rFont val="Arial Narrow"/>
        <family val="2"/>
      </rPr>
      <t xml:space="preserve">
(PRO-GHP-010: PROCEDIMIENTO: CIERRE DEL EJERCICIO FISCAL)</t>
    </r>
  </si>
  <si>
    <t>El Director de tesoreria citará a mesa de trabajo en el mes de Febrero de la vigencia inmediatamente siguiente al cierre fiscal, a las Direcciones de Presupuesto y  Contabilidad, con el fin de revisar  y programar el cierre fiscal de la vigencia, dejando como evidencia una (1) acta anual.</t>
  </si>
  <si>
    <r>
      <rPr>
        <b/>
        <sz val="9"/>
        <color theme="1"/>
        <rFont val="Arial Narrow"/>
        <family val="2"/>
      </rPr>
      <t xml:space="preserve">TESORERIA: 
</t>
    </r>
    <r>
      <rPr>
        <sz val="9"/>
        <color theme="1"/>
        <rFont val="Arial Narrow"/>
        <family val="2"/>
      </rPr>
      <t xml:space="preserve">Se adjunta como evidencia el memorando 8143 del 29 de febrero de 2024 el cual funge como certificacion anual del superavit con corte a 31 de diciembre de 2023,  
No se programó para el presente bimestre la socialización anual, se tiene programada para el mes de noviembre de 2024, 
</t>
    </r>
  </si>
  <si>
    <r>
      <rPr>
        <b/>
        <sz val="9"/>
        <color theme="1"/>
        <rFont val="Arial Narrow"/>
        <family val="2"/>
      </rPr>
      <t xml:space="preserve">TESORERIA:
TESORERIA: No se requiere para este Bimestre. </t>
    </r>
    <r>
      <rPr>
        <sz val="9"/>
        <color theme="1"/>
        <rFont val="Arial Narrow"/>
        <family val="2"/>
      </rPr>
      <t xml:space="preserve">
</t>
    </r>
  </si>
  <si>
    <r>
      <rPr>
        <b/>
        <sz val="9"/>
        <color theme="1"/>
        <rFont val="Arial Narrow"/>
        <family val="2"/>
      </rPr>
      <t>TESORERIA:</t>
    </r>
    <r>
      <rPr>
        <sz val="9"/>
        <color theme="1"/>
        <rFont val="Arial Narrow"/>
        <family val="2"/>
      </rPr>
      <t xml:space="preserve"> No se requiere para este Bimestre. </t>
    </r>
  </si>
  <si>
    <r>
      <rPr>
        <b/>
        <sz val="9"/>
        <color theme="1"/>
        <rFont val="Arial Narrow"/>
        <family val="2"/>
      </rPr>
      <t xml:space="preserve">RENTAS: </t>
    </r>
    <r>
      <rPr>
        <sz val="9"/>
        <color theme="1"/>
        <rFont val="Arial Narrow"/>
        <family val="2"/>
      </rPr>
      <t xml:space="preserve">
ACTA 02 DEL 28 DE FEBRERO DE 2024, seguimiento a las actividades del plan de accion de gestion  y la actividad No 2 correspondiente a la constitucion y tramite tributario establecido para los TITULOS EJECUTIVOS a cobro coactivo-cartera concepto impuesto predial Unificado vigencias anteriores y 2022 y 2023.</t>
    </r>
  </si>
  <si>
    <r>
      <rPr>
        <b/>
        <sz val="9"/>
        <color theme="1"/>
        <rFont val="Arial Narrow"/>
        <family val="2"/>
      </rPr>
      <t xml:space="preserve">RENTAS: </t>
    </r>
    <r>
      <rPr>
        <sz val="9"/>
        <color theme="1"/>
        <rFont val="Arial Narrow"/>
        <family val="2"/>
      </rPr>
      <t xml:space="preserve">
ACTA 03  DEL 22 DE MARZO DE 2024. se socializa los avances de las metas del plan de accion de gestion del año 2024,
ACTA 04  DEL 29 DE ABRIL DE 2024 . se socializa los avances de las metas del plan de accion de gestion del año 2024,</t>
    </r>
  </si>
  <si>
    <r>
      <rPr>
        <b/>
        <sz val="9"/>
        <color theme="1"/>
        <rFont val="Arial Narrow"/>
        <family val="2"/>
      </rPr>
      <t xml:space="preserve">RENTAS: </t>
    </r>
    <r>
      <rPr>
        <sz val="9"/>
        <color theme="1"/>
        <rFont val="Arial Narrow"/>
        <family val="2"/>
      </rPr>
      <t xml:space="preserve">
ACTA 05 del 29 mayo de 2024, revisión y seguimiento a planes y programas año 2024.
ACTA 06 del 27 junio de 2024, revisión y seguimiento a planes y programas año 2024. Socializacion de los documentos actualizados de la direccion de rentas.
Memorando 1340-022866 del 31 de mayo de 2024, solicitud de entrega formal avance meta plan de acción de gestión sobre los TITULOS EJECUTIVOS a cobro coactivo.</t>
    </r>
  </si>
  <si>
    <t>PROCESO: GESTIÓN DOCUMENTAL</t>
  </si>
  <si>
    <t xml:space="preserve">
Baja aplicación en los procesos de organización documental a la totalidad de los archivos de la administración Municipal.</t>
  </si>
  <si>
    <t xml:space="preserve"> Bajo compromiso y responsabilidad de los funcionarios frente al desarrollo y cumplimiento de las actividades del proceso en las unidades administrativas.</t>
  </si>
  <si>
    <t xml:space="preserve">
Posibilidad de perdida reputacional debido a la perdida de informacion por la deficiente aplicación en los criterios de organización a la totalidad de los archivos de Gestión para la conservación de la información</t>
  </si>
  <si>
    <t xml:space="preserve">"Politica operacional del proceso Gestion Documental
y
Procedimiento gestion de bienes y servicios para el funcionamiento de la administracion central.                                                         PRO-GD-006 ORGANIZACIÓN DE DOCUMENTOS DE ARCHIVO DE GESTION – EXPEDIENTES FISICOS. 
GUI-GD-03-GUIA PARA EL DILIGECIAMIENTO DEL FUID. 
GUI-GD-05-GUIA PARA LAS TRANSFERENCIAS PRIMARIAS. 
PGR-GD-01 PROGRAMA DE GESTIÓN DOCUMENTAL.  
MAN-GD- 01 MANUAL DE ARCHIVO Y CORRESPONDENCIA.                        CONSULTA Y PRESTAMO DE DOCUMENTOS "
</t>
  </si>
  <si>
    <t>El lider de Gestión documental o profesional asignado anualmente realiza seguimiento segun el cronograma   establecido a las unidades administrativas verificando que la documentación cuente con el proceso de organización establecido en el acuerdo  01 del 2024  y acorde al procedimiento de organizacion de documentos de archivo de gestion-Expedientes fisicos  frente a las condiciones fisicas que presentan la documentación, en caso de incumplimiento a los criterios archivisiticos establecidos,  la unidad administrativa debe diligenciar el formato de acciones correctivas y de mejora y posteriormente el grupo de gestión documental reporta a la direccion de fortalecimiento institucional y a la oficina de control interno para su respectivo seguimiento. (detectivo)</t>
  </si>
  <si>
    <t>1. Ejecutar  seguimiento a los archivos de gestion segun cronograma establecido, Verificando que todas las unidades administrativas cuenten con el proceso de organización documental (Ordenación, clasifición y descripción).
2. Solicitar a las unidades administrativas elaborar y reportar al correo institucional de gestión documental, los inventarios documentales.
3. Realizar visitas de asistencia tecnica de acuerdo a la solicitud de los archivos de gestión</t>
  </si>
  <si>
    <t>01/05/2024 a 28/02/2025</t>
  </si>
  <si>
    <t>30/06/2024
30/08/2024
31/10/2024
31/12/2024
28/02/2025</t>
  </si>
  <si>
    <r>
      <rPr>
        <b/>
        <sz val="12"/>
        <color theme="1"/>
        <rFont val="Arial Narrow"/>
        <family val="2"/>
      </rPr>
      <t>Mayo - Junio 2024</t>
    </r>
    <r>
      <rPr>
        <sz val="12"/>
        <color theme="1"/>
        <rFont val="Arial Narrow"/>
        <family val="2"/>
      </rPr>
      <t xml:space="preserve">
se elabora circular 28 del 22 de mayo del 2024 donde se socializa el cronograma de visitas de seguimiento a las unidades administritivas que presentaron planes de trabajo en la vigencia 2023 Durante este periodo se llevaron a cabo 46 visitas de seguimiento  a las siguientes unidades administrativas: 
</t>
    </r>
    <r>
      <rPr>
        <sz val="12"/>
        <color rgb="FFFF0000"/>
        <rFont val="Arial Narrow"/>
        <family val="2"/>
      </rPr>
      <t>Porcentaje de cumplimiento: 77%</t>
    </r>
    <r>
      <rPr>
        <sz val="12"/>
        <color theme="1"/>
        <rFont val="Arial Narrow"/>
        <family val="2"/>
      </rPr>
      <t xml:space="preserve">
 Despacho Alcalde Oficina de Control Interno Oficina de Control Unico Disciplinario Oficina Jurídica Oficina Contratación Oficina Comunicaciones Grupo Logística y Protocolo Gerencia de Proyectos Despacho Secretaria educativa Grupo Inspección y Vigilancia Dirección Calidad Educativa Grupo Evaluación Dirección Administrativa y Financiera Grupo Talento Humano y SST Despacho planeación Dirección Ordenamiento Territorial Sostenible - OTS Dirección Información y Aplicación de la norma Urbanística - DIANU Dirección planeación del desarollo Dirección Administración del SISBEN Dirección Fortalecimiento Institucional Despacho hacienda Dirección de Presupuesto Dirección Contabilidad Direccion Tecnica Direccion Operativa Despacho administrativa Dirección De Recursos Fìsicos Despacho Cultura Dirección de fomento de las practicas administrativas Despacho gobierno Dirección de justicia Centro de estudios y análisis de convivencia Dirección de participación ciudadana comunitaria Dirección de Infancia, Adolescencia y Juventud Grupo Etnias Despacho secretaria general Dirección de Atención al Ciudadano Despacho TIC Grupo Ciencia Tecnologia e innovaciòn Grupo Infraestructura Tecnologica  
2. Se elabora circualr 005 del 26 de junio de 2024 en donde se solicita planes de trabajo con vigencias 2024 y reportar los inventarior totales de la documentación existente 
3. De acuerdo a circular 35 del 22 de abril del 2024 donde se socializa el cronograma de capaciones en gestión documental 
Durante este periodo se realizan 7 capacitaciones donde se socializa las siguiente tematicas: protocolo para embalaje y traslado de archivos , fundamentos basicos de Gestión Documental e Implementación de TRD: 
Las unidades administrativas capacitadas fueron: GRUPO ALMACEN; GRUPO DE BIENES FISCALES Y DE USO PUBLICO; OFICINA JURIDICA; SECRETARÍA DE SALUD; DIRECCION DE JUSTICIA;  SECRETARÍA DE AMBIENTE Y GESTIÓN 
DEL RIESGO; SECRETARIA DE INFRAESTRUCTURA</t>
    </r>
  </si>
  <si>
    <t xml:space="preserve">
Incumplimiento al acuerdo 01 de 2024 al titulo 6 conservación y preservación de documentos en relación a los aspectos estructurales y de conservación que deben cumplir los depositos de archivo en arrendamiento.</t>
  </si>
  <si>
    <t>El profesional asignado por el director (a) de recursos fisicos para llevar a cabo el proceso contractual para la adquisicion de bienes muebles en arrendamiento y funcionamiento de las unidades administrativas cada vez que se presente una solictud por las areas, verifica  que los bienes muebles a adquirir en arrendamiento cumplan los aspectos estructurales establecidos en la  guia de condiciones fisicas y ambientales para depositos de archivo y el acuerdo 01 del 2024 del AGN  mediante la consulta de los criterios establecidos en los documentos relacionados frente a las condiciones que  presentan en los bienes muebles ofertados, en caso de incumplimiento de estas condiciones se le debe comunicar el rechazo de la oferta al oferente para finalmente dejar como evidencia de aplicacion del control el oficio de aceptación, minuta del contrato y/o estudios previos</t>
  </si>
  <si>
    <t xml:space="preserve">
1. Realizar  y presentar informes semestral de ejecucion  del Sistema Integrado de Conservación ( Programa de inspección y mantenimiento  de sistemas de almacenamiento e instalaciones fisicas )  a la Dirección de Recursos Fisicos.
2. Oficiar y realizar seguimiento a las necesidades de mantenimiento en infraestructura a la directora de recursos fisicos  para la respectiva solución.
3. Verificar la aplicación del procedimiento de Gestión del Cambio cada vez que se  vaya a adquirir un bien en arrendamiento.</t>
  </si>
  <si>
    <t xml:space="preserve">"Dirección de Recursos Fisicos
Grupo de Gestión Documental 
</t>
  </si>
  <si>
    <t>1. Se presenta informe semestral de ejecución del SIC  
 2. No se realizan actividades relacionadas en este periodo
 3. No se realizan actividades relacionadas en este periodo</t>
  </si>
  <si>
    <t>El lider de gestion documental o profesional asignado anualmente ejecuta seguimiento según el cronograma establecido a las unidades administrativas verificando que la persona encargada de la custodia de los archivos diligencie el formato de préstamo de documentos en su totalidad, adicionalmente debe registrar la información del prestamo, ubicando los testigos o fichas de afuera en los espacios de los documentos extraidos de sus gavetas o estantes. de igual manera deberá hacer seguimiento periódico de los préstamos de documentos registrados en el formato de control de consulta y préstamo de documentos, y hacer cumplir el tiempo de devolución establecido (máximo 5 días hábiles) y solicitar su devolución.  En caso de desviacion  el responsable de su custodia o el Jefe de la Unidad administrativa debe colocar denuncia de pérdida ante las autoridades competentes y se deberá informar a la dependencia competente sobre esta situación. Así mismo tendrán la obligación de reconstruir el expediente teniendo en cuenta la guía para la reconstrucción de  los mismos, finalmente queda como evidencia el fomato de Analisis y Evaluación de los archivos de Gestión.</t>
  </si>
  <si>
    <t xml:space="preserve"> 3. No se realizan actividades relacionadas en este periodo</t>
  </si>
  <si>
    <t>competencia e idoneidad del personal contratado frente al manejo del proceso de Gestión Documental en las Unidades Administrativas</t>
  </si>
  <si>
    <t>El lider de gestion documental o profesional asignado anualmente ejecutara un plan de capacitaciones en todas las unidades administrativas con el fin de ensibilizar y capacitar al personal encargado de los archivos de gestión en los procesos archivisticos y la importancia del mismo</t>
  </si>
  <si>
    <t xml:space="preserve">
Realizar Socializacion y
Capacitaciones a los
Funcionarios de planta y contrato en la aplicación de los
procesos archivisticos.</t>
  </si>
  <si>
    <r>
      <t xml:space="preserve">Se elabora circualr 005 del 26 de junio de 2024 en donde se solicita planes de trabajo con vigencias 2024 y reportar los inventarior totales de la documentación existente 
3. De acuerdo a circular 35 del 22 de abril del 2024 donde se socializa el cronograma de capaciones en gestión documental 
Durante este periodo se realizan 7 capacitaciones donde se socializa las siguiente tematicas: protocolo para embalaje y traslado de archivos , fundamentos basicos de Gestión Documental e Implementación de TRD: 
</t>
    </r>
    <r>
      <rPr>
        <sz val="11"/>
        <color rgb="FFFF0000"/>
        <rFont val="Arial Narrow"/>
        <family val="2"/>
      </rPr>
      <t>Porcentaje de cumplimiento: 100%</t>
    </r>
    <r>
      <rPr>
        <sz val="11"/>
        <color theme="1"/>
        <rFont val="Arial Narrow"/>
        <family val="2"/>
      </rPr>
      <t xml:space="preserve">
Las unidades administrativas capacitadas fueron: GRUPO ALMACEN; GRUPO DE BIENES FISCALES Y DE USO PUBLICO; OFICINA JURIDICA; SECRETARÍA DE SALUD; DIRECCION DE JUSTICIA;  SECRETARÍA DE AMBIENTE Y GESTIÓN 
DEL RIESGO; SECRETARIA DE INFRAESTRUCTURA</t>
    </r>
  </si>
  <si>
    <t>OBJETIVO: IMPLEMENTAR EL PROGRAMA DE GESTIÓN DOCUMENTAL APLICANDO EL MODELO DE GESTION DOCUMENTAL, Y ADMINISTRACIÓN DE ARCHIVOS (MGDA), PARA GARANTIZAR EL ACCESO A LA INFORMACIÓN EN FORMA OPORTUNA Y PRESERVAR LA MEMORIA INSTITUCIONAL.</t>
  </si>
  <si>
    <t>INICIA CON LA INTERIORIZACIÓN DE UNA CULTURA ARCHIVISTICA Y LA ARTICULACION DE LAS ACTIVIDADES RELACIONADAS CON EL DISEÑO, PLANEACIÓN, VERIFICACIÓN, APLICACIÓN, MEJORAMIENTO Y SOSTENIBILIDAD DE LA GESTIÓN DOCUMENTAL, GENERANDO ESTRATEGIAS ORGANIZACIONALES FINALIZANDO CON EL SEGUIMIENTO Y EVALUACION DEL PROCESO</t>
  </si>
  <si>
    <t>GESTION JURIDICA Y MEJORA NORMATIVA</t>
  </si>
  <si>
    <t xml:space="preserve">SEGUIMIENTO ENERO - FEBRRO </t>
  </si>
  <si>
    <t xml:space="preserve">SEGUIMIENTO MARZO - ABRIL </t>
  </si>
  <si>
    <t xml:space="preserve">SEGUIMIENTO MAYO - JUNIO </t>
  </si>
  <si>
    <t>Sanciones Disciplinarias, penales y administrativas -  incidentes de desacato</t>
  </si>
  <si>
    <t>ACTUALIZAR EL PROCEDIMIENTO DE REPRESETACION EXTRAJUDICIAL, JUDICIAL Y ADMINISTRATIVA Y SEGUIMIENTO A FALLOS JUDICIALES PARA FORTALECER Y DOCUMENTAR LOS CONTROLES NECESARIOS</t>
  </si>
  <si>
    <t xml:space="preserve">jefe de oficina juridica </t>
  </si>
  <si>
    <t>01 de julio de 2024</t>
  </si>
  <si>
    <t>01 de agosto de4 2024</t>
  </si>
  <si>
    <r>
      <t xml:space="preserve">Frente a la presente Actividad, y De acuerdo a lo previsto durante el monitoreo y revisión del Mapa de riesgos de gestion  de la Oficina Jurídica, se realizo la  siguiente AUTOEVALUCION: para esta actividad de control, y durante el mes de </t>
    </r>
    <r>
      <rPr>
        <b/>
        <sz val="10"/>
        <color theme="1"/>
        <rFont val="Arial"/>
        <family val="2"/>
      </rPr>
      <t>ENERO:</t>
    </r>
    <r>
      <rPr>
        <sz val="10"/>
        <color theme="1"/>
        <rFont val="Arial"/>
        <family val="2"/>
      </rPr>
      <t xml:space="preserve"> la Oficina Juridica emitio 2 memorandos, solicitando el cumplimiento  a sentencias judiciales.
- MEMORANDO  No. 2024-003227 del 30/01/2024  solicitud de informacion actuaciones realizadas en cumplimiento a fallo judicial dentro de la accion popular promovida por la PERSONERIA MUNCIPAL DE IBAGUE RAD 00040-2023 
MEMORANDO  No. 2024 -01729  - cumplimiento a lo solicitado dentro del medio de control de nulidad y restablecimiento del erecho de pedro franklin peñuela lpez rad 00103-2023.
</t>
    </r>
    <r>
      <rPr>
        <b/>
        <sz val="10"/>
        <color theme="1"/>
        <rFont val="Arial"/>
        <family val="2"/>
      </rPr>
      <t>FEBRERO:</t>
    </r>
    <r>
      <rPr>
        <sz val="10"/>
        <color theme="1"/>
        <rFont val="Arial"/>
        <family val="2"/>
      </rPr>
      <t xml:space="preserve">   la oficina juridica  emitio 
- MEMORANDO No. 2024 - 08137 del  29/02/2024 en el que solicita el  acatamiento a ordenes judiciales respecto al proceso reparacion directa Conjunto Residencial Rincon De San Francisco</t>
    </r>
  </si>
  <si>
    <r>
      <t xml:space="preserve">Frente a la presente Actividad, y De acuerdo a lo previsto durante el monitoreo y revisión del Mapa de riesgos de gestion  de la Oficina Jurídica, se realizo la  siguiente AUTOEVALUCION: para esta actividad de control, y durante el mes de </t>
    </r>
    <r>
      <rPr>
        <b/>
        <sz val="10"/>
        <color theme="1"/>
        <rFont val="Arial"/>
        <family val="2"/>
      </rPr>
      <t>MARZO</t>
    </r>
    <r>
      <rPr>
        <sz val="10"/>
        <color theme="1"/>
        <rFont val="Arial"/>
        <family val="2"/>
      </rPr>
      <t xml:space="preserve">: la Oficina Juridica emitio un memorando en el que se saolicita cumplimiento a sentencia judicial:
- MEMORANDO No. 2024-010750 del  15/03/2024 CUMPLIMIENTO A ORDEN DENTRO DE LA ACCION POPULAR PROMOVIDA POR JAIRO GONZALEZ CARDOZO Y OTRO RAD 0031-2019.
- MEMORANDO No. 2024-010739 DEL 15/03/2024 solicitud informe avances realizados en cumplimiento a sentencia dentro de la accion popular de HECTOR ANTONIO LOPEZ BALCAZAR Y OTRO RAD 00221-2019.
</t>
    </r>
    <r>
      <rPr>
        <b/>
        <sz val="10"/>
        <color theme="1"/>
        <rFont val="Arial"/>
        <family val="2"/>
      </rPr>
      <t xml:space="preserve">
DURANTE EL MES DE ABRIL 
</t>
    </r>
    <r>
      <rPr>
        <sz val="10"/>
        <color theme="1"/>
        <rFont val="Arial"/>
        <family val="2"/>
      </rPr>
      <t xml:space="preserve">
- MEMORANDO No. 2024-017472   del 30/04/2024 SOLICITUD INFORME DE CUMPLIMIENTO A ORDEN JUDICIAL DENTRO DE LA ACCION POPULAR PROMOVIDA POR JAVIER GUZMAN MURILLO RAD 00535-2008</t>
    </r>
  </si>
  <si>
    <r>
      <t xml:space="preserve">Frente a la presente Actividad, y De acuerdo a lo previsto durante el monitoreo y revisión del Mapa de riesgos de gestion  de la Oficina Jurídica, se realizo la  siguiente AUTOEVALUCION: para esta actividad de control, y durante los meses de </t>
    </r>
    <r>
      <rPr>
        <b/>
        <sz val="8"/>
        <color theme="1"/>
        <rFont val="Arial"/>
        <family val="2"/>
      </rPr>
      <t>MAYO y JUNIO,</t>
    </r>
    <r>
      <rPr>
        <sz val="8"/>
        <color theme="1"/>
        <rFont val="Arial"/>
        <family val="2"/>
      </rPr>
      <t xml:space="preserve"> la Oficina Juridica emitio los iguiente:
</t>
    </r>
    <r>
      <rPr>
        <b/>
        <sz val="8"/>
        <color theme="1"/>
        <rFont val="Arial"/>
        <family val="2"/>
      </rPr>
      <t>DURANTE EL MES DE MAYO</t>
    </r>
    <r>
      <rPr>
        <sz val="8"/>
        <color theme="1"/>
        <rFont val="Arial"/>
        <family val="2"/>
      </rPr>
      <t xml:space="preserve">
- MEMORANDO No. 2024-022862 del  31/05/2024 REITERACION MEMORANDO 14427-2024 SOLICITUD INFORME GESTIONES ADELANTADAS EN CUMPLIMIENTO A FALLO JUDICIAL DENTRO DE LA ACCION POPULAR PROMOVIDA POR ANTONIO MARIA VILLANUEVA RAD 00209-2022
- MEMORANDO No. 2024-022420 DEL 29/05/2024 SOLICITUD DE INFORME ACTUACIONES ADMINISTRATIVAS ADELANTADAS EN CUMPLIMIENTO A DEMANDA DENTRO DE LA REPARACION DIRECTA DE NUBIA PATRICIA MARTINEZ NEIRA Y OTROS RAD 00125-2023.
- MEMORANDO No. 2024-019936 DEL 19/05/2024 SOLICITUD DE INFORME DE ACCIONES REALIZADAS EN CUMPLIMIENTO A ORDEN JUDICIAL DENTRO DE LA ACCION POPULAR PROMOVIDA POR MARLUDY ANDREA GALINDO DIAZ RAD 00129-2020
</t>
    </r>
    <r>
      <rPr>
        <b/>
        <sz val="8"/>
        <color theme="1"/>
        <rFont val="Arial"/>
        <family val="2"/>
      </rPr>
      <t xml:space="preserve">
DURANTE EL MES DE JUNIO 
</t>
    </r>
    <r>
      <rPr>
        <sz val="8"/>
        <color theme="1"/>
        <rFont val="Arial"/>
        <family val="2"/>
      </rPr>
      <t xml:space="preserve">
- MEMORANDO No. 2024-026352   del 21/06/2024 SOLICITUD INFORME DE MANERA URGENTE EN CUMPLIMIENTO A SENTENCIA JUDICIAL DENTRO DE LA ACCION POPULAR PROMOVIDA POR LUIS ALFONSO SOTO VAQUERO RAD 00149-2005
- MEMORANDO No. 2024-026287 DEL 21/06/2024 SOLICITUD DE INFORME EN CUMPLIMIENTO A LA ACCION POPULAR DE LA PROCURADURIA JUDICIAL, AMBIENTAL Y AGRARIA PARA EL TOLIMA RAD 00484-2008.</t>
    </r>
  </si>
  <si>
    <t xml:space="preserve">inadecuada defensa juridica </t>
  </si>
  <si>
    <t>Posibilidad de perdida econocmica y reputacional, por los fallos desfavorables en los procesos judiciales debido a la Ausencia de propuestas de defensa  al interor de cada caso en concreto y/o por falta de actualizacion de las normas y jurisprudencia aplicable a cada caso concreto.</t>
  </si>
  <si>
    <t xml:space="preserve">EFECTUAR SEGUIMIENTO AL CUMPLIMIENTO DEL FALLO CONDENATORIO  PRO-GJ-001 
</t>
  </si>
  <si>
    <t>ACTUALIZAR EL PROCEDIMIENTO DE REPRESETACION EXTRAJUDICIAL, JUDICIAL Y ADMINISTRATIVA Y SEGUIMIENTO A FALLOS JUDICIALES PARA FORTALECER Y DOCUMENTAR LOS CONTROLES NECESARIOs</t>
  </si>
  <si>
    <t>Frente a la presente Actividad y De acuerdo a lo previsto durante el monitoreo y revisión del Mapa de riesgos de gestion  de la Oficina Jurídica, la jefe de oficina, convoco a Comité Juridico para el 01/02/2024 mediante el MEMORANDO No. 2024-002975 del 29/01/2024 TEMA: PARAMETROS COMITE DE CONCILIACION DEL MUNICIPIO</t>
  </si>
  <si>
    <t>Frente a la presente Actividad y De acuerdo a lo previsto durante el monitoreo y revisión del Mapa de riesgos de gestion  de la Oficina Jurídica convoco a Comité Juridico para el 19 de marzo de 2024, mediante el MEMORANDO No. 2024-010812 del 15/03/2024 TEMA: LINEAMIENTOS Y FIJACION DE PARAMETROS EN LA DEFENSA JURIDICA</t>
  </si>
  <si>
    <t>Frente a la presente Actividad y De acuerdo a lo previsto durante el monitoreo y revisión del Mapa de riesgos de gestion  de la Oficina Jurídica, durante el mes de mayo se convoco a Comité Juridico para el dia 17 de mayo de 2024 mediante el Memorando No. 2024-015270 del 16 de mayo de 2024 y durante el mes de junio se convoco para comite juidico por medio del Memorando No. 2024-023613.</t>
  </si>
  <si>
    <t xml:space="preserve">
EJERCER LA REPRESENTACIÓN DEL MUNICIPIO EN EL PROCESO JUDICIAL  PRO-GJ-001 </t>
  </si>
  <si>
    <t xml:space="preserve">Frente a la presente Actividad y De acuerdo a lo previsto durante el monitoreo y revisión del Mapa de riesgos de gestion  de la Oficina Jurídica, la jefe de oficina mediante   MEMORANDO No. 2024-001322 17/01/2024, solicito la realizacion de la valoracion propabilidad de perida de los procesos que tiene cada uno a su cargo. </t>
  </si>
  <si>
    <t xml:space="preserve">mediante el MEMORANDO No. 2024-008366 DEL 01/03/2024, la jefe de oficina juridica solicito a los asesores de la oficina jurídica realizar la valoración de probabilidad de perdida de los procesos que tienen cada uno a su cargo. </t>
  </si>
  <si>
    <t xml:space="preserve">para el respectivo control del periodo mayo - junio mediante el MEMORANDO No.2024-023602 DEL 01/03/202/,/ la jefe de oficina juridica solicito a los asesores de la oficina jurídica realizar la valoración de probabilidad de perdida de los procesos que tienen cada uno a su cargo. </t>
  </si>
  <si>
    <t>multas y/o sanciones de despachos judiciales y/o de entes de control</t>
  </si>
  <si>
    <t>Intereses moratorios por pago tardío de sentencias y conciliaciones</t>
  </si>
  <si>
    <t xml:space="preserve">que el apoderado judicial, no informe a tiempo sobre el pago de las condenas y/o acuerdos conciliatorios </t>
  </si>
  <si>
    <t>posibilidad de riesgo economico debido a las multas y/o sanciones de despachos judiciales y/o de entes de control, por Intereses moratorios por pago tardío de sentencias y conciliaciones</t>
  </si>
  <si>
    <t xml:space="preserve">EFECTUAR SEGUIMIENTO AL CUMPLIMIENTO DEL FALLO CONDENATORIO  PRO-GJ-001 </t>
  </si>
  <si>
    <t>La jefe de oficina jurídica mediante  un técnico operativo, validara en la plataforma PISAMI, una vez al mes, las solicitudes de pago por concepto de condenas y/o acuerdos conciliatorios, verificando que la documentación radicada por parte del demandante o apoderado, cumpla con lo establecido en el Decreto 607 de 2013, de igual manera se verificara en la plataforma PISAMI,  la radicación de sentencias ejecutoriadas, en la que se ordene el pago por condenas o acuerdos conciliatorios, por parte del juzgado de conocimiento.</t>
  </si>
  <si>
    <t xml:space="preserve">Al no tener establecios controles, se actualizara el procedimiento de REPRESETACION EXTRAJUDICIAL, JUDICIAL Y ADMINISTRATIVA Y SEGUIMIENTO A FALLOS JUDICIALES, para fortralecer, documentar e implementar el siguiente control:: La jefe de oficina juridica mediante  un tecnico operativo, validara en la plataforma PISAMI, una vez al mes, las solicitudes de pago por concepto de condenas y/o acuerdos conciliatorios, verificando que la documntacion radicada por parte del demandante o apoderado, cumpla con lo establecido en el Decreto 607 de 2013, de igual manera se verficra en la plataforma PISAMI,  la radicacion de sentencias ejecutoriadas, en la que se ordene el pago por condenas o acuerdos conciliatorios, por parte del juzgado de conocimiento, para lo cual La jefe de oficina juridica, debera oficiar al demandante para que radique los documentos a los que se refiere el Decreto 607 de 2013, dentro de los terminos establecidos en la ley. </t>
  </si>
  <si>
    <t>01 de agosto de 2024</t>
  </si>
  <si>
    <t>No se puede hacer el segumiento y monitoreo durante el periodo de Enero y febrero, por que aun no se han establecido controles.</t>
  </si>
  <si>
    <t>No se puede hacer el segumiento y monitoreo durante el periodo de marzo - abril, por que aun no se han establecido controles.</t>
  </si>
  <si>
    <t xml:space="preserve">se realiza la actividad de control el  05 de julio de 2024 y se realizara seguimiento en el proximo monitoreo </t>
  </si>
  <si>
    <t xml:space="preserve">perdida de recursos financieros </t>
  </si>
  <si>
    <t>Caducidad de la acción de repetición o falencias en el ejercicio de esta acción, generando la imposibilidad de recuperar los recursos pagados por el Estado</t>
  </si>
  <si>
    <t xml:space="preserve">que el apoderado judicial, no inice frente al comité de conciliacion el estudio pertinente para determinar la procedencia de iniciar acción de repetición </t>
  </si>
  <si>
    <t xml:space="preserve">Posibilidad de riesgo económico por perdida de recursos financieros debido  a la Caducidad de la acción de repetición o falencias en el ejercicio de esta acción, generando la imposibilidad de recuperar los recursos pagados por la Administración Municipal. </t>
  </si>
  <si>
    <t>La jefe de oficina juridica mediante  el secretario del comite de conciliacion validara los procesos pendientes de repeticion, mediante memorando y/o circular  en el que se indiquen los pagos que se realizaron por conceptos de condenas y acuerdos conciliatorios y los abogados que deberan inciar el estudio pertinente para determinar la procedencia de accion de repeticion, cada vez que  la admisnistracion realice un pago total por concepto de condena y/o acuerdo conciliatorio.</t>
  </si>
  <si>
    <t>Al no tener establecios controles, se actualizara el procedimiento de REPRESETACION EXTRAJUDICIAL, JUDICIAL Y ADMINISTRATIVA Y SEGUIMIENTO A FALLOS JUDICIALES, para fortralecer, documentar e implementar el siguiente control: La jefe de oficina juridica mediante  el secretario del comite de conciliacion validara los procesos pendientes de repeticion, mediante memorando y/o circular  en el que se indiquen los pagos que se realizaron por conceptos de condenas y acuerdos conciliatorios y los abogados que deberan inciar el estudio pertinente para determinar la procedencia de accion de repeticion, cada vez que  la admisnistracion realice un pago total por concepto de condena y/o acuerdo conciliatorio.</t>
  </si>
  <si>
    <t xml:space="preserve">jefe de oficina juridica y secretario del comité de conciliacion  </t>
  </si>
  <si>
    <t xml:space="preserve">se realiza la activida de control el  05 de julio de 2024 y se realizara seguimiento en el proximo monitoreo </t>
  </si>
  <si>
    <t>Seguimiento 30/06/2024</t>
  </si>
  <si>
    <t>Personal de planta es insuficiente o sin la capacitación o actualización  necesaria para el proceso</t>
  </si>
  <si>
    <t>Posible perdida reputacional y económica por Indisponibilidad  de  recurso tecnológico para el funcionamiento de los procesos, debido a que el personal de planta es insuficiente o sin la capacitación o actualización  necesaria para el proceso,  Insuficiente Presupuesto para cumplir con el correcto funcionamiento de los procesos de la entidad,Sistema de información de desarrollo propio sin estabilizar, Infraestructura Tecnológica Deficiente  para garantizar el rendimiento de la plataforma PISAMI</t>
  </si>
  <si>
    <t>La Secretaria de TIC, anualmente cuando se realice la evaluación al PIC, con el propósito de garantizar el mejoramiento de las competencias de los servidores públicos del proceso, verifica que en el Plan Institucional de Capacitación se incluyan los proyectos de aprendizaje relacionados con las temáticas que garanticen el adecuado uso y apropiación de las plataforma tecnológicas. En caso que estas temáticas no se hayan evacuado en el primer semestre del año, notificar al Secretario Administrativo y Dirección del Talento Humano para que se gestione su ejecución, y realizar acciones de socialización. Las evidencias de estas acciones deben reposar en PISAMI Gestión Documental y en la Serie de capacitaciones a cargo de la Dirección de Talento Humano</t>
  </si>
  <si>
    <t>del 01/03/2024 al 31/12/2024</t>
  </si>
  <si>
    <t>Correo del 12/01/2024 se remitieron las temáticas para el Plan Institucional de Capacitación</t>
  </si>
  <si>
    <t>Insuficiente Presupuesto para cumplir con el correcto funcionamiento de los procesos de la entidad</t>
  </si>
  <si>
    <t>La Secretaria de TIC, cuando formule el PETI, verifica que se hayan incluido las necesidades tecnológicas identificadas mediante la aplicación de la metodología establecida por el DAFP, y formularel  proyecto de inversión que garantice los recursos necesarios para el normal funcionamiento de las plataforma tecnológica. Si en las evaluaciones al plan de acción del PETI identifica baja ejecución por falta de recursos presupuestales, solicita  al Secretario de Hacienda la asignación de recursos. Las evidencias de estas acciones deben reposar en PISAMI Gestión Documental y en el módulo de presupuesto</t>
  </si>
  <si>
    <t>del 01/02/2024 al 31/12/2024</t>
  </si>
  <si>
    <t>Circular 22 del 29/04/2024 
Circular 24 del 29/04/2024</t>
  </si>
  <si>
    <t>Sistema de información de desarrollo propio sin estabilizar</t>
  </si>
  <si>
    <t>del 02/01/2024 al 31/12/2024</t>
  </si>
  <si>
    <t>Circular para conformación del equipo PETI 2024-000010 del  6/02/2024 y 2024-000011 del 9/02/2024
Circular 2024-000028 del 17/06/2024 para mesa técnica, asistencias a las mesas técnicas</t>
  </si>
  <si>
    <t>Infraestructura Tecnológica Deficiente  para garantizar el rendimiento de la plataforma PISAMI</t>
  </si>
  <si>
    <t>La Secretaría de las TIC cuando formule el anteproyecto del presupuesto, verifica que en el plan de compras se encuentre incluido los servicios tecnológicos necesarios para el el normal funcionamiento de la plataforma PISAMI, tales como  el internet, el almacenamiento en la nube para las copias de seguridad, los certificados de seguridad, el firewall y demás servicios de seguridad. En caso de no encontrarse contemplado alguno de estos servicios, incluirlos en el plan de compras para que se le asignen recursos y de manera oportuna iniciar los procesos contractuales. Las evidencias son el plan de compras y los documentos de la etapa precontractual.</t>
  </si>
  <si>
    <t>del 01/01/2024 al 31/12/2024</t>
  </si>
  <si>
    <t>Asignación de recursos para la migración a la nube de predial, actualización versión Oracle , Actualización versión Laravel, Afinamiento Base de Datos, Experto Seguridad y Servicio de Migración.
cTO. 126422 Almacenamiento nube copias de seguridad
Cto 1319 Servicio de seguridad perimetral
Procesos precontractuales cdp para licencias,  y  las UPS</t>
  </si>
  <si>
    <t>FORMATO MAPA DE RIESGOS</t>
  </si>
  <si>
    <t>GESTION DE RECURSOS FISICOS</t>
  </si>
  <si>
    <t>GESTIONAR OPORTUNAMENTE EL FUNCIONAMIENTO DE LA ADMINISTRACION CENTRAL MEDIANTE LA ADQUISICIÓN Y MANTENIMIENTO DE BIENES Y SERVICIOS, EJECUTANDO EL 80% DEL PRESUPUESTO ASIGNADO CONTRIBUYENDO A LA GESTIÓN DE LOS PROCESOS Y AL LOGRO DE LOS OBJETIVOS INSTITUCIONALES,</t>
  </si>
  <si>
    <t>Posibildad de afectacion economica y reputacional por las sanciones del ente regulador debido a la deficiente gestion de la programacion contractual para el funcionamiento de le Administracion Central</t>
  </si>
  <si>
    <t>Plan anual de adquisiciones ejecuciones de las actividades propias del proceso.</t>
  </si>
  <si>
    <t>El Director (a) de Recursos Fisicos junto con su equipo de trabajo - Abogados,se reune con el fin de revisar y hacer seguimiento y control al Plan de Accion presentado a (02 enero a 30 de  junio del 2024); actividades vs su ejecucion para tomar acciones en caso de desviacion.</t>
  </si>
  <si>
    <t>Director (a) Recursos Fisicos</t>
  </si>
  <si>
    <t xml:space="preserve">1.La Secretaria Administrativa y la Dirección de Recursos Físicos en el mes de Diciembre del 2023, dio respuesta a la Circular 033 (05/12/2023) Instrumentos de Planeación para la Vigencia 2023, donde se envió memorando 059441  del 18 de diciembre de 2023, allegando el Plan de Acción para la Vigencia 2024 .                                      
   2. Por ocasion del Memorando N° 1010-2024-03639 del 01 de febrero del 2024 de la Oficina de Control Interno, con lo cual, el dia 08 del mismo mes, realizo la visita a esta Direccion y evaluaron la gestion del Plan de Accion vigencia 2023 con una Puntuacion de un 100% de cumplimiento de la ejecucion (memorando N° 15/04/2024 Control Interno informe) .                                                                                                                                                                3. Dando cumplimiento, por medio del Acta 004 del 29 de febrero de 2024, la Directora de Recursos Fisicos se reunio con los Abogados contratistas que llevan a cabo los procesos de la Contratación de Bienes y Servicios de la D.R.F.Con el fin de hacer seguimiento y control a la contratación que se tiene programada y que se ha ejecutado a la fecha segun lo programado y ejecutado en el Plan de Accion del 2024.Informe presentado a 29 de febrero de 2024.                                                                                                                                                                                                          4.  Dando cumplimiento, la Directora de Recursos Fisicos, hace seguimiento y control de los bienes serviicios , segun la programacion que se realizo en el plan de accion vigencia 2024, segun Acta N° 00007 del 13 de marzo de 2024, de acuerdo a lo programado y ejecutado en el plan de accion 2024.                                                                                                                                                                                                                5. Dando cumplimiento al seguimiento y control, la Directora de Recursos Fisicos, realiza convocatoria y se reunion con los abogados contratistas para revisar los avances a los procesos contractuales, segun Acta N° 0009 del 22 de marzo de 2024, segun lo programada y ejecutado en el plan de accion 2024.                                                                                                                                                                                                                   6. Dando cumplimiento    al seguimiento y control, la Directora de Recursos Fisicos, realiza convocatoria y se reunion con los abogados contratistas para revisar los avances a los procesos contractuales, segun Acta N° 0013  del 23 de Abril de 2024, segun lo programada y ejecutado en el plan de accion 2024.                                                                                                                                                                                                               7.   Dando cumplimiento al seguimiento la Directora de Recursos Fisicos, hace control a la contratacion que se tiene planeada y programada segun lo programada en el Plan de Accion vigencia 2024 de bienes fiscales y de uso publico y titulacion, por medio del Acta N° 0028 del 25/06/2024.                                                                                                                                                                                             8.Dando cumplimiento a esta actividad, la Directora de Recursos Fisicos realiza seguimiento y control a la contratacion de bienes y servicios de acuerdo a lo presupuestado y ejecutado hasta la fecha, por medio del Acta N° 0029 del 25/06/2024 Evidencia el Plan de accion hasta esa fecha.  </t>
  </si>
  <si>
    <t>El Director (a) de Recursos Fisicos por medio presentacion trimestral revisa  la ejecucion presupuestal de la actividades realizadas y se plasma la ejecucion en el Plan de Accion.</t>
  </si>
  <si>
    <t>Multas y/o sanciones</t>
  </si>
  <si>
    <t>Posible perdida, extravio, hurto,daños, robo o declaratoria irregular de bienes faltantes pertenecientes a la entidad.</t>
  </si>
  <si>
    <t>Deficiencia de la aplicación correcta al MANUAL PARA EL MANEJO Y CONTROL DE LOS BIENES DEL MUNICIPIO.</t>
  </si>
  <si>
    <t>Posibildad de afectacion economica por multas y/sanciones debido a perdida, extravio, hurto, daños, robo o declaratoria irregular de bienes faltantes pertenecientes a la entidad.</t>
  </si>
  <si>
    <t>Ejecuciones Actividades Propias del Proceso.</t>
  </si>
  <si>
    <t>el Director (a)  Recursos Fisicos junto con el Almacenista, realizan programacion del cronograma para el seguimiento a las tomas fisicas, con el fin de validar si existe perdida o no perdida, extravio, hurto, daños, robo o declaratoria irregular de bienes faltantes pertenecientes a la entidad.</t>
  </si>
  <si>
    <t>Almacenista General</t>
  </si>
  <si>
    <t xml:space="preserve">1. Cumpliendo con la Actividad de Control, desde la Oficina de Almacen se realizo socializacion de la Politica de Uso Adecuado de los Bienes, Esta politica fue Socializada por medio de la Circular N° 003 del 13 de enero del 2024  y se publica en la pagina de Facebook- PELHUSA y se remite por los Correos electronicos a los funcionarios publicos.                                       
2. Cumpliendo con la Actividad de Control, el dia 14  de febrero de 2024 se expidio Circular 00011  con Asunto: Ingreso Almacen para Elementos Tecnologicos (tangibles e intangibles).                                                                                                                                                                  3.Cumpliendo con la Actividad de Control, desde la Oficina de Almacen se realizo socializacion de los conceptos que generan Ingreso al Almacen General del Municipio, Esta politica fue Socializada por medio de la Circular N° 0012 del 15 de enero del 2024.                                                       4. De acuerdo a la Circular N° 0019 del 08 de abril de 2024, La Direcciom de Recursos Fisicos junto con el Almacen General, socializaron el cronograma de tomas fisicas vigencia 2024.                                                                                                                                                                 5.          Con el memorando N° 1423-2024-13372 del 08 de abril del 2024 del Almacen General comunica a la Secretaria General y a la Direccion de Atencion al Cuidadano el cronograma de las tomas fisicas a esas dependecias.                                                                                                     6.    Por medio del Acta N° 001 del 08 de abril de 2024,    el Almacen General  socializo al personal de apoyo el cronograma de las tomas fisicas y asignar dependecias y directrices y compromisos de la realizacion del trabajo.                                                                                                                      7.        El Almacen General realiza tomas fisicas a las Secretarias de Salud, Economico y General (Memorandos 13372-16621-17518 de abril 2024) anexos Soportes de las tomas fisicas.                                                                                                                                                                                                                                                                                                             </t>
  </si>
  <si>
    <t>Deficiencia en el control de los inventarios periodicos.</t>
  </si>
  <si>
    <t>Perdida o deficiencias en las identificacion de los bienes inmuebles o cedidos de propiedad del Municipio de Ibague</t>
  </si>
  <si>
    <t>Inadecuado manejo de la informacion en la base de datos asociada al proceso de identiificacion de los Bienes Fiscales y de Uso Publico.</t>
  </si>
  <si>
    <t>Posibilidad de perdida economica por multas y/o sanciones debido a  deficiencias en las identificacion de los bienes inmuebles o cedidos de propiedad del Municipio de Ibague</t>
  </si>
  <si>
    <t>Ejecuciones Acitividades Propias del Proceso.</t>
  </si>
  <si>
    <t>Realizar seguimieto aleatorios a la BDD, para identificar posibles fallos en el registro de la informacion de los Bienes fiscales y de uso publicos del Municipio de Ibague.</t>
  </si>
  <si>
    <t xml:space="preserve">1. Cumpliendo con la Actividad de Control, la Directora de Recursos Fisicos cita a comite de Seguimiento el dia 22 de marzo de 2024, con la finalidad de socializar el manual y el procedimiento de Bienes Fiscales y Titulacion y tener un compromiso de confidencialidad y responsabilidad del manejo y control de la infirmacion de las BDD de esta area Acta 0008 del 22/03/2024.                                                                                                                                                                       2. Dando cumplimiento al  control, la Directora de Recursos Fisicos, realiza mesa de trabajo realizando seguimiento a la actualizacion digital de los expedientes, informacion  que reposa en el Drive de las BDD, del correo inst. de Predios. Acta N° 0011 del 16/04/2024.                                                                                      3. Por medio de correo electronico institucional el dia 30 de abril de 2024, el grupo de Bienes Fiscales remiten a la Directora de Recursos Fisicos reporte del muestreo aleatorio de la revision de los expedientes que reposan en el archivo gestion, donde realizan la verificacion y corraborar la infiornacion de la BDD  de  grupo de Bienes Fiscales y Uso Publico conforme a  los expedientes fisicos.                                                                                4. Dando cumplimiento a esta actividad en los meses de mayo y junio de 2024, el profesional unoversitario hace un muestreo aleatorio a los expedientes fisicos del archivo gestion de bienes fiscales y de uso publico, confrontando esta inormacion fisica con la informacion de drive de la BDD de predios, para identificar fallas. Evidencias infomacion reportada por bienes fiscales al correo intitucional de Recursos Fisicos.                                         5.la Directora de Recursos Fisicos le hace seguimiento a la actualizacion correcta de la BDD  de bienes fiscales, realizando un plan de choque para subsanar los incovenientes de control de interno, dando alcance al Acta N° 0011 del 16/04/2024. Evidencia de seguimiento Acta N° 0027 de 21/06/2024.                                                                                                                                                                                                                      6.   Dando cumplimiento a la socializacion del manual de bienes fiscales y de uso publico y pactar confidencialidad y responsabilidad de la manejo e informacion de las BBD, se realizo una capacitacion a los contratistas que ingresaron en  el segundo trimestre al grupo de predios. Evidencia Acta N° 0026 del 20/06/2024.                                                                                                                                                                                                                                                                                     </t>
  </si>
  <si>
    <t>Presiones externas o de un superior jerarquico, para manipular informacion de los Bienes Fiscales y de Uso Publico del Municipio de Ibague.</t>
  </si>
  <si>
    <t xml:space="preserve">Seguimiento ENERO A JUNIO
</t>
  </si>
  <si>
    <t xml:space="preserve">Tipos de riesgos </t>
  </si>
  <si>
    <t xml:space="preserve">Asignación  por líderes de proceso  en personal vinculado por  contrato de prestación de servicios,  los  responsables  del diligenciamiento de los formatos  para rendición de informes de ley a entes de control y a su vez,   la  emisión de respuesta a  requerimiento del ente de control. </t>
  </si>
  <si>
    <t xml:space="preserve">Incluir dentro de las temáticas a tratar en Comité de Coordinación de Control Interno, la falta de compromiso por parte de los líderes de los procesos   con   la implementación  de acciones de mejora  formuladas  en  planes de mejoramiento, la responsabilidad  de asignar en personal de planta los repontes a entes de control solictados por la Oficina de Control Interno,  atención a las recomendaciones de la Oficina de Control Interno y  la  oportunidad en la entrega de la información sobre los requerimientos generados por la Oficina. </t>
  </si>
  <si>
    <t>01/02/2024 al 30/08/2024</t>
  </si>
  <si>
    <t>04/03/2024, 04/05/2024, 06/07/2024, 05/09/2024, 04/11/2024,     04/01/2025</t>
  </si>
  <si>
    <r>
      <rPr>
        <b/>
        <sz val="11"/>
        <color theme="1"/>
        <rFont val="Arial"/>
        <family val="2"/>
      </rPr>
      <t>AVANCE :</t>
    </r>
    <r>
      <rPr>
        <sz val="11"/>
        <color theme="1"/>
        <rFont val="Arial"/>
        <family val="2"/>
      </rPr>
      <t xml:space="preserve"> El día 22 de abril sobre las 2:00 pm, se realizó el comité de coordinación de control interno donde se socializo el Informe comparativo sobre No. de hallazgos, en auditorías comunes, entre Vig. 2022-2023 junto a ello se les informo los hallazgos más reiterativos.
</t>
    </r>
  </si>
  <si>
    <t>En Curso</t>
  </si>
  <si>
    <t xml:space="preserve">Desconocimiento del personal adscrito a la Oficina de control interno de los  cambios normativos que impliquen  nuevos informes a cargo de la Oficina  o modificaciones a la periodicidad del reporte de los informes de ley. </t>
  </si>
  <si>
    <t xml:space="preserve">El jefe de la Oficina de Control Interno  cada vez que se presenten cambios normativos que requieran  la generación de nuevos  informes, ajusta o actualiza  el plan de Anual de Auditoria   confrontando  la fecha de emisión del informe con la disponibilidad del personal en el cronograma del plan anual de auditoria  y asigna el responsable de elborar el informe; garantizando la emisión  oportuna del mismo al ente de control;   en caso de no contar con personal disponible o el perfil indicado  la  jefe   solicita a la Dirección de Talento Humano la asignación de personal idóneo para  elaborar  el informe o gestiona  la  contratación de personal.  Como evidencia queda el Plan  Anual de auditoria ajustado y  publicado en la web, el acta de Comité de Coordinación de Control Interno que registre la aprobación de la actualización  del Plan, el  informe generado públicado en la web y el  memorando de solicitud de personal ídoneo para elaborar el informe. </t>
  </si>
  <si>
    <t>Consultar los cambios normativos  que aplican a control interno  socializados en el grupo Wthapsapp Mi tolima y darlos a conocer al equipo de de la  Oficina  de Control Interno y en caso que la jefe de la Oficina lo considere necesario solicitar a talento humano capacitación y multiplicarla  a los compañeros de trabajo</t>
  </si>
  <si>
    <t>01/01/2024 al 31/12/2024</t>
  </si>
  <si>
    <r>
      <rPr>
        <b/>
        <sz val="11"/>
        <rFont val="Calibri"/>
        <family val="2"/>
        <scheme val="minor"/>
      </rPr>
      <t>AVANCE</t>
    </r>
    <r>
      <rPr>
        <sz val="11"/>
        <rFont val="Calibri"/>
        <family val="2"/>
        <scheme val="minor"/>
      </rPr>
      <t xml:space="preserve"> MAYO-JUNIO: El 28 de junio 2024,  en comite tecnico, se socializo al equipo interno, la resolucion N°066 emitida por la contraloria general de la nacion "Por la cual se subroga la Resolución Reglamentaria Orgánica número 064 de 2023 que reglamenta la rendición electrónica de la cuenta, los informes y otra información que realizan los sujetos de vigilancia y control fiscal de la Contraloría General de la República a través del Sistema de Rendición Electrónico de la Cuenta e Informes y Otra Información (Sireci)"
</t>
    </r>
  </si>
  <si>
    <t xml:space="preserve">los auditores  responsables de elaborar los  informes  de ley, cada vez que inicia la actividades requeridas para elaborar el informe,  determina  la fecha  de entrega de información por las unidades administrativas confrontando la fecha límite de emisión del informe  VS  la fecha establecida por el ente de control para la solicitud de  prórroga.  4)  El control se realiza de la siguiente forma:  Proyectar y emitir una circular relacionando el reporte a rendir, la normatividad que lo exige y fijando como fecha límite  7 días  hábiles antes de la fecha establecida por el ente de control para  solicitar prórroga, así mismo  solicitar la designación de funcionarios de planta  para dar respuesta al requerimiento de la oficina.   Vencido el término fijado,   consultar en   el aplicativo de correspondencia pisami  y con  el   auxiliar administrativo  si en la correspondencia recibida se encuentra la información solicitada; en caso afirmativo se  procede a realizar  las actividades requeridas  para generar   el informe,  de lo contrario  comunicar  a la  Jefe  el estado del requerimiento para que gestione la entrega inmediata de la información,  6) dejando como evidencia  de ejecución del control lo siguiente:   Memorando o circular  del  requerimiento oportuno de la información  y la información recibida en los expedientes de la serie documental asociada a los respectivos informes;  en caso de desviación, se genera  la evidencia de la  reiteración del requerimiento a través del correo institucional de la Oficina y/o  el aplicativo de correspondencia PISAMI si se reitera a través de memorando. </t>
  </si>
  <si>
    <t>Recomendar a la alta dirección en el Comité de Coordinación de Control Interno,  asignar en personal de plata el responsable de la consulta diaria de la correspondencia y los correos institucionales;  con el fin de emitir respuesta oportuna a los requerimientos de la oficina y  evitar sanciones por respuesta inoportuna a los entes  de control</t>
  </si>
  <si>
    <t>01/02/2024 al 31/05/2024</t>
  </si>
  <si>
    <t>SIN AVANCE</t>
  </si>
  <si>
    <t>05/01/2024 al  31/12/2024</t>
  </si>
  <si>
    <r>
      <t xml:space="preserve">Durante el periodo evaluado se presentó el informe de Derechos Autor - Vig 2023, Obras Inconclusas periodo febrero y marzo, sistema de alertas de control interno - SACI , sin ninguna novedad de fallas en el aplicativo. 
No se presentó fallas en los aplicativos dispuestos por los entes de control, por lo tanto, no se aplicó el control diseñado.
</t>
    </r>
    <r>
      <rPr>
        <b/>
        <sz val="11"/>
        <color theme="1"/>
        <rFont val="Arial Narrow"/>
        <family val="2"/>
      </rPr>
      <t>AVANCE MAYO-JUNIO:</t>
    </r>
    <r>
      <rPr>
        <sz val="11"/>
        <color theme="1"/>
        <rFont val="Arial Narrow"/>
        <family val="2"/>
      </rPr>
      <t xml:space="preserve">  Durante el periodo evaluado no hubo fallas en los aplicativos dispuestos por los entes de control, para el cargue de los siguiente informes: Seguimiento Plan de mejoramiento suscrito con la contraloria municipal, reporte obras inconclusas.</t>
    </r>
  </si>
  <si>
    <t xml:space="preserve">Desconocimiento de los informes  generados  por la Oficina de control interno  y  pendientes de socialización  a la Alta Dirección  en el Comité de Coordinación de Control Interno, en el momento previo a la  convocatoria  para la  elaboración del orden del dia.   </t>
  </si>
  <si>
    <t xml:space="preserve">Establecer el orden del día del Comité de Coordinación de Control Interno previa  consulta de la aplicación  trimestral  del indicador   índice de informes  socializados  en el  Comité y el acta anterior del comité. </t>
  </si>
  <si>
    <t>01/04/2024  al 31/12/2024</t>
  </si>
  <si>
    <t xml:space="preserve">A través del correo electrónico, el día 17 de abril, se convocó a comité de coordinación de control interno para el día 22 de abril 2024, dando a conocer el orden del día a la alta dirección.
</t>
  </si>
  <si>
    <t>Indicador enviado por carmen y Acta de CCCI y correo</t>
  </si>
  <si>
    <t>SISTEMA INTEGRADO DE GESTIÓN</t>
  </si>
  <si>
    <t>DESARROLLAR ACCIONES PARA LA IMPLEMENTACIÓN, SOSTENIBILIDAD Y MEJORA CONTINUA DEL SISTEMA INTEGRADO DE GESTIÓN DE LA ADMINISTRACIÓN MUNICIPAL DE IBAGUÉ “SIGAMI”, OMO HERRAMIENTA PARA LA TOMA DE DECISIONES Y EL CUMPLIMIENTO DE LA MISIÓN Y OBJETIVOS INSTITUCIONALES.</t>
  </si>
  <si>
    <t>INICIA DESDE LA PLANEACION DEL PROCESO, EL AFIANZAMIENTO DE LA CULTURA Y COMPROMISO ORGANIZACIONAL CON EL SIGAMI, HASTA LA CONSOLIDACIÓN DE LOS RESULTADOS DE LA MEDICIÓN Y SEGUIMIENTO DEL SISTEMA.</t>
  </si>
  <si>
    <t xml:space="preserve">cancelación o retiro de las certificaciones obtenidas </t>
  </si>
  <si>
    <t>Incumplimiento de los requisitos de las normas HSEQ</t>
  </si>
  <si>
    <t>Incumplimiento de los indicadores de Gestión</t>
  </si>
  <si>
    <t>Posibilidad de perdida reputacional por la cancelación o retiro de las certificaciones obtenidas debido al incumplimiento de los requisitos de las normas HSEQ.</t>
  </si>
  <si>
    <t xml:space="preserve">Consolidación de Indicadores del Sistema Integrado de Gestión SIGAMI
Auditorías Internas - Seguimiento al cumplimiento de los requisitos de las Normas HSEQ
Consolidación y monitoreo a mapas de riesgos
Consolidación y seguimiento a normogramas </t>
  </si>
  <si>
    <t>La directora(a) de Fortalecimiento Institucional junto con su equipo de trabajo trimestralmente consolida el reporte de indicadores y revisa el cumplimiento de las metas. Dejando como evidencia el tablero de indicadores de SIGAMI.</t>
  </si>
  <si>
    <t xml:space="preserve">La director(a) de Fortalecimiento Institucional presentará el reporte o semaforización de las entregas con el fin de los procesos que no hayan cumplido a cabalidad con las directrices impartidas realizcen las acciones correctivas necesarias. </t>
  </si>
  <si>
    <t>La director(a) de Fortalecimiento Instituciona</t>
  </si>
  <si>
    <t>1 de enero de 2024</t>
  </si>
  <si>
    <t>Semaforización presentada en comité SIGAMI</t>
  </si>
  <si>
    <t>Inadecuada Gestión del Conocimiento</t>
  </si>
  <si>
    <t xml:space="preserve">Los Líderes de los Sistemas de Gestión y sus equipos de trabajo, anualmente verifican la apropición del Sistema Integrado de Gestión a través de las evaluación de impacto de los procesos de Inducción y reinducción a fin de identificar las fortalezas y debilidades del personal.  Dejando como evidencia el informe  de resultados.  </t>
  </si>
  <si>
    <t>Incumplimiento de la estructura documental del instrutivo de Elaboración de Documentos del SIGAMI</t>
  </si>
  <si>
    <t xml:space="preserve">La directora(a) de Fortalecimiento Institucional junto con su equipo de trabajo de manera permanente  antes de eliminar, actualizar o crear un documento SIGAMI, verifica que dichos documentos cumplna con la estructura documental determinada en el  procedimiento de control de documentos e instrutivo de Elaboración de Documentos del SIGAMI, con el proposito de determinar el cumplimiento de los requisitos establecidos para tal fin, Dejando como evidencia correos electrónicos o el listado maestro de documentos. Si un documento no cumple con los criterios establecidos, es devuelto para realizar las correcciones pertinentes </t>
  </si>
  <si>
    <t>Auditorías internas fuera de los parametros estabelcidos</t>
  </si>
  <si>
    <t xml:space="preserve">La directora(a) de Fortalecimiento Institucional cada vez que se requiera, revisa que la Oficina de Control Interno dentro de su Programa Anual de Auditoría determine las fechas de las auditorías de gestión con el fin de realar adecuadamente la planeación de las mismas. </t>
  </si>
  <si>
    <t xml:space="preserve">Constantes cambios en la normatividad </t>
  </si>
  <si>
    <t>La directora(a) de Fortalecimiento Institucional junto con su equipo de trabajo trimestralmente consolida el reporte de normograma y realiza el seguimiento aleatorio del cumplimiento de la normatividad. Dejando como evidencia actas de reunión y correos eléctronicos de retrolimentación</t>
  </si>
  <si>
    <t>multa o sanción de los entes reguladores</t>
  </si>
  <si>
    <t>debido al incumplimiento de la normatividad vigente en Seguridad y Salud en el Trabajo y ambiente.</t>
  </si>
  <si>
    <t>Incumplimiento del plan de trabajo</t>
  </si>
  <si>
    <t xml:space="preserve">
Posibilidad de perdida reputacional y afectación económica por multa o sanción de los entes reguladores debido al incumplimiento de la normatividad vigente en Seguridad y Salud en el Trabajo, y ambiente.</t>
  </si>
  <si>
    <t>Desarrollo, implementación y seguimiento al plan de trabajo del Sistema de Salud y Seguridad en el Trabajo y Sistema de Gestión Ambiental.</t>
  </si>
  <si>
    <t>Los líderes de los Sistemas de Seguridad y Salud en el Trabajo y el Sistema de Gestión Ambiental  mensualmente verifican el cumplimiento al plan de trabajo  respectivo, con el proposito de controlar las actividades definidas, dejando como evidencia las actas de reunión y los indicadores de Gestión del Sistema de Gestión de SST y Gestión Ambiental. Si se determinan actividades que ha pasado su fecha de ejecución, se realiza plan de choque para cumplir lo establecido.</t>
  </si>
  <si>
    <t>Semestralmente el grupo de SST y/o el equipo líder del Sistema de Gestión Ambiental junto con la Dirección de Fortalecimiento Institucional realizarán seguimiento al plan anual de trabajo y a las acciones correctivas de las auditorías al Sistema Sistema de Seguridad y Salud en el Trabajo y del Sistema de gestión Ambiental para Verificar la eficacia de las mismas.</t>
  </si>
  <si>
    <t>Lider del Sistema de Seguridad y Salud en el trabajo y Líder del Sistema de Gestión Ambiental</t>
  </si>
  <si>
    <t>1 enero de 2024</t>
  </si>
  <si>
    <t>Actas de reunion, Matriz de seguimiento a no conformidades de la auditoria Externa.</t>
  </si>
  <si>
    <t xml:space="preserve">Insuficiencia en el talento humano </t>
  </si>
  <si>
    <t xml:space="preserve">Los líderes de los Sistemas de Seguridad y Salud en el Trabajo y el Sistema de Gestión Ambiental con los Profesionales designados, anualmente verifican la necesidad del talento humano en misión con el proposito de determinar los perfiles  requeridos para el buen funcionamiento de los Sistemas de SST y Gestión Ambiental y se incluye en el plan anual de adquisiciones de las dependencias, dejando como evidencia el plan anual de adquisiones. Si se presentan desviaciones, se solicitará actualización del plan de adquisiciones. </t>
  </si>
  <si>
    <t>deficiente priorización en la gestión para el cumplimiento de los requisitos o necesidades en SST y Sistema de Gestión Ambiental</t>
  </si>
  <si>
    <t>Los líderes de los Sistemas de Seguridad y Salud en el Trabajo y el Sistema de Gestión Ambiental con los Profesionales designados, trimestralmente realizan seguimiento al cumplimiento del Plan de Acción, con el propósito de validar el cumplimiento de las actividades definidas, dejando como evidencia actas de reunión. Si se determinan actividades que ha pasado su fecha de ejecución, se realiza plan de choque para cumplir lo establecido.</t>
  </si>
  <si>
    <t>Automático</t>
  </si>
  <si>
    <t>Falta de compromiso, gestión y liderazgo en los diferentes sistemas que componen SIGAMI</t>
  </si>
  <si>
    <t>El comité Institucional de Gestión y Desempeño, semestralmente verifica el cumplimiento de los planes de trabajo y revisan el cumplimiento de los indicadores de los objetivos, dejando como evidencia las actas de comité, con el propósito de validar el avance y mejora contínua del Sistema de Gestión HSEQ. Si se presentan desviaciones se generará un plan de acción con el fin de dar cumplimiento a lo establecido.</t>
  </si>
  <si>
    <t>30 de Diciembre de 2024</t>
  </si>
  <si>
    <t>GESTIÓN DE LA INFORMACIÓN Y LA COMUNICACIÓN</t>
  </si>
  <si>
    <t>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t>
  </si>
  <si>
    <t>INICIA CON LA PLANEACIÓN DE LAS ESTRATEGIAS DE COMUNICACIÓN ORGANIZACIONAL, CONTINUA CON LA EJECUCIÓN DEL PLAN ESTRATEGICO DE COMUNICACIONES, LA ESTRATEGIA DE RENDICIÓN DE CUENTAS, LA ADMINISTRACIÓN DE LA IMAGEN CORPORATIVA Y EL MANTENIMIENTO Y ACTUALIZACIÓN DE LAS BASES DE DATOS DE GRUPOS DE INTERÉS, LA PRODUCCIÓN DE INFORMACIÓN PERIODÍSTICA PARA DIFUSIÓN EN DISTINTOS MEDIOS Y FINALIZA CON EL SEGUIMIENTO Y EVALUACIÓN DEL PROCESO.</t>
  </si>
  <si>
    <t>Inadecuada difusión de la gestion institucional y organizacional</t>
  </si>
  <si>
    <t>Falta de planeación y articulacion en el desarrollo de los eventos y actividades adelantadas por las unidades administrativas de la Alcadía de Ibagué</t>
  </si>
  <si>
    <t>Inadecuada comunicación entre las dependencias y los periodistas asiganados a cada una de ellas</t>
  </si>
  <si>
    <t>Posibilidad de perdida reputacional por la inadecuada difusión de las gestión institucional y organizacional debido a la falta de planeación y articulación en el desarrollo de los eventos y actividades adelantadas por las unidades administrativas de la Alcaldía de Ibagué</t>
  </si>
  <si>
    <t xml:space="preserve">PRODUCIR Y DIVULGAR
INFORMACIÓN PERIODÍSTICA
DE LOS PROGRAMAS,
PROYECTOS Y ACCIONES DE
LA ALCALDÍA Y SUS
ENTIDADES </t>
  </si>
  <si>
    <t>Realizar la documentación para fortalecer los controles establecidos, según quede en la caracterización de acuerdo a las necesidades del proceso</t>
  </si>
  <si>
    <t>Jefe Oficina Comunicaciones</t>
  </si>
  <si>
    <t xml:space="preserve">1.Para el segumiento del control 1, en cada consejo de redacción se hace el segumiento adecuado a las actividades y responsabilidades de cada uno de los periodistas asignados a cada dependencia, de enero a agosto se han realizado 29 actas de dichos consejos de redacción.                                                                                                                                                                                                                                                                                                                                 2. Como seguimiento de la actividad de control del riesgo 2, cada publicación o material que sale de la Oficina cuenta con revisión del editor, de enero a agosto se han realizado 1810 comunicados de prensa, al igual un seguimiento por las actividades realizadas de cada equipo de trabajo.                                                                                                                                                                                                                                                                                3.  Se envio a la Direccion de Fortalecimiento Institucional la caracterización del proceso donde queda documentado el control a seguir dando así cumplimiento al plan de acción </t>
  </si>
  <si>
    <t>Inadecuada divulgación de las acciones adelantadas por la Administración Municipal.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</si>
  <si>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</si>
  <si>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Media</t>
  </si>
  <si>
    <t>Durante los meses de julioy agosto se ejecutaron las siguientes actividades dentro del contrato del plan de bienestar:
1. Celebración de los cumpleaños de junio y julio
2. Reconocimiento a los mejores servidores publicos
3. Quinquenios
4. Reconocimiento a los pensionados
5. Preselección Juegos CORDEMO
6: Reconocimiento al Cuerpo Oficial de Bomberos</t>
  </si>
  <si>
    <t>Durante el periodo se ejecutaron las siguientes capacitaciones: 1. CONGRESO DE SEGURIDAD, SALUD Y AMBIENTE; 2.TALLER DE LIBERTAD RELIGIOSA; 3.CURSO AUDITOR INTERNO EN SISTEMAS INTEGARDOS DE GESTIÓN HSEQ ; 4. SISTEMA GENERAL DE PENSIONES; 5. EMPLEO PUBLICO; 6. CONGRESO NACIONAL DE INGENIERIA “IDEAS Y SOLUCIONES PARA TRANSFORMAR EL FUTURO; 7. CONGRESO NACIONAL DE DERECHO DISCIPLINARIO; 8. GESTION DOCUMENTAL; 9. PRIMEROS AUXILIOS BASICOS; 10. REFORMA PENSIONAL</t>
  </si>
  <si>
    <t>Perdida de la informacion y/o expedientes disciplinarios</t>
  </si>
  <si>
    <t>Posibilidad de perdida reputacional debido a la Reconstrucción de expedientes o sanciones por parte del ente regulardor por perdida de la informacion y/o expedientes disciplinarios.</t>
  </si>
  <si>
    <t>Manejo y/o manipulacion de los archivos físicos y/o base de datos</t>
  </si>
  <si>
    <t>El jefe de la Oficina de Control Único Disciplinario anualmente, verificara las necesidades del personal y realizara la solicitud a la Secretaria Administrativa para su contratacion. Y se programarán capicitaciones de induccion y reinducion al personal de apoyo de la Oficina, contemplando toda la legislacion y normatividad relacionada a la operacion del proceso, dirigida por el Profesional Universitario adscrito a la Oficina, si se llegase a observar falta de etica y profesionalismo en algun funcionario se reportara al jefe inmediato, evidenciando la capacitación con el acta y planilla de asistencia.</t>
  </si>
  <si>
    <t>El jefe de la oficina realizara memorando exponiendo la necesidad del personal a contratar</t>
  </si>
  <si>
    <t>Se envio correo dirigido a la secretaria administrativa solicitando actualizacion del PAA para la contratacion de personal con fecha del 10 de enero de 2024</t>
  </si>
  <si>
    <t>Octubre</t>
  </si>
  <si>
    <t>Diciembre</t>
  </si>
  <si>
    <t xml:space="preserve">se reitero el dia 19 de junio a la direccion de recursos fisicos solicitandole enseres para la prevencion de perdida de los expedientes </t>
  </si>
  <si>
    <t>La Asesora de la oficina controla a traves de una matriz en excel el cumplimiento  de las diferentes etapas del proceso y estado en que se encuentra, si se presenta información erronea se deja la anotación.</t>
  </si>
  <si>
    <t>El Tecnico operativo, diariamente realizara control y seguimiento a la base de datos dejando como registro el ingreso al DRIVE con la que tendra acceso el Jefe y Asesora.</t>
  </si>
  <si>
    <t>Tecnico Operativo</t>
  </si>
  <si>
    <t>febrero</t>
  </si>
  <si>
    <t>Reporte aplicativo DRIVE, en dias habiles cuantos actualizaciones se realizan. Por motivos de reserva legal no se puede compartir dicha informacion - soporte pantallazo de ingreso al DRIVE</t>
  </si>
  <si>
    <t>Reporte aplicativo DRIVE, en dias habiles cuantos actualizaciones se realizan. Por motivos de reserva legal no se puede compartir dicha informacion</t>
  </si>
  <si>
    <t>junio</t>
  </si>
  <si>
    <t>agosto</t>
  </si>
  <si>
    <t xml:space="preserve">Desatención al procedimiento que busca los fines del derecho disciplinario. </t>
  </si>
  <si>
    <t xml:space="preserve"> Posibilidad de perdida reputacional debido a Desatención al procedimiento que busca los fines del derecho disciplinario. Por Desacato de los términos de Ley. </t>
  </si>
  <si>
    <t>Mediante la Plataforma PISAMI se verificara la respuesta oportuna por parte de la Secretaria</t>
  </si>
  <si>
    <t>Se realiza monitoreo por la plataforma PISAMI, dejando evidencia consolidado Excel de las peticiones que se han contestado o no.</t>
  </si>
  <si>
    <t>Posibilidad de perdida reputacional debido a la Falta de control en la recepción de quejas y desorganización en reparto, por desconocimiento por parte del personal responsable de efectuar el reparto de las PQR´s</t>
  </si>
  <si>
    <t xml:space="preserve"> El técnico operativo se encargará de la elaboración de un cuadro en archivo excel y una base de datos en drive donde se consigne la información completa de las quejas recibidas y la entrega de las mismas.</t>
  </si>
  <si>
    <t>El Asesor de la Oficina de Control Unico Disciplinario, revisará  el reparto a los abogados sustanciadores el cual se debe consultar en la base de datos cada 15 dias para corroborar si la queja anticipadamente fue asignada.</t>
  </si>
  <si>
    <t>PLANEACIÓN ESTRATÉGICA Y TERRITORIAL</t>
  </si>
  <si>
    <t>Planear el desarrollo territorial sostenible a través de la formulación, implementación y seguimiento a políticas, planes, programas del Municipio de Ibagué, que permitan cumplir con los objetivos establecidos por parte de la alta dirección y satisfacer las necesidades de la comunidad.</t>
  </si>
  <si>
    <t>Inicia desde la elaboración del plan de ordenamiento territorial, plan de desarrollo municipal, plan plurianual de inversiones, plan indicativo, administración de las bases de datos de los potenciales beneficiarios a programas sociales; hasta el seguimiento a la implementación de políticas, planes, programas y proyectos.</t>
  </si>
  <si>
    <t>Seguimiento
Monitoreo al 30/08/2024</t>
  </si>
  <si>
    <t xml:space="preserve">Multa y sanción del ente regulador </t>
  </si>
  <si>
    <t>Incumplimiento de metas del plan del desarrollo</t>
  </si>
  <si>
    <t>Posibilidad de perdida económica y reputacional por multa o sanción del ente regulador debido incumplimiento al plan de desarrollo en las metas de producto y bienestar.</t>
  </si>
  <si>
    <t xml:space="preserve">procedimiento para la formulación del plan de desarrollo 
procedimiento para el seguimiento al plan de desarrollo
</t>
  </si>
  <si>
    <t>Posibilidad de perdida económica y reputacional por implementación de un modelo de desarrollo territorial por fuera de las realidades del municipio.</t>
  </si>
  <si>
    <t>No se enviarnos ni oficios y ni memorandos solicitando la relación del cumplimiento en lo establecido en el POT a las secretarias y entes descentralizados ya que en enviaron en el reporte anterior los de este semestre</t>
  </si>
  <si>
    <t>En el primer consejo de gobierno del año 2024 se logro realizar la socialización con la alta dirección sobre el estado del expediente municipal, y que se debía tener como ruta de navegación los lineamientos del POT para la elaboración del Plan de Desarrollo,  se tiene actualizado el expediente municipal</t>
  </si>
  <si>
    <t>SISTEMA INTEGRADO DE GESTIÓN Y MIPG</t>
  </si>
  <si>
    <t>DESARROLLAR ACCIONES PARA LA IMPLEMENTACIÓN, SOSTENIBILIDAD Y MEJORA CONTINUA DEL SISTEMA INTEGRADO DE GESTIÓN DE LA ADMINISTRACIÓN MUNICIPAL DE IBAGUÉ “SIGAMI”, COMO HERRAMIENTA PARA LA TOMA DE DECISIONES Y EL CUMPLIMIENTO DE LA MISIÓN Y OBJETIVOS INSTITUCIONALES.</t>
  </si>
  <si>
    <t>MONITOREO ENERO -FEBRERO</t>
  </si>
  <si>
    <t>MONITOREO MARZO  - ABRIL</t>
  </si>
  <si>
    <t xml:space="preserve">MONITOREO MAYO - JUNIO </t>
  </si>
  <si>
    <t xml:space="preserve">MONITOREO JULIO - AGOSTO </t>
  </si>
  <si>
    <t>El (la) directora (a) de Fortalecimiento Institucional  junto con su equipo de trabajo trimestralmente consolida el reporte de indicadores y revisa el cumplimiento de las metas. Dejando como evidencia el tablero de indicadores de SIGAMI.</t>
  </si>
  <si>
    <t>30 de Agosto de 2024</t>
  </si>
  <si>
    <t xml:space="preserve">Durante este periodo no se entrega semaforizacion ya que las entregas del seguimiento a  indicadores, normograma, salidas no conformes y acciones correctivas se hacen de manera trimestral. </t>
  </si>
  <si>
    <t xml:space="preserve">En el comité SIGAMI realizado el 23 de marzo de 2023 se presento una matriz semaforo con los diferentes procesos y su estado de reporte actual frente a indicadores, monitoreo de mapas de riesgo, normograma, acciones correctivas y salidas no conformes. </t>
  </si>
  <si>
    <t xml:space="preserve">En el comité SIGAMI realizado el 14 de Agosto de 2023 se presento una matriz semaforo con los diferentes procesos y su estado de reporte actual frente a indicadores, monitoreo de mapas de riesgo, normograma, acciones correctivas y salidas no conformes. </t>
  </si>
  <si>
    <t xml:space="preserve">El (la) directora (a) de Fortalecimiento Institucional cada vez que se requiera, revisa que la Oficina de Control Interno dentro de su Programa Anual de Auditoría determine las fechas de las auditorías de gestión con el fin de realizar adecuadamente la planeación de las mismas. </t>
  </si>
  <si>
    <t>29/03/2024 se realizo mesa de trabajo con el equipo HSEQ, para realizar Monitoreo y seguimiento al mapa de riesgos y acciones correctivas resultantes de la auditoria externa</t>
  </si>
  <si>
    <t>24/05/2024 se realizo mesa de trabajo con el equipo HSEQ, para realizar Monitoreo y seguimiento al mapa de riesgos y acciones correctivas resultantes de la auditoria externa</t>
  </si>
  <si>
    <t xml:space="preserve">29/07/2024 se realizo mesa de trabajo con el equipo HSEQ, para realizar seguimiento a las acciones correctivas resultantes de la auditoria externa </t>
  </si>
  <si>
    <t>El 30 de Agosto del 2024, se realizo mesa de trabajo con el equipo HSEQ, para realizar seguimiento a las acciones correctivas resultantes de la auditoria externa</t>
  </si>
  <si>
    <t xml:space="preserve"> La  Asesora del Despacho cada mes realiza seguimiento a la ejecución de los planes de acción y del plan indicativo, comparando la información suministrada por las direcciones en los comités técnicos, con respecto a las metas establecidas en la hoja de vida de los indicadores a la fecha de corte. 
Si se determina que la meta esta resagada, se establece un plan de contingencia o estrategia para nivelar el cumplimiento, se evidencia en las actas de comité técnico
</t>
  </si>
  <si>
    <t xml:space="preserve">Realizar  seguimientos  bimensuales a los procesos contractuales de la secretaria mediante la  "Matriz de seguimiento gestión contractual. </t>
  </si>
  <si>
    <t>Asesora del Despacho</t>
  </si>
  <si>
    <t>Mensual</t>
  </si>
  <si>
    <t xml:space="preserve">La dificultad de consecusión de la información de las bases de datos provenientes de la dirección del SISBEN, en periodos trimestrales .
</t>
  </si>
  <si>
    <t>Fecha de Seguimiento</t>
  </si>
  <si>
    <t>Seguimiento a la Gestión de la Matricula</t>
  </si>
  <si>
    <t>En los meses de julio y agosto no se realizaron conratos de prestacion de serrvicos</t>
  </si>
  <si>
    <t>se anexa el presupuesto aprobado para la vigencia 2024, por vlaor de 248,956,378,722</t>
  </si>
  <si>
    <t>circualr 064 de febrero 12 cde 2024 , se cumplio al 100%</t>
  </si>
  <si>
    <t>Realizar Seguimiento al proceso de cobertura</t>
  </si>
  <si>
    <t>cumplida al 100%</t>
  </si>
  <si>
    <t>Cumplida la 100%</t>
  </si>
  <si>
    <t>Implementación de estrategias de permanenica</t>
  </si>
  <si>
    <t>PROCESO: Gestión Educativa</t>
  </si>
  <si>
    <t>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</si>
  <si>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Reporte correo electrónico a planeación reporte de metas con corte a 30 de Junio de 2024</t>
  </si>
  <si>
    <t xml:space="preserve">El (la) directora (a) de Fortalecimiento Institucional junto con su equipo de trabajo de manera permanente  antes de eliminar, actualizar o crear un documento SIGAMI, verifica que dichos documentos cumplna con la estructura documental determinada en el  procedimiento de control de documentos e instrutivo de Elaboración de Documentos del SIGAMI, con el proposito de verificar el cumplimiento de los requisitos establecidos para tal fin, Dejando como evidencia correos electrónicos o el listado maestro de documentos. Si un documento no cumple con los criterios establecidos, es devuelto para realizar las correcciones pertinentes </t>
  </si>
  <si>
    <t>El (la) directora (a) de Fortalecimiento Institucional  junto con su equipo de trabajo trimestralmente consolida el reporte de normograma y realiza el seguimiento aleatorio del cumplimiento de la normatividad externa. Dejando como evidencia actas de reunión y correos eléctronicos de retrolimentación</t>
  </si>
  <si>
    <t>GESTION DE LA GOBERNABILIDAD CONVIVENCIA Y SEGURIDAD CIUDADANA</t>
  </si>
  <si>
    <t xml:space="preserve">El secretario, directores y referentes se reunen de forma trimestral, mediante comites tecnicos, con el fin de validar la planeación y el seguimiento de las actividades plasmadas  en el plan de desarrollo y plan de accion de la secretaria de gobierno, dejando como evidencia actas de comite y planillas de asistencia. . </t>
  </si>
  <si>
    <t>Probabildad</t>
  </si>
  <si>
    <t>Se realizo y se evidencia con el acta 01 del 2 de febrero de 2024  para los planes de accion y plan de desarrollo a corte de 31 de Diciembre del 2023</t>
  </si>
  <si>
    <t>los  enlaces SIGAMI de cada direccion y despacho  concertan mesas de trabajo de forma trimestralmente o cuando se requiera , con el fin de revisar ,validar los cambios normativos y posteriormente  socializar y actualizar el normograma,  quedando como evidencia el reporte trimestral entregado a la Direccion de Fortalecimiento Institucional</t>
  </si>
  <si>
    <t xml:space="preserve">Secretarios, Directores y enlaces SIGAMI </t>
  </si>
  <si>
    <t>Abril 16/2024</t>
  </si>
  <si>
    <t>Acta de Reunion 01 del 16 de Abril del 2024 y Pantallazo reporte primer trimestral seguimento a Normograma Enero- Marzo. Mesa de trabajo actualizacion normograma 29 de Abril del 2024 con el Acta 02</t>
  </si>
  <si>
    <t>al momento de la identificación de la infracción</t>
  </si>
  <si>
    <t>El secretario, los directores y enlaces SIGAMI concertan mesas de trabajo con los Inpectores y corregiodores cada vez que se requiera, con el fin de revisar y validar la informacion documentada (procedimientos,manuales,instructivos formatos entre otros ) relacionada con el prceso multas , comparendos entre otros  con el fin de la mejora continua del proceso quedando como evidencia informacion actulizada en la pagna de la Alcaldia Municipál, acta de reunon y planillas de asistencia.</t>
  </si>
  <si>
    <t>N/A</t>
  </si>
  <si>
    <t>Seguimiento (Julio-Agosto)</t>
  </si>
  <si>
    <t>Se realizará cuatrimestral comité técnico para revisar los planes de acción y la ejecución de los mismos, dejando como evidencia un acta y planilla de asistencia, en cada una en las Secretaría del Proceso del Desarrollo Económico y la Competitividad (Secretaría de Desarrollo Económico y Secretaría de Agricultura y desarrollo rural)</t>
  </si>
  <si>
    <t>Una (1) reunión cuatrimestral para la revisión del Plan de Acción - Actualización documentación SIGAMI correspondiente</t>
  </si>
  <si>
    <t>El equipo de enlaces SIGAMI del Proceso Desarrollo Económico y la Competitividad se reunió el día viernes 30 de agosto del 2024 para actualizar la Matriz de Riesgos de Gestión del Proceso. Para el cumplimiento de la Actividad #1 del Plan de Acción, se aportan las evidencias correspondientes. El día 03 de julio se realizó la reunión del Plan de Acción de la Secretaría de Desarrollo Económico,  correspondiente al segundo Cuatrimestre del 2024.</t>
  </si>
  <si>
    <t>Semestralmente la Secretaría Desarrollo Económico y la Secretaría de Agricultura y Desarrollo Rural, se reunirán dos veces por vigencia con los asesores, profesionales universitarios y contratistas , con el fin de revisar el avance físico de las metas producto del plan indicativo y generar estrategias para cumplir las mismas.  Las respectivas evidencias de las reuniones son las planillas de asistencia internas y actas.</t>
  </si>
  <si>
    <t>Dos (2) reuniones semestrales para la revisión del Plan Indicativo - Actualización documentación SIGAMI correspondiente</t>
  </si>
  <si>
    <t>El equipo de enlaces SIGAMI del Proceso Desarrollo Económico y la Competitividad se reunió el día viernes 30 de agosto del 2024 para actualizar la Matriz de Riesgos de Gestión del Proceso. Para el cumplimiento de la Actividad #2 del Plan de Acción, se aportan las evidencias correspondientes. Para el segundo semestre del año 2024, no se reportan las dos reuniones programadas sobre Plan Indicativo, que se tienes previstas para el mes de Septiembre y Noviembre del 2024.</t>
  </si>
  <si>
    <t xml:space="preserve">Cuatrimestralmente la Secretaría Desarrollo económico y la Secretaría de Agricultura y Desarrollo Rural realizarán una socialización sobre SIGAMI y sobre el Código de Integridad y Buen Gobierno, dirigdo a todo el personal de planta y/o contratistas que conforman el talento humano de las Secretarías (recordar que en el contrato de prestación de servicios queda estipulado que se acogen a este código); dejando como evidencias actas y/o planillas de asistencia interna de la socializaciòn. </t>
  </si>
  <si>
    <t>Una (1) socialización cuatrimestral  sobre SIGAMI y sobre el Código de Integridad y Buen Gobierno - Actualización documentación SIGAMI correspondiente</t>
  </si>
  <si>
    <t>El equipo de enlaces SIGAMI del Proceso Desarrollo Económico y la Competitividad se reunió el día viernes 30 de agosto del 2024 para actualizar la Matriz de Riesgos de Gestión del Proceso.</t>
  </si>
  <si>
    <t>CONTRIBUIR AL USO Y APROPIACIÓN DE LAS TECNOLOGÍAS DE INFORMACIÓN Y COMUNICACIONES TIC POR PARTE DE LOS HABITANTES DEL MUNICIPIO DE IBAGUÉ, MEDIANTE LA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t>
  </si>
  <si>
    <t>INICIA CON LA FORMULACIÓN DE LA POLÍTICA PÚBLICA DE INNOVACIÓN Y PLANES OPERATIVOS, CONTINÚA CON SU EJECUCIÓN Y SEGUIMIENTO, LA GESTIÓN DE PROYECTOS DE INNOVACIÓN Y TIC, LA GESTIÓN DE GOBIERNO DIGITAL EN EL COMPONENTE DE TIC PARA LA SOCIEDAD, FINALIZANDO CON EL SEGUIMIENTO Y EVALUACIÓN DEL PROCESO.</t>
  </si>
  <si>
    <t>Seguimiento Julio - Agosto</t>
  </si>
  <si>
    <t>Posible pérdida reputacional y económica por Disminución de la credibilidad ante la ciudadanía y disminución del presupuesto  asignado debido a estrategias para el cumplimiento del objetivo de la Política Pública de Ciencia, Tecnología e Innovación y con visión a una transformación digital</t>
  </si>
  <si>
    <r>
      <rPr>
        <b/>
        <sz val="12"/>
        <color theme="1"/>
        <rFont val="Arial Narrow"/>
        <family val="2"/>
      </rPr>
      <t>D3;O5;O6:</t>
    </r>
    <r>
      <rPr>
        <sz val="12"/>
        <color theme="1"/>
        <rFont val="Arial Narrow"/>
        <family val="2"/>
      </rPr>
      <t xml:space="preserve"> Obligatoriedad de metas en el plan Desarrollo para la  asignacion de recursos metas para cubrir necesidades de la comunidad para el uso y gestion TIC  e Investigacion de ciencia y tecnologia
</t>
    </r>
    <r>
      <rPr>
        <b/>
        <sz val="12"/>
        <color theme="1"/>
        <rFont val="Arial Narrow"/>
        <family val="2"/>
      </rPr>
      <t>D3;O2:</t>
    </r>
    <r>
      <rPr>
        <sz val="12"/>
        <color theme="1"/>
        <rFont val="Arial Narrow"/>
        <family val="2"/>
      </rPr>
      <t xml:space="preserve"> Particiapación en convocatorias con el objeto de búsqueda de alianzas con entidades nacionales para adquirir recursos económicos.
</t>
    </r>
    <r>
      <rPr>
        <b/>
        <sz val="12"/>
        <color theme="1"/>
        <rFont val="Arial Narrow"/>
        <family val="2"/>
      </rPr>
      <t>F1;O2:</t>
    </r>
    <r>
      <rPr>
        <sz val="12"/>
        <color theme="1"/>
        <rFont val="Arial Narrow"/>
        <family val="2"/>
      </rPr>
      <t xml:space="preserve"> Participación en convocatorias para el desarrollo de programas de Innovacion Ciencia y Tecnologia, con el objeto de optimizar los recursos
</t>
    </r>
    <r>
      <rPr>
        <b/>
        <sz val="12"/>
        <color theme="1"/>
        <rFont val="Arial Narrow"/>
        <family val="2"/>
      </rPr>
      <t>F3;O2;O3;O5:</t>
    </r>
    <r>
      <rPr>
        <sz val="12"/>
        <color theme="1"/>
        <rFont val="Arial Narrow"/>
        <family val="2"/>
      </rPr>
      <t xml:space="preserve"> Desarrollo de proyectos de innovación para presentar en covocatorias y adquirir recursos.</t>
    </r>
  </si>
  <si>
    <t>Durante el bimestre se realizó el proceso de armonización del Presupuesto acorde al nuevo plan de desarrollo “IBAGUE PARA TODOS 2024-2027” del municipio de Ibagué/departamento del Tolima, aprobado mediante el acuerdo municipal No. 6 de fecha Junio 5 de 2024
Evidencia: DECRETO 0584 DE 2024 - ACUERDO 013 DE 2024</t>
  </si>
  <si>
    <t xml:space="preserve">Obsolescencia en la plataforma tecnológica (Hardware y Software) 
Deficiencias en el licenciamiento o uso de software no autorizado
Obsolescencia del sistema de cableado estructurado existente </t>
  </si>
  <si>
    <r>
      <rPr>
        <b/>
        <sz val="11"/>
        <color theme="1"/>
        <rFont val="Arial Narrow"/>
        <family val="2"/>
      </rPr>
      <t>D4;D5;D6;D7;O8:</t>
    </r>
    <r>
      <rPr>
        <sz val="11"/>
        <color theme="1"/>
        <rFont val="Arial Narrow"/>
        <family val="2"/>
      </rPr>
      <t xml:space="preserve"> Realizacion de estudios económicos y análisis de mercado para la celebracion de contratos de tecnologico con el objeto de mejorar la infraestructura tecnológica
</t>
    </r>
    <r>
      <rPr>
        <b/>
        <sz val="11"/>
        <color theme="1"/>
        <rFont val="Arial Narrow"/>
        <family val="2"/>
      </rPr>
      <t>A1;A3;D4;D5;D6;D7:</t>
    </r>
    <r>
      <rPr>
        <sz val="11"/>
        <color theme="1"/>
        <rFont val="Arial Narrow"/>
        <family val="2"/>
      </rPr>
      <t xml:space="preserve"> Desarrollo o aplicar el mapa de ruta del Plan Estratégico de TIC para Modernización de Hardware y Software. Procurando impactar a la comunidad con tecnología de última generación.
</t>
    </r>
    <r>
      <rPr>
        <b/>
        <sz val="11"/>
        <color theme="1"/>
        <rFont val="Arial Narrow"/>
        <family val="2"/>
      </rPr>
      <t>A1;F2;F6:</t>
    </r>
    <r>
      <rPr>
        <sz val="11"/>
        <color theme="1"/>
        <rFont val="Arial Narrow"/>
        <family val="2"/>
      </rPr>
      <t xml:space="preserve"> Inclusion en el Plan de Compras de la entidad para la potencialiazar los CED</t>
    </r>
  </si>
  <si>
    <t>Durante el bimestre se realiza jornada de mantenimiento preventivo de equipos de cómputo de los Centros de Experiencia Digital donde se realizó por parte de cada uno de los administradores actualización de los portátiles, desfragmento el disco duro, borrados de temporales, borrado de programas y archivos residentes. Evidencia: imágenes de mantenimiento preventivo a los equipos de los Centros de Experiencia Digital registrados en el acta
El 26/07/2024 Se realiza una revisión de elementos mobiliarios y tecnológicos, donde se recogen los de mal estado, así mismo se distribuye para brindar un buen servicio. Evidencia: actas de inventario.</t>
  </si>
  <si>
    <r>
      <rPr>
        <b/>
        <sz val="11"/>
        <color theme="1"/>
        <rFont val="Arial Narrow"/>
        <family val="2"/>
      </rPr>
      <t>A2;A4;D9:</t>
    </r>
    <r>
      <rPr>
        <sz val="11"/>
        <color theme="1"/>
        <rFont val="Arial Narrow"/>
        <family val="2"/>
      </rPr>
      <t xml:space="preserve"> Articulación con otros procesos para vigilancia del buen uso de las herramientas tecnológicas y supervisión o seguimientos a los servicios prestados por proveedores.
</t>
    </r>
    <r>
      <rPr>
        <b/>
        <sz val="11"/>
        <color theme="1"/>
        <rFont val="Arial Narrow"/>
        <family val="2"/>
      </rPr>
      <t>A3;D8:</t>
    </r>
    <r>
      <rPr>
        <sz val="11"/>
        <color theme="1"/>
        <rFont val="Arial Narrow"/>
        <family val="2"/>
      </rPr>
      <t xml:space="preserve"> Aplicar el procedimiento para efectuar mantenimiento a la infraestructura física, bienes muebles y recurso tecnológico.</t>
    </r>
  </si>
  <si>
    <t>Solicitud de apoyo de mejoras locativas mediante memorando032930 de fecha 30/07/2024 dirigido a la oficina de Recursos Físicos</t>
  </si>
  <si>
    <r>
      <rPr>
        <b/>
        <sz val="11"/>
        <color theme="1"/>
        <rFont val="Arial Narrow"/>
        <family val="2"/>
      </rPr>
      <t>F1;F4;O1;O5:</t>
    </r>
    <r>
      <rPr>
        <sz val="11"/>
        <color theme="1"/>
        <rFont val="Arial Narrow"/>
        <family val="2"/>
      </rPr>
      <t xml:space="preserve"> Convenios con el SENA y universidades para impulsar la transformación digital, la ciencia, la innovación e Investigación
</t>
    </r>
    <r>
      <rPr>
        <b/>
        <sz val="11"/>
        <color theme="1"/>
        <rFont val="Arial Narrow"/>
        <family val="2"/>
      </rPr>
      <t xml:space="preserve">D9;O2;O6: </t>
    </r>
    <r>
      <rPr>
        <sz val="11"/>
        <color theme="1"/>
        <rFont val="Arial Narrow"/>
        <family val="2"/>
      </rPr>
      <t xml:space="preserve">Promover los CED mediante convenios con universidades para impulsar la transformación digital
</t>
    </r>
    <r>
      <rPr>
        <b/>
        <sz val="11"/>
        <color theme="1"/>
        <rFont val="Arial Narrow"/>
        <family val="2"/>
      </rPr>
      <t xml:space="preserve">A3;D3: </t>
    </r>
    <r>
      <rPr>
        <sz val="11"/>
        <color theme="1"/>
        <rFont val="Arial Narrow"/>
        <family val="2"/>
      </rPr>
      <t>Cursos virtuales; Cursos Presenciales con Medidas de Bioseguridad</t>
    </r>
  </si>
  <si>
    <t>Durante el bimestre se tiene en cuenta la activación de los siguientes Centros de Experiencia Digital en donde se ha impactado a 1821 personas. Se realiza tablero de control o seguimiento de personas impactadas.</t>
  </si>
  <si>
    <t>Insuficiente  Presupuesto para cumplir con el correcto funcionamiento del proceso de la entidad y metas del plan de desarrollo</t>
  </si>
  <si>
    <t>Deterioro físico de los centros de Experiencia digital</t>
  </si>
  <si>
    <t>Seguimiento julio - agosto</t>
  </si>
  <si>
    <r>
      <t>Durante el periodo de mayo y junio se realizaron visitas a las seis Dependencias con más PQRSD vencidos se deja constancias en las siguientes actas:</t>
    </r>
    <r>
      <rPr>
        <b/>
        <sz val="11"/>
        <color theme="1"/>
        <rFont val="Arial Narrow"/>
        <family val="2"/>
      </rPr>
      <t xml:space="preserve"> mes de julio</t>
    </r>
    <r>
      <rPr>
        <sz val="11"/>
        <color theme="1"/>
        <rFont val="Arial Narrow"/>
        <family val="2"/>
      </rPr>
      <t xml:space="preserve"> (acta 37 a la acta 42) y </t>
    </r>
    <r>
      <rPr>
        <b/>
        <sz val="11"/>
        <color theme="1"/>
        <rFont val="Arial Narrow"/>
        <family val="2"/>
      </rPr>
      <t>mes de agosto</t>
    </r>
    <r>
      <rPr>
        <sz val="11"/>
        <color theme="1"/>
        <rFont val="Arial Narrow"/>
        <family val="2"/>
      </rPr>
      <t xml:space="preserve"> (acta 43 a la acta 48)</t>
    </r>
  </si>
  <si>
    <t>Durante el periodo de mayo y junio se realizaron los siguientes informes consolidados de seguimiento a las ventanillas: (02 al 05 de julio, 08 al 12 de julio, 16 al 29 de julio, 22 al 26 de julio, 29 de julio al 02 de agosto, 05 al 09 de agosto, 12 al 16 de agosto, 20 al 23 de agosto y del 26 al 30 de agosto).</t>
  </si>
  <si>
    <t>Se realizaron los siguientes informes de oportunidad de respuesta de los traslados por competencia y se enviaron por correo institucional en los meses comprendidos entre mayo y junio: (Informe del mes de mayo  enviado el 05 de junio e informe del mes de junio enviado el 02 de julio).</t>
  </si>
  <si>
    <r>
      <t>Se realizaron los siguientes informes de oportunidad de respuesta de los traslados por competencia y se enviaron por correo institucional en los meses comprendidos entre julio y agosto: (Informe del mes de julio  enviado el 02 de agosto e informe del mes de agosto</t>
    </r>
    <r>
      <rPr>
        <sz val="11"/>
        <color rgb="FFFF0000"/>
        <rFont val="Arial Narrow"/>
        <family val="2"/>
      </rPr>
      <t xml:space="preserve"> </t>
    </r>
    <r>
      <rPr>
        <sz val="11"/>
        <rFont val="Arial Narrow"/>
        <family val="2"/>
      </rPr>
      <t>enviado el 02 de septiembre).</t>
    </r>
  </si>
  <si>
    <t>Se solicito mediante memorando #027678 del 02 de julio participación en el Comité de Coordinación de Control Interno. 
Se socializo a la Alcaldesa y Directivos el día 25 de julio informes de PQRSD, informe de Reclamos y acciones de seguimiento.</t>
  </si>
  <si>
    <r>
      <t xml:space="preserve">Durante el periodo de mayo y junio se realizaron las siguientes piezas gráficas: </t>
    </r>
    <r>
      <rPr>
        <b/>
        <sz val="11"/>
        <color theme="1"/>
        <rFont val="Arial Narrow"/>
        <family val="2"/>
      </rPr>
      <t>15.</t>
    </r>
    <r>
      <rPr>
        <sz val="11"/>
        <color theme="1"/>
        <rFont val="Arial Narrow"/>
        <family val="2"/>
      </rPr>
      <t xml:space="preserve">	Comunicación de día cívico para la Alcaldía de Ibagué - julio
</t>
    </r>
    <r>
      <rPr>
        <b/>
        <sz val="11"/>
        <color theme="1"/>
        <rFont val="Arial Narrow"/>
        <family val="2"/>
      </rPr>
      <t>16.</t>
    </r>
    <r>
      <rPr>
        <sz val="11"/>
        <color theme="1"/>
        <rFont val="Arial Narrow"/>
        <family val="2"/>
      </rPr>
      <t xml:space="preserve">	Socialización de los CAMS (Centros de Atención Municipal) - julio
</t>
    </r>
    <r>
      <rPr>
        <b/>
        <sz val="11"/>
        <color theme="1"/>
        <rFont val="Arial Narrow"/>
        <family val="2"/>
      </rPr>
      <t>17.</t>
    </r>
    <r>
      <rPr>
        <sz val="11"/>
        <color theme="1"/>
        <rFont val="Arial Narrow"/>
        <family val="2"/>
      </rPr>
      <t xml:space="preserve">	Requisitos para radicar tus PQRSD en las ventanillas – julio
</t>
    </r>
    <r>
      <rPr>
        <b/>
        <sz val="11"/>
        <color theme="1"/>
        <rFont val="Arial Narrow"/>
        <family val="2"/>
      </rPr>
      <t>18.</t>
    </r>
    <r>
      <rPr>
        <sz val="11"/>
        <color theme="1"/>
        <rFont val="Arial Narrow"/>
        <family val="2"/>
      </rPr>
      <t xml:space="preserve"> Renovación red telefonica </t>
    </r>
  </si>
  <si>
    <t>GESTIONAR LA CONSERVACIÓN, RESTAURACIÓN Y APROVECHAMIENTO SOSTENIBLE DE LOS RECURSOS NATURALES ASÌ COMO EJECUTAR ACCIONES DE CONOCIMIENTO, REDUCCIÓN DEL RIESGO Y MANEJO DEL DESASTRE DE MANERA PERMANENTE, MEDIANTE LA IMPLEMENTACIÓN DE PLANES, PROGRAMAS Y PROYECTOS EN PROCURA DE ALCANZAR CALIDAD AMBIENTAL PARA EL DESARROLLO HUMANO INTEGRAL EN EL MUNICIPIO DE IBAGUÉ.</t>
  </si>
  <si>
    <t>INICIA CON LA PLANEACIÓN DEL PROCESO, CONTINUANDO CON LAS ACTIVIDADES DE SOCIALIZACIÓN, SENSIBILIZACIÓN E IMPLEMENTACIÓN DE LA POLÍTICA PÚBLICA AMBIENTAL, PLAN PARA LA GESTION DEL RIESGO, Y DEMÁS ESTRATEGIAS AMBIENTALES, VERIFICANDO EL CUMPLIMIENTO DE LA NORMATIVA AMBIENTAL Y FINALIZA CON EL SEGUIMIENTO Y EVALUACIÓN DEL PROCESO</t>
  </si>
  <si>
    <t xml:space="preserve">La Directora de Planeación Multipropósito de manera anual revisa las necesidades de personal de la Dirección con el fin de solicitar el personal de contrato requerido para desarrollar las actividades propias del proceso y poder ser incluidos en el Plan Anual de Adquisionces, dejando como evidencia la solicitud del personal y el Plan Anual de Adquisiciones </t>
  </si>
  <si>
    <t xml:space="preserve">Se realiza solicitud a la Dirección de OTS para inlcluir el personal requerido para el proceso de gestión catastral, adjuntando a este el Plan Adquisiciones                             </t>
  </si>
  <si>
    <t xml:space="preserve">     SEGUIMIENTO JULIO Y AGOSTO DE 2024</t>
  </si>
  <si>
    <t>Se revisa el Plan de Acción, a corte del 30 de agosto y se encuntra de acuerdo a lo establecido en el Plan de Desarrollo "Ibagué para todos 2024-2027" y con los proyectos establecidos para la Dirección.</t>
  </si>
  <si>
    <t xml:space="preserve">Se realiza revisión de la carpeta de comites tecnicos de la Dirección, en el que se encuentran las sigueintes:  Acta N°005 DEL 29/07/2024, Acta N°006 DEL 02/08/2024 y Acta N°007 DEL 16/08/2024.  Donde se evidencia que se hablo sobre la política de Participación Ciudadana y el codigo de integridad y buen gobierno. </t>
  </si>
  <si>
    <t>OBSERVACIONES-
BIMESTRE 04 2024</t>
  </si>
  <si>
    <r>
      <rPr>
        <b/>
        <sz val="9"/>
        <color theme="1"/>
        <rFont val="Arial Narrow"/>
        <family val="2"/>
      </rPr>
      <t xml:space="preserve">PRESUPUESTO: </t>
    </r>
    <r>
      <rPr>
        <sz val="9"/>
        <color theme="1"/>
        <rFont val="Arial Narrow"/>
        <family val="2"/>
      </rPr>
      <t xml:space="preserve">
 Informe Seguimiento Ejecucion Presupuestal.  Circulares:   Circulares 000028 Julio 04 2024, 000031 Julio 19 2024, 000034 Agosto 01 2024
 Informe ejecución vigencia reserva presupuestal. Circulares: circulares 000029 Julio 04 2024, 000030 Julio 19 2024, 000032 Julio 19 2024, 000035 Agosto 01 2024.
Ejecución Gastos y reserva  mes Junio 2024 - correo del 2-julio/2024, Ejecución Gastos mes de julio 2024 - correo del 9-agosto/2024. 
Informe ejecutivo de la Ejecución Presupuestal de Gastos y Reserva: mes junio - correo del 4-jul/2024 y del mes de julio correo del 13-agosto/2024.</t>
    </r>
  </si>
  <si>
    <r>
      <t xml:space="preserve">TESORERIA: Se </t>
    </r>
    <r>
      <rPr>
        <sz val="9"/>
        <color theme="1"/>
        <rFont val="Arial Narrow"/>
        <family val="2"/>
      </rPr>
      <t xml:space="preserve">adjuntan dos informes de prestamo y devolución de los expedientes el primero de (predial e ica) y el segundo de (transito) con sus respectivas planillas. Lo anterior correspondiente a los meses de MAYO y JUNIO de 2024. . </t>
    </r>
  </si>
  <si>
    <r>
      <t xml:space="preserve">TESORERIA: </t>
    </r>
    <r>
      <rPr>
        <sz val="9"/>
        <color theme="1"/>
        <rFont val="Arial Narrow"/>
        <family val="2"/>
      </rPr>
      <t>Se adjuntan dos informes de prestamo y devolución de los expedientes el primero de (predial e ica) y el segundo de (transito) con sus respectivas planillas. Lo anterior correspondiente a los meses de julio y agosto de 2024</t>
    </r>
    <r>
      <rPr>
        <b/>
        <sz val="9"/>
        <color theme="1"/>
        <rFont val="Arial Narrow"/>
        <family val="2"/>
      </rPr>
      <t xml:space="preserve">. </t>
    </r>
  </si>
  <si>
    <r>
      <t xml:space="preserve">RENTAS: 
</t>
    </r>
    <r>
      <rPr>
        <sz val="9"/>
        <color theme="1"/>
        <rFont val="Arial Narrow"/>
        <family val="2"/>
      </rPr>
      <t xml:space="preserve">ACTA 07 del 29 julio de 2024, revisión y seguimiento a planes y programas año 2024. Socializacion de los documentos actualizados de la direccion de rentas.
ACTA 08 del 28 agosto de 2024, revisión y seguimiento a planes y programas año 2024. Socializacion de los documentos actualizados de la direccion de rentas.
</t>
    </r>
    <r>
      <rPr>
        <b/>
        <sz val="9"/>
        <color theme="1"/>
        <rFont val="Arial Narrow"/>
        <family val="2"/>
      </rPr>
      <t>PRESUPUESTO:
En el Acta N.00007 30/07/2024</t>
    </r>
    <r>
      <rPr>
        <sz val="9"/>
        <color theme="1"/>
        <rFont val="Arial Narrow"/>
        <family val="2"/>
      </rPr>
      <t xml:space="preserve"> Reunión operativa, en el </t>
    </r>
    <r>
      <rPr>
        <b/>
        <sz val="9"/>
        <color theme="1"/>
        <rFont val="Arial Narrow"/>
        <family val="2"/>
      </rPr>
      <t>punto 3</t>
    </r>
    <r>
      <rPr>
        <sz val="9"/>
        <color theme="1"/>
        <rFont val="Arial Narrow"/>
        <family val="2"/>
      </rPr>
      <t xml:space="preserve"> Disposiciones varias la profesional Luz Elina Patiño informan sobre actividades ejecutadas para la actualización del procedimiento "ordenes de pago" especialmente en la adaptación de los Sistemas de Información  de los módulos central de cuentas, contabilidad y tesoreria a la aplicación de los nuevos actos administrativos relacionados con las estampillas.   Evidencia Acta N.0007 30/07/2024 Punto N. 3 con planilla de asistencia.                                                                       
</t>
    </r>
    <r>
      <rPr>
        <b/>
        <sz val="9"/>
        <color theme="1"/>
        <rFont val="Arial Narrow"/>
        <family val="2"/>
      </rPr>
      <t xml:space="preserve">
En el Acta N.00008 30/08/2024</t>
    </r>
    <r>
      <rPr>
        <sz val="9"/>
        <color theme="1"/>
        <rFont val="Arial Narrow"/>
        <family val="2"/>
      </rPr>
      <t xml:space="preserve"> Reunión operativa, en el </t>
    </r>
    <r>
      <rPr>
        <b/>
        <sz val="9"/>
        <color theme="1"/>
        <rFont val="Arial Narrow"/>
        <family val="2"/>
      </rPr>
      <t>punto 3</t>
    </r>
    <r>
      <rPr>
        <sz val="9"/>
        <color theme="1"/>
        <rFont val="Arial Narrow"/>
        <family val="2"/>
      </rPr>
      <t xml:space="preserve"> Disposiciones varias el Ing.Hanner Machado, contratista de la Dirección de Presupuesto y comenta que como resultado de la ultima auditoria interna realizada a la Secretaria de Hacienda el 16 de agosto del año en curso, se hace necesario revisar los procedimientos, manuales, guías, formatos de la Dirección de Presupuesto donde algunos de ellos requieren actualizaciones de fondo y otros simplemente de forma en observancia al nuevo Manual de Identidad Visual.  Se concluye que dentro de esta Dirección esta en proceso de actualizació el procedimiento de "Ordenes de Pago" y se iniciará la revisión del Manual de Presupuesto. </t>
    </r>
    <r>
      <rPr>
        <b/>
        <sz val="9"/>
        <color theme="1"/>
        <rFont val="Arial Narrow"/>
        <family val="2"/>
      </rPr>
      <t xml:space="preserve"> Evidencia Acta 008 30/08/2024 punto N.4</t>
    </r>
    <r>
      <rPr>
        <sz val="9"/>
        <color theme="1"/>
        <rFont val="Arial Narrow"/>
        <family val="2"/>
      </rPr>
      <t xml:space="preserve"> acompañada de planilla de asistencia.
</t>
    </r>
  </si>
  <si>
    <r>
      <rPr>
        <b/>
        <sz val="9"/>
        <color theme="1"/>
        <rFont val="Arial Narrow"/>
        <family val="2"/>
      </rPr>
      <t>TESORERIA:</t>
    </r>
    <r>
      <rPr>
        <sz val="9"/>
        <color theme="1"/>
        <rFont val="Arial Narrow"/>
        <family val="2"/>
      </rPr>
      <t xml:space="preserve"> Acción cumplida. </t>
    </r>
  </si>
  <si>
    <r>
      <rPr>
        <b/>
        <sz val="9"/>
        <color theme="1"/>
        <rFont val="Arial Narrow"/>
        <family val="2"/>
      </rPr>
      <t xml:space="preserve">RENTAS: </t>
    </r>
    <r>
      <rPr>
        <sz val="9"/>
        <color theme="1"/>
        <rFont val="Arial Narrow"/>
        <family val="2"/>
      </rPr>
      <t xml:space="preserve">
ACTA 07 del 28 julio de 2024, revisión y seguimiento a planes y programas año 2024. Socializacion de los documentos actualizados de la direccion de rentas.
ACTA 08 del 28 agosto de 2024, revisión y seguimiento a planes y programas año 2024. Socializacion de los documentos actualizados de la direccion de rentas.
Memorando 1340-022866 del 31 de mayo de 2024, solicitud de entrega formal avance meta plan de acción de gestión sobre los TITULOS EJECUTIVOS a cobro coactivo.
Certificacion del 03 de julio de 2024, Se enviaron 30.914 LIQUIDACIÓN DE DETERMINACIÓN OFICIAL para su respectiva notificación del impuesto predial unificado.</t>
    </r>
  </si>
  <si>
    <r>
      <rPr>
        <b/>
        <sz val="12"/>
        <color theme="1"/>
        <rFont val="Arial Narrow"/>
        <family val="2"/>
      </rPr>
      <t>Mayo - Junio 2024</t>
    </r>
    <r>
      <rPr>
        <sz val="12"/>
        <color theme="1"/>
        <rFont val="Arial Narrow"/>
        <family val="2"/>
      </rPr>
      <t xml:space="preserve">
se elabora circular 28 del 22 de mayo del 2024 donde se socializa el cronograma de visitas de seguimiento a las unidades administritivas que presentaron planes de trabajo en la vigencia 2023 Durante este periodo se llevaron a cabo 46 visitas de seguimiento  a las siguientes unidades administrativas: 
</t>
    </r>
    <r>
      <rPr>
        <sz val="12"/>
        <color rgb="FFFF0000"/>
        <rFont val="Arial Narrow"/>
        <family val="2"/>
      </rPr>
      <t>Porcentaje de cumplimiento: 77%</t>
    </r>
    <r>
      <rPr>
        <sz val="12"/>
        <color theme="1"/>
        <rFont val="Arial Narrow"/>
        <family val="2"/>
      </rPr>
      <t xml:space="preserve">
 Despacho Alcalde Oficina de Control Interno Oficina de Control Unico Disciplinario Oficina Jurídica Oficina Contratación Oficina Comunicaciones Grupo Logística y Protocolo Gerencia de Proyectos Despacho Secretaria educativa Grupo Inspección y Vigilancia Dirección Calidad Educativa Grupo Evaluación Dirección Administrativa y Financiera Grupo Talento Humano y SST Despacho planeación Dirección Ordenamiento Territorial Sostenible - OTS Dirección Información y Aplicación de la norma Urbanística - DIANU Dirección planeación del desarollo Dirección Administración del SISBEN Dirección Fortalecimiento Institucional Despacho hacienda Dirección de Presupuesto Dirección Contabilidad Direccion Tecnica Direccion Operativa Despacho administrativa Dirección De Recursos Fìsicos Despacho Cultura Dirección de fomento de las practicas administrativas Despacho gobierno Dirección de justicia Centro de estudios y análisis de convivencia Dirección de participación ciudadana comunitaria Dirección de Infancia, Adolescencia y Juventud Grupo Etnias Despacho secretaria general Dirección de Atención al Ciudadano Despacho TIC Grupo Ciencia Tecnologia e innovaciòn Grupo Infraestructura Tecnologica  
2. Se elabora circualr 005 del 26 de junio de 2024 en donde se solicita planes de trabajo con vigencias 2024 y reportar los inventarior totales de la documentación existente 
3. De acuerdo a circular 35 del 22 de abril del 2024 donde se socializa el cronograma de capaciones en gestión documental 
Durante este periodo se realizan 7 capacitaciones donde se socializa las siguiente tematicas: protocolo para embalaje y traslado de archivos , fundamentos basicos de Gestión Documental e Implementación de TRD: 
Las unidades administrativas capacitadas fueron: GRUPO ALMACEN; GRUPO DE BIENES FISCALES Y DE USO PUBLICO; OFICINA JURIDICA; SECRETARÍA DE SALUD; DIRECCION DE JUSTICIA;  SECRETARÍA DE AMBIENTE Y GESTIÓN 
DEL RIESGO; SECRETARIA DE INFRAESTRUCTURA
</t>
    </r>
    <r>
      <rPr>
        <b/>
        <sz val="12"/>
        <color theme="1"/>
        <rFont val="Arial Narrow"/>
        <family val="2"/>
      </rPr>
      <t xml:space="preserve">JULIO- AGOSTO 2024
</t>
    </r>
    <r>
      <rPr>
        <sz val="12"/>
        <color theme="1"/>
        <rFont val="Arial Narrow"/>
        <family val="2"/>
      </rPr>
      <t xml:space="preserve">Para este periodo se realizarón las visitas de seguimiento que estan pednientes para cumplir el 100% del cronograma estabecido en la circular 28 del 22 de mayo de 2024.
Las unidades administrativas que se visitaron fueron las siguientes ( 13 en total):
Dirección Tesorería
Grupo Cobro Coactivo
Dirección Rentas
Secretaria de desarrollo social- despacho 
Grupo Juventudes
Grupo Etnias
Grupo discapacidad
Grupo Habitante de la Calle
Grupo de Adulto mayor
Grupo Atención y Orientación a las Víctimas del Conflicto Armado
Dirección Mujer, Género y Diversidad Sexual
Grupo LGBTI
Grupo Relaciones Estratégicas
Porcentaje de cumplimiento: 100%
Adicionalmente, para las unidades administrativas que no habian entregado plan de trabajo en la vigencia 2023, se realizo visita de acompañamiento para la contrucción del plan de trabajo 2024, con el fin de brindar apoyo en el cumplimiento de las circulares 005 del 26 de junio y 003 del 27 de junio.
Secretaria de las TIC
grupo SST 
Gerencia de Proyectos Estratégicos
Grupo de Inspección y Vigilancia (Sec. de Educación - Grupo de Cobertura)
Dirección de recursos Fisicos
Grupo de gestión documental
Dirección de Gestión del Riesgo y Atención de Desastres
Despacho secretaria Dirección de Ambiente, Agua y Cambio Climatico
Dirección de Trámites y Servicios
Dirección Asuntos Jurídicos
Dirección Operativa
Secretaria de Salud
EFAC
Dirección de Participación Ciudadana y Grupo de Asuntos Religiosos
Despacho Secretaría de Gobierno
Dirección de Justicia y SEACSPAZ
Dirección de Espacio Público
 Grupo de Acceso Sec. de Educación
direccion cuerpo oficial de bomberos
Secretaría de Cultura
Bienes fiscales 
Dirección de Recursos Físicos ,
Grupo de almacen
Secretaría Administrativa - Despacho
Dirección de Talento Humano
Secretaría de Movilidad-Despacho
Se realizó 26 visitas, las cuales abarcaron las 46 unidades administrativas faltantes para completar visitas al 100% de las unidades administritivas.
</t>
    </r>
  </si>
  <si>
    <r>
      <rPr>
        <b/>
        <sz val="11"/>
        <color theme="1"/>
        <rFont val="Arial Narrow"/>
        <family val="2"/>
      </rPr>
      <t xml:space="preserve">Mayo - Junio 2024
</t>
    </r>
    <r>
      <rPr>
        <sz val="11"/>
        <color theme="1"/>
        <rFont val="Arial Narrow"/>
        <family val="2"/>
      </rPr>
      <t xml:space="preserve">
1. Se presenta informe semestral de ejecución del SIC  
 2. No se realizan actividades relacionadas en este periodo
 3. No se realizan actividades relacionadas en este periodo
</t>
    </r>
    <r>
      <rPr>
        <b/>
        <sz val="11"/>
        <color theme="1"/>
        <rFont val="Arial Narrow"/>
        <family val="2"/>
      </rPr>
      <t xml:space="preserve">JULIO- AGOSTO 2024
1. </t>
    </r>
    <r>
      <rPr>
        <sz val="11"/>
        <color theme="1"/>
        <rFont val="Arial Narrow"/>
        <family val="2"/>
      </rPr>
      <t>Las actividades realizadas en este periodo se reportara en el informe del semestre N°2</t>
    </r>
    <r>
      <rPr>
        <b/>
        <sz val="11"/>
        <color theme="1"/>
        <rFont val="Arial Narrow"/>
        <family val="2"/>
      </rPr>
      <t xml:space="preserve">
 2. </t>
    </r>
    <r>
      <rPr>
        <sz val="11"/>
        <color theme="1"/>
        <rFont val="Arial Narrow"/>
        <family val="2"/>
      </rPr>
      <t>No se realizan actividades relacionadas en este periodo</t>
    </r>
    <r>
      <rPr>
        <b/>
        <sz val="11"/>
        <color theme="1"/>
        <rFont val="Arial Narrow"/>
        <family val="2"/>
      </rPr>
      <t xml:space="preserve">
 3. </t>
    </r>
    <r>
      <rPr>
        <sz val="11"/>
        <color theme="1"/>
        <rFont val="Arial Narrow"/>
        <family val="2"/>
      </rPr>
      <t>No se realizan actividades relacionadas en este periodo</t>
    </r>
    <r>
      <rPr>
        <b/>
        <sz val="11"/>
        <color theme="1"/>
        <rFont val="Arial Narrow"/>
        <family val="2"/>
      </rPr>
      <t xml:space="preserve">
</t>
    </r>
  </si>
  <si>
    <r>
      <rPr>
        <b/>
        <sz val="11"/>
        <color theme="1"/>
        <rFont val="Arial Narrow"/>
        <family val="2"/>
      </rPr>
      <t xml:space="preserve">Mayo - Junio 2024
</t>
    </r>
    <r>
      <rPr>
        <sz val="11"/>
        <color theme="1"/>
        <rFont val="Arial Narrow"/>
        <family val="2"/>
      </rPr>
      <t xml:space="preserve"> 3. No se realizan actividades relacionadas en este periodo
</t>
    </r>
    <r>
      <rPr>
        <b/>
        <sz val="11"/>
        <color theme="1"/>
        <rFont val="Arial Narrow"/>
        <family val="2"/>
      </rPr>
      <t xml:space="preserve">JULIO- AGOSTO 2024
</t>
    </r>
    <r>
      <rPr>
        <sz val="11"/>
        <color theme="1"/>
        <rFont val="Arial Narrow"/>
        <family val="2"/>
      </rPr>
      <t xml:space="preserve">
1. No se realizan actividades relacionadas en este periodo</t>
    </r>
  </si>
  <si>
    <r>
      <rPr>
        <b/>
        <sz val="11"/>
        <color theme="1"/>
        <rFont val="Arial Narrow"/>
        <family val="2"/>
      </rPr>
      <t xml:space="preserve">Mayo - Junio 2024
</t>
    </r>
    <r>
      <rPr>
        <sz val="11"/>
        <color theme="1"/>
        <rFont val="Arial Narrow"/>
        <family val="2"/>
      </rPr>
      <t xml:space="preserve">Se elabora circualr 005 del 26 de junio de 2024 en donde se solicita planes de trabajo con vigencias 2024 y reportar los inventarior totales de la documentación existente 
3. De acuerdo a circular 35 del 22 de abril del 2024 donde se socializa el cronograma de capaciones en gestión documental 
Durante este periodo se realizan 7 capacitaciones donde se socializa las siguiente tematicas: protocolo para embalaje y traslado de archivos , fundamentos basicos de Gestión Documental e Implementación de TRD: 
</t>
    </r>
    <r>
      <rPr>
        <sz val="11"/>
        <color rgb="FFFF0000"/>
        <rFont val="Arial Narrow"/>
        <family val="2"/>
      </rPr>
      <t>Porcentaje de cumplimiento: 100%</t>
    </r>
    <r>
      <rPr>
        <sz val="11"/>
        <color theme="1"/>
        <rFont val="Arial Narrow"/>
        <family val="2"/>
      </rPr>
      <t xml:space="preserve">
Las unidades administrativas capacitadas fueron: GRUPO ALMACEN; GRUPO DE BIENES FISCALES Y DE USO PUBLICO; OFICINA JURIDICA; SECRETARÍA DE SALUD; DIRECCION DE JUSTICIA;  SECRETARÍA DE AMBIENTE Y GESTIÓN 
DEL RIESGO; SECRETARIA DE INFRAESTRUCTURA
</t>
    </r>
    <r>
      <rPr>
        <b/>
        <sz val="11"/>
        <color theme="1"/>
        <rFont val="Arial Narrow"/>
        <family val="2"/>
      </rPr>
      <t xml:space="preserve">Julio - Agosto 2024
</t>
    </r>
    <r>
      <rPr>
        <sz val="11"/>
        <color theme="1"/>
        <rFont val="Arial Narrow"/>
        <family val="2"/>
      </rPr>
      <t xml:space="preserve">Se elabora memorando 33711 del 5 de agosto de 2024 en donde se solicializa cronograma de capacitaciones a las 104 unidades administrativas en temas de criterios de organización de archivos de gestión; Aplicación TRD; Diligenciamientos de hojas de control e inventarios documentales:
</t>
    </r>
    <r>
      <rPr>
        <b/>
        <sz val="11"/>
        <color rgb="FFFF0000"/>
        <rFont val="Arial Narrow"/>
        <family val="2"/>
      </rPr>
      <t xml:space="preserve">Porcentaje de cumplimiento: 86,6%
</t>
    </r>
    <r>
      <rPr>
        <sz val="11"/>
        <color theme="1"/>
        <rFont val="Arial Narrow"/>
        <family val="2"/>
      </rPr>
      <t>Se progamaron 15 capacitaciones que cubren el 100% de Las unidades administrativas. Las unidades administrativas capacitadas fueron:
Dirección de Cobertura,
 Grupo Acceso,
 Grupo cobertura 
Oficina de control interno, 
Oficina de control unico disciplinario, 
Gerencia de proyectos estrategicos
SECRETARIA DESARROLLO ECONOMICO
Despacho, Grupo inspección y vigilancia
Dirección calidad educativa, grupo mejoramiento, grupo Evaluación
Despacho del alcalde/ Oficina Jurídica/Oficina de comunicaciones/ Secretaría general
Secretaría de Hacienda
SECRETARÍA ADMINISTRATIVA – SECRETARÍA DE GOBIERNO
Secretaría TIC, Oficina de contratación
Dirección de justicia
Dirección de espacio público
secretaria de planeación
Dirección Administrativa y financiera, Dirección de calidad</t>
    </r>
  </si>
  <si>
    <t>OBJETIVO: IMPLEMENTAR EL PROGRAMA DE GESTIÓN DOCUMENTAL APLICANDO EL MODELO DE GESTION DOCUMENTAL Y ADMINISTRACIÓN DE ARCHIVOS (MGDA), PARA GARANTIZAR EL ACCESO A LA INFORMACIÓN EN FORMA OPORTUNA Y PRESERVAR LA MEMORIA INSTITUCIONAL.</t>
  </si>
  <si>
    <t xml:space="preserve">GESTION CONTRACTUAL </t>
  </si>
  <si>
    <t>CONTRIBUIR ANUALMENTE EN LA GESTION DE ADQUISICION DE BIENES Y SERVICIOS REQUERIDOS EN LA OPERACIÓN DE LOS PROCESOS DE LA ENTIDAD CUMPLIENDO LA NORMATIVIDAD CONTRACTUAL VIGENTE</t>
  </si>
  <si>
    <t>INICIA CON LA IDENTIFICACION DE LA NECESIDAD DEL BIEN O SERVICIO A CONTRATAR Y FINALIZA CON LA LIQUIDACION DEL PROCESO</t>
  </si>
  <si>
    <t>Plan de Accion</t>
  </si>
  <si>
    <t>Fecha de Implementacion</t>
  </si>
  <si>
    <t>Sanción del ente de control</t>
  </si>
  <si>
    <t>Incumplmiento de la normatividad vigente Ley 594/2000</t>
  </si>
  <si>
    <t>No allegar de manera oportuna la documentacón de la etapa contractual de los contratos y/o convenios por parte de los supervisores ( informes de ejecución)</t>
  </si>
  <si>
    <t>Posibilidad de perdida economica y reputacional por afectación administrativa de los entes de control debido al Incumplimiento de la ley 594 de 2000</t>
  </si>
  <si>
    <t>Custodia de los expedientes contractuales</t>
  </si>
  <si>
    <t xml:space="preserve">     Entre 50 y 100 SMLMV </t>
  </si>
  <si>
    <t>Circular trimestral para los supervisores reiterando la  responsabilidad que rige la contratación estatal</t>
  </si>
  <si>
    <t>Aceptar</t>
  </si>
  <si>
    <t>se realizo la circular 33 fecha 2/9/2024,  circular 30 fecha 29/8/2024, circular 26 fecha 22/8/2024, circular 25 fecha 21/8/2024, circular 19 fecha 30/7/2024, circular 13 fecha 23/7/2024, para ordenadores del gasto, supervisores de los contratos y/o convenios, reiterando las responsabilidades que les asiste como supervisores</t>
  </si>
  <si>
    <t>secretarias ejecutoras y supervisores</t>
  </si>
  <si>
    <t>al 31 de diciembre de 2024</t>
  </si>
  <si>
    <t xml:space="preserve">mesual </t>
  </si>
  <si>
    <t>Revisión semestral  mediante el método de muestreo del universo de la contratación suscrita del primer semestre de cada vigencia, identificando el cumplimiento de la ley de archivo en los expedientes contractuales, una vez identificada la documentación faltante, se comunicará mediante memorando a los supervisores, para que alleguen la documentación y esta repose en el expediente contractual. Los supervisores que persistan en el incumplimiento de no allegar de manera oportuna la documentación de los expedientes, serán remitidos ante la oficina de Control Disciplinario</t>
  </si>
  <si>
    <t xml:space="preserve">se ha realizado reuniones internas con el grupo de archivo para la  implementacion y mejora de un plan choque sobre la importancia como se debe recibir la documentacion allegada de cada una de las secretarias igualmente la gestion documental que debe existir para la revision y conteo de como se encuentra el expediente contractual el cual reposa en la oficina de contratacion, desarrolando esta gestion se informara a cada uno de las secretarias reponsables y supervisores para que alleguen la documentacion faltante, todo esto se evidencia mediante acta 17 fecha 18/8/2024, acta 25 fecha 30/8/2024  </t>
  </si>
  <si>
    <t xml:space="preserve">oficina contratacion </t>
  </si>
  <si>
    <t>Desorganización de los archivos de gestión</t>
  </si>
  <si>
    <t>Desconocimiento de los lineamientos del Manual de Contratacón y Supervisión de la Alcaldia Municipal de Ibagué y  la normatividad legal vigente</t>
  </si>
  <si>
    <t xml:space="preserve">Dificultad en la unificación de criterios para la realización de los procesos contractuales </t>
  </si>
  <si>
    <t xml:space="preserve">Posibilidad  de perdida economica por demora en los procesos contractuales  para la  adquisición de los bienes y servicios, debido al  desconocimiento  de la
normatividad  en la elaboracion de la etapa precontractual  </t>
  </si>
  <si>
    <t xml:space="preserve">Adquisición de Bienes y Servicios </t>
  </si>
  <si>
    <t xml:space="preserve">     Entre 10 y 50 SMLMV </t>
  </si>
  <si>
    <t xml:space="preserve">Realizar una capacitación semestral con el equipo de trabajo de la oficina de contratación con el fin de  unificar criterios en los procesos contractuales ,fortalecer el trabajo en equipo, y los valores institucionales </t>
  </si>
  <si>
    <t xml:space="preserve">se realizaron capacitaciones  para los ordenadores del gasto, secretarias y supervisores de contratos en los referente al fortalecimiento y toma de conciencia del proceso gestion contractual haciendo enfasis especificamente de como elaborar la etapa precontractual de cada proceso, lo anterior se soporta con: circular 31 de fecha 2 de septiembre de 2024, para ordenadores del gasto, secretarias y dependencias adscritas a la administracio municipal , circular 16 fecha 24/7/2024, circular 27 fecha 27/8/2024, circular 31 fecha 2/9/2024, memorando 35926 fecha 14/8/2024. pero igualmente la oficina de contratacion se llevo a cabo los lineamientos de estas mismas capacitaciones para asi unificar criterios estas capacitaciones internas se soportan asi:memorando 34630 y 34625 mes de agosto, acta 21 fecha 20/8/2024, acta 20 y 22 del 28/8/2024, </t>
  </si>
  <si>
    <t xml:space="preserve">oficina contratacion  y secretarias administracion municipal, supervisores de contratos </t>
  </si>
  <si>
    <t>Falta de conocimiento en la elaboración de la etapa precontractual por parte de los estructurados de procesos en las secretarias ejecutoras</t>
  </si>
  <si>
    <t xml:space="preserve">Realizar circular trimestral para los ordenadores del gasto, supervisores e instructuradores, con los lineamientos para la estructuracion de los estudios previos  </t>
  </si>
  <si>
    <t>se envio circular a los supervisores de la importancia que genera las supervisiones y se brindo capacitacion en tema contractual para brindar estos lineamientos al interior de la administracion municipal se soporta asi: circular 33 fecha 2/9/2024,  circular 30 fecha 29/8/2024, circular 26 fecha 22/8/2024, circular 25 fecha 21/8/2024, circular 19 fecha 30/7/2024, circular 13 fecha 23/7/2024, circular 31 de fecha 2 de septiembre de 2024, para ordenadores del gasto, secretarias y dependencias adscritas a la administracio municipal , circular 16 fecha 24/7/2024, circular 27 fecha 27/8/2024, circular 31 fecha 2/9/2024, memorando 35926 fecha 14/8/2024</t>
  </si>
  <si>
    <t xml:space="preserve">oficina contratacion supervisores </t>
  </si>
  <si>
    <t xml:space="preserve">Realizar una capacitación semestral  con los lideres de los procesos, para el fortalecimiento y la toma de conciencia del proceso gestión contractual, especificamente de como elaborar la etapa precontractual de cada proceso </t>
  </si>
  <si>
    <t>Incumplimiento en el  envio de la información y documentación  en razón de tiempo y calidad</t>
  </si>
  <si>
    <t xml:space="preserve">Posibilidad de Incumplimiento en el envio oportuno ante los entes de control de los  contratos suscritos por urgencia manifiesta, u otro tipo de contratacion derivado de otros riesgos naturales que puedan surgir    </t>
  </si>
  <si>
    <t xml:space="preserve">     Afectación menor a 10 SMLMV .</t>
  </si>
  <si>
    <t xml:space="preserve"> Remitir por correo electrónico semanalmente al ente de control,los contratos que se suscriban por urgencia manifiesta, u otros desastres naturales que puedan surgir en su eventualidad </t>
  </si>
  <si>
    <t>se lleva un plan de mejora con el archivo de la oficina de contratcion para poder ofrecer un mejor expdiente contractual como tambien digitalizar cada uno de los mismos para poder entregar un informaicon oportuna y eficaz, se solicitara equipos electronicos los cuales daran una mayor efedctividad a la hora de consultar los diferentes expedientes adsjudicados en la administracion municipal acta 17 fecha 18/8/2024, acta 25 fecha 30/8/2024</t>
  </si>
  <si>
    <t>oficina contratacion</t>
  </si>
  <si>
    <t xml:space="preserve">SEGUIMIENTO JULIO - AGOSTO </t>
  </si>
  <si>
    <r>
      <t xml:space="preserve">Frente a la presente Actividad, y De acuerdo a lo previsto durante el monitoreo y revisión del Mapa de riesgos de gestion  de la Oficina Jurídica, se realizo la  siguiente AUTOEVALUCION: para esta actividad de control, y durante los meses de </t>
    </r>
    <r>
      <rPr>
        <b/>
        <sz val="8"/>
        <color theme="1"/>
        <rFont val="Arial"/>
        <family val="2"/>
      </rPr>
      <t>JULIO - AGOSTO</t>
    </r>
    <r>
      <rPr>
        <sz val="8"/>
        <color theme="1"/>
        <rFont val="Arial"/>
        <family val="2"/>
      </rPr>
      <t xml:space="preserve"> la Oficina Juridica emitio los iguiente:
</t>
    </r>
    <r>
      <rPr>
        <b/>
        <sz val="8"/>
        <color theme="1"/>
        <rFont val="Arial"/>
        <family val="2"/>
      </rPr>
      <t>DURANTE EL MES DE JULIO</t>
    </r>
    <r>
      <rPr>
        <sz val="8"/>
        <color theme="1"/>
        <rFont val="Arial"/>
        <family val="2"/>
      </rPr>
      <t xml:space="preserve">
- MEMORANDO No. 2024-032714 del  30/07/2024 SOLICITUD INFORME DE MANERA URGENTE LOS TRAMITES ADMINISTRATIVOS FINANCIEROS EN CUMPLIMIENTO A ORDEN JUDICIAL DENTRO DE LA ACCION POPULAR PROMOVIDA POR LA PERSONERIA MUNICIPAL DE IBAGUE RAD 00105-2019.
- MEMORANDO No. 2024-032213 del 26/07/2024 CUMPLIMIENTO DE ORDEN JUDICIAL DENTRO DE LA ACCION POPULAR PROMOVIDA POR LA PROCURADURIA AMBIENTAL Y AGRARIA PARA EL TOLIMA RAD 00314-2017.
- MEMORANDO No. 2024-030302 del 17/07/2024 SOLICITUD URGENTE INFORME DETALLADO EN CUMPLIMIENTO A OREN JUDICIAL INCIDENTE DE DESACATO FALLO TUTELA DE CARLOS OROZCO RAD 00123-2024. 
</t>
    </r>
    <r>
      <rPr>
        <b/>
        <sz val="8"/>
        <color theme="1"/>
        <rFont val="Arial"/>
        <family val="2"/>
      </rPr>
      <t xml:space="preserve">
DURANTE EL MES DE AGOSTO
</t>
    </r>
    <r>
      <rPr>
        <sz val="8"/>
        <color theme="1"/>
        <rFont val="Arial"/>
        <family val="2"/>
      </rPr>
      <t xml:space="preserve">
- MEMORANDO No. 2024-038331   del 28/08/2024SOLICITUD DE MANERA INMEDIATA INFORME DETALLADADO DE ACTUACIONES JUDICIALES EN CUMPLIMIENTO DEL FALLO DENTRO DEL INCIDENTE DE DESACATO DE DELLANIRA ALCANTAR RIQUE RAD 00181-2024.
- MEMORANDO No. 2024-036394 del 16/08/2024 SE REMITE RESOLUCION 000342 DE 2024 POR LA CUAL SE ADOPTA UNA DECISION JUDICIAL DENTRO DE LA ACCION DE TUTELA PROMOVIDA POR ANA HERMINDA MEDINA CASTELLANOS RAD 00133-2024 PARA SU CUMPLIMIENTO. 
- MEMORANDO No.2024-034935 DEL 12/08/2024 SOLICITUD INFORME DE GESTIONES ADELANTADAS EN CUMPLIMIENTO A ORDEN JUDICIAL DENTRO DE LA ACCION POPULAR DE MARGARITA ROSA RIVILLAS CORREAL RAD 73001-23-33-004-2017-00572-00.</t>
    </r>
  </si>
  <si>
    <t>De acuerdo a lo previsto durante el monitoreo y revisión del Mapa de riesgos de gestion  de la Oficina Jurídica, durante el mes de julio - agosto, se evidenia que la oficina juridica no convoco a Comité Juridico durante este periodo.</t>
  </si>
  <si>
    <t>para el respectivo control durante el mes de julio mediante el MEMORANDO No.2024-032845 del 30/07/2024 el jefe de oficina juridica solicito a los asesores de la oficina jurídica realizar la valoración de probabilidad de perdida de los procesos que tienen cada uno a su cargo.
- Durante el mes de agosto mediante MEMORANDO No. 2024-038342 de l 28 de agosto de 2024, el jefe de oficina juridica,  solicito a los asesores de la oficina jurídica realizar la valoración de probabilidad de perdida de los procesos que tienen cada uno a su cargo.</t>
  </si>
  <si>
    <t xml:space="preserve">De acuerdo a lo previsto durante el monitoreo y revisión del Mapa de riesgos de gestion  de la Oficina Jurídica, durante el mes de julio, se evidencia que el señor YEISON ALFONSO MORENO BERNAL. Presento SOLICITUD DE CUMPLIMIENTO Y PAGO DE SENTENCIA, dentro del proceso de Reparacion Directa - Radicado  No. 73001333300920150021700. - PISAMI No. 2024-063727 del 30/07/2024
- Durante el mes de agosto mediantte el radicado Pisami 2024-072805 del 28/08/2024, el señor YEISON ALFONSO MORENO BERNAL.reitera solicitud de pago. 
</t>
  </si>
  <si>
    <t>El jefe de oficina juridica mediante  el secretario del comite de conciliacion validara  que una vez, se hayan realizado   pagos por concepto de sentencias judiciales y/o conciliaciones judiciales o extrajudiciales y que sean consecuencia de conductas dolososas o culposas,  mediante memorando, requerira a los abogados que deberan inciar el estudio pertinente para determinar la procedencia de accion de repeticion, cada vez que  la admisnistracion realice un pago total por concepto de condena y/o acuerdo conciliatorio.</t>
  </si>
  <si>
    <t>Al no tener establecios controles, se actualizara el procedimiento de REPRESETACION EXTRAJUDICIAL, JUDICIAL Y ADMINISTRATIVA Y SEGUIMIENTO A FALLOS JUDICIALES, para fortralecer, documentar e implementar el siguiente control: El jefe de oficina juridica mediante  el secretario del comite de conciliacion validara  que una vez, se hayan realizado   pagos por concepto de sentencias judiciales y/o conciliaciones judiciales o extrajudiciales y que sean consecuencia de conductas dolososas o culposas,  mediante memorando, requerira a los abogados que deberan inciar el estudio pertinente para determinar la procedencia de accion de repeticion, cada vez que  la admisnistracion realice un pago total por concepto de condena y/o acuerdo conciliatorio.</t>
  </si>
  <si>
    <t xml:space="preserve">De acuerdo a lo previsto durante el monitoreo y revisión del Mapa de riesgos de gestion  de la Oficina Jurídica, se realizo la  siguiente AUTOEVALUCION: para esta actividad de control, durante los meses de JULIO - AGOSTO, se evidencia que los pagos realizados no se realizaron como consecuencia de alguna conducta dolosa o culposa, por lo tanto no es necesario iniciar el estudio de accion de repeticion. </t>
  </si>
  <si>
    <t>Seguimiento 30/08/2024</t>
  </si>
  <si>
    <t>Circular 22 del 29/04/2024 
Circular 24 del 29/04/2024
Circular 32 del 10/07/2024</t>
  </si>
  <si>
    <t>Asignación de recursos para la migración a la nube de predial, actualización versión Oracle , Actualización versión Laravel, Afinamiento Base de Datos, Experto Seguridad y Servicio de Migración.
cTO. 126422 Almacenamiento nube copias de seguridad
Cto 1319 Servicio de seguridad perimetral
Cto de Adquisición Anivirus 2027/2024</t>
  </si>
  <si>
    <t xml:space="preserve">D1O6. Incluir en el Plan institucional de capacitación temáticas que fortalezcan las competencias de desarrollo de software del personal de planta </t>
  </si>
  <si>
    <t>D2 O10 Formulación del PETI articulado con el plan de Desarrollo y del proyecto de inversión para que se le asignen recursos presupuestales que garnticen su ejecución</t>
  </si>
  <si>
    <t>D6A7 Actualización de la infraestructura tecnológica(servidores, licencias de motor de base de datos y antivirus, lenguaje de programación)</t>
  </si>
  <si>
    <t>El Director (a) de Recursos Fisicos junto con su equipo de trabajo - Abogados,se reune con el fin de revisar y hacer seguimiento y control al Plan de Accion presentado a (02 enero a 30 de  agosto del 2024); actividades vs su ejecucion para tomar acciones en caso de desviacion.</t>
  </si>
  <si>
    <t>1.La Secretaria Administrativa y la Dirección de Recursos Físicos en el mes de Diciembre del 2023, dio respuesta a la Circular 033 (05/12/2023) Instrumentos de Planeación para la Vigencia 2023, donde se envió memorando 059441  del 18 de diciembre de 2023, allegando el Plan de Acción para la Vigencia 2024 .                                      
   2. Por ocasion del Memorando N° 1010-2024-03639 del 01 de febrero del 2024 de la Oficina de Control Interno, con lo cual, el dia 08 del mismo mes, realizo la visita a esta Direccion y evaluaron la gestion del Plan de Accion vigencia 2023 con una Puntuacion de un 100% de cumplimiento de la ejecucion (memorando N° 15/04/2024 Control Interno informe) .                                                                                                                                                                3. Dando cumplimiento, por medio del Acta 004 del 29 de febrero de 2024, la Directora de Recursos Fisicos se reunio con los Abogados contratistas que llevan a cabo los procesos de la Contratación de Bienes y Servicios de la D.R.F.Con el fin de hacer seguimiento y control a la contratación que se tiene programada y que se ha ejecutado a la fecha segun lo programado y ejecutado en el Plan de Accion del 2024.Informe presentado a 29 de febrero de 2024.                                                                                                                                                                                                          4.  Dando cumplimiento, la Directora de Recursos Fisicos, hace seguimiento y control de los bienes serviicios , segun la programacion que se realizo en el plan de accion vigencia 2024, segun Acta N° 00007 del 13 de marzo de 2024, de acuerdo a lo programado y ejecutado en el plan de accion 2024.                                                                                                                                                                                                                5. Dando cumplimiento al seguimiento y control, la Directora de Recursos Fisicos, realiza convocatoria y se reunion con los abogados contratistas para revisar los avances a los procesos contractuales, segun Acta N° 0009 del 22 de marzo de 2024, segun lo programada y ejecutado en el plan de accion 2024.                                                                                                                                                                                                                   6. Dando cumplimiento    al seguimiento y control, la Directora de Recursos Fisicos, realiza convocatoria y se reunion con los abogados contratistas para revisar los avances a los procesos contractuales, segun Acta N° 0013  del 23 de Abril de 2024, segun lo programada y ejecutado en el plan de accion 2024.                                                                                                                                                                                                               7.   Dando cumplimiento al seguimiento la Directora de Recursos Fisicos, hace control a la contratacion que se tiene planeada y programada segun lo programada en el Plan de Accion vigencia 2024 de bienes fiscales y de uso publico y titulacion, por medio del Acta N° 0028 del 25/06/2024.                                                                                                                                                                                             8.Dando cumplimiento a esta actividad, la Directora de Recursos Fisicos realiza seguimiento y control a la contratacion de bienes y servicios de acuerdo a lo presupuestado y ejecutado hasta la fecha, por medio del Acta N° 0029 del 25/06/2024 Evidencia el Plan de accion hasta esa fecha.                                                                  9.Dando cumplimiento a esta actividad la Directora de Recursos Fisicos realiza comite de segumiento de las actividades programadas y al estado de los procesos precontratuales y contratuales a corte de 28 de agosto de 2024, dejando evidencia del acta de reunion N° 0032 del 29/08/2024.</t>
  </si>
  <si>
    <t xml:space="preserve">1. Cumpliendo con la Actividad de Control, la Directora de Recursos Fisicos cita a comite de Seguimiento el dia 22 de marzo de 2024, con la finalidad de socializar el manual y el procedimiento de Bienes Fiscales y Titulacion y tener un compromiso de confidencialidad y responsabilidad del manejo y control de la infirmacion de las BDD de esta area Acta 0008 del 22/03/2024.                                                                                                                                                                       2. Dando cumplimiento al  control, la Directora de Recursos Fisicos, realiza mesa de trabajo realizando seguimiento a la actualizacion digital de los expedientes, informacion  que reposa en el Drive de las BDD, del correo inst. de Predios. Acta N° 0011 del 16/04/2024.                                                                                                                                          3. Por medio de correo electronico institucional el dia 30 de abril de 2024, el grupo de Bienes Fiscales remiten a la Directora de Recursos Fisicos reporte del muestreo aleatorio de la revision de los expedientes que reposan en el archivo gestion, donde realizan la verificacion y corraborar la infiornacion de la BDD  de  grupo de Bienes Fiscales y Uso Publico conforme a  los expedientes fisicos.                                                                                                                           4. Dando cumplimiento a esta actividad en los meses de mayo y junio de 2024, el profesional unoversitario hace un muestreo aleatorio a los expedientes fisicos del archivo gestion de bienes fiscales y de uso publico, confrontando esta inormacion fisica con la informacion de drive de la BDD de predios, para identificar fallas. Evidencias infomacion reportada por bienes fiscales al correo intitucional de Recursos Fisicos.                                                                                  5.la Directora de Recursos Fisicos le hace seguimiento a la actualizacion correcta de la BDD  de bienes fiscales, realizando un plan de choque para subsanar los incovenientes de control de interno, dando alcance al Acta N° 0011 del 16/04/2024. Evidencia de seguimiento Acta N° 0027 de 21/06/2024.                                                                                                                                                                                                                      6.   Dando cumplimiento a la socializacion del manual de bienes fiscales y de uso publico y pactar confidencialidad y responsabilidad de la manejo e informacion de las BBD, se realizo una capacitacion a los contratistas que ingresaron en  el segundo trimestre al grupo de predios. Evidencia Acta N° 0026 del 20/06/2024.                                                              7 .Por medio de correo electronico  remiten a la Direccion de Recursos Fisicos el area de predios el muestreo aleatorios de los meses de julio y agosto de 2024, donde  el profesional universitario realiza el muestreo aleatorio a los expedientes fisicos del archivo gestion de bienes fiscales y se uso publico, corraborando con la informacion que reposa en la BDD de Drive. para identificar inconsistencias de la infornacion cargada y que coincidan y de corregir las fallas que se presenten.                                                                                                                                                             8. Dando cumplimiento al seguimiento, control del registro y a la confidencialidad de la informacion de las BDD y a los expedientes del grupo de bienes fiscales y titulaciones, efectuado por el grupo de gestion documental, bajo el acta de reunion N° 0031 de 02/08/2024.                                                                                                                                                                                                                                                                                             </t>
  </si>
  <si>
    <t>Deficiencia planeacion de las actividades del proceso</t>
  </si>
  <si>
    <t>Falta de Presupuesto para cumplir con el correcto funcionamiento de los procesos de la entidad y metas del plan de desarrollo</t>
  </si>
  <si>
    <t>A9,F3,4. El director (a) de recursos Fisicos  trimestrealmente revisa el presupuesto y las necesidades de la entidad para planearlas en el Plan de Accion de la Direccion, dejando como evidencia:
el Plan de Accion.</t>
  </si>
  <si>
    <t>F2 A11. Trimestralmente la Direccion de Recursos Fisicos  revisa el presupuesto aprobado por la vigencia haciendo  programacion de compras y contratacion el plan anual de adquisicion, dejando como evidencia el Plan de Accion.</t>
  </si>
  <si>
    <t>F9 A11  Socializar el  manual ADMINISTRACION DE BIENES FISCALES Y DE USO PUBLICO del municipio incluyendo los controles  al personal de apoyo que ingresen al grupo de bienes fiscales.</t>
  </si>
  <si>
    <t>F7 A11. Realizar proceso de toma física a las dependencias de la administración y generar las acciones de actualización de responsabilidades en inventario individual</t>
  </si>
  <si>
    <t>F5 A4 Realizar mesas de Trabajo con el personal del grupo de Bienes Fiscales para hacer seguimiento a la informacion reportada en la base de datos asociada al proceso de identificacion de los Predios (bienes fiscales y de uso publico del municipio)</t>
  </si>
  <si>
    <t>F9 A12  La Director (a) Recursos Fisicos designo a un unico profesional con un perfil de Ingenierio de Sistemas, la cual verifica las solicitudes de la actualizacion de la informacion de la BDD de Predios bienes fiscales y de uso publico solicitadas por la Direccion, con el fin de dar cumplimiento a la Politica de la Seguridad de la Informacion y evitar la manipulacion indebida por los funcionarios no autorizados.</t>
  </si>
  <si>
    <t xml:space="preserve">Seguimiento ENERO A AGOSTO
</t>
  </si>
  <si>
    <r>
      <rPr>
        <b/>
        <sz val="11"/>
        <color theme="1"/>
        <rFont val="Arial"/>
        <family val="2"/>
      </rPr>
      <t xml:space="preserve">ENERO – FEBRERO, </t>
    </r>
    <r>
      <rPr>
        <sz val="11"/>
        <color theme="1"/>
        <rFont val="Arial"/>
        <family val="2"/>
      </rPr>
      <t>No se realizado el control, ya que a la fecha no se ha realizado comité de coordinación de control interno.</t>
    </r>
    <r>
      <rPr>
        <b/>
        <sz val="11"/>
        <color theme="1"/>
        <rFont val="Arial"/>
        <family val="2"/>
      </rPr>
      <t xml:space="preserve">
MARZO – ABRIL, </t>
    </r>
    <r>
      <rPr>
        <sz val="11"/>
        <color theme="1"/>
        <rFont val="Arial"/>
        <family val="2"/>
      </rPr>
      <t>El día 22 de abril sobre las
2:00 pm, se realizó el PRIMER comité de coordinación de control interno donde se socializo el Informe comparativo sobre No. de hallazgos, en auditorías comunes, entre Vig. 2022-2023 junto a ello se les informo los hallazgos más reiterativos.</t>
    </r>
    <r>
      <rPr>
        <b/>
        <sz val="11"/>
        <color theme="1"/>
        <rFont val="Arial"/>
        <family val="2"/>
      </rPr>
      <t xml:space="preserve">
MAYO – JUNIO, </t>
    </r>
    <r>
      <rPr>
        <sz val="11"/>
        <color theme="1"/>
        <rFont val="Arial"/>
        <family val="2"/>
      </rPr>
      <t>El día 22 de abril sobre las 2:00 pm, se realizó el comité de coordinación de control interno donde se socializo el Informe comparativo sobre No. de hallazgos, en auditorías comunes, entre Vig. 2022-2023 junto a ello se les informo los hallazgos más reiterativos.</t>
    </r>
    <r>
      <rPr>
        <b/>
        <sz val="11"/>
        <color theme="1"/>
        <rFont val="Arial"/>
        <family val="2"/>
      </rPr>
      <t xml:space="preserve">
JULIO – AGOSTO, </t>
    </r>
    <r>
      <rPr>
        <sz val="11"/>
        <color theme="1"/>
        <rFont val="Arial"/>
        <family val="2"/>
      </rPr>
      <t>En el</t>
    </r>
    <r>
      <rPr>
        <b/>
        <sz val="11"/>
        <color theme="1"/>
        <rFont val="Arial"/>
        <family val="2"/>
      </rPr>
      <t xml:space="preserve"> SEGUNDO </t>
    </r>
    <r>
      <rPr>
        <sz val="11"/>
        <color theme="1"/>
        <rFont val="Arial"/>
        <family val="2"/>
      </rPr>
      <t>COMITÉ DE COORDINACIÓN DE CONTROL INTERNO</t>
    </r>
    <r>
      <rPr>
        <b/>
        <sz val="11"/>
        <color theme="1"/>
        <rFont val="Arial"/>
        <family val="2"/>
      </rPr>
      <t xml:space="preserve">, </t>
    </r>
    <r>
      <rPr>
        <sz val="11"/>
        <color theme="1"/>
        <rFont val="Arial"/>
        <family val="2"/>
      </rPr>
      <t>dentro de las temáticas a tratar se socializo el seguimiento de los planes de mejoramiento internos y externos, producto de esta socialización se generaron unos compromisos.
Ver acta N°2 del 25 de julio de 2024 y memorandos del cumplimiento del compromiso pactado.</t>
    </r>
  </si>
  <si>
    <r>
      <rPr>
        <b/>
        <sz val="11"/>
        <rFont val="Calibri"/>
        <family val="2"/>
        <scheme val="minor"/>
      </rPr>
      <t>ENERO – FEBRERO,</t>
    </r>
    <r>
      <rPr>
        <sz val="11"/>
        <rFont val="Calibri"/>
        <family val="2"/>
        <scheme val="minor"/>
      </rPr>
      <t xml:space="preserve"> Durante el periodo de este monitoreo se ha incluido al normograma la circular externa 027 de diciembre 29 de 2023 de la unidad administrativa especial Dirección Nacional de Derechos de Autor, sobre recomendaciones, seguimiento y resultado sobre el cumplimiento de las normas de materia de derechos de autor.
</t>
    </r>
    <r>
      <rPr>
        <b/>
        <sz val="11"/>
        <rFont val="Calibri"/>
        <family val="2"/>
        <scheme val="minor"/>
      </rPr>
      <t xml:space="preserve">
MARZO – ABRIL,</t>
    </r>
    <r>
      <rPr>
        <sz val="11"/>
        <rFont val="Calibri"/>
        <family val="2"/>
        <scheme val="minor"/>
      </rPr>
      <t xml:space="preserve"> Mediante correo electrónico el día 11 de abril de 2024, se envió al correo electrónico sigami@ibague.gov.co, el cumplimiento a la
CIRCULAR N°2024 000005 REPORTE
TRIMESTRAL INFORMACION SIGAMI, donde se adjunta el respectivo normograma.
</t>
    </r>
    <r>
      <rPr>
        <b/>
        <sz val="11"/>
        <rFont val="Calibri"/>
        <family val="2"/>
        <scheme val="minor"/>
      </rPr>
      <t>MAYO – JUNIO,</t>
    </r>
    <r>
      <rPr>
        <sz val="11"/>
        <rFont val="Calibri"/>
        <family val="2"/>
        <scheme val="minor"/>
      </rPr>
      <t xml:space="preserve"> El 28 de junio 2024,  en comité técnico, se socializo al equipo interno, la resolución N°066 emitida por la contraloría general de la nación "Por la cual se subroga la Resolución Reglamentaria Orgánica número 064 de 2023 que reglamenta la rendición electrónica de la cuenta, los informes y otra información que realizan los sujetos de vigilancia y control fiscal de la Contraloría General de la República a través del Sistema de Rendición Electrónico de la Cuenta e Informes y Otra Información (SIRECI)"
</t>
    </r>
    <r>
      <rPr>
        <b/>
        <sz val="11"/>
        <rFont val="Calibri"/>
        <family val="2"/>
        <scheme val="minor"/>
      </rPr>
      <t>JULIO – AGOSTO,</t>
    </r>
    <r>
      <rPr>
        <sz val="11"/>
        <rFont val="Calibri"/>
        <family val="2"/>
        <scheme val="minor"/>
      </rPr>
      <t xml:space="preserve"> no se presentaron cambios normativos.</t>
    </r>
  </si>
  <si>
    <r>
      <rPr>
        <b/>
        <sz val="11"/>
        <color theme="1"/>
        <rFont val="Arial Narrow"/>
        <family val="2"/>
      </rPr>
      <t xml:space="preserve">ENERO – FEBRERO, </t>
    </r>
    <r>
      <rPr>
        <sz val="11"/>
        <color theme="1"/>
        <rFont val="Arial Narrow"/>
        <family val="2"/>
      </rPr>
      <t xml:space="preserve">No se realizado el control, ya que a la fecha no se ha realizado comité de coordinación de control interno.
</t>
    </r>
    <r>
      <rPr>
        <b/>
        <sz val="11"/>
        <color theme="1"/>
        <rFont val="Arial Narrow"/>
        <family val="2"/>
      </rPr>
      <t>MARZO – ABRIL,</t>
    </r>
    <r>
      <rPr>
        <sz val="11"/>
        <color theme="1"/>
        <rFont val="Arial Narrow"/>
        <family val="2"/>
      </rPr>
      <t xml:space="preserve"> El día 22 de abril sobre las
2:00 pm, se realizó el comité de coordinación de control interno, donde hubo intervención de la Directora de Atención al Ciudadano con el fin de socializar e implementar acciones de
mejora en relación a las peticiones realizadas por los ciudadanos y entes de control. 
</t>
    </r>
    <r>
      <rPr>
        <b/>
        <sz val="11"/>
        <color theme="1"/>
        <rFont val="Arial Narrow"/>
        <family val="2"/>
      </rPr>
      <t xml:space="preserve">MAYO – JUNIO, </t>
    </r>
    <r>
      <rPr>
        <sz val="11"/>
        <color theme="1"/>
        <rFont val="Arial Narrow"/>
        <family val="2"/>
      </rPr>
      <t xml:space="preserve">Sin Avance
</t>
    </r>
    <r>
      <rPr>
        <b/>
        <sz val="11"/>
        <color theme="1"/>
        <rFont val="Arial Narrow"/>
        <family val="2"/>
      </rPr>
      <t xml:space="preserve">JULIO – AGOSTO, </t>
    </r>
    <r>
      <rPr>
        <sz val="11"/>
        <color theme="1"/>
        <rFont val="Arial Narrow"/>
        <family val="2"/>
      </rPr>
      <t xml:space="preserve">Se realizó el SEGUNDO COMITÉ DE COORDINACIÓN DE CONTROL INTERNO, el jueves, 25 de julio de 2024 a las 2:00 pm en el Despacho de la Alcaldesa, como soporte a la acción, se Anexo Acta N°2.
</t>
    </r>
  </si>
  <si>
    <r>
      <rPr>
        <b/>
        <sz val="11"/>
        <color theme="1"/>
        <rFont val="Arial Narrow"/>
        <family val="2"/>
      </rPr>
      <t xml:space="preserve">ENERO – FEBRERO, </t>
    </r>
    <r>
      <rPr>
        <sz val="11"/>
        <color theme="1"/>
        <rFont val="Arial Narrow"/>
        <family val="2"/>
      </rPr>
      <t xml:space="preserve">Durante el periodo evaluado no se presentó fallas en los aplicativos dispuestos por los entes de control, para reporte de informes de ley, por lo tanto, no se aplicó el control diseñado.
</t>
    </r>
    <r>
      <rPr>
        <b/>
        <sz val="11"/>
        <color theme="1"/>
        <rFont val="Arial Narrow"/>
        <family val="2"/>
      </rPr>
      <t>MARZO – ABRIL,</t>
    </r>
    <r>
      <rPr>
        <sz val="11"/>
        <color theme="1"/>
        <rFont val="Arial Narrow"/>
        <family val="2"/>
      </rPr>
      <t xml:space="preserve"> Durante el periodo evaluado se presentó el informe de Derechos Autor - Vig 2023, Obras Inconclusas periodo febrero y marzo, sistema de alertas de control interno - SACI, sin ninguna novedad de fallas en el aplicativo. No se presentó fallas en los aplicativos dispuestos por los entes de control, por lo tanto, no se aplicó el control diseñado.
</t>
    </r>
    <r>
      <rPr>
        <b/>
        <sz val="11"/>
        <color theme="1"/>
        <rFont val="Arial Narrow"/>
        <family val="2"/>
      </rPr>
      <t xml:space="preserve"> 
MAYO – JUNIO, </t>
    </r>
    <r>
      <rPr>
        <sz val="11"/>
        <color theme="1"/>
        <rFont val="Arial Narrow"/>
        <family val="2"/>
      </rPr>
      <t xml:space="preserve">Durante el periodo evaluado no hubo fallas en los aplicativos dispuestos por los entes de control, para el cargue de los siguientes informes: Seguimiento Plan de mejoramiento suscrito con la Contraloría Municipal, reporte obras inconclusas.
</t>
    </r>
    <r>
      <rPr>
        <b/>
        <sz val="11"/>
        <color theme="1"/>
        <rFont val="Arial Narrow"/>
        <family val="2"/>
      </rPr>
      <t xml:space="preserve">
JULIO – AGOSTO,</t>
    </r>
    <r>
      <rPr>
        <sz val="11"/>
        <color theme="1"/>
        <rFont val="Arial Narrow"/>
        <family val="2"/>
      </rPr>
      <t xml:space="preserve"> no se presentaron fallas en los aplicativos.</t>
    </r>
  </si>
  <si>
    <r>
      <rPr>
        <b/>
        <sz val="11"/>
        <color theme="1"/>
        <rFont val="Arial"/>
        <family val="2"/>
      </rPr>
      <t>ENERO – FEBRERO,</t>
    </r>
    <r>
      <rPr>
        <sz val="11"/>
        <color theme="1"/>
        <rFont val="Arial"/>
        <family val="2"/>
      </rPr>
      <t xml:space="preserve"> No se realizado comité de coordinación de control interno.
</t>
    </r>
    <r>
      <rPr>
        <b/>
        <sz val="11"/>
        <color theme="1"/>
        <rFont val="Arial"/>
        <family val="2"/>
      </rPr>
      <t>MARZO – ABRIL,</t>
    </r>
    <r>
      <rPr>
        <sz val="11"/>
        <color theme="1"/>
        <rFont val="Arial"/>
        <family val="2"/>
      </rPr>
      <t xml:space="preserve"> El día 22 de abril sobre las 2:00 pm, se realizó el comité de coordinación de control interno, espacio donde se socializo cada uno de los informes presentados.
</t>
    </r>
    <r>
      <rPr>
        <b/>
        <sz val="11"/>
        <color theme="1"/>
        <rFont val="Arial"/>
        <family val="2"/>
      </rPr>
      <t xml:space="preserve">MAYO – JUNIO, </t>
    </r>
    <r>
      <rPr>
        <sz val="11"/>
        <color theme="1"/>
        <rFont val="Arial"/>
        <family val="2"/>
      </rPr>
      <t xml:space="preserve">A través del correo electrónico, el día 17 de abril, se convocó a comité de coordinación de control interno para el día 22 de abril 2024, dando a conocer el orden del día a la alta dirección.
</t>
    </r>
    <r>
      <rPr>
        <b/>
        <sz val="11"/>
        <color theme="1"/>
        <rFont val="Arial"/>
        <family val="2"/>
      </rPr>
      <t>JULIO – AGOSTO,</t>
    </r>
    <r>
      <rPr>
        <sz val="11"/>
        <color theme="1"/>
        <rFont val="Arial"/>
        <family val="2"/>
      </rPr>
      <t xml:space="preserve"> A través del correo electrónico, el día 12 de julio 2024, se convocó a la alcaldesa, a todos los secretarios de la administración central al SEGUNDO comité de coordinación de control interno para el día 18 de julio de 2024, dando a conocer el orden del día a la alta dirección, sin embargo, por instrucción de la alcaldesa se reprogramo y se realizó el 25 de julio de 2024.</t>
    </r>
  </si>
  <si>
    <t>1. Para el segumiento del primer control, en los consejos de redacción realizados por el Jefe de la Oficina de Comunicaciones, se hace el segumiento a cada una de las actividades y responsabilidades de cada uno de los periodistas asignados a las dependencias, de enero al 30 de septeimbre de 2024, se han realizado 31 actas de los consejos de redacción mencionados anteriormente.                                                                                            2. Para el segumiento y control del riesgo 2, todo material que sale publicado o cada comunicado de prensa, cuenta con la revisión de los editores designados para tal fin, de enero a septiembe se han realizado 2107 comunicados de prensa al igual un seguimiento para las actividades realizadas por cada equipo de trabajo.</t>
  </si>
  <si>
    <t>Durante los meses de septiembre y octubre se ejecutaron las siguientes actividades dentro del contrato del plan de bienestar:
1. Jornada para prepensionados
2. Jornada de la salud
3. Celebración de cumpleaños</t>
  </si>
  <si>
    <t>Durante el periodo se ejecutaron las siguientes capacitaciones: 1. SEMINARIO TALLER: LA FORMACIÓN COMO EJE DE TRANSFORMACIÓN DE IBAGUÉ; 2. CHARLA SERVICIO AL CLIENTE; 3.CHARLA LIDERZGO ORGANIZACIONAL ; 4. CHARLA HABILIDADES PROFESIONALES; 5. CURSO CONTRATACIÓN ESTATAL Y SECOP II; 6. CUROS EMPLEO PÚBLICO; 7. CONGRESO NACIONAL DE SEGURIDAD SOCIAL PARA EL SECTOR PÚBLICO; 8. CONGRESO NACIONAL DE FINANZAS PÚBLICAS; 9. CURSO DE COMPETENCIAS COMPORTAMENTALES; 10. CONGRESO NACIONAL DE CONTROL INTERNO. CON ÉNFASIS EN GESTIÓN DE RIESGOS; 11. CAPACITACIÓN EQUIPOS GANADORES; 12. CHARLA REFORMA PENSIONAL; 13. CONGRESO COLOMBIANO DE CONTRATACIÓN PÚBLICA; 14. GESTIÓN ESTRATÉGICA DE SERVICIOS DOMICILIARIOS</t>
  </si>
  <si>
    <t>Gestion</t>
  </si>
  <si>
    <t>Se envio correo dirigido a la secretaria administrativa solicitando actualizacion del PAA para la contratacion de personal con fecha del 2 de septiembre de 2024</t>
  </si>
  <si>
    <t>GESTIÓN</t>
  </si>
  <si>
    <t xml:space="preserve">Acta de Comité Técnico No. 45 del 29 de Octubre de 202, secretaria de cultura de </t>
  </si>
  <si>
    <t>Reporte correo electrónico a planeación reporte de metas con corte a 30 de Septiembre de 2024</t>
  </si>
  <si>
    <t xml:space="preserve">Capacitación para los funcionarios 25 de Sptiembre de 2024. Circular 010 de septiembre 23 de 2024. </t>
  </si>
  <si>
    <t xml:space="preserve">FORTALECER E IMPLEMENTAR DE MANERA EFICAZ, EFECTIVA Y EFICIENTE EN LOS DIFERENTES BIENES, SERVICIOS Y MANIFESTACIONES ARTISTICAS Y CULTURALES DE INTERES COMUN A TRAVÉS DE PROCESOS, PROYECTOS, PROGRAMAS Y  POLÍTICAS QUE CONTRIBUYAN DE MANERA INTEGRAL A TRAVES DEL ACCESO DE TODA LA COMUNIDAD DE IBAGUE A LAS DIFERENTES ACTIVIDADES ARTISTICAS CULTURALES Y DEL PATRIMONIO  </t>
  </si>
  <si>
    <t>INICIA CON LA PLANEACIÓN DEL PROCESO A TRAVÉS DE LAS NECESIDADES DE LA COMUNIDAD CONTINUA CON LA FORMULACIÓN Y EJECUCIÓN DE LOS PROGRAMAS, PROYECTOS ARTÍSTICOS CULTURALES Y FINALIZA CON SEGUIMIENTO DE POLÍTICAS PLANES PROGRAMAS Y PROYECTOS.</t>
  </si>
  <si>
    <t>GESTIÓN DEL TRANSITO Y LA MOVILIDAD</t>
  </si>
  <si>
    <t>REGULAR, ORGANIZAR Y CONTROLAR EL EJERCICIO DEL TRÁNSITO Y EL TRANSPORTE MEJORANDO LAS CONDICIONES DE LA MOVILIDAD, APLICANDO EL CÓDIGO NACIONAL DE TRANSITO Y ADMINISTRANDO EL REGISTRO AUTOMOTOR Y DEL CONDUCTOR, PRESTANDO UN SERVICIO EFICIENTE, OPORTUNO Y DE CALIDAD A LA CIUDADANÍA TANTO EN LA GESTIÓN DE LOS TRÁMITES COMO A LOS USUARIOS DE LAS VÍAS EN EL MUNICIPIO DE IBAGUÉ.</t>
  </si>
  <si>
    <t>INICIA CON LA PLANEACIÓN DEL PROCESO, CONTINUA CON EL SEGUIMIENTO A LA EJECUCIÓN DEL PLAN MAESTRO DE  MOVILIDAD Y ESPACIO PÚBLICO Y PLAN LOCAL DE SEGURIDAD VIAL, LA GESTIÓN DE LA IMPLEMENTACIÓN DEL SISTEMAINTEGRADO DE TRANSPORTE PÚBLICO, LAS ACTIVIDADES DE LIQUIDACIÓN, RADICACIÓN, APROBACIÓN Y EXPEDICIÓN DE LOS DOCUMENTOS RELACIONADOS CON LOS TRÁMITES PREVISTOS EN MATERIA DE TRÁNSITO Y TRANSPORTE Y FINALIZA CON EL SEGUIMIENTO Y EVALUACIÓN DEL PROCESO.</t>
  </si>
  <si>
    <t xml:space="preserve">Sanciones e investigaciones de los entes de control </t>
  </si>
  <si>
    <t xml:space="preserve">Respuesta  fuera  de los términos de tiempo   establecidos por la ley </t>
  </si>
  <si>
    <t>La entrega no oportuna y reparto a las respectivas áreas de las solicitudes radicadas</t>
  </si>
  <si>
    <t>Posibilidad de perdida económica y reputacional debido a sanciones e investigaciones de los entes de control por respuesta fuera de los términos de tiempo establecidos por la Ley</t>
  </si>
  <si>
    <t>Recepción de solicitudes, trámites y PQRS</t>
  </si>
  <si>
    <t>Los directores validan el reporte remitido por la Dirección, atención al ciudadano y los PQRS que están fuera de término, los cuales son remitidos via memorando a los responsables para su revisión y finalización, dejando como evidencia el memorando y la terminación del PQRS</t>
  </si>
  <si>
    <t xml:space="preserve">Generar una matriz de PQRS  y direccionar por cada direcciòn a los contratistas encargados. Realizar controles por medio de comitès periodicos </t>
  </si>
  <si>
    <t>Secretario y Directores</t>
  </si>
  <si>
    <t>Mayo de 2024</t>
  </si>
  <si>
    <t>Falta de seguimiento a la información que se proporciona en la plataforma web PISAMI</t>
  </si>
  <si>
    <t>Los directores realizan reunión bimestral con los responsables de cada proceso o encargados de área , para la verificación de solicitudes pendientes, dejando como evidencia el acta y la asistencia</t>
  </si>
  <si>
    <t>Reduccción de presupuesto y deterioro de la imagen hacía la ciudadanía</t>
  </si>
  <si>
    <t>Falta de planeación,   seguimiento y control a la ejecución de los planes, programas y proyectos</t>
  </si>
  <si>
    <t>Insuficiencia presupuestal para dar cumplimiento a los planes, programas y proyectos establecidos</t>
  </si>
  <si>
    <t>Posibilidad de perdida económica y reputacional, debido a la reducción del presupuesto y deterioro de la imagen hacía a la ciudadanía por falta de planeación, seguimiento y control de los planes, programas y proyectos</t>
  </si>
  <si>
    <t>Elaboración y seguimiento del plan de desarrollo y los instrumentos de seguimiento</t>
  </si>
  <si>
    <t>Los directores realizan monitoreo, seguimiento y control  trimestral en la ejecución de los planes, programas y proyectos, dejando como evidencias informes de ejecución</t>
  </si>
  <si>
    <t>Realizar comités técnicos periodicos, donde se definan las metas que tiene la dependencia con sus respectivos compromisos de cumplimiento</t>
  </si>
  <si>
    <t xml:space="preserve">Secretario y Directores </t>
  </si>
  <si>
    <t xml:space="preserve">Falta de viabilización y actualización de los proyectos ante la Secretaria de Planeación </t>
  </si>
  <si>
    <t xml:space="preserve">El responsable delegado por la dirección , realiza anualmente  la verificación ante Planeación Municipal  de la viabilidad y actualización del proyecto , dejando como evidencia el certificado de viabilidad del proyecto </t>
  </si>
  <si>
    <t xml:space="preserve">Actualización de proyectos </t>
  </si>
  <si>
    <t>Marzo de 2024</t>
  </si>
  <si>
    <t>Seguimiento (Septiembre-Octubre)</t>
  </si>
  <si>
    <t>Deficiencia en  la formulación e implementación de planes, programas y proyectos que fortalezcan el tejido empresarial, el emprendimiento, la empleabilidad, el turismo y el sector rural</t>
  </si>
  <si>
    <t xml:space="preserve">La baja cobertura para la promoción del desarrollo económico y la competividad para los actores involucrados
</t>
  </si>
  <si>
    <t>Posibilidad de pérdida económica y reputacional, debido a sanciones de entes de control por deficiencia en  la formulación e implementación de planes, programas y proyectos que fortalezcan el tejido empresarial, el emprendimiento, la empleabilidad, el turismo y el sector rural</t>
  </si>
  <si>
    <t>Ejecución de los diferentes planes, programas y proyectos de las secretarías intervinientes en el proceso</t>
  </si>
  <si>
    <r>
      <t xml:space="preserve">Se realizará cuatrimestral comité técnico para revisar los planes de acción y la ejecución de los mismos, dejando como evidencia un acta y planilla de asistencia, en cada una en las Secretaría del Proceso del Desarrollo Económico y la Competitividad (Secretaría de Desarrollo Económico y Secretaría de Agricultura y desarrollo rural) 
</t>
    </r>
    <r>
      <rPr>
        <sz val="10"/>
        <color rgb="FFFF0000"/>
        <rFont val="Arial Narrow"/>
        <family val="2"/>
      </rPr>
      <t xml:space="preserve">*RESPONSABLE (Una persona que ejecute ese control - El Secretario ...)
*PERIODICIDAD
*PROPÓSITO DEL CONTROL -VERBO DE CONTROL
*METODOLOGÍA
*ESTABLECER QUÉ PASA CON LAS DESVIACIONES U OBSERVACIONES AL EJERCER EL CONTROL
*EVIDENCIA (ES LO MÁS IMPORTANTE)
</t>
    </r>
  </si>
  <si>
    <t>El equipo de enlaces SIGAMI del Proceso Desarrollo Económico y la Competitividad se reunió el día 29 de octubre de 2024, para actualizar la Matriz de Riesgos de Gestión del Proceso y programar las acciones del último cuatrimestre del año.</t>
  </si>
  <si>
    <t>El equipo de enlaces SIGAMI del Proceso Desarrollo Económico y la Competitividad se reunió el día 29 de octubre de 2024, para actualizar la Matriz de Riesgos de Gestión del Proceso y programar las acciones del último semestre del año.</t>
  </si>
  <si>
    <t>Deficiencia en la capacitación del talento humano de las secretarías sobre el conocimientos y las actividades del proceso Gestión del Desarrollo Económico y la Competitividad</t>
  </si>
  <si>
    <t>Seguimiento Septiembre - Octubre</t>
  </si>
  <si>
    <t>Durante el bimestre no se realizaron ajustes presupuestales, se ha trabajado con el presupuesto armonizado acorde al nuevo plan de desarrollo “IBAGUE PARA TODOS 2024-2027” del municipio de Ibagué/departamento del Tolima, aprobado mediante el acuerdo municipal No. 6 de fecha Junio 5 de 2024</t>
  </si>
  <si>
    <t>Durante el bimestre se realiza jornada de mantenimiento preventivo de equipos de cómputo de los Centros de Experiencia Digital donde se realizó por parte de cada uno de los administradores actualización de los computadores de mesa y portátiles, borrados de temporales, borrado de programas y archivos residentes. Evidencia: Se adjunta en el acta de seguimiento, imágenes de mantenimiento preventivo a los equipos de los Centros de Experiencia Digital.
Se realiza una revisión de elementos mobiliarios y tecnológicos, donde se recogen los de mal estado, así mismo se distribuye para brindar un buen servicio. Evidencia: actas de inventario.</t>
  </si>
  <si>
    <t>Solicitud de apoyo de mejoras locativas
-	Durante el mes de agosto y septiembre mediante gestión la Secretaría de las TIC se adquiere 5 bultos de cemento, Emulsión acrílica y arena, para que la Dirección de Recurso Físicos puedan intervenir en el Centro de Experiencia Digital Barrio Rodríguez Andrade (Coliseo de Ferias), sea recuperada las instalaciones.
-	El día 5 de septiembre de 2024 se remite al correo institucional mantenimiento@ibague.gov.co evidencias de avances las adecuaciones físicas. Evidencia: INFORME DE DESARROLLO OBRA CED FERIAS.pdf
-	Solicitud de apoyo de mejoras locativas mediante memorando 045209 de fecha 01/10/2024 dirigido a la oficina de Recursos Físicos. Evidencia: Solicitud Reparaciones Locativa 045209.pdf
-	Respuesta por parte de la Dirección de Recursos Físicos mediante memorando 48135 de fecha 16/10/2024 donde notifican un cronograma de acciones de reparaciones. Evidencia: Respuesta Solicitud 048135.pdf
-	El día 22 de octubre de 2024 se remite al correo institucional mantenimiento@ibague.gov.co evidencias de avances las adecuaciones físicas. Evidencia: Informe sobre continuacion del mantenimiento infraestructura CED FERIAS.pdf</t>
  </si>
  <si>
    <t>Durante el bimestre se realiza el seguimiento a las capacitaciones realizadas en los Centros de Experiencia Digital en donde se ha impactado a 4271 personas. Se realiza tablero de control o seguimiento de personas impactadas. Evidencia: Documento Excel TABLERO FORMULADO SEPTIEMBRE.xlsx</t>
  </si>
  <si>
    <t>Seguimiento septiembre - octubre</t>
  </si>
  <si>
    <t>Seguimiento noviembre - diciembre</t>
  </si>
  <si>
    <r>
      <t>Durante el periodo de julio y agosto se realizaron visitas a las seis Dependencias con más PQRSD vencidos se deja constancias en las siguientes actas:</t>
    </r>
    <r>
      <rPr>
        <b/>
        <sz val="11"/>
        <color theme="1"/>
        <rFont val="Arial Narrow"/>
        <family val="2"/>
      </rPr>
      <t xml:space="preserve"> mes de julio</t>
    </r>
    <r>
      <rPr>
        <sz val="11"/>
        <color theme="1"/>
        <rFont val="Arial Narrow"/>
        <family val="2"/>
      </rPr>
      <t xml:space="preserve"> (acta 37 a la acta 42) y </t>
    </r>
    <r>
      <rPr>
        <b/>
        <sz val="11"/>
        <color theme="1"/>
        <rFont val="Arial Narrow"/>
        <family val="2"/>
      </rPr>
      <t>mes de agosto</t>
    </r>
    <r>
      <rPr>
        <sz val="11"/>
        <color theme="1"/>
        <rFont val="Arial Narrow"/>
        <family val="2"/>
      </rPr>
      <t xml:space="preserve"> (acta 43 a la acta 48)</t>
    </r>
  </si>
  <si>
    <r>
      <t xml:space="preserve">Durante el periodo de septiembre y octubre se realizaron visitas a las seis Dependencias con más PQRSD vencidos se deja constancias en las siguientes actas: </t>
    </r>
    <r>
      <rPr>
        <b/>
        <sz val="11"/>
        <color theme="1"/>
        <rFont val="Arial Narrow"/>
        <family val="2"/>
      </rPr>
      <t xml:space="preserve">mes de septiembre </t>
    </r>
    <r>
      <rPr>
        <sz val="11"/>
        <color theme="1"/>
        <rFont val="Arial Narrow"/>
        <family val="2"/>
      </rPr>
      <t xml:space="preserve">(acta 49 a la acta 54) y </t>
    </r>
    <r>
      <rPr>
        <b/>
        <sz val="11"/>
        <color theme="1"/>
        <rFont val="Arial Narrow"/>
        <family val="2"/>
      </rPr>
      <t>mes de octubre</t>
    </r>
    <r>
      <rPr>
        <sz val="11"/>
        <color theme="1"/>
        <rFont val="Arial Narrow"/>
        <family val="2"/>
      </rPr>
      <t xml:space="preserve"> (acta 55 a la acta 60)</t>
    </r>
  </si>
  <si>
    <t>Durante el periodo de julio y agosto se realizaron los siguientes informes consolidados de seguimiento a las ventanillas: (02 al 05 de julio, 08 al 12 de julio, 16 al 29 de julio, 22 al 26 de julio, 29 de julio al 02 de agosto, 05 al 09 de agosto, 12 al 16 de agosto, 20 al 23 de agosto y del 26 al 30 de agosto).</t>
  </si>
  <si>
    <r>
      <t xml:space="preserve">Durante el periodo de septiembre y octubre se realizaron los siguientes informes consolidados de seguimiento a las ventanillas: </t>
    </r>
    <r>
      <rPr>
        <sz val="11"/>
        <rFont val="Arial Narrow"/>
        <family val="2"/>
      </rPr>
      <t>(02 al 06 de septiembre, 09 al 13 de septiembre, 16 al 20 de septiembre, 23 al 27 de septiembre, 30 de septiembre al 04 de octubre, 07 al 11 de octubre, 15 al 18 de octubre, 21 al 25 de octubre y del 28 de octubre al 01 de noviembre</t>
    </r>
    <r>
      <rPr>
        <sz val="11"/>
        <color theme="1"/>
        <rFont val="Arial Narrow"/>
        <family val="2"/>
      </rPr>
      <t>).</t>
    </r>
  </si>
  <si>
    <t>Se realizaron los siguientes informes de oportunidad de respuesta de los traslados por competencia y se enviaron por correo institucional en los meses comprendidos entre septiembre y octubre: (Informe del mes de septiembre  enviado el 01 de octubre e informe del mes de octubre enviado el 05 de noviembre).</t>
  </si>
  <si>
    <t>Se solicito mediante memorando #045512 del 02 de octubre participación en el Comité de Coordinación de Control Interno. 
Se socializo a la Alcaldesa y Directivos el día 24 de octubre informes de PQRSD, informe de Reclamos y acciones de seguimiento.</t>
  </si>
  <si>
    <r>
      <t xml:space="preserve">Durante el periodo de julio y agosto se realizaron las siguientes piezas gráficas: </t>
    </r>
    <r>
      <rPr>
        <b/>
        <sz val="11"/>
        <color theme="1"/>
        <rFont val="Arial Narrow"/>
        <family val="2"/>
      </rPr>
      <t>15.</t>
    </r>
    <r>
      <rPr>
        <sz val="11"/>
        <color theme="1"/>
        <rFont val="Arial Narrow"/>
        <family val="2"/>
      </rPr>
      <t xml:space="preserve">	Comunicación de día cívico para la Alcaldía de Ibagué - julio
</t>
    </r>
    <r>
      <rPr>
        <b/>
        <sz val="11"/>
        <color theme="1"/>
        <rFont val="Arial Narrow"/>
        <family val="2"/>
      </rPr>
      <t>16.</t>
    </r>
    <r>
      <rPr>
        <sz val="11"/>
        <color theme="1"/>
        <rFont val="Arial Narrow"/>
        <family val="2"/>
      </rPr>
      <t xml:space="preserve">	Socialización de los CAMS (Centros de Atención Municipal) - julio
</t>
    </r>
    <r>
      <rPr>
        <b/>
        <sz val="11"/>
        <color theme="1"/>
        <rFont val="Arial Narrow"/>
        <family val="2"/>
      </rPr>
      <t>17.</t>
    </r>
    <r>
      <rPr>
        <sz val="11"/>
        <color theme="1"/>
        <rFont val="Arial Narrow"/>
        <family val="2"/>
      </rPr>
      <t xml:space="preserve">	Requisitos para radicar tus PQRSD en las ventanillas – julio
</t>
    </r>
    <r>
      <rPr>
        <b/>
        <sz val="11"/>
        <color theme="1"/>
        <rFont val="Arial Narrow"/>
        <family val="2"/>
      </rPr>
      <t>18.</t>
    </r>
    <r>
      <rPr>
        <sz val="11"/>
        <color theme="1"/>
        <rFont val="Arial Narrow"/>
        <family val="2"/>
      </rPr>
      <t xml:space="preserve"> Renovación red telefonica </t>
    </r>
  </si>
  <si>
    <r>
      <t>Durante el periodo de septiembre y octubre se realizaron las siguientes piezas gráficas:</t>
    </r>
    <r>
      <rPr>
        <b/>
        <sz val="11"/>
        <color theme="1"/>
        <rFont val="Arial Narrow"/>
        <family val="2"/>
      </rPr>
      <t xml:space="preserve"> 19.</t>
    </r>
    <r>
      <rPr>
        <sz val="11"/>
        <color theme="1"/>
        <rFont val="Arial Narrow"/>
        <family val="2"/>
      </rPr>
      <t xml:space="preserve">	Suspensión temporal de atención al público el día 23 de septiembre - septiembre
</t>
    </r>
    <r>
      <rPr>
        <b/>
        <sz val="11"/>
        <color theme="1"/>
        <rFont val="Arial Narrow"/>
        <family val="2"/>
      </rPr>
      <t>20.</t>
    </r>
    <r>
      <rPr>
        <sz val="11"/>
        <color theme="1"/>
        <rFont val="Arial Narrow"/>
        <family val="2"/>
      </rPr>
      <t xml:space="preserve">	Socialización de las líneas de atención al ciudadano (línea fija y canal antifraude) - octubre
</t>
    </r>
    <r>
      <rPr>
        <b/>
        <sz val="11"/>
        <color theme="1"/>
        <rFont val="Arial Narrow"/>
        <family val="2"/>
      </rPr>
      <t xml:space="preserve">21.	</t>
    </r>
    <r>
      <rPr>
        <sz val="11"/>
        <color theme="1"/>
        <rFont val="Arial Narrow"/>
        <family val="2"/>
      </rPr>
      <t xml:space="preserve">Cambio del correo institucional para realizar cambios internos de PQRSD (traslados) – </t>
    </r>
    <r>
      <rPr>
        <sz val="11"/>
        <rFont val="Arial Narrow"/>
        <family val="2"/>
      </rPr>
      <t>octubre</t>
    </r>
    <r>
      <rPr>
        <sz val="11"/>
        <color theme="1"/>
        <rFont val="Arial Narrow"/>
        <family val="2"/>
      </rPr>
      <t xml:space="preserve">
</t>
    </r>
    <r>
      <rPr>
        <b/>
        <sz val="11"/>
        <color theme="1"/>
        <rFont val="Arial Narrow"/>
        <family val="2"/>
      </rPr>
      <t xml:space="preserve">22. </t>
    </r>
    <r>
      <rPr>
        <sz val="11"/>
        <color theme="1"/>
        <rFont val="Arial Narrow"/>
        <family val="2"/>
      </rPr>
      <t>Atención al público los sábados 19 y 26 de octubre; 23 y 30 de noviembre - octubre</t>
    </r>
  </si>
  <si>
    <t xml:space="preserve">Durante este periodo se adelanto una jornada de capacitación en el manejo de correspondencia.
La Dirección de Ambiente y Gestión del Riesgo solicito capacitación en el manejo adecuado de la correspondencia interna y externa en la plataforma documental PISAMI, traslados por competencia y los formatos de comunicación oficial de la Entidad mediante memorando #046413 del 07 de octubre.
La capacitación se llevo a cabo el día 17 de octubre a las 9:00 am y se dejo como evidencia el acta 22. </t>
  </si>
  <si>
    <r>
      <rPr>
        <sz val="12"/>
        <color theme="6" tint="-0.249977111117893"/>
        <rFont val="Arial Narrow"/>
        <family val="2"/>
      </rPr>
      <t xml:space="preserve">*Sanciones por parte de los entes rectores (IGAC-SNR)   </t>
    </r>
    <r>
      <rPr>
        <sz val="12"/>
        <color theme="1"/>
        <rFont val="Arial Narrow"/>
        <family val="2"/>
      </rPr>
      <t xml:space="preserve">                      </t>
    </r>
  </si>
  <si>
    <t>*Inoportunidad en los tiempos de  respuesta a los usuarios</t>
  </si>
  <si>
    <t xml:space="preserve">Posibilidad de Impacto Economico y Reputacional, por sanciones por parte de los entes rectores (IGAC-SNR, ect) debido a la Inoportunidad de respuesta a las solicitudes de tramites y productos catastrales, lo que conllevaria a constantes quejas de usuarios                                                                                          </t>
  </si>
  <si>
    <t xml:space="preserve">Desde la Radicación, cuando el usuario realiza la radicación o solicitud del tramite en oficinas diferentes a las de catastro y/o por Pisami como PQR; y cuando estos son remitidos a catastro, llegan fuera de los tiempos de respuesta. En el seguimiento y  la ejecución, debido que cuando llegan los tramites a los ejecutores estos al realizar el analisis o verificación de docuementos se pueden detectar falta de documentación, para lo cual se debe requerir al usuario para que entregue dicha documentación dentro del tiempo establecido. </t>
  </si>
  <si>
    <t xml:space="preserve">La Directora verifica el personal que se requiere en la Dirección con el fin de solicitar su contratación, para desarrollar las actividades propias del proceso. Esta actividad deberá realizarce dos veces al año. En caso de no contar con el personal requerido, La Directora de Planeación Multipropósito, verifica los planes de choque  delegados de los rezagos de tramites, esto con el fin de ir evacuando los que están fuera de tiempos de respuesta, delegando por metas a cada uno de los contratistas con los que cuenta en el momento la dirección, todos los tramites deben realizarce siguiendo los controles y el flujo documental y los tiempos de respuesta que se implemente para cada mutación catastral conforme se describe dentro de las hojas de vida de los tramites; los seguimientos a estas metas se realizaran mediante reunión por lo menos una vez al mes. </t>
  </si>
  <si>
    <t>El Grupo tecnico, administrativo y de radicación siguen los pasos aprobados para la radicación y realización de un tramite o producto catastral.  Mensualmente realizar  seguimiento al plan de choque solicitado por la directora donde se consignan las respuestas brindadas a las solicitudes de los usuarios de PQR (Pisamis) y/o solicitudes radicadas en el Cam</t>
  </si>
  <si>
    <t>Plan de adquisiciones y actas de reuniones de segumiento realizadas a la fecha</t>
  </si>
  <si>
    <t>se realiza seguimiento al plan de choque con respecto a las respuesta a pisamis y tramites de rezagos asignados para ir evacuando y solucionando la demora en los tiempos de respuesta a tramites</t>
  </si>
  <si>
    <t>Se analiza la contratación de un sistema catastral que cumpla con la normatividad actual, el cual debe contar con un sistema de alertas que indique el estado del tramite, este proceso es realizado por la Secretaria de planeación junto a la Dirección de Planeación Multipropósito. Asi mismo cada vez que se requiera validar el funcionamiento del sistema de información catastral, según los requerimientos de los ejecutores y/o usuarios, se solicitara a los administradores de la plataforma la necesidad de revisar y validar el cumplimiento del servicio y fortalecer el software o los módulos de este si es necesario, dejando como evidencia, actas de reunión y/o solicitudes escritas y/o informes presentados por la empresa contratada, esta acción será realizada por la Directora de Planeación Multiproposito o a quien ella Delegue para esta actividad.</t>
  </si>
  <si>
    <t>Cuando se presenten fallas o  haya dudas en el manejo de la plataforma o se requiera actualización de algun modulo de la misma se realizara solicitud mediante correo electronico y/o se realizaran mesas de trabajo con los administradores de la plataforma.</t>
  </si>
  <si>
    <t>Directora de Planeación Multipropósito y/o su equipo de trabajo</t>
  </si>
  <si>
    <t>01/sepy/2024 al 31/Dic/2024</t>
  </si>
  <si>
    <t>Actas de reuiniones o planillas de asistencia o correo electronico o informes de la empresa contratada</t>
  </si>
  <si>
    <t>Cuando se presenten fallas o  haya dudas en el manejo de la plataforma o se requiera actualización de algun modulo de la misma se realizara solicitud mediante correo electronico o se realizaran mesas de trabajo con los administradores de la plataforma.</t>
  </si>
  <si>
    <t>Se realizan 4 reuniones con el equipo de la plataforma para mejorar procesos y se recibe y revisa el primer informe presentados por ellos</t>
  </si>
  <si>
    <t>Falta de Ventanilla Unica para la Gestión Catastral, debido al desconocimiento de las demás ventanillas de la administración para poder orientar de forma acertada a los usuarios en cuanto a tramites catastrales</t>
  </si>
  <si>
    <t>La Dirección de Planeación Multipropósito, requiere la creación de ventanilla unica de gestión catastral, con el fin de brindar la asesoria y la recepción de los tramites catastrales en un solo lugar. Teniendo en cuenta que la gestión catastral es un servicio público único especial, que requiere del conocimiento de los requisitos de cada tramite y asi evitar errores en la solicitud, esto deberá realizarce dentro de los siguientes 2 meses. Dado el caso que la respuesta sea negativa, se solicitará la capacitación al personal de las demás ventanillas (Planeación, ventanilla alcaldia, pqr y pisami) para que puedan guiar a los usuarios y/o puedan remitirlo a las oficinas de catastro para que realicen su solicitud personalmente en el cam de la pola o por medio del enlace de la plataforma catastral que existirá para los usuarios, ademas se solicitará la inclusión de los tramites y el boton de la pagina de la plataforma dentro del sitio web de la alcaldía, esto se deberá realizar en los proximos 3 meses</t>
  </si>
  <si>
    <t>Remitir memorando o correo electronico al grupo de gestión documental para la creación de la ventanilla unica de la gestión catastral. Además de no poderse crear la ventanilla única,  La Directora Solicitará una capacitación para orientar a las demas ventanillas y requerira a la Dirección TICS para que en el desarrollo de la plataforma pisami se incluya los tramites y/o servicios catastrales,esto con el fin de poder llevar control real de los tiempos de respuesta derivado de cada uno de estos. Además se deberá entregar al Grupo de Gestión Documental el cuadro de clasificación de los asuntos identificados para la Dirección de Planeación Multiporposito, solicitando a su vez las tablas de retención documental para este proceso, actualizasando así la serie documental asociada a los tramites catastrales</t>
  </si>
  <si>
    <t>01/sep/2024 al 31/Dic/2024</t>
  </si>
  <si>
    <t>Correo electronico o memorando enviado o actas de mesas tecnicas o asistencias a estas</t>
  </si>
  <si>
    <t>Se envia correo al grupo de gestión documental solicitando la inclusión de tramites y las tabas de retencion para la dirección y se envia ademas el cuadro de clasificación de asusntos identificados para la dirección para poder realizar la tablas de retención de esta dirección</t>
  </si>
  <si>
    <t>INICIA DESDE LA PLANEACIÓN DE LAS ACTIVIDADES DE FORMACIÓN, ACTUALIZACIÓN, CONSERVACIÓN Y DIFUSIÓN DE LA INFORMACIÓN CATASTRAL HASTA LA REALIZACIÓN DE LAS VERIFICACIONES DEL PROCESO</t>
  </si>
  <si>
    <t xml:space="preserve"> GESTION DE PARTICIPACION CIUDADANA </t>
  </si>
  <si>
    <t xml:space="preserve">OBJETIVO: FORMULAR, IMPLEMENTAR Y HACER SEGUIMIENTO CONTINUO A POLÍTICAS, PLANES, PROGRAMA, PROYECTOS Y ESTRATEGIAS ENCAMINADOS A PROMOVER Y FORTALECER LA PARTICIPACIÓN CIUDADANA EN EL MARCO DE LA ÉTICA PUBLICA EN EL MUNICIPIO DE IBAGUÉ. 
</t>
  </si>
  <si>
    <t xml:space="preserve">     SEGUIMIENTO SEPTIEMBRE Y OCTUBRE DE 2024</t>
  </si>
  <si>
    <t xml:space="preserve">Debilidad en la planeación y entrega de los resportes de las actividades  por parte de los serivdores encargados. </t>
  </si>
  <si>
    <t xml:space="preserve">Inoportuna jecución de la planeacón y el reporte de actividades del proceso. </t>
  </si>
  <si>
    <t xml:space="preserve">Inoportuna ejecución de las actividades e informes que se deben remitir a las dependencias encargadas de consolidar, verificar y evaluar la información suministrada por este proceso. </t>
  </si>
  <si>
    <t>POSIBILIDAD DE IMPACTO REPUTACIONAL A CAUSA DE INVESTIGACIONES POR PARTE DE LOS ORGANISMOS DE CONTROL DEBIDO AL INCUMPLIMIENTO EN EL PLAN DE ACCIÓN Y EL CRONOGRAMA DE LAS ACTIVIDADES DEL PROCESO</t>
  </si>
  <si>
    <t xml:space="preserve">La Dirección de Participación ciudadana y comunitaria realiza trimestralmente un comité técnico para hacer seguimiento a la planeación estrategica del proceso (plan de acción, indicadores, salidas no conformes y cumplimiento de meta) dejando como evidencia el acta del comité y los responsables de la información de cada actividad. </t>
  </si>
  <si>
    <t>En comité técnico se revisará el plan de acción, indicadores, salidas no conformes y ejecución de las metas, de la presente vigencia, con el fin de verificar el cumplimiento de la planeación.</t>
  </si>
  <si>
    <t>septiembre de 2024</t>
  </si>
  <si>
    <t>En comité tecnico del mes de octubre junto con fortalecimiento Institucional Se revisa el Plan de Acción, los indicadores, medidas correctivas, así como el proceso y los procedimientos de esta Dirección. Así mismo se entrega informe al despacho de Gobierno el cumplimento de Metas. De acuerdo, con lo anterior, se encuentra acta N°010 del 04/10/2024.</t>
  </si>
  <si>
    <t xml:space="preserve">Reportes extemporaneos de los  informes que se deben remitir a las dependencias encargadas </t>
  </si>
  <si>
    <t>El director (a) de participación ciudadana y comunitaria  realiza trimestralmente un comité técnico para hacer seguimiento a la planeación estrategica del proceso, dejando como evidencia el acta del comité y el memorando de envio a las dependencias responsables de revisar y compilar la información.</t>
  </si>
  <si>
    <t xml:space="preserve">En comité técnico se revisará el plan de acción, indicadores, salidas no conformes y ejecución de las metas, de la presente vigencia, con el fin de verificar que se realice el reporte en los tiempos establecidos. </t>
  </si>
  <si>
    <t>septiembre de 2025</t>
  </si>
  <si>
    <t xml:space="preserve">Deficiencia de apropiación de la política y la estrategia de participación ciudadana por parte de los funcionarios. </t>
  </si>
  <si>
    <t>El director (a) de participación ciudadana y comunitaria en los comités técnicos, revisa y socializa los diferentes componentes y avances de la Estrategia de participación ciudadana,  dejando como evidencia el acta del comité mensual de la Dirección.</t>
  </si>
  <si>
    <t xml:space="preserve">Realizar capacitación de la política de participación ciudadana al equipo de la dirección de participación ciudada </t>
  </si>
  <si>
    <t>septiembre de 2026</t>
  </si>
  <si>
    <t xml:space="preserve">Se realiza revisión de la carpeta de comites tecnicos de la Dirección, en el que se encuentran las sigueintes:  Acta N°009 DEL 06/09/2024 y Acta N°010 DEL 04/10/2024.  Donde se evidencia que se hablo sobre la política de Participación Ciudadana y el codigo de integridad y buen gobierno. </t>
  </si>
  <si>
    <t>INICIA DESDE LA PLANEACIÓN DEL PROCESO HASTA REALIZAR ACTIVIDADES DE SEGUIMIENTO A INDICADORES, AUDITORIAS, PLANES DE MEJORAMIENTO, MAPAS DE RIESGOS Y SALIDAS NO CONFORMES.</t>
  </si>
  <si>
    <t>Baja calificación en los indicadores de desempeño fiscal, pérdida de confianza de los ciudadanos hacia la administración y posible reducción en las asignaciones de recursos del Sistema General de Participacion - SGP</t>
  </si>
  <si>
    <t>Baja ejecución presupuestal de gastos de inversión del Municipio de parte de las Secretarias Ejecutor</t>
  </si>
  <si>
    <r>
      <rPr>
        <b/>
        <sz val="10"/>
        <color rgb="FFFF0000"/>
        <rFont val="Arial Narrow"/>
        <family val="2"/>
      </rPr>
      <t>1. Posibilidad de pérdida reputacional y económia</t>
    </r>
    <r>
      <rPr>
        <b/>
        <sz val="10"/>
        <rFont val="Arial Narrow"/>
        <family val="2"/>
      </rPr>
      <t xml:space="preserve"> </t>
    </r>
    <r>
      <rPr>
        <b/>
        <sz val="10"/>
        <color rgb="FFFF9900"/>
        <rFont val="Arial Narrow"/>
        <family val="2"/>
      </rPr>
      <t>por</t>
    </r>
    <r>
      <rPr>
        <b/>
        <sz val="10"/>
        <rFont val="Arial Narrow"/>
        <family val="2"/>
      </rPr>
      <t xml:space="preserve">  </t>
    </r>
    <r>
      <rPr>
        <b/>
        <sz val="10"/>
        <color rgb="FF0070C0"/>
        <rFont val="Arial Narrow"/>
        <family val="2"/>
      </rPr>
      <t>baja calificación en los indicadores de desempeño fiscal, pérdida de confianza de los ciudadanos hacia la administración y posible reducción en las asignaciones de recursos del Sistema General de Participacion - SGP,</t>
    </r>
    <r>
      <rPr>
        <b/>
        <sz val="10"/>
        <rFont val="Arial Narrow"/>
        <family val="2"/>
      </rPr>
      <t xml:space="preserve">  </t>
    </r>
    <r>
      <rPr>
        <b/>
        <sz val="10"/>
        <color rgb="FFFF9900"/>
        <rFont val="Arial Narrow"/>
        <family val="2"/>
      </rPr>
      <t xml:space="preserve"> debido a </t>
    </r>
    <r>
      <rPr>
        <b/>
        <sz val="10"/>
        <color rgb="FF00B050"/>
        <rFont val="Arial Narrow"/>
        <family val="2"/>
      </rPr>
      <t>baja ejecución presupuestal de gastos de inversión del Municipio de parte de las Secretarias Ejecutora</t>
    </r>
  </si>
  <si>
    <r>
      <t>Se enviará</t>
    </r>
    <r>
      <rPr>
        <b/>
        <sz val="10"/>
        <color rgb="FF00B050"/>
        <rFont val="Arial Narrow"/>
        <family val="2"/>
      </rPr>
      <t xml:space="preserve"> circular mensualmente</t>
    </r>
    <r>
      <rPr>
        <sz val="10"/>
        <color theme="1"/>
        <rFont val="Arial Narrow"/>
        <family val="2"/>
      </rPr>
      <t xml:space="preserve"> a las Secretaría Ejecutoras que tengan saldos pendientes por ejecutar para que liberen los saldos o los ejecuten y se remitirá  trimestralmente el INFORME EJECUTIVO  DE LA EJECUCIÓN PRESUPUESTAL DE GASTOS  al Secretario de Hacienda, para presentarlo ante la Alta Dirección en el  Comite de Coordinación de Control Interno.</t>
    </r>
  </si>
  <si>
    <t>DIRECTOR DE PRESUPUESTO</t>
  </si>
  <si>
    <t>Pérdida de memoria institucional y sanciones disciplinarias, fiscales y administrativa</t>
  </si>
  <si>
    <r>
      <t xml:space="preserve">
</t>
    </r>
    <r>
      <rPr>
        <b/>
        <sz val="10"/>
        <color rgb="FF00B050"/>
        <rFont val="Arial Narrow"/>
        <family val="2"/>
      </rPr>
      <t xml:space="preserve"> Pérdida de información en los expedientes de los procesos de Gestión de Hacienda pública</t>
    </r>
  </si>
  <si>
    <r>
      <rPr>
        <b/>
        <sz val="10"/>
        <color rgb="FFFF0000"/>
        <rFont val="Arial Narrow"/>
        <family val="2"/>
      </rPr>
      <t>2. Posibilidad de pérdida económica y reputacional</t>
    </r>
    <r>
      <rPr>
        <b/>
        <sz val="10"/>
        <rFont val="Arial Narrow"/>
        <family val="2"/>
      </rPr>
      <t xml:space="preserve"> </t>
    </r>
    <r>
      <rPr>
        <b/>
        <sz val="10"/>
        <color rgb="FFFF9900"/>
        <rFont val="Arial Narrow"/>
        <family val="2"/>
      </rPr>
      <t xml:space="preserve">por  </t>
    </r>
    <r>
      <rPr>
        <b/>
        <sz val="10"/>
        <color rgb="FF0070C0"/>
        <rFont val="Arial Narrow"/>
        <family val="2"/>
      </rPr>
      <t xml:space="preserve">pérdida de memoria institucional y sanciones disciplinarias, fiscales y administrativas </t>
    </r>
    <r>
      <rPr>
        <b/>
        <sz val="10"/>
        <color rgb="FFFF9900"/>
        <rFont val="Arial Narrow"/>
        <family val="2"/>
      </rPr>
      <t>debido a</t>
    </r>
    <r>
      <rPr>
        <b/>
        <sz val="10"/>
        <color rgb="FF00B050"/>
        <rFont val="Arial Narrow"/>
        <family val="2"/>
      </rPr>
      <t xml:space="preserve"> la  Pérdida de información en los expedientes de los procesos de Gestión de Hacienda pública</t>
    </r>
  </si>
  <si>
    <t>Custodia del archivo físico y digital de los expedientes de Gestión de Hacienda Pública</t>
  </si>
  <si>
    <r>
      <t xml:space="preserve">El Profesional Universitado y/o técnico Operativo responsable de los archivos de Gestión Documental: Carteras de Transito, Predial, ICA y Otras Multas, deberan presentar </t>
    </r>
    <r>
      <rPr>
        <b/>
        <sz val="10"/>
        <color theme="1"/>
        <rFont val="Arial Narrow"/>
        <family val="2"/>
      </rPr>
      <t xml:space="preserve">mensualmente </t>
    </r>
    <r>
      <rPr>
        <sz val="10"/>
        <color theme="1"/>
        <rFont val="Arial Narrow"/>
        <family val="2"/>
      </rPr>
      <t xml:space="preserve">al Director de Tesorería un informe de, control de prestamo y devolución de Expedientes. 
Este Informe debe contener la trazabilidad del control realizado a los expedientes que superen el plazo máximo de Devolución. </t>
    </r>
  </si>
  <si>
    <t>Deficiencia en la aplicación de los cambios normativos para entidades del gobiern</t>
  </si>
  <si>
    <t xml:space="preserve"> falta de actualización de los documentos de los procesos de gestión de la Secretaría de Haciend</t>
  </si>
  <si>
    <r>
      <rPr>
        <b/>
        <sz val="10"/>
        <color rgb="FFFF0000"/>
        <rFont val="Arial Narrow"/>
        <family val="2"/>
      </rPr>
      <t>3. Posibilidad de pérdida reputacional</t>
    </r>
    <r>
      <rPr>
        <b/>
        <sz val="10"/>
        <rFont val="Arial Narrow"/>
        <family val="2"/>
      </rPr>
      <t xml:space="preserve"> </t>
    </r>
    <r>
      <rPr>
        <b/>
        <sz val="10"/>
        <color rgb="FFFF9900"/>
        <rFont val="Arial Narrow"/>
        <family val="2"/>
      </rPr>
      <t>por</t>
    </r>
    <r>
      <rPr>
        <b/>
        <sz val="10"/>
        <rFont val="Arial Narrow"/>
        <family val="2"/>
      </rPr>
      <t xml:space="preserve"> </t>
    </r>
    <r>
      <rPr>
        <b/>
        <sz val="10"/>
        <color rgb="FF002060"/>
        <rFont val="Arial Narrow"/>
        <family val="2"/>
      </rPr>
      <t>sanciones disciplinarias  y administrativas</t>
    </r>
    <r>
      <rPr>
        <b/>
        <sz val="10"/>
        <rFont val="Arial Narrow"/>
        <family val="2"/>
      </rPr>
      <t xml:space="preserve">  </t>
    </r>
    <r>
      <rPr>
        <b/>
        <sz val="10"/>
        <color rgb="FFFF9900"/>
        <rFont val="Arial Narrow"/>
        <family val="2"/>
      </rPr>
      <t xml:space="preserve">debido a </t>
    </r>
    <r>
      <rPr>
        <b/>
        <sz val="10"/>
        <rFont val="Arial Narrow"/>
        <family val="2"/>
      </rPr>
      <t xml:space="preserve"> </t>
    </r>
    <r>
      <rPr>
        <b/>
        <sz val="10"/>
        <color rgb="FF00B050"/>
        <rFont val="Arial Narrow"/>
        <family val="2"/>
      </rPr>
      <t>deficiencia en la aplicación de los cambios normativos para entidades del gobierno</t>
    </r>
  </si>
  <si>
    <r>
      <t>Cada Director o de maneja conjunta,  socializarán a su equipo de trabajo</t>
    </r>
    <r>
      <rPr>
        <b/>
        <sz val="10"/>
        <color theme="1"/>
        <rFont val="Arial Narrow"/>
        <family val="2"/>
      </rPr>
      <t xml:space="preserve"> los documentos actualizados </t>
    </r>
    <r>
      <rPr>
        <sz val="10"/>
        <color theme="1"/>
        <rFont val="Arial Narrow"/>
        <family val="2"/>
      </rPr>
      <t xml:space="preserve">que hacen parte de su actividad diaria para promover el mejoramiento continuo de su proceso, dejando como evidencias </t>
    </r>
    <r>
      <rPr>
        <b/>
        <sz val="10"/>
        <color theme="1"/>
        <rFont val="Arial Narrow"/>
        <family val="2"/>
      </rPr>
      <t>actas o circulares.</t>
    </r>
  </si>
  <si>
    <t xml:space="preserve">SECRETARIO DE HACIENDA 
Y/O 
DIRECTORES </t>
  </si>
  <si>
    <r>
      <rPr>
        <b/>
        <sz val="10"/>
        <color rgb="FF00B050"/>
        <rFont val="Arial Narrow"/>
        <family val="2"/>
      </rPr>
      <t>falta de incorporación de recursos que no pudiesen ser incorporados como supe</t>
    </r>
    <r>
      <rPr>
        <sz val="10"/>
        <color theme="1"/>
        <rFont val="Arial Narrow"/>
        <family val="2"/>
      </rPr>
      <t>ravit.</t>
    </r>
  </si>
  <si>
    <t xml:space="preserve"> Inconsistencia en los cruces entre bancos y las certificaciones</t>
  </si>
  <si>
    <r>
      <rPr>
        <b/>
        <sz val="10"/>
        <color rgb="FFFF0000"/>
        <rFont val="Arial Narrow"/>
        <family val="2"/>
      </rPr>
      <t>4. Posibilidad de perdida reputacional</t>
    </r>
    <r>
      <rPr>
        <b/>
        <sz val="10"/>
        <rFont val="Arial Narrow"/>
        <family val="2"/>
      </rPr>
      <t xml:space="preserve"> </t>
    </r>
    <r>
      <rPr>
        <b/>
        <sz val="10"/>
        <color rgb="FFFF9900"/>
        <rFont val="Arial Narrow"/>
        <family val="2"/>
      </rPr>
      <t>por</t>
    </r>
    <r>
      <rPr>
        <b/>
        <sz val="10"/>
        <rFont val="Arial Narrow"/>
        <family val="2"/>
      </rPr>
      <t xml:space="preserve"> s</t>
    </r>
    <r>
      <rPr>
        <b/>
        <sz val="10"/>
        <color rgb="FF0070C0"/>
        <rFont val="Arial Narrow"/>
        <family val="2"/>
      </rPr>
      <t>anciones disciplinarias y administrativas</t>
    </r>
    <r>
      <rPr>
        <b/>
        <sz val="10"/>
        <rFont val="Arial Narrow"/>
        <family val="2"/>
      </rPr>
      <t xml:space="preserve"> </t>
    </r>
    <r>
      <rPr>
        <b/>
        <sz val="10"/>
        <color rgb="FFFF9900"/>
        <rFont val="Arial Narrow"/>
        <family val="2"/>
      </rPr>
      <t>debido a</t>
    </r>
    <r>
      <rPr>
        <b/>
        <sz val="10"/>
        <color rgb="FF00B050"/>
        <rFont val="Arial Narrow"/>
        <family val="2"/>
      </rPr>
      <t xml:space="preserve"> la falta de incorporación de recursos que no pudiesen ser incorporados como superavit</t>
    </r>
  </si>
  <si>
    <r>
      <t xml:space="preserve">El Director de tesoreria citará a mesa de trabajo en el </t>
    </r>
    <r>
      <rPr>
        <b/>
        <sz val="10"/>
        <color theme="1"/>
        <rFont val="Arial Narrow"/>
        <family val="2"/>
      </rPr>
      <t xml:space="preserve">mes de Febrero de la vigencia inmediatamente siguiente al cierre fiscal, </t>
    </r>
    <r>
      <rPr>
        <sz val="10"/>
        <color theme="1"/>
        <rFont val="Arial Narrow"/>
        <family val="2"/>
      </rPr>
      <t>a las Direcciones de Presupuesto y  Contabilidad, con el fin de revisar  y programar el cierre fiscal de la vigencia, dejando como evidencia una</t>
    </r>
    <r>
      <rPr>
        <b/>
        <sz val="10"/>
        <color theme="1"/>
        <rFont val="Arial Narrow"/>
        <family val="2"/>
      </rPr>
      <t xml:space="preserve"> (1) acta anual.</t>
    </r>
  </si>
  <si>
    <t xml:space="preserve">Deudas a favor de la entidad </t>
  </si>
  <si>
    <t xml:space="preserve">Vencimiento de plazos para la labor de cobro directo (persuasivo o coactivo) o judicial </t>
  </si>
  <si>
    <t>Retraso en la entrega de información relacionada con actualización y/o conservación catastral por parte del Gestor catastral.  Notificación indebida y/o extemporanea</t>
  </si>
  <si>
    <r>
      <rPr>
        <b/>
        <sz val="10"/>
        <color rgb="FFFF0000"/>
        <rFont val="Arial Narrow"/>
        <family val="2"/>
      </rPr>
      <t>5, Posibilidad de perdida reputacional y economica</t>
    </r>
    <r>
      <rPr>
        <b/>
        <sz val="10"/>
        <color rgb="FF0070C0"/>
        <rFont val="Arial Narrow"/>
        <family val="2"/>
      </rPr>
      <t xml:space="preserve"> </t>
    </r>
    <r>
      <rPr>
        <b/>
        <sz val="10"/>
        <color theme="9" tint="-0.249977111117893"/>
        <rFont val="Arial Narrow"/>
        <family val="2"/>
      </rPr>
      <t>por</t>
    </r>
    <r>
      <rPr>
        <b/>
        <sz val="10"/>
        <color rgb="FF0070C0"/>
        <rFont val="Arial Narrow"/>
        <family val="2"/>
      </rPr>
      <t xml:space="preserve"> Deudas a favor de la entidad </t>
    </r>
    <r>
      <rPr>
        <b/>
        <sz val="10"/>
        <rFont val="Arial Narrow"/>
        <family val="2"/>
      </rPr>
      <t xml:space="preserve"> </t>
    </r>
    <r>
      <rPr>
        <b/>
        <sz val="10"/>
        <color rgb="FFFF9900"/>
        <rFont val="Arial Narrow"/>
        <family val="2"/>
      </rPr>
      <t>de</t>
    </r>
    <r>
      <rPr>
        <b/>
        <sz val="10"/>
        <color rgb="FFFFC000"/>
        <rFont val="Arial Narrow"/>
        <family val="2"/>
      </rPr>
      <t>bido a</t>
    </r>
    <r>
      <rPr>
        <b/>
        <sz val="10"/>
        <rFont val="Arial Narrow"/>
        <family val="2"/>
      </rPr>
      <t xml:space="preserve"> </t>
    </r>
    <r>
      <rPr>
        <b/>
        <sz val="10"/>
        <color rgb="FF00B050"/>
        <rFont val="Arial Narrow"/>
        <family val="2"/>
      </rPr>
      <t>Vencimiento de plazos para la labor de cobro directo (persuasivo o coactivo) o judicial</t>
    </r>
  </si>
  <si>
    <t>Aplicación del procedimiento PRO-GHP-05 FACTURACION  Impuesto Predial Unificado.</t>
  </si>
  <si>
    <t>DIRECTOR DE RENTAS</t>
  </si>
  <si>
    <r>
      <t xml:space="preserve">Debilidad de la Dirección de Tesorería-grupo Cobro Coactivo para efectuar el </t>
    </r>
    <r>
      <rPr>
        <b/>
        <sz val="10"/>
        <color theme="1"/>
        <rFont val="Arial Narrow"/>
        <family val="2"/>
      </rPr>
      <t>control</t>
    </r>
    <r>
      <rPr>
        <sz val="10"/>
        <color theme="1"/>
        <rFont val="Arial Narrow"/>
        <family val="2"/>
      </rPr>
      <t xml:space="preserve"> de  los impulsos procesales de la cartera de cobro.  </t>
    </r>
  </si>
  <si>
    <t>Al inicio de los procesos coactivos de la cartera del municipio</t>
  </si>
  <si>
    <t xml:space="preserve">     Entre 5000 y 10000 SMLMV</t>
  </si>
  <si>
    <t>El Profesional Especializado, profesional Universitario y/o técnico Operativo responsable de las áreas de impulso Transito, Predial e ICA, y otras multas, deberán presentar trimestralmente al Director de Tesorería un informe donde se determinen los mandamientos de pago efectuados y el trámite de las notificaciones de los mismos y de igual forma los embargos efectuados y el valor de los mismos.</t>
  </si>
  <si>
    <t xml:space="preserve">Pagos efectuados a contratistas </t>
  </si>
  <si>
    <t xml:space="preserve">Inadecuada deducción de impuestos, tasas o contribuciones al contratista </t>
  </si>
  <si>
    <r>
      <t xml:space="preserve">6, </t>
    </r>
    <r>
      <rPr>
        <sz val="11"/>
        <color rgb="FFFF0000"/>
        <rFont val="Arial Narrow"/>
        <family val="2"/>
      </rPr>
      <t xml:space="preserve">Posibilidad de perdida reputacional y economica </t>
    </r>
    <r>
      <rPr>
        <b/>
        <sz val="11"/>
        <color theme="9" tint="-0.249977111117893"/>
        <rFont val="Arial Narrow"/>
        <family val="2"/>
      </rPr>
      <t xml:space="preserve">por </t>
    </r>
    <r>
      <rPr>
        <b/>
        <sz val="11"/>
        <color rgb="FF0070C0"/>
        <rFont val="Arial Narrow"/>
        <family val="2"/>
      </rPr>
      <t xml:space="preserve">Pagos efectuados a contratistas </t>
    </r>
    <r>
      <rPr>
        <sz val="11"/>
        <color theme="9" tint="-0.249977111117893"/>
        <rFont val="Arial Narrow"/>
        <family val="2"/>
      </rPr>
      <t xml:space="preserve">debido a </t>
    </r>
    <r>
      <rPr>
        <b/>
        <sz val="11"/>
        <color rgb="FF00B050"/>
        <rFont val="Arial Narrow"/>
        <family val="2"/>
      </rPr>
      <t xml:space="preserve">Inadecuada deducción de impuestos, tasas o contribuciones al contratista </t>
    </r>
  </si>
  <si>
    <r>
      <t xml:space="preserve">Revisar documentos soportes y deducciones de Ordenes de Prestación de Servicios Profesionales y de Apoyo a la Gestión y Órdenes de Pago de otras tipologías contractuales. </t>
    </r>
    <r>
      <rPr>
        <b/>
        <sz val="10"/>
        <rFont val="Arial Narrow"/>
        <family val="2"/>
      </rPr>
      <t>PRO-GHP-008</t>
    </r>
    <r>
      <rPr>
        <sz val="10"/>
        <rFont val="Arial Narrow"/>
        <family val="2"/>
      </rPr>
      <t xml:space="preserve">
</t>
    </r>
  </si>
  <si>
    <t>El director de presupuesto solicitará trimestralmente a los profesionales del Grupo Central de Cuentas un informe de las causales de devolución reportadas por las areas que intervienen posteriormente en el procedimiento de revisión de documentos y ordenes de pago, identificando el tipo de causal, el numero de veces y el nombre de quien generó la devolución.  De este trabajo decidirá si es necesario reforzar el conocimiento del grupo de apoyo identificando los temas necesarios a fortalecer.</t>
  </si>
  <si>
    <t>Deficiente seguimiento por parte de los ordenadores del gasto  en la ejecución presupuestal</t>
  </si>
  <si>
    <t>D3, O4-El director (a) de Presupuesto por medio de su equipo de trabajo, realizará seguimiento a la ejecución presupuestal elaborando y presentando de manera mensual un INFORME EJECUTIVO  DE LA EJECUCIÓN PRESUPUESTAL DE GASTOS, que resume las principales líneas de la ejecución oficial de gastos con el fin de generar las alertas  tempranas que procuren un incremento en la ejecución del gasto público por parte de las secretarias del despacho municipal,
Dejando como evidencia los correos electrónicos institucionales. (MANUAL  PRESUPUESTO: MAN-GHP-01- ELABORACIÓN DEL INFORME EJECUTIVO DE EJECUCIÓN PRESUPUESTAL DE GASTOS //CARACTERIZACION DEL PROCESO: CAR-GHP-001 )</t>
  </si>
  <si>
    <t>D1, D3, D12, O4, O7, F7 El Profesional Universitado y/o técnico Operativo cada vez que se requiera controla el prestamo y devolución de expedientes   deacuerdo a los lineamientos establecidos por Gestión Documental, dejando como Evidencia Planillas de control.
(GESTION DOCUMENTAL: FORMATO CONTROL PRESTAMO: PRO-GD-03)</t>
  </si>
  <si>
    <t>D2, D6,  F2, O5 Los Directores  por medio de su equipo de trabajo revisarán los documentos del proceso de gestión de Hacienda Pública  y actualizará si se requiere  anualmente los documentos, dejando como evidencia el correo electrónico con el envío de los docuementos a actualizar a la Dirección de Fortalecimiento Institucional.
(GESTION DOCUMENTAL: POLITICA GESTION DOCUMENTAL: POL-GD-001-PRO-SIG-001 CONTROL DE DOCUMENTOS DEL SIGAMI)</t>
  </si>
  <si>
    <t>D 13, D14. O10, F11 , A4. El Director de Tesoreria , anualmente, emitirá Certificado de superávit o déficit fiscal, dejando como evidencia dicha certificación. 
(PRO-GHP-010: PROCEDIMIENTO: CIERRE DEL EJERCICIO FISCAL)</t>
  </si>
  <si>
    <t>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PRO-GHP-05 FACTURACION  Impuesto Predial Unificado.</t>
  </si>
  <si>
    <t>F10, A4, D5, O10 , El director de Tesorería trimestralmente, solicitará un informe a los coordinadores de las diferentes áreas de impulso, donde se especifique los mandamientos de pago efectuados y el trámite de las notificaciones de los mismos y de igual forma los embargos efectuados y el valor de los mismos para llevar el control de los vencimientos de plazos para la labor de cobro.  
dejando como evidencia los informes trimestrales presentados al Director de Tesoreria
MANUAL ESPECÍFICO DE FUNCIONES Y COMPETENCIAS
LABORALES (MAN-GHS-003) ( DESCRIPCION DE FUNCIONES ESENCIALES y Página: 491 de 731)</t>
  </si>
  <si>
    <t>El técnico, los profesionales y el Grupo de Apoyo cada vez que llegue al correo documentos y órdenes de pago para tramite revisaran y compararan que los documentos que se requieren para la generación de una Orden de Pago de Prestación de Servicios Profesionales y de Apoyo a la Gestión y los soportes que acompañan la Orden de Pago de Otras Tipologías Contractuales son los requeridos y definidos como anexos en las condiciones generales y verificaran que los cálculos de las deducciones correspondan a los conceptos del hecho económico a pagar, bases gravables y tarifas estipuladas por la normatividad que les dio origen y que se encuentre vigente.
 dejando como evidencia Correos Institucionales para manejo de documentos de órdenes de pago
PROCEDIMIENTO: ÓRDENES DE PAGO Código: PRO-GHP-008</t>
  </si>
  <si>
    <t>Inadecuada deducción de impuestos, tasas o contribuciones al contratista</t>
  </si>
  <si>
    <t xml:space="preserve">
Posibilidad de perdida reputacional debido a la perdida de informacion por la 
Baja aplicación en los procesos de organización documental a la totalidad de los archivos de la administración Municipal.</t>
  </si>
  <si>
    <t xml:space="preserve">"Politica operacional del proceso Gestion Documental
y
Procedimiento gestion de bienes y servicios para el funcionamiento de la administracion central.                                                         PRO-GD-006 ORGANIZACIÓN DE DOCUMENTOS DE ARCHIVO DE GESTION – EXPEDIENTES FISICOS. 
GUI-GD-04-GUIA PARA EL DILIGECIAMIENTO DEL FUID. 
GUI-GD-05-GUIA PARA LAS TRANSFERENCIAS PRIMARIAS. 
PGR-GD-01 PROGRAMA DE GESTIÓN DOCUMENTAL.  
*DIAGNOSTICO INTEGRAL DE ARCHIVO EN LA ALCALDIA MUNICAAPL DE IBAGUÉ 
*ACTA DE VISITA DE CONTROL ALCALDIA MUNICIPAL DE IBAGUÉ 2024
</t>
  </si>
  <si>
    <r>
      <rPr>
        <b/>
        <sz val="12"/>
        <color theme="1"/>
        <rFont val="Arial Narrow"/>
        <family val="2"/>
      </rPr>
      <t>Mayo - Junio 2024</t>
    </r>
    <r>
      <rPr>
        <sz val="12"/>
        <color theme="1"/>
        <rFont val="Arial Narrow"/>
        <family val="2"/>
      </rPr>
      <t xml:space="preserve">
se elabora circular 28 del 22 de mayo del 2024 donde se socializa el cronograma de visitas de seguimiento a las unidades administritivas que presentaron planes de trabajo en la vigencia 2023 Durante este periodo se llevaron a cabo 46 visitas de seguimiento  a las siguientes unidades administrativas: 
</t>
    </r>
    <r>
      <rPr>
        <sz val="12"/>
        <color rgb="FFFF0000"/>
        <rFont val="Arial Narrow"/>
        <family val="2"/>
      </rPr>
      <t>Porcentaje de cumplimiento: 77%</t>
    </r>
    <r>
      <rPr>
        <sz val="12"/>
        <color theme="1"/>
        <rFont val="Arial Narrow"/>
        <family val="2"/>
      </rPr>
      <t xml:space="preserve">
 Despacho Alcalde Oficina de Control Interno Oficina de Control Unico Disciplinario Oficina Jurídica Oficina Contratación Oficina Comunicaciones Grupo Logística y Protocolo Gerencia de Proyectos Despacho Secretaria educativa Grupo Inspección y Vigilancia Dirección Calidad Educativa Grupo Evaluación Dirección Administrativa y Financiera Grupo Talento Humano y SST Despacho planeación Dirección Ordenamiento Territorial Sostenible - OTS Dirección Información y Aplicación de la norma Urbanística - DIANU Dirección planeación del desarollo Dirección Administración del SISBEN Dirección Fortalecimiento Institucional Despacho hacienda Dirección de Presupuesto Dirección Contabilidad Direccion Tecnica Direccion Operativa Despacho administrativa Dirección De Recursos Fìsicos Despacho Cultura Dirección de fomento de las practicas administrativas Despacho gobierno Dirección de justicia Centro de estudios y análisis de convivencia Dirección de participación ciudadana comunitaria Dirección de Infancia, Adolescencia y Juventud Grupo Etnias Despacho secretaria general Dirección de Atención al Ciudadano Despacho TIC Grupo Ciencia Tecnologia e innovaciòn Grupo Infraestructura Tecnologica  
2. Se elabora circualr 005 del 26 de junio de 2024 en donde se solicita planes de trabajo con vigencias 2024 y reportar los inventarior totales de la documentación existente 
3. De acuerdo a circular 35 del 22 de abril del 2024 donde se socializa el cronograma de capaciones en gestión documental 
Durante este periodo se realizan 7 capacitaciones donde se socializa las siguiente tematicas: protocolo para embalaje y traslado de archivos , fundamentos basicos de Gestión Documental e Implementación de TRD: 
Las unidades administrativas capacitadas fueron: GRUPO ALMACEN; GRUPO DE BIENES FISCALES Y DE USO PUBLICO; OFICINA JURIDICA; SECRETARÍA DE SALUD; DIRECCION DE JUSTICIA;  SECRETARÍA DE AMBIENTE Y GESTIÓN 
DEL RIESGO; SECRETARIA DE INFRAESTRUCTURA
</t>
    </r>
    <r>
      <rPr>
        <b/>
        <sz val="12"/>
        <color rgb="FFFF0000"/>
        <rFont val="Arial Narrow"/>
        <family val="2"/>
      </rPr>
      <t>JULIO- AGOSTO 2024</t>
    </r>
    <r>
      <rPr>
        <b/>
        <sz val="12"/>
        <color theme="1"/>
        <rFont val="Arial Narrow"/>
        <family val="2"/>
      </rPr>
      <t xml:space="preserve">
</t>
    </r>
    <r>
      <rPr>
        <sz val="12"/>
        <color theme="1"/>
        <rFont val="Arial Narrow"/>
        <family val="2"/>
      </rPr>
      <t xml:space="preserve">Para este periodo se realizarón las visitas de seguimiento que estan pednientes para cumplir el 100% del cronograma estabecido en la circular 28 del 22 de mayo de 2024.
Las unidades administrativas que se visitaron fueron las siguientes ( 13 en total):
Dirección Tesorería
Grupo Cobro Coactivo
Dirección Rentas
Secretaria de desarrollo social- despacho 
Grupo Juventudes
Grupo Etnias
Grupo discapacidad
Grupo Habitante de la Calle
Grupo de Adulto mayor
Grupo Atención y Orientación a las Víctimas del Conflicto Armado
Dirección Mujer, Género y Diversidad Sexual
Grupo LGBTI
Grupo Relaciones Estratégicas
Porcentaje de cumplimiento: 100%
Adicionalmente, para las unidades administrativas que no habian entregado plan de trabajo en la vigencia 2023, se realizo visita de acompañamiento para la contrucción del plan de trabajo 2024, con el fin de brindar apoyo en el cumplimiento de las circulares 005 del 26 de junio y 003 del 27 de junio.
Secretaria de las TIC
grupo SST 
Gerencia de Proyectos Estratégicos
Grupo de Inspección y Vigilancia (Sec. de Educación - Grupo de Cobertura)
Dirección de recursos Fisicos
Grupo de gestión documental
Dirección de Gestión del Riesgo y Atención de Desastres
Despacho secretaria Dirección de Ambiente, Agua y Cambio Climatico
Dirección de Trámites y Servicios
Dirección Asuntos Jurídicos
Dirección Operativa
Secretaria de Salud
EFAC
Dirección de Participación Ciudadana y Grupo de Asuntos Religiosos
Despacho Secretaría de Gobierno
Dirección de Justicia y SEACSPAZ
Dirección de Espacio Público
 Grupo de Acceso Sec. de Educación
direccion cuerpo oficial de bomberos
Secretaría de Cultura
Bienes fiscales 
Dirección de Recursos Físicos ,
Grupo de almacen
Secretaría Administrativa - Despacho
Dirección de Talento Humano
Secretaría de Movilidad-Despacho
Se realizó 26 visitas, las cuales abarcaron las 46 unidades administrativas faltantes para completar visitas al 100% de las unidades administritivas.
</t>
    </r>
    <r>
      <rPr>
        <b/>
        <sz val="12"/>
        <color rgb="FFFF0000"/>
        <rFont val="Arial Narrow"/>
        <family val="2"/>
      </rPr>
      <t xml:space="preserve">SEPTIEMBRE - OCTUBRE 2024
</t>
    </r>
    <r>
      <rPr>
        <sz val="12"/>
        <color theme="1"/>
        <rFont val="Arial Narrow"/>
        <family val="2"/>
      </rPr>
      <t xml:space="preserve">Se emite circular 58 del 25 de octubre  de 2024 en donde se socializa el cronograma de visitas de seguimiento a todas las unidades administritivas con el fin de hacer segumiento al plan de trabajo planteado para el 2024 y hacer verificación en campo de apropiación de conocimientos adquiridos por medio de las capacitaciones. Es importante mencionar que las visitas se iniciarán en el mes de noviembre. 
</t>
    </r>
  </si>
  <si>
    <t>*DIAGNOSTICO INTEGRAL DE ARCHIVO EN LA ALCALDIA MUNICAAPL DE IBAGUÉ 
*ACTA DE VISITA DE CONTROL ALCALDIA MUNICIPAL DE IBAGUÉ 2024</t>
  </si>
  <si>
    <r>
      <rPr>
        <b/>
        <sz val="11"/>
        <color theme="1"/>
        <rFont val="Arial Narrow"/>
        <family val="2"/>
      </rPr>
      <t xml:space="preserve">Mayo - Junio 2024
</t>
    </r>
    <r>
      <rPr>
        <sz val="11"/>
        <color theme="1"/>
        <rFont val="Arial Narrow"/>
        <family val="2"/>
      </rPr>
      <t xml:space="preserve">
1. Se presenta informe semestral de ejecución del SIC  
 2. Se presneta información dentro del informe de ejecución del SIC
 3. No se realizan actividades relacionadas en este periodo
</t>
    </r>
    <r>
      <rPr>
        <b/>
        <sz val="11"/>
        <color theme="1"/>
        <rFont val="Arial Narrow"/>
        <family val="2"/>
      </rPr>
      <t xml:space="preserve">JULIO- AGOSTO 2024
1. </t>
    </r>
    <r>
      <rPr>
        <sz val="11"/>
        <color theme="1"/>
        <rFont val="Arial Narrow"/>
        <family val="2"/>
      </rPr>
      <t>Las actividades realizadas en este periodo se reportara en el informe del semestre N°2</t>
    </r>
    <r>
      <rPr>
        <b/>
        <sz val="11"/>
        <color theme="1"/>
        <rFont val="Arial Narrow"/>
        <family val="2"/>
      </rPr>
      <t xml:space="preserve">
 2. </t>
    </r>
    <r>
      <rPr>
        <sz val="11"/>
        <color theme="1"/>
        <rFont val="Arial Narrow"/>
        <family val="2"/>
      </rPr>
      <t>No se realizan actividades relacionadas en este periodo</t>
    </r>
    <r>
      <rPr>
        <b/>
        <sz val="11"/>
        <color theme="1"/>
        <rFont val="Arial Narrow"/>
        <family val="2"/>
      </rPr>
      <t xml:space="preserve">
 3. </t>
    </r>
    <r>
      <rPr>
        <sz val="11"/>
        <color theme="1"/>
        <rFont val="Arial Narrow"/>
        <family val="2"/>
      </rPr>
      <t xml:space="preserve">No se realizan actividades relacionadas en este periodo
</t>
    </r>
    <r>
      <rPr>
        <b/>
        <sz val="11"/>
        <color rgb="FFFF0000"/>
        <rFont val="Arial Narrow"/>
        <family val="2"/>
      </rPr>
      <t xml:space="preserve">SEPTIEMBRE - OCTUBRE 2024
</t>
    </r>
    <r>
      <rPr>
        <sz val="11"/>
        <color theme="1"/>
        <rFont val="Arial Narrow"/>
        <family val="2"/>
      </rPr>
      <t xml:space="preserve">1. Aunque la periodicida del informe es semestral, se adjunta informe de ejecución del SIC del tirmestre III 
2. El día 10 de octubre se envia correo al area de mantenimiento solicitando las necesidades indentificadas
3. Para este periodo, la secretaria de movilidad solicita acoompañamiento para la evaluación de las condiciones del nuevo luegar propuesto para el trasaldo de la misma. Para lo anterior se reaiza reliza comite de gestión del cambio en la dirección recursos fisicos el día 4 de septiembre y posterior a esto el día 10 de septiembre se realiza la visita fisica al punto de traslado con todos los intengrantes del comite en donde cada participante deja plasmado en el acta sus observaciones y recomendaciones
</t>
    </r>
    <r>
      <rPr>
        <b/>
        <sz val="11"/>
        <color theme="1"/>
        <rFont val="Arial Narrow"/>
        <family val="2"/>
      </rPr>
      <t xml:space="preserve">
</t>
    </r>
  </si>
  <si>
    <t>FOR-13-PRO-GD-03 FORMATO CONTROL PRÉSTAMO.
*DIAGNOSTICO INTEGRAL DE ARCHIVO EN LA ALCALDIA MUNICAAPL DE IBAGUÉ 
*ACTA DE VISITA DE CONTROL ALCALDIA MUNICIPAL DE IBAGUÉ 2024</t>
  </si>
  <si>
    <r>
      <rPr>
        <b/>
        <sz val="11"/>
        <color theme="1"/>
        <rFont val="Arial Narrow"/>
        <family val="2"/>
      </rPr>
      <t xml:space="preserve">Mayo - Junio 2024
</t>
    </r>
    <r>
      <rPr>
        <sz val="11"/>
        <color theme="1"/>
        <rFont val="Arial Narrow"/>
        <family val="2"/>
      </rPr>
      <t xml:space="preserve"> 1. No se realizan actividades relacionadas en este periodo
</t>
    </r>
    <r>
      <rPr>
        <b/>
        <sz val="11"/>
        <color theme="1"/>
        <rFont val="Arial Narrow"/>
        <family val="2"/>
      </rPr>
      <t xml:space="preserve">JULIO- AGOSTO 2024
</t>
    </r>
    <r>
      <rPr>
        <sz val="11"/>
        <color theme="1"/>
        <rFont val="Arial Narrow"/>
        <family val="2"/>
      </rPr>
      <t xml:space="preserve">
1. No se realizan actividades relacionadas en este periodo
</t>
    </r>
    <r>
      <rPr>
        <b/>
        <sz val="11"/>
        <color rgb="FFFF0000"/>
        <rFont val="Arial Narrow"/>
        <family val="2"/>
      </rPr>
      <t xml:space="preserve">SEPTIEMBRE - OCTUBRE 2024
</t>
    </r>
    <r>
      <rPr>
        <sz val="11"/>
        <color theme="1"/>
        <rFont val="Arial Narrow"/>
        <family val="2"/>
      </rPr>
      <t>Se emite circular 58 del 25 de octubre  de 2024 en donde se socializa el cronograma de visitas de seguimiento a todas las unidades administritivas dentro de las cuales se realizara la verificación la correcta aplicación del formato de control de prestamos documentales</t>
    </r>
  </si>
  <si>
    <r>
      <rPr>
        <b/>
        <sz val="11"/>
        <color rgb="FFFF0000"/>
        <rFont val="Arial Narrow"/>
        <family val="2"/>
      </rPr>
      <t xml:space="preserve">Mayo - Junio 2024
</t>
    </r>
    <r>
      <rPr>
        <b/>
        <sz val="11"/>
        <color theme="1"/>
        <rFont val="Arial Narrow"/>
        <family val="2"/>
      </rPr>
      <t xml:space="preserve">
</t>
    </r>
    <r>
      <rPr>
        <sz val="11"/>
        <color theme="1"/>
        <rFont val="Arial Narrow"/>
        <family val="2"/>
      </rPr>
      <t xml:space="preserve">Se elabora circualr 005 del 26 de junio de 2024 en donde se solicita planes de trabajo con vigencias 2024 y reportar los inventarior totales de la documentación existente 
3. De acuerdo a circular 35 del 22 de abril del 2024 donde se socializa el cronograma de capaciones en gestión documental 
Durante este periodo se realizan 7 capacitaciones donde se socializa las siguiente tematicas: protocolo para embalaje y traslado de archivos , fundamentos basicos de Gestión Documental e Implementación de TRD: 
</t>
    </r>
    <r>
      <rPr>
        <sz val="11"/>
        <color rgb="FFFF0000"/>
        <rFont val="Arial Narrow"/>
        <family val="2"/>
      </rPr>
      <t>Porcentaje de cumplimiento: 100%</t>
    </r>
    <r>
      <rPr>
        <sz val="11"/>
        <color theme="1"/>
        <rFont val="Arial Narrow"/>
        <family val="2"/>
      </rPr>
      <t xml:space="preserve">
Las unidades administrativas capacitadas fueron: GRUPO ALMACEN; GRUPO DE BIENES FISCALES Y DE USO PUBLICO; OFICINA JURIDICA; SECRETARÍA DE SALUD; DIRECCION DE JUSTICIA;  SECRETARÍA DE AMBIENTE Y GESTIÓN 
DEL RIESGO; SECRETARIA DE INFRAESTRUCTURA
</t>
    </r>
    <r>
      <rPr>
        <b/>
        <sz val="11"/>
        <color rgb="FFFF0000"/>
        <rFont val="Arial Narrow"/>
        <family val="2"/>
      </rPr>
      <t>Julio - Agosto 2024</t>
    </r>
    <r>
      <rPr>
        <b/>
        <sz val="11"/>
        <color theme="1"/>
        <rFont val="Arial Narrow"/>
        <family val="2"/>
      </rPr>
      <t xml:space="preserve">
</t>
    </r>
    <r>
      <rPr>
        <sz val="11"/>
        <color theme="1"/>
        <rFont val="Arial Narrow"/>
        <family val="2"/>
      </rPr>
      <t xml:space="preserve">Se elabora memorando 33711 del 5 de agosto de 2024 en donde se solicializa cronograma de capacitaciones a las 104 unidades administrativas en temas de criterios de organización de archivos de gestión; Aplicación TRD; Diligenciamientos de hojas de control e inventarios documentales:
</t>
    </r>
    <r>
      <rPr>
        <b/>
        <sz val="11"/>
        <color rgb="FFFF0000"/>
        <rFont val="Arial Narrow"/>
        <family val="2"/>
      </rPr>
      <t xml:space="preserve">Porcentaje de cumplimiento: 86,6%
</t>
    </r>
    <r>
      <rPr>
        <sz val="11"/>
        <color theme="1"/>
        <rFont val="Arial Narrow"/>
        <family val="2"/>
      </rPr>
      <t xml:space="preserve">Se progamaron 15 capacitaciones que cubren el 100% de Las unidades administrativas. Las unidades administrativas capacitadas fueron:
Dirección de Cobertura,
 Grupo Acceso,
 Grupo cobertura 
Oficina de control interno, 
Oficina de control unico disciplinario, 
Gerencia de proyectos estrategicos
SECRETARIA DESARROLLO ECONOMICO
Despacho, Grupo inspección y vigilancia
Dirección calidad educativa, grupo mejoramiento, grupo Evaluación
Despacho del alcalde/ Oficina Jurídica/Oficina de comunicaciones/ Secretaría general
Secretaría de Hacienda
SECRETARÍA ADMINISTRATIVA – SECRETARÍA DE GOBIERNO
Secretaría TIC, Oficina de contratación
Dirección de justicia
Dirección de espacio público
secretaria de planeación
Dirección Administrativa y financiera, Dirección de calidad
</t>
    </r>
    <r>
      <rPr>
        <b/>
        <sz val="11"/>
        <color rgb="FFFF0000"/>
        <rFont val="Arial Narrow"/>
        <family val="2"/>
      </rPr>
      <t xml:space="preserve">SEPTIEMBRE - OCTUBRE 2024
</t>
    </r>
    <r>
      <rPr>
        <sz val="11"/>
        <color theme="1"/>
        <rFont val="Arial Narrow"/>
        <family val="2"/>
      </rPr>
      <t xml:space="preserve">Se realizan las ultimas 3 capacitaciones pendientes para cumplir el 100% del cronograma establecido en el memorando 33711 del 5 de agosto de 2024 y las unidades capacitadas so las siguientes:
Secretaria de infraestructura 
 secretaria de agricultura
 direcciòn de catastro multiproposito
Secretaria de gobierno
 Direcciòn de participaciòn ciudadana
Secretaria de salud
</t>
    </r>
    <r>
      <rPr>
        <sz val="11"/>
        <color rgb="FFFF0000"/>
        <rFont val="Arial Narrow"/>
        <family val="2"/>
      </rPr>
      <t xml:space="preserve">Porcentaje de cumplimiento: 100%
</t>
    </r>
    <r>
      <rPr>
        <sz val="11"/>
        <color theme="1"/>
        <rFont val="Arial Narrow"/>
        <family val="2"/>
      </rPr>
      <t xml:space="preserve">
</t>
    </r>
  </si>
  <si>
    <t xml:space="preserve">OBJETIVO: IMPLEMENTAR EL PROGRAMA DE GESTIÓN DOCUMENTAL APLICANDO EL MODELO DE GESTION DOCUMENTAL Y ADMINISTRACIÓN DE ARCHIVOS (MGDA), PARA GARANTIZAR EL ACCESO A LA INFORMACIÓN EN FORMA OPORTUNA Y PRESERVAR LA MEMORIA INSTITUCIONAL. </t>
  </si>
  <si>
    <t>Seguimiento 31/10/2024</t>
  </si>
  <si>
    <t>Correo del 12/01/2024 se remitieron las temáticas para el Plan Institucional de Capacitación.
Circular 2024-000046 de 9/10/2024 Convocatoria reunión evaluación nivel de apropiación políticas de seguridad de la información</t>
  </si>
  <si>
    <t>Seguimiento  y evaluacion a 31 de octubre de 2024</t>
  </si>
  <si>
    <t>El Director (a) de Recursos Fisicos junto con su equipo de trabajo - Abogados  contratistas y el profesional Universitario,se reune trimestralmente  o cuando sea necesario, con el fin de revisar y hacer seguimiento y control al Plan de Accion presentado; actividades vs su ejecucion para tomar acciones en caso de desviacion.</t>
  </si>
  <si>
    <t>El Director (a) de Recursos Fisicos elabora anualmente la programacion  presupuestal  de la actividades realizadas y se plasma la ejecucion en el Plan de Accion.</t>
  </si>
  <si>
    <t>Ejecuciones y Actividades Propias del Proceso.</t>
  </si>
  <si>
    <t>El Director (a) de Recursos Fisicos emite circulares semestralmente para socializar la Correcta apliacion al MANUAL PARA EL MANEJO Y CONTROL DE LOS BIENES DEL  MUNICIPIO.</t>
  </si>
  <si>
    <t>El Director (a)  Recursos Fisicos junto con el Almacenista, realizan programacion del cronograma para el seguimiento a las tomas fisicas, con el fin de validar si existe perdida o no perdida, extravio, hurto, daños, robo o declaratoria irregular de bienes faltantes pertenecientes a la entidad.</t>
  </si>
  <si>
    <t>El Almacenista General cada vez que se presente un traslado o retiro de un funcionario, asigna un responsable para verificar la informaicon contenida en el acta de entrega y traspaso de bienes muebles, coincida con la informacion que reposa en la BDD del aplicativo de inventarios a no coincidir la informacion se remite correo electronico al responsable y sean ubicados los bienes muebles. Siguiendo los procedimientos establecidos.</t>
  </si>
  <si>
    <t>Ejecuciones  y Acitividades Propias del Proceso.</t>
  </si>
  <si>
    <t>El profesional Universitario Especializado, realiza mensualmentes seguimieto aleatorios a la BDD a los expedientes que reposan en el archivo gestion de la Direccion de Recursos Fisicos, para identificar posibles fallos en el registro de la informacion  que reposa en las BBD de los Bienes fiscales y de uso publicos del Municipio de Ibague, como tambien se programan mesas de trabajo para el seguimiento de este control.</t>
  </si>
  <si>
    <t>Cuando ingresen personal de apoyo al proceso de gestion de Recursos Fisicos al Grupo de Bienes Fiscales y de Uso Publico, se les realiza una socializacion del MANUAL ADMINISTRACION DE BIENES FISCALES Y DE USO PUBLICO,</t>
  </si>
  <si>
    <t>Deficiencia  en la planeacion y control de los contratos</t>
  </si>
  <si>
    <t>Deficiencia de la aplicación correcta al MANUAL PARA EL MANEJO Y CONTROL DE LOS BIENES DEL MUNICIPIO</t>
  </si>
  <si>
    <t>Deficiente control al momentos de la desvinculacion o traslado de los Funcionarios</t>
  </si>
  <si>
    <t>Inadecuado manejo de la informacion en la base de datos asociada al proceso de identificacion de los Bienes Fiscales y de uso Publico</t>
  </si>
  <si>
    <t>Presiones externas o de un superior jerárquico, para manipular informacion de los Bienes Fiscales y de uso Publico del Municipio de Ibague.</t>
  </si>
  <si>
    <t>Deficiente articulacion de la informacion entre procesos para la identificación de los predios de propiedad del Municipio.</t>
  </si>
  <si>
    <t>F3,4 A9. Trimestralmente la Direccion de Recursos Fisicos  revisa el presupuesto aprobado por la vigencia haciendo  programacion de compras y contratacion el plan anual de adquisicion, dejando como evidencia el Plan de Accion.</t>
  </si>
  <si>
    <t>D4 04  Socializar la Politica para el uso adecuado de los bienes (devolutivos y de consumo) Politica de obligatorio cumplimiento, a travez de los medios de comunicación interna de la Administración Municipal</t>
  </si>
  <si>
    <t>D13, O4, 9. En la expedición de paz y salvo para el caso de desvinculacion de funcionarios,  Aplicando los procesos  de controles y procedimientos establecidos por la entidad</t>
  </si>
  <si>
    <t>1.La Secretaria Administrativa y la Dirección de Recursos Físicos en el mes de Diciembre del 2023, dio respuesta a la Circular 033 (05/12/2023) Instrumentos de Planeación para la Vigencia 2023, donde se envió memorando 059441  del 18 de diciembre de 2023, allegando el Plan de Acción para la Vigencia 2024 .                                      
   2. Por ocasion del Memorando N° 1010-2024-03639 del 01 de febrero del 2024 de la Oficina de Control Interno, con lo cual, el dia 08 del mismo mes, realizo la visita a esta Direccion y evaluaron la gestion del Plan de Accion vigencia 2023 con una Puntuacion de un 100% de cumplimiento de la ejecucion (memorando N° 15/04/2024 Control Interno informe) .                                                                                                                                                                3. Dando cumplimiento, por medio del Acta 004 del 29 de febrero de 2024, la Directora de Recursos Fisicos se reunio con los Abogados contratistas que llevan a cabo los procesos de la Contratación de Bienes y Servicios de la D.R.F.Con el fin de hacer seguimiento y control a la contratación que se tiene programada y que se ha ejecutado a la fecha segun lo programado y ejecutado en el Plan de Accion del 2024.Informe presentado a 29 de febrero de 2024.                                                                                                                                                                                                        
  4.  Dando cumplimiento, la Directora de Recursos Fisicos, hace seguimiento y control de los bienes serviicios , segun la programacion que se realizo en el plan de accion vigencia 2024, segun Acta N° 00007 del 13 de marzo de 2024, de acuerdo a lo programado y ejecutado en el plan de accion 2024.                                                                                                                                                                                                                5. Dando cumplimiento al seguimiento y control, la Directora de Recursos Fisicos, realiza convocatoria y se reunion con los abogados contratistas para revisar los avances a los procesos contractuales, segun Acta N° 0009 del 22 de marzo de 2024, segun lo programada y ejecutado en el plan de accion 2024.                                                                                                                                                                                                                   6. Dando cumplimiento    al seguimiento y control, la Directora de Recursos Fisicos, realiza convocatoria y se reunion con los abogados contratistas para revisar los avances a los procesos contractuales, segun Acta N° 0013  del 23 de Abril de 2024, segun lo programada y ejecutado en el plan de accion 2024.                                                                                                                                                                                                               7.   Dando cumplimiento al seguimiento la Directora de Recursos Fisicos, hace control a la contratacion que se tiene planeada y programada segun lo programada en el Plan de Accion vigencia 2024 de bienes fiscales y de uso publico y titulacion, por medio del Acta N° 0028 del 25/06/2024.                                                                                                                                                                                            
 8.Dando cumplimiento a esta actividad, la Directora de Recursos Fisicos realiza seguimiento y control a la contratacion de bienes y servicios de acuerdo a lo presupuestado y ejecutado hasta la fecha, por medio del Acta N° 0029 del 25/06/2024 Evidencia el Plan de accion hasta esa fecha.                                                                
  9.Dando cumplimiento a esta actividad la Directora de Recursos Fisicos realiza comite de segumiento de las actividades programadas y al estado de los procesos precontratuales y contratuales a corte de 28 de agosto de 2024, dejando evidencia del acta de reunion N° 0032 del 29/08/2024. 10. Dando cumplimiento a esta actividad por medio del acta de reunion N° 0035 del 16/09/2024, se realizo seguimiento al plan de accion y plan de trabajo del grupo de bienes y de uso publico. 11. Dando cumplimiento a esta actividad por medio del acta de reunion N° 0036 del 01/10/2024 se le realizo seguimiento al plan de accion del funcionamiento de la direccion, revisando la programacion de las actividades principales. 12. SE presenta Plan de accion con corte a 30 de septiembre 2024, dando cumplimiento a la circular N° 1232-0031 del 30/09/2024 emitida por la  Secretaria de Planeacion.</t>
  </si>
  <si>
    <t xml:space="preserve">1.  Cumpliendo con la Actividad de Control, desde la Oficina de Almacen se realizo socializacion de la Politica de Uso Adecuado de los Bienes, Esta politica fue Socializada por medio de la Circular N° 003 del 13 de enero del 2024  y se publica en la pagina de Facebook- PELHUSA y se remite por los Correos electronicos a los funcionarios publicos.                                       
2.   Cumpliendo con la Actividad de Control, el dia 14  de febrero de 2024 se expidio Circular 00011  con Asunto: Ingreso Almacen para Elementos Tecnologicos (tangibles e intangibles).                                                                                                                                                                  3.      Cumpliendo con la Actividad de Control, desde la Oficina de Almacen se realizo socializacion de los conceptos que generan Ingreso al Almacen General del Municipio, Esta politica fue Socializada por medio de la Circular N° 0012 del 15 de enero del 2024.                                                                                                                                                                          
4.     De acuerdo a la Circular N° 0019 del 08 de abril de 2024, La Direcciom de Recursos Fisicos junto con el Almacen General, socializaron el cronograma de tomas fisicas vigencia 2024.                                                                                                                                                                 5.          Con el memorando N° 1423-2024-13372 del 08 de abril del 2024 del Almacen General comunica a la Secretaria General y a la Direccion de Atencion al Cuidadano el cronograma de las tomas fisicas a esas dependecias.                                                                                                  
   6.    Por medio del Acta N° 001 del 08 de abril de 2024,    el Almacen General  socializo al personal de apoyo el cronograma de las tomas fisicas y asignar dependecias y directrices y compromisos de la realizacion del trabajo.                                                                                                                      
7.        El Almacen General realiza tomas fisicas a las Secretarias de Salud, Economico y General (Memorandos 13372-16621-17518 de abril 2024) anexos Soportes de las tomas fisicas (actas Finales 11/06/2024, 17/06/2024 y 16/07/2024).                                                                                                                                                                                
     8.   Por medio de la Circular N° 0037 de 22/07/2024 el Almacen emitio circular Socializando la POLITICA DE USO ADECUADO DE LOS BIENES DEL MUNICIPIO 9.                                                                                                                                                                                                                                                                                                                                                                                                9.  Por medio del memorando N° 1423-2024-025626 del 19/06/2024 el Almacen Gral notifica a las dependecias de la Secretaria Administrativa el inicio y realizacion de las tomas fisicas (acta final 11/10/2024).                                                                                                                                                                                                           10.  El Almacen General  por medio del FORMATO: ACTA DE ENTREGA Y  TRASPASO DE BIENES MUEBLES Y ENSERES (VERSION 03, 31/07/2024) y la generacion de los PAZ Y SALVO  de  Almacen General, que reposan en los archivos y registos del CGI de la actualizacion, realizan las actividades de control y seguimiento a los movimientos de los inventarios de los bienes muebles a cargo de los funcionarios y   ex funcionarios que son de propiedad de la Administracion Central.                                                                                                                                                                                                                                                                                                     </t>
  </si>
  <si>
    <t xml:space="preserve">1. Cumpliendo con la Actividad de Control, la Directora de Recursos Fisicos cita a comite de Seguimiento el dia 22 de marzo de 2024, con la finalidad de socializar el manual y el procedimiento de Bienes Fiscales y Titulacion y tener un compromiso de confidencialidad y responsabilidad del manejo y control de la infirmacion de las BDD de esta area Acta 0008 del 22/03/2024.                                                                                                                                                                       2. Dando cumplimiento al  control, la Directora de Recursos Fisicos, realiza mesa de trabajo realizando seguimiento a la actualizacion digital de los expedientes, informacion  que reposa en el Drive de las BDD, del correo inst. de Predios. Acta N° 0011 del 16/04/2024.                                                                                                                                         
 3. Por medio de correo electronico institucional el dia 30 de abril de 2024, el grupo de Bienes Fiscales remiten a la Directora de Recursos Fisicos reporte del muestreo aleatorio de la revision de los expedientes que reposan en el archivo gestion, donde realizan la verificacion y corraborar la infiornacion de la BDD  de  grupo de Bienes Fiscales y Uso Publico conforme a  los expedientes fisicos.                                                                                                                           4. Dando cumplimiento a esta actividad en los meses de mayo y junio de 2024, el profesional unoversitario hace un muestreo aleatorio a los expedientes fisicos del archivo gestion de bienes fiscales y de uso publico, confrontando esta inormacion fisica con la informacion de drive de la BDD de predios, para identificar fallas. Evidencias infomacion reportada por bienes fiscales al correo intitucional de Recursos Fisicos.                                                                                  5.la Directora de Recursos Fisicos le hace seguimiento a la actualizacion correcta de la BDD  de bienes fiscales, realizando un plan de choque para subsanar los incovenientes de control de interno, dando alcance al Acta N° 0011 del 16/04/2024. Evidencia de seguimiento Acta N° 0027 de 21/06/2024.                                                                                                                                                                                                                      6.   Dando cumplimiento a la socializacion del manual de bienes fiscales y de uso publico y pactar confidencialidad y responsabilidad de la manejo e informacion de las BBD, se realizo una capacitacion a los contratistas que ingresaron en  el segundo trimestre al grupo de predios. Evidencia Acta N° 0026 del 20/06/2024.                                                              
7 .Por medio de correo electronico  remiten a la Direccion de Recursos Fisicos el area de predios el muestreo aleatorios de los meses de julio y agosto de 2024, donde  el profesional universitario especializado realiza el muestreo aleatorio a los expedientes fisicos del archivo gestion de bienes fiscales y se uso publico, corraborando con la informacion que reposa en la BDD de Drive. para identificar inconsistencias de la infornacion cargada y que coincidan y de corregir las fallas que se presenten.                                                                                                                                                           
  8. Dando cumplimiento al seguimiento, control del registro y a la confidencialidad de la informacion de las BDD y a los expedientes del grupo de bienes fiscales y titulaciones, efectuado por el grupo de gestion documental, bajo el acta de reunion N° 0031 de 02/08/2024.  9. Por medio de correo electronico  remiten a la Direccion de Recursos Fisicos el area de predios el muestreo aleatorios de los meses de septiembre y octubre de 2024, donde  el profesional universitario especializado realiza el muestreo aleatorio a los expedientes fisicos del archivo gestion de bienes fiscales y se uso publico, corraborando con la informacion que reposa en la BDD de Drive. para identificar inconsistencias de la infornacion cargada y que coincidan y de corregir las fallas que se presenten.                                                                                                                                                                                                                 10. Dando cumplimiento a esta actividad, por medio del acta de reunion N° 0035 del 16/09/2024, la direccion realiza seguimiento a las proceso de gestion documental, del archivo que reposa en la direccion y los avances en la actualizacion y contol de la BBD de predios que reposa en el Drive.                                                                                                                                                                                                                                                               11. Por medio de los  Contratos N° 0870 del 13/03/2024 y N° 2636 del 15/10/2024 la Direccion contrata la prestacion de los servicios profesionales de una Ingeniera de Sistema con la obligacion de desarrollar la actividad  de realizar la actualzacion, seguimiento y unificacion de las bases de los datos de los expedientes del archivo a cargo del grupo de bienes bajo la direccion de recursos fisicos.                                                                                                                                                                                        11. Por medio del correo electrico inst, el grupo de bienes fiscales le remite el dia 29/10/2024 al despacho el muestreo aleatorio por el mes de septiembre  de 2024, con el fin de identificar fallas en el proceso y mal proceso archivistico en el expedientes que reposan en la direccion y en la BBD del Drive.                                                                                                                                                                                                                                              12.  Por medio del correo electrico inst, el grupo de bienes fiscales le remite el dia 31/10/2024 al despacho el muestreo aleatorio por el mes de octubre  de 2024, con el fin de identificar fallas en el proceso y mal proceso archivistico en el expedientes que reposan en la direccion y en la BBD del Drive.    
13. .En el periodo comprendido entre los meses de julio a octubre 2024, no hubo ingreso de personal nuevo de apoyo al grupo de bienes fiscales y de uso publico asdcrita a la Direccion de Recursos Fisicos.                                                                                                                                                                                                                                                                                         </t>
  </si>
  <si>
    <t xml:space="preserve">Seguimiento ENERO A OCTUBRE
</t>
  </si>
  <si>
    <r>
      <rPr>
        <b/>
        <sz val="11"/>
        <color theme="1"/>
        <rFont val="Arial"/>
        <family val="2"/>
      </rPr>
      <t xml:space="preserve">ENERO – FEBRERO, </t>
    </r>
    <r>
      <rPr>
        <sz val="11"/>
        <color theme="1"/>
        <rFont val="Arial"/>
        <family val="2"/>
      </rPr>
      <t>No se realizado el control, ya que a la fecha no se ha realizado comité de coordinación de control interno.</t>
    </r>
    <r>
      <rPr>
        <b/>
        <sz val="11"/>
        <color theme="1"/>
        <rFont val="Arial"/>
        <family val="2"/>
      </rPr>
      <t xml:space="preserve">
MARZO – ABRIL, </t>
    </r>
    <r>
      <rPr>
        <sz val="11"/>
        <color theme="1"/>
        <rFont val="Arial"/>
        <family val="2"/>
      </rPr>
      <t>El día 22 de abril sobre las
2:00 pm, se realizó el PRIMER comité de coordinación de control interno donde se socializo el Informe comparativo sobre No. de hallazgos, en auditorías comunes, entre Vig. 2022-2023 junto a ello se les informo los hallazgos más reiterativos.</t>
    </r>
    <r>
      <rPr>
        <b/>
        <sz val="11"/>
        <color theme="1"/>
        <rFont val="Arial"/>
        <family val="2"/>
      </rPr>
      <t xml:space="preserve">
MAYO – JUNIO, </t>
    </r>
    <r>
      <rPr>
        <sz val="11"/>
        <color theme="1"/>
        <rFont val="Arial"/>
        <family val="2"/>
      </rPr>
      <t>El día 22 de abril sobre las 2:00 pm, se realizó el comité de coordinación de control interno donde se socializo el Informe comparativo sobre No. de hallazgos, en auditorías comunes, entre Vig. 2022-2023 junto a ello se les informo los hallazgos más reiterativos.</t>
    </r>
    <r>
      <rPr>
        <b/>
        <sz val="11"/>
        <color theme="1"/>
        <rFont val="Arial"/>
        <family val="2"/>
      </rPr>
      <t xml:space="preserve">
JULIO – AGOSTO, </t>
    </r>
    <r>
      <rPr>
        <sz val="11"/>
        <color theme="1"/>
        <rFont val="Arial"/>
        <family val="2"/>
      </rPr>
      <t>En el</t>
    </r>
    <r>
      <rPr>
        <b/>
        <sz val="11"/>
        <color theme="1"/>
        <rFont val="Arial"/>
        <family val="2"/>
      </rPr>
      <t xml:space="preserve"> SEGUNDO </t>
    </r>
    <r>
      <rPr>
        <sz val="11"/>
        <color theme="1"/>
        <rFont val="Arial"/>
        <family val="2"/>
      </rPr>
      <t>COMITÉ DE COORDINACIÓN DE CONTROL INTERNO</t>
    </r>
    <r>
      <rPr>
        <b/>
        <sz val="11"/>
        <color theme="1"/>
        <rFont val="Arial"/>
        <family val="2"/>
      </rPr>
      <t xml:space="preserve">, </t>
    </r>
    <r>
      <rPr>
        <sz val="11"/>
        <color theme="1"/>
        <rFont val="Arial"/>
        <family val="2"/>
      </rPr>
      <t xml:space="preserve">dentro de las temáticas a tratar se socializo el seguimiento de los planes de mejoramiento internos y externos, producto de esta socialización se generaron unos compromisos.
Ver acta N°2 del 25 de julio de 2024 y memorandos del cumplimiento del compromiso pactado.
</t>
    </r>
    <r>
      <rPr>
        <b/>
        <sz val="11"/>
        <color theme="1"/>
        <rFont val="Arial"/>
        <family val="2"/>
      </rPr>
      <t xml:space="preserve">SEPTIEMBRE - OCTUBRE, </t>
    </r>
    <r>
      <rPr>
        <sz val="11"/>
        <color theme="1"/>
        <rFont val="Arial"/>
        <family val="2"/>
      </rPr>
      <t xml:space="preserve">En el TERCER COMITÉ DE COORDINACIÓN DE CONTROL INTERNO, dentro de las temáticas a tratar se socializo el seguimiento de los planes de mejoramiento internos y externos.
Ver acta N°3 del 24 de octubre 2024 y Circular del compromiso pactado.
</t>
    </r>
  </si>
  <si>
    <r>
      <rPr>
        <b/>
        <sz val="11"/>
        <rFont val="Calibri"/>
        <family val="2"/>
        <scheme val="minor"/>
      </rPr>
      <t>ENERO – FEBRERO,</t>
    </r>
    <r>
      <rPr>
        <sz val="11"/>
        <rFont val="Calibri"/>
        <family val="2"/>
        <scheme val="minor"/>
      </rPr>
      <t xml:space="preserve"> Durante el periodo de este monitoreo se ha incluido al normograma la circular externa 027 de diciembre 29 de 2023 de la unidad administrativa especial Dirección Nacional de Derechos de Autor, sobre recomendaciones, seguimiento y resultado sobre el cumplimiento de las normas de materia de derechos de autor.
</t>
    </r>
    <r>
      <rPr>
        <b/>
        <sz val="11"/>
        <rFont val="Calibri"/>
        <family val="2"/>
        <scheme val="minor"/>
      </rPr>
      <t xml:space="preserve">
MARZO – ABRIL,</t>
    </r>
    <r>
      <rPr>
        <sz val="11"/>
        <rFont val="Calibri"/>
        <family val="2"/>
        <scheme val="minor"/>
      </rPr>
      <t xml:space="preserve"> Mediante correo electrónico el día 11 de abril de 2024, se envió al correo electrónico sigami@ibague.gov.co, el cumplimiento a la
CIRCULAR N°2024 000005 REPORTE
TRIMESTRAL INFORMACION SIGAMI, donde se adjunta el respectivo normograma.
</t>
    </r>
    <r>
      <rPr>
        <b/>
        <sz val="11"/>
        <rFont val="Calibri"/>
        <family val="2"/>
        <scheme val="minor"/>
      </rPr>
      <t>MAYO – JUNIO,</t>
    </r>
    <r>
      <rPr>
        <sz val="11"/>
        <rFont val="Calibri"/>
        <family val="2"/>
        <scheme val="minor"/>
      </rPr>
      <t xml:space="preserve"> El 28 de junio 2024,  en comité técnico, se socializo al equipo interno, la resolución N°066 emitida por la contraloría general de la nación "Por la cual se subroga la Resolución Reglamentaria Orgánica número 064 de 2023 que reglamenta la rendición electrónica de la cuenta, los informes y otra información que realizan los sujetos de vigilancia y control fiscal de la Contraloría General de la República a través del Sistema de Rendición Electrónico de la Cuenta e Informes y Otra Información (SIRECI)"
</t>
    </r>
    <r>
      <rPr>
        <b/>
        <sz val="11"/>
        <rFont val="Calibri"/>
        <family val="2"/>
        <scheme val="minor"/>
      </rPr>
      <t>JULIO – AGOSTO,</t>
    </r>
    <r>
      <rPr>
        <sz val="11"/>
        <rFont val="Calibri"/>
        <family val="2"/>
        <scheme val="minor"/>
      </rPr>
      <t xml:space="preserve"> no se presentaron cambios normativos.
</t>
    </r>
    <r>
      <rPr>
        <b/>
        <sz val="11"/>
        <rFont val="Calibri"/>
        <family val="2"/>
        <scheme val="minor"/>
      </rPr>
      <t>SEPTIEMBRE - OCTUBRE,</t>
    </r>
    <r>
      <rPr>
        <sz val="11"/>
        <rFont val="Calibri"/>
        <family val="2"/>
        <scheme val="minor"/>
      </rPr>
      <t xml:space="preserve"> el 17 de septiembre de 2024, memorando n°2024-042516 se solicita a Talento Humano Capacitación sobre el Decreto 1122.
El 09 de octubre mediante correo electrónico se envió a SIGAMI el normograma actualizado, se registró el Decreto N°1122 de 2024 referente a los Programas de Transparencia y Ética Pública.
Adicional a ello, mediante acta n°9 del 9 de octubre de 2024, se desarrolló comité técnico para la socialización sobre las implicaciones del Decreto 1122 del 30/09/2024.</t>
    </r>
  </si>
  <si>
    <r>
      <rPr>
        <b/>
        <sz val="11"/>
        <color theme="1"/>
        <rFont val="Arial Narrow"/>
        <family val="2"/>
      </rPr>
      <t xml:space="preserve">ENERO – FEBRERO, </t>
    </r>
    <r>
      <rPr>
        <sz val="11"/>
        <color theme="1"/>
        <rFont val="Arial Narrow"/>
        <family val="2"/>
      </rPr>
      <t xml:space="preserve">No se realizado el control, ya que a la fecha no se ha realizado comité de coordinación de control interno.
</t>
    </r>
    <r>
      <rPr>
        <b/>
        <sz val="11"/>
        <color theme="1"/>
        <rFont val="Arial Narrow"/>
        <family val="2"/>
      </rPr>
      <t>MARZO – ABRIL,</t>
    </r>
    <r>
      <rPr>
        <sz val="11"/>
        <color theme="1"/>
        <rFont val="Arial Narrow"/>
        <family val="2"/>
      </rPr>
      <t xml:space="preserve"> El día 22 de abril sobre las
2:00 pm, se realizó el comité de coordinación de control interno, donde hubo intervención de la Directora de Atención al Ciudadano con el fin de socializar e implementar acciones de
mejora en relación a las peticiones realizadas por los ciudadanos y entes de control. 
</t>
    </r>
    <r>
      <rPr>
        <b/>
        <sz val="11"/>
        <color theme="1"/>
        <rFont val="Arial Narrow"/>
        <family val="2"/>
      </rPr>
      <t xml:space="preserve">MAYO – JUNIO, </t>
    </r>
    <r>
      <rPr>
        <sz val="11"/>
        <color theme="1"/>
        <rFont val="Arial Narrow"/>
        <family val="2"/>
      </rPr>
      <t xml:space="preserve">Sin Avance
</t>
    </r>
    <r>
      <rPr>
        <b/>
        <sz val="11"/>
        <color theme="1"/>
        <rFont val="Arial Narrow"/>
        <family val="2"/>
      </rPr>
      <t xml:space="preserve">JULIO – AGOSTO, </t>
    </r>
    <r>
      <rPr>
        <sz val="11"/>
        <color theme="1"/>
        <rFont val="Arial Narrow"/>
        <family val="2"/>
      </rPr>
      <t xml:space="preserve">Se realizó el SEGUNDO COMITÉ DE COORDINACIÓN DE CONTROL INTERNO, el jueves, 25 de julio de 2024 a las 2:00 pm en el Despacho de la Alcaldesa, como soporte a la acción, se Anexo Acta N°2.
</t>
    </r>
    <r>
      <rPr>
        <b/>
        <sz val="11"/>
        <color theme="1"/>
        <rFont val="Arial Narrow"/>
        <family val="2"/>
      </rPr>
      <t xml:space="preserve">SEPTIEMBRE – OCTUBRE, </t>
    </r>
    <r>
      <rPr>
        <sz val="11"/>
        <color theme="1"/>
        <rFont val="Arial Narrow"/>
        <family val="2"/>
      </rPr>
      <t>el día 24 de octubre, se realizó el TERCER COMITÉ DE COORDINACION DE CONTROL INTERNO, la secretaria general realizo intervención con el fin de socializar la oportunidad de respuesta de los PQRS, manifestando que los procesos misionales son los que cuentan con mayor número de reclamos interpuestos por los ciudadanos.</t>
    </r>
  </si>
  <si>
    <r>
      <rPr>
        <b/>
        <sz val="11"/>
        <color theme="1"/>
        <rFont val="Arial Narrow"/>
        <family val="2"/>
      </rPr>
      <t xml:space="preserve">ENERO – FEBRERO, </t>
    </r>
    <r>
      <rPr>
        <sz val="11"/>
        <color theme="1"/>
        <rFont val="Arial Narrow"/>
        <family val="2"/>
      </rPr>
      <t xml:space="preserve">Durante el periodo evaluado no se presentó fallas en los aplicativos dispuestos por los entes de control, para reporte de informes de ley, por lo tanto, no se aplicó el control diseñado.
</t>
    </r>
    <r>
      <rPr>
        <b/>
        <sz val="11"/>
        <color theme="1"/>
        <rFont val="Arial Narrow"/>
        <family val="2"/>
      </rPr>
      <t>MARZO – ABRIL,</t>
    </r>
    <r>
      <rPr>
        <sz val="11"/>
        <color theme="1"/>
        <rFont val="Arial Narrow"/>
        <family val="2"/>
      </rPr>
      <t xml:space="preserve"> Durante el periodo evaluado se presentó el informe de Derechos Autor - Vig 2023, Obras Inconclusas periodo febrero y marzo, sistema de alertas de control interno - SACI, sin ninguna novedad de fallas en el aplicativo. No se presentó fallas en los aplicativos dispuestos por los entes de control, por lo tanto, no se aplicó el control diseñado.
</t>
    </r>
    <r>
      <rPr>
        <b/>
        <sz val="11"/>
        <color theme="1"/>
        <rFont val="Arial Narrow"/>
        <family val="2"/>
      </rPr>
      <t xml:space="preserve"> 
MAYO – JUNIO, </t>
    </r>
    <r>
      <rPr>
        <sz val="11"/>
        <color theme="1"/>
        <rFont val="Arial Narrow"/>
        <family val="2"/>
      </rPr>
      <t xml:space="preserve">Durante el periodo evaluado no hubo fallas en los aplicativos dispuestos por los entes de control, para el cargue de los siguientes informes: Seguimiento Plan de mejoramiento suscrito con la Contraloría Municipal, reporte obras inconclusas.
</t>
    </r>
    <r>
      <rPr>
        <b/>
        <sz val="11"/>
        <color theme="1"/>
        <rFont val="Arial Narrow"/>
        <family val="2"/>
      </rPr>
      <t xml:space="preserve">
JULIO – AGOSTO,</t>
    </r>
    <r>
      <rPr>
        <sz val="11"/>
        <color theme="1"/>
        <rFont val="Arial Narrow"/>
        <family val="2"/>
      </rPr>
      <t xml:space="preserve"> no se presentaron fallas en los aplicativos.
</t>
    </r>
    <r>
      <rPr>
        <b/>
        <sz val="11"/>
        <color theme="1"/>
        <rFont val="Arial Narrow"/>
        <family val="2"/>
      </rPr>
      <t xml:space="preserve">SEPTIEMBRE - OCTUBRE, </t>
    </r>
    <r>
      <rPr>
        <sz val="11"/>
        <color theme="1"/>
        <rFont val="Arial Narrow"/>
        <family val="2"/>
      </rPr>
      <t>no se presentaron fallas en los aplicativos para el reporte de obras inconclusas y el reporte de avance plan de mejoramiento de la contraloría municipal.</t>
    </r>
  </si>
  <si>
    <r>
      <rPr>
        <b/>
        <sz val="11"/>
        <color theme="1"/>
        <rFont val="Arial"/>
        <family val="2"/>
      </rPr>
      <t>ENERO – FEBRERO,</t>
    </r>
    <r>
      <rPr>
        <sz val="11"/>
        <color theme="1"/>
        <rFont val="Arial"/>
        <family val="2"/>
      </rPr>
      <t xml:space="preserve"> No se realizado comité de coordinación de control interno.
</t>
    </r>
    <r>
      <rPr>
        <b/>
        <sz val="11"/>
        <color theme="1"/>
        <rFont val="Arial"/>
        <family val="2"/>
      </rPr>
      <t>MARZO – ABRIL,</t>
    </r>
    <r>
      <rPr>
        <sz val="11"/>
        <color theme="1"/>
        <rFont val="Arial"/>
        <family val="2"/>
      </rPr>
      <t xml:space="preserve"> El día 22 de abril sobre las 2:00 pm, se realizó el comité de coordinación de control interno, espacio donde se socializo cada uno de los informes presentados.
</t>
    </r>
    <r>
      <rPr>
        <b/>
        <sz val="11"/>
        <color theme="1"/>
        <rFont val="Arial"/>
        <family val="2"/>
      </rPr>
      <t xml:space="preserve">MAYO – JUNIO, </t>
    </r>
    <r>
      <rPr>
        <sz val="11"/>
        <color theme="1"/>
        <rFont val="Arial"/>
        <family val="2"/>
      </rPr>
      <t xml:space="preserve">A través del correo electrónico, el día 17 de abril, se convocó a comité de coordinación de control interno para el día 22 de abril 2024, dando a conocer el orden del día a la alta dirección.
</t>
    </r>
    <r>
      <rPr>
        <b/>
        <sz val="11"/>
        <color theme="1"/>
        <rFont val="Arial"/>
        <family val="2"/>
      </rPr>
      <t>JULIO – AGOSTO,</t>
    </r>
    <r>
      <rPr>
        <sz val="11"/>
        <color theme="1"/>
        <rFont val="Arial"/>
        <family val="2"/>
      </rPr>
      <t xml:space="preserve"> A través del correo electrónico, el día 12 de julio 2024, se convocó a la alcaldesa, a todos los secretarios de la administración central al SEGUNDO comité de coordinación de control interno para el día 18 de julio de 2024, dando a conocer el orden del día a la alta dirección, sin embargo, por instrucción de la alcaldesa se reprogramo y se realizó el 25 de julio de 2024.
</t>
    </r>
    <r>
      <rPr>
        <b/>
        <sz val="11"/>
        <color theme="1"/>
        <rFont val="Arial"/>
        <family val="2"/>
      </rPr>
      <t>SEPTIEMBRE – OCTUBRE,</t>
    </r>
    <r>
      <rPr>
        <sz val="11"/>
        <color theme="1"/>
        <rFont val="Arial"/>
        <family val="2"/>
      </rPr>
      <t xml:space="preserve"> A través del correo electrónico institucional el 19 de octubre, se realizó convocatoria para el TERCER COMITÉ DE COORDINACION DE CONTROL INTERNO dentro del cual se relacionó el orden día a tratar, de acuerdo a los informes elaborados en cumplimiento del plan anual de auditoria en el periodo de 19 de julio al 23 de octubre de 2024.</t>
    </r>
  </si>
  <si>
    <t xml:space="preserve">1.Para el segumiento del control 1, en cada consejo de redacción se hace el segumiento adecuado a las actividades y responsabilidades de cada uno de los periodistas asignados a cada dependencia, de enero a agosto se han realizado 43 actas de dichos consejos de redacción.                                                                                                                                                                                                                                                                                                                                 2. Como seguimiento de la actividad de control del riesgo 2, cada publicación o material que sale de la Oficina cuenta con revisión del editor, de enero a agosto se han realizado 961 comunicados de prensa, al igual un seguimiento por las actividades realizadas de cada equipo de trabajo.                                                                                                                                                                                                                                                                                3.  Se envio a la Direccion de Fortalecimiento Institucional la caracterización del proceso donde queda documentado el control a seguir dando así cumplimiento al plan de acción </t>
  </si>
  <si>
    <t>diciembre</t>
  </si>
  <si>
    <t>Causa Raíz (EVENTO)</t>
  </si>
  <si>
    <t>Subcausas (CAUSAS) - FACTORES</t>
  </si>
  <si>
    <t xml:space="preserve">Tipo de Riesgos </t>
  </si>
  <si>
    <t>MONITOREO SEPTIEMBRE - OCTUBRE</t>
  </si>
  <si>
    <t>MONITOREO NOVIEMBRE - DICIEMBRE</t>
  </si>
  <si>
    <r>
      <t>Posibilidad de perdida</t>
    </r>
    <r>
      <rPr>
        <sz val="10"/>
        <color theme="4"/>
        <rFont val="Arial Narrow"/>
        <family val="2"/>
      </rPr>
      <t xml:space="preserve"> </t>
    </r>
    <r>
      <rPr>
        <sz val="10"/>
        <color rgb="FF00B050"/>
        <rFont val="Arial Narrow"/>
        <family val="2"/>
      </rPr>
      <t xml:space="preserve">reputacional </t>
    </r>
    <r>
      <rPr>
        <sz val="10"/>
        <rFont val="Arial Narrow"/>
        <family val="2"/>
      </rPr>
      <t xml:space="preserve">por la </t>
    </r>
    <r>
      <rPr>
        <sz val="10"/>
        <color rgb="FFFF0000"/>
        <rFont val="Arial Narrow"/>
        <family val="2"/>
      </rPr>
      <t>cancelación o retiro de las certificaciones obtenidas</t>
    </r>
    <r>
      <rPr>
        <sz val="10"/>
        <rFont val="Arial Narrow"/>
        <family val="2"/>
      </rPr>
      <t xml:space="preserve"> debido al </t>
    </r>
    <r>
      <rPr>
        <sz val="10"/>
        <color rgb="FF002060"/>
        <rFont val="Arial Narrow"/>
        <family val="2"/>
      </rPr>
      <t>incumplimiento de los requisitos de las normas HSEQ.</t>
    </r>
  </si>
  <si>
    <t>La director(a) de Fortalecimiento Institucional</t>
  </si>
  <si>
    <t xml:space="preserve">En el comité SIGAMI realizado el 23 de marzo de 2024 se presento una matriz semaforo con los diferentes procesos y su estado de reporte actual frente a indicadores, monitoreo de mapas de riesgo, normograma, acciones correctivas y salidas no conformes. </t>
  </si>
  <si>
    <t xml:space="preserve">En el comité SIGAMI realizado el 14 de Agosto de 2024 se presento una matriz semaforo con los diferentes procesos y su estado de reporte actual frente a indicadores, monitoreo de mapas de riesgo, normograma, acciones correctivas y salidas no conformes. </t>
  </si>
  <si>
    <t xml:space="preserve">En el comité SIGAMI realizado el 16 de Diciembre de 2024 se presento una matriz semaforo con los diferentes procesos y su estado de reporte actual frente a indicadores, monitoreo de mapas de riesgo, normograma, acciones correctivas y salidas no conformes. </t>
  </si>
  <si>
    <r>
      <t xml:space="preserve">Los Líderes de los Sistemas de Gestión y sus equipos de trabajo, (anualmente) verifican la apropaición del conocimiento sobre las normas, cada vez que haya vinculacion del personal, dejando como evidencia el informe del </t>
    </r>
    <r>
      <rPr>
        <b/>
        <sz val="10"/>
        <rFont val="Arial Narrow"/>
        <family val="2"/>
      </rPr>
      <t>PLAN DE ACCION DEBILIDADES GESTIÓN DEL CONOCIMIENTO</t>
    </r>
    <r>
      <rPr>
        <sz val="10"/>
        <rFont val="Arial Narrow"/>
        <family val="2"/>
      </rPr>
      <t xml:space="preserve">.  Asi mismo en los  Sistema Integrado de Gestión a través de las evaluación de impacto de los procesos de Inducción y reinducción a fin de identificar las fortalezas y debilidades del personal.  Dejando como evidencia el informe  de resultados. </t>
    </r>
  </si>
  <si>
    <t xml:space="preserve">El (la) directora (a) de Fortalecimiento Institucional junto con su equipo de trabajo de manera permanente  antes de eliminar, actualizar o crear un documento SIGAMI, verifica que dichos documentos cumplna con la estructura documental determinada en el  procedimiento de control de documentos e instrutivo de Elaboración de Documentos del SIGAMI, con el proposito de Verificar el cumplimiento de los requisitos establecidos para tal fin, Dejando como evidencia correos electrónicos o el listado maestro de documentos. Si un documento no cumple con los criterios establecidos, es devuelto para realizar las correcciones pertinentes </t>
  </si>
  <si>
    <t>Auditorías  NO PLANEADAS DENTRO DEL PAA. (internas fuera de los parametros estabelcidos)</t>
  </si>
  <si>
    <t xml:space="preserve">El (la) directora (a) de Fortalecimiento Institucional cada vez que se requiera, revisa que la Oficina de Control Interno dentro de su Programa Anual de Auditoría determinando las fechas previstas de las auditorias, con el fin de realizar adecuadamente la planeación de las mismas. </t>
  </si>
  <si>
    <t>El (la) directora (a) de Fortalecimiento Institucional  junto con su equipo de trabajo trimestralmente consolida el reporte de normograma y realiza el seguimiento del cumplimiento de la normatividad externa. Dejando como evidencia actas de reunión y correos eléctronicos de retrolimentación del mismo para posteriores correcciones de los hallazgos.</t>
  </si>
  <si>
    <r>
      <t xml:space="preserve">
Posibilidad de perdida reputacional y afectación económica por </t>
    </r>
    <r>
      <rPr>
        <sz val="10"/>
        <color rgb="FFFF0000"/>
        <rFont val="Arial Narrow"/>
        <family val="2"/>
      </rPr>
      <t xml:space="preserve">multa o sanción de los entes reguladores </t>
    </r>
    <r>
      <rPr>
        <sz val="10"/>
        <color rgb="FF002060"/>
        <rFont val="Arial Narrow"/>
        <family val="2"/>
      </rPr>
      <t>debido al incumplimiento de la normatividad vigente en Seguridad y Salud en el Trabajo y ambiente.</t>
    </r>
  </si>
  <si>
    <t>Los líderes de los Sistemas de Seguridad y Salud en el Trabajo y el Sistema de Gestión Ambiental  mensualmente verifican el cumplimiento al plan de trabajo  respectivo, con el proposito de controlar las actividades definidas, dejando como evidencia las actas de reunión y el Plan de Trabjo   y los indicadores de Gestión del Sistema de Gestión de SST y Gestión Ambiental. Si se determinan actividades que ha pasado su fecha de ejecución, se realiza plan de choque para cumplir lo establecido.</t>
  </si>
  <si>
    <t>El 30 de Noviembre del 2024, se realizo mesa de trabajo con el equipo HSEQ, para realizar seguimiento a las acciones correctivas resultantes de la auditoria externa</t>
  </si>
  <si>
    <t>Los líderes de los Sistemas de Seguridad y Salud en el Trabajo y el Sistema de Gestión Ambiental con los Profesionales designados, trimestralmente mensualmente realizan seguimiento al cumplimiento del Plan de Acción, con el propósito de validar el cumplimiento de las actividades definidas, dejando como evidencia  el Plan de Trabajo actas de reunión. Si se determinan actividades que ha pasado su fecha de ejecución, se debe actualizar el  Plan de Trabajo con la respectiva fecha programada para ejecutar las actividades pendientes se realiza plan de choque para cumplir lo establecido. SE EVIODENCIA EN EL FORMATO DE ACCIONES CORRECTIVAS Y DE MEJORA</t>
  </si>
  <si>
    <t>Acta de Comité de Noviembre de 2024</t>
  </si>
  <si>
    <t>Reporte correo electrónico a planeación reporte de metas con corte a 30 de Diciembe de 2024</t>
  </si>
  <si>
    <t xml:space="preserve">Capacitación para los funcionarios 27 de Diciembe de 2024. Cultura de Paz Organizacional </t>
  </si>
  <si>
    <t>Gestiòn</t>
  </si>
  <si>
    <t>Enero de 2025</t>
  </si>
  <si>
    <t>Realizar comités técnicos periodicos, donde se evalua el cumplimiento de las metas que tiene la dependencia con sus respectivos compromisos de cumplimiento</t>
  </si>
  <si>
    <t>Actualización de proyectos. Durante este año se estàn ejecutando 6 proyectos, 4 de la direcciòn operativa y 2 de la direcciòn de tramites. Mensualmente se reporta el avance en la plataforma PIIP.</t>
  </si>
  <si>
    <t>Seguimiento
Monitoreo al 18/12/2024</t>
  </si>
  <si>
    <t>Los profesionales de la Dirección de Planeación del Desarrollo trimestralmente verifican y validan la información suministradas por las secretarías para efectos de ser publicado en las plataformas respectivas. Dejando como evidencia la publicación de la información en las diferentes plataformas o en su defecto correo electrónico con observaciones y solicitud de información completa o mejorada,  Semestralmente, se presentará al Consejo de Gobierno un informe sobre el cumplimiento físico y financiero del plan indicativo, que incluirá una evaluación del avance de las metas asignadas a cada unidad administrativa. En los casos de rezago, se activarán planes de mejora, y se verificará el cumplimiento de las actividades programadas en el PA. Además, se solicitará un certificado de la realización del Consejo de Gobierno, el cual, junto con el informe técnico de avance del PI, será presentado en el Comité de Coordinación Institucional</t>
  </si>
  <si>
    <t>pago de obras con cumplimiento parcial de lo pactado</t>
  </si>
  <si>
    <t>cambio de especificaciones técnicas de construcción sin contar con acto administrativo oficial que contenga la justificacón técnica de modificaciones específicas de lo contratado ,  el procedimiento de operación del sistema municipal de presupuestos participativos vigente no establece el responsable de la ejecución del proyecto priorizado y viabilizado.</t>
  </si>
  <si>
    <t>posibilidad de efecto dañoso sobre bienes públicos por pago de obras con cumplimiento parcial de lo pactado debido a cambio de especificaciones técnicas de construcción sin contar con acto administrativo oficial que contenga la justificacón técnica de modificaciones específicas de lo contratado y a su vez el procedimiento de operación del sistema municipal de presupuestos participativos vigente no establece el responsable de la ejecución del proyecto priorizado y viabilizado.</t>
  </si>
  <si>
    <t xml:space="preserve">Contratos de obra civil y/o compras enmarcadas en proyectos priorizados para ejecutar recursos del SMPPP sin una eficiente supervisión y seguimiento de su avance y cumplimiento a satisfacción con el ejercicio participativo </t>
  </si>
  <si>
    <t>Baja</t>
  </si>
  <si>
    <t>El Director de Planeación del Desarrollo  mediante acto administrativo informará a las unidades administrativas ejecutoras y a la Secretaría de hacienda /Dirección de presupuesto; cuales son los proyectos priorizados en encuentros ciudadanos acordes con las metas del plan de desarrollo municipal y los proyectos con  registro y viabilidad BPIN  para ser ejecutados con recursos del fondo del SMPPP,  adicionalmente se citará a mesa de coordinación para informar los detalles  y expectativas y acordar cronogramas forma y prioridad de seguimiento hasta su entrega final.  se deja como evidencia actas de las mesas de cordinación</t>
  </si>
  <si>
    <t>Socialización de eventualidades adversas a la ejecución de los proyectos  en espacios de coordinación con secretarías ejecutoras y la alta gerencia como el comité de coordinación institucional y el consejo de gobierno</t>
  </si>
  <si>
    <t>La asesora encargada de liderar la secretaría técnica del SMPPP por parte de la Secretaría de Planeación se encargará de socializar el procedimiento actualizado de la operación del SMPPP haciendo énfasis en la etapa de ejecución y seguimiento a los proyectos priorizados  acordando así con el supervisor designado por la unidad administrativa ejecutora  acordando cronogramas, visitas de campo, forma y prioridad de seguimiento hasta su entrega final.  se deja como evidencias actas de mesas de trabajo e informes de supervisión acordes con el cronograma</t>
  </si>
  <si>
    <t xml:space="preserve">
3. fallas en el seguimiento y/o supervisión por parte de la unidad administrativa ejecutora del proyecto priorizado y viabilizado  con recursos del SMPPP</t>
  </si>
  <si>
    <t>OBSERVACIONES
(MAPA ACTUALIZADO B6)
BIMESTRE06   NOVIEMBRE- DICIEMBRE -CIERRE 2024</t>
  </si>
  <si>
    <t xml:space="preserve">TESORERIA: Para el sexto bimestre se adjuntan tres informes de prestamo y devolución de los expedientes el primero de (predial e ica), el segundo de (transito) y el tercero de Secretaria predial. con sus respectivas planillas. Lo anterior correspondiente a los meses de noviembre y diciembre de 2024. </t>
  </si>
  <si>
    <t xml:space="preserve">TESORERIA: Acción cumplida. </t>
  </si>
  <si>
    <t>SEGUIMIENTO DESPACHO SECRETARIA DE HACIENDA BIMESTRE 06 2024
Resolución 0152 de 12 de Abril de 2019 con Resolución modificatoria No. 0389 de 26 octubre de 2021.
ACTA 07 DE 18 DE DICIEMBRE DE 2024 ,  DE REUNION DE COMITÉ DE EVALUACION, SEGUIMIENTO, MANEJO DE RIESGOS EN LOS PROCESOS DE LA SECRETARIA DE HACIENDA:
TEMAS:
ORDEN DEL DIA
1.	SALUDO INICIAL
2.	VERIFICACIÓN DEL CUÓRUM
3.	PLANEACIÓN ENVÍO BIMESTRE 06 VIGENCIA 2024, EVIDENCIAS E INDICADORES A LA SECRETARÍA DE PLANEACIÓN MUNICIPAL.  “For-13-Pro-Sig-05 Mapa De Riesgo de Corrupción” “For-029-Pro-Sig-01 Mapa De Riesgos De Gestión Y fiscales”
a.	Programación de monitoreo por Dirección.
b.	Reporte de la matriz de gestión de eventos
c.	Planeación envío sexto bimestre vigencia 2024, evidencias e indicadores a la Secretaría de Planeación Municipal. Mapas de Riesgos de Gestión, fiscalización y Corrupción
d.	Planeación envío tercer cuatrimestre vigencia 2024, evidencias e indicadores a la Oficina de Control Interno. Mapas de Riesgos de Gestión, fiscalización y Corrupción
4.	PLANEACIÓN CIERRE PLANES DE MEJORAMIENTO CMI-CGR-CI
a.	Elaboración y aprobación plan de mejoramiento Auditoría Desempeño Contraloría Municipal Consolida Control Interno Hoy antes de mediodía.
b.	Auditoría De Cumplimiento 2022 SGP- Agua Potable Y Saneamiento Básico Municipio De Ibagué Vig 2022
c.	Auditoría Financiera Y De Gestión, Administración Central Del Municipio De Ibagué, Vigencia, 2023.
d.	Actuación Especial De Fiscalización Administración Central Municipal De Ibagué – Secretaría De Hacienda 
e.	Auditoría De Cumplimiento-Dirección De Tesorería Grupo Cobro oactivo/Dirección De Rentas (Procedimiento Prescripciones Pro-Ghp-009 Versión 03-Man-GHP-003 Versión 03)
5.	SOLICITUD Y APROBACIÓN DE LA ACTUALIZACIÓN - PROCESO SGP 2024-DIRECCION DE PRESUPUESTO, TESORERIA Y CONTABILIDAD
6.	SOLICITUD Y APROBACIÓN DE LA ACTUALIZACIÓN PROCESO, PROCEDIMIENTOS, INSTRUCTIVOS Y FORMATOS Y DEMÁS DOCUMENTOS DE LA GESTIÓN SECRETARÍA DE HACIENDA
7.	CUMPLIMIENTO COMPROMISOS DEL ACTA ANTERIOR.
8.	COMPROMISOS Y TAREAS
MONITOREOS PROGRAMADOS  SEGUN COMITE DE RIESGOS:
PLANILLAS DE ASISTENCIA MONITOREO 
20/12/2024 DIRECCION DE CONTABILIDAD
23/12/2024 DIRECCION DE PRESUPUESTO 
23/12/2024 DIRECCION DE TESORERIA
27/12/2024 DIRECCION DE RENTAS
REPORTE CONSOLIDADO  MATRIZ GESTION DE EVENTOS A DICIEMBRE 31 2024
MESAS DE TRABAJO O REUNIONES  DE ACOMPAÑAMIENTO
Sugerencias a reportes presentados por parte de cada Dirección, correcciones  y conciliación de información para reporte bimestral a la Secretaría de Planeación Municipal.
Comunicación continua para el desarrollo  efectivo de las actividades de mejoramiento.
ENTREGA DE MONITOREO 06 BIMESTRE 2024 A SECRETARIA DE PLANEACION:   
correo electronico sigami@ibague.gov.co ENERO 03  de 2025</t>
  </si>
  <si>
    <t>PRESUPUESTO: 
 Informe Seguimiento Ejecucion Presupuestal.  Circulares:   000050 noviembr 14 2024, 000052 noviembre 19 2024, 000054 diciembre 02 2024, 000056 diciembre 18 2024.                                                                                   
 Informe ejecución vigencia reserva presupuestal. Circulares: 000051 noviembre 14 2024, 000055 diciembre 02 2024, 000057 diciembre 18 2024.                                                                           
                                                                                                                                                                                                                                                                                                                                                         Ejecución Gastos y reserva  mes octubre 2024 - correo del 7 noviembre 2024, Ejecución Gastos y reserva mes de noviembre 2024 - correo del 27 diciembre 2024. 
Informe ejecutivo de la Ejecución Presupuestal de Gastos, Reserva y Pasivos Exigibles: mes octubre - correo del 13 noviembre 2024.   Informe ejecutivo de la Ejecución Presupuestal de Gastos, Reserva y Pasivos Exigibles: mes noviembre - correo del 27 diciembre 202</t>
  </si>
  <si>
    <t xml:space="preserve">DIRECCION DE RENTAS
ACTA 11 del 26 novembre de 2024, revisión y seguimiento a planes y programas año 2024. Socializacion de los documentos actualizados de la direccion de rentas.
TESORERIA: 
-Mediante memorando No 057088 del 2 de diciembre de 2024, se envia la lista de manuales, procedimientos e instructivos de la direccion de Tesoreria y se solicita a los funcionarios de la misma, la revisión de cada uno para determinar si es necesario actualizar. 
-Mediante memorando 58804 del dia 13 de diciembre de 2024, se envia a la dirección de Presupuesto el procedimiento de ordenes de pago con las actualizaciones requeridas por parte de la dirección de tesoreria, para lo pertinente. 
-Mediante memorando 58998 de dia 16 de diciembre de 2024, se envia a la Dirección de fortalecimiento institucional (cuatro) instructivos para la debida actualizacion en la pagina de la Alcaldia de Ibagué. 
PRESUPUESTO:
A través del memorando 1330 058804 13/12/2024 se recibieron los ultimos aportes de Tesorería para la actualización del procedimiento PRO-GHP-008 Ordenes de Pago.  Estos se incluirán en el mismo y se proyecta reunión definitiva con el nivel directivo y representantes Sigami para finiquitar el mismo en enero 17 de 2025.  Se reitera a las TIC a través de memorando 1310 57412 04/12/2024 la solicitud del cronograma para el modulo del pre-registro.  Como evidencia se anexan memorandos 1310 57412 04/12/2024 y Memorando 1330 058804 13/12/2024.    
DIRECCION DE CONTABILIDAD: 
Se adjunta memorando No. 1320-2024-060856 y correo electronico con el envio de los documentos a actualizar a la Direccion de Fortalecimiento Institucional (SIGAMI), de fecha 27 de diciembre de 2024, para su respectiva aprobacion,actualizacion y publicacion del instructivo INS-GHP-036 DEPURACION Y SANEAMIENTO CONTABLE PERMANENTE Y SOSTENIBLE
                        </t>
  </si>
  <si>
    <t>DIRECCION DE RENTAS
Memorando No 054794 del 20 de noviembre de 2024, confirmación de receptcion de 2,143 expedientes -cartera predial entregados a Cobro coactivo de la Direccion de Tesosreria.</t>
  </si>
  <si>
    <t>TESORERIA: Para el sexto bimestre se adjunta el informe No 1 de diciembre de 2024, en donde se determinan los mandamientos de pago efectuados y el trámite de las notificaciones de los mismos y de igual forma los embargos efectuados y el valor de los mismos.</t>
  </si>
  <si>
    <t xml:space="preserve">PRESUPUESTO:  Acta interna Grupo Central de Cuentas N.001 03/12/2024 Monitoreo Riesgo Fiscal. Evidencia:  Registro fotográfico y listado </t>
  </si>
  <si>
    <t>Seguimiento 31/12/2024</t>
  </si>
  <si>
    <t xml:space="preserve">Circular para conformación del equipo PETI 2024-000010 del  6/02/2024 y 2024-000011 del 9/02/2024
Circular 2024-000028 del 17/06/2024 para mesa técnica, asistencias a las mesas técnicas
Documento PETI
Convocatoria a comité de Gestión y Desempeño Institucional </t>
  </si>
  <si>
    <t>Seguimiento Noviembre - Diciembre</t>
  </si>
  <si>
    <t>Durante el bimestre se realiza jornada de depuración de inventario, donde se encontraron equipos de cómputo de los Centros de Experiencia Digital en mal estado, donde mediante Memorando No. 059862 de fecha 20/12/2024 se hace entrega a Almacén para dar baja a los elementos.
Evidencia: Memorando No. 059862 de fecha 20/12/2024 y Formato Entrega a Almacén</t>
  </si>
  <si>
    <t>Durante el bimestre se realizan las siguientes actividades
•	Mediante memorando No. 052150 del 05 de noviembre 2024 donde se solicita Información del proceso de donación dirigido a la oficina de Almacén, de los bienes del municipio de Ibagué que se encuentran adscritos a esta administración y que actualmente están ubicados en los Centros de Experiencia Digital.
•	24/09/2024 Contrato de Comodato No. 2272 con la JAC Barrio San Pedro Alejandrino.
•	01/10/2024 Acta de Inicio Contrato de Comodato 2272 de fecha 24/09/2024
•	18/12/2024 Contrato de Comodato No. 4020 con la JAC Barrio Rodríguez Andrade
•	18/12//2024 Acta de Inicio Contrato de Comodato 4020 de fecha 18/12/2024
•	Adecuaciones físicas en el CED Barrio Rodríguez Andrade, arreglo de paredes, pintura, adecuación de letrero luminoso
Evidencia fotográfica en el acta y documentación en formatos PDF</t>
  </si>
  <si>
    <t xml:space="preserve">Durante el bimestre se realiza el seguimiento a las capacitaciones realizadas en los Centros de Experiencia Digital en donde se ha impactado a 4271 personas. Se realiza tablero de control o seguimiento de personas impactadas. </t>
  </si>
  <si>
    <t>Seguimiento (Noviembre - Diciembre)</t>
  </si>
  <si>
    <t>El equipo de enlaces SIGAMI del Proceso Desarrollo Económico y la Competitividad se reunió el día 29 de Noviembre de 2024, para actualizar el plan de Acción.</t>
  </si>
  <si>
    <t>El equipo de enlaces SIGAMI del Proceso Desarrollo Económico y la Competitividad se reunió el día 29 de Noviembre de 2024, para actualizar el plan indicativo.</t>
  </si>
  <si>
    <t>El equipo de enlaces SIGAMI del Proceso Desarrollo Económico y la Competitividad se reunió el día 17 de diciembre de 2024 para otorrgar capacitación a personal de planta y contratistas sobre Autocontrol, Mapa de riesgos, código de integridad y buen gobierno y Generalidades SIGAMI.</t>
  </si>
  <si>
    <t>Seguimiento  y evaluacion a 30 de diciembre de 2024</t>
  </si>
  <si>
    <t>1.La Secretaria Administrativa y la Dirección de Recursos Físicos en el mes de Diciembre del 2023, dio respuesta a la Circular 033 (05/12/2023) Instrumentos de Planeación para la Vigencia 2023, donde se envió memorando 059441  del 18 de diciembre de 2023, allegando el Plan de Acción para la Vigencia 2024 .                                      
   2. Por ocasion del Memorando N° 1010-2024-03639 del 01 de febrero del 2024 de la Oficina de Control Interno, con lo cual, el dia 08 del mismo mes, realizo la visita a esta Direccion y evaluaron la gestion del Plan de Accion vigencia 2023 con una Puntuacion de un 100% de cumplimiento de la ejecucion (memorando N° 15/04/2024 Control Interno informe) .                                                                                                                                                                3. Dando cumplimiento, por medio del Acta 004 del 29 de febrero de 2024, la Directora de Recursos Fisicos se reunio con los Abogados contratistas que llevan a cabo los procesos de la Contratación de Bienes y Servicios de la D.R.F.Con el fin de hacer seguimiento y control a la contratación que se tiene programada y que se ha ejecutado a la fecha segun lo programado y ejecutado en el Plan de Accion del 2024.Informe presentado a 29 de febrero de 2024.                                                                                                                                                                                                          4.  Dando cumplimiento, la Directora de Recursos Fisicos, hace seguimiento y control de los bienes serviicios , segun la programacion que se realizo en el plan de accion vigencia 2024, segun Acta N° 00007 del 13 de marzo de 2024, de acuerdo a lo programado y ejecutado en el plan de accion 2024.                                                                                                                                                                                                                5. Dando cumplimiento al seguimiento y control, la Directora de Recursos Fisicos, realiza convocatoria y se reunion con los abogados contratistas para revisar los avances a los procesos contractuales, segun Acta N° 0009 del 22 de marzo de 2024, segun lo programada y ejecutado en el plan de accion 2024.                                                                                                                                                                                                                   6. Dando cumplimiento    al seguimiento y control, la Directora de Recursos Fisicos, realiza convocatoria y se reunion con los abogados contratistas para revisar los avances a los procesos contractuales, segun Acta N° 0013  del 23 de Abril de 2024, segun lo programada y ejecutado en el plan de accion 2024.                                                                                                                                                                                                               7.   Dando cumplimiento al seguimiento la Directora de Recursos Fisicos, hace control a la contratacion que se tiene planeada y programada segun lo programada en el Plan de Accion vigencia 2024 de bienes fiscales y de uso publico y titulacion, por medio del Acta N° 0028 del 25/06/2024.                                                                                                                                                                                             8.Dando cumplimiento a esta actividad, la Directora de Recursos Fisicos realiza seguimiento y control a la contratacion de bienes y servicios de acuerdo a lo presupuestado y ejecutado hasta la fecha, por medio del Acta N° 0029 del 25/06/2024 Evidencia el Plan de accion hasta esa fecha.                                                                  9.Dando cumplimiento a esta actividad la Directora de Recursos Fisicos realiza comite de segumiento de las actividades programadas y al estado de los procesos precontratuales y contratuales a corte de 28 de agosto de 2024, dejando evidencia del acta de reunion N° 0032 del 29/08/2024. 10. Dando cumplimiento a esta actividad por medio del acta de reunion N° 0035 del 16/09/2024, se realizo seguimiento al plan de accion y plan de trabajo del grupo de bienes y de uso publico. 11. Dando cumplimiento a esta actividad por medio del acta de reunion N° 0036 del 01/10/2024 se le realizo seguimiento al plan de accion del funcionamiento de la direccion, revisando la programacion de las actividades principales. 12. SE presenta Plan de accion con corte a 30 de septiembre 2024, dando cumplimiento a la circular N° 1232-0031 del 30/09/2024 emitida por la  Secretaria de Planeacion.</t>
  </si>
  <si>
    <t xml:space="preserve">1.  Cumpliendo con la Actividad de Control, desde la Oficina de Almacen se realizo socializacion de la Politica de Uso Adecuado de los Bienes, Esta politica fue Socializada por medio de la Circular N° 003 del 13 de enero del 2024  y se publica en la pagina de Facebook- PELHUSA y se remite por los Correos electronicos a los funcionarios publicos.                                       
2.   Cumpliendo con la Actividad de Control, el dia 14  de febrero de 2024 se expidio Circular 00011  con Asunto: Ingreso Almacen para Elementos Tecnologicos (tangibles e intangibles).                                                                                                                                                                  3.      Cumpliendo con la Actividad de Control, desde la Oficina de Almacen se realizo socializacion de los conceptos que generan Ingreso al Almacen General del Municipio, Esta politica fue Socializada por medio de la Circular N° 0012 del 15 de enero del 2024.   4.   Por medio de la Circular N° 0037 de 22/07/2024 el Almacen emitio circular Socializando la POLITICA DE USO ADECUADO DE LOS BIENES DEL MUNICIPIO. 5.  Por medio del memorando N° 1423-2024-029741 de 12/07/2024 el Almacen General solicitud a la Oficina de Comunicaciones asesoria, acompañamiento, produccion y divulgacion de video y material grafico para el uso adecuado de los bienes y procedimiento de las Tomas Fisicas.                                                                                                                                                                                                      6. Con el Memorando N° 1050-2024-36374 de 16/08/2024 la Oficina de Comunicaciones da contestacion al memo 029741 al Almacen General comunicando la divulgacion por las redes sociales (Pelhusa Comunica) del video y el material grafico (Se anexa video e imagenes de la publicacion).                                                                                                                                                                                                7. Por medio de la Circular N° 067 del 27/11/2024, el Almacen General  socializo la Politica de USO ADECUADO DE LOS BIENES DEL MPIO.                                                                                                                                                                                                                     8. el mes de diciembre de 2024, el almacen gral publico y divulgo por PELHUSA (Facebook) video y fichas graficas del uso adecuado de los bienes del mpio de Ibague, asi como tambien, la divulgacion de un video del manejo correcto de los tonner que son inservibles y que no estan cargados de tintas.        </t>
  </si>
  <si>
    <t xml:space="preserve">1.  De acuerdo a la Circular N° 0019 del 08 de abril de 2024, La Direcciom de Recursos Fisicos junto con el Almacen General, socializaron el cronograma de tomas fisicas vigencia 2024.                                                                                                                                                                 2.  Con el memorando N° 1423-2024-13372 del 08 de abril del 2024 del Almacen General comunica a la Secretaria General y a la Direccion de Atencion al Cuidadano el cronograma de las tomas fisicas a esas dependecias.                                                                                                     3. Por medio del Acta N° 001 del 08 de abril de 2024,    el Almacen General  socializo al personal de apoyo el cronograma de las tomas fisicas y asignar dependecias y directrices y compromisos de la realizacion del trabajo.                                                                                                                      4. El Almacen General realiza tomas fisicas a las Secretarias de Salud, Economico y General (Memorandos 13372-16621-17518 de abril 2024) anexos Soportes de las tomas fisicas (actas Finales 11/06/2024, 17/06/2024 y 16/07/2024).                                                                                                                                                                                                                                                                                                                                                                                                                                                                                                                                                                               5. Por medio del memorando N° 1423-2024-025626 del 19/06/2024 el Almacen Gral notifica a las dependecias de la Secretaria Administrativa el inicio y realizacion de las tomas fisicas (acta final 11/10/2024). </t>
  </si>
  <si>
    <t xml:space="preserve">1.  El Almacen General  por medio del FORMATO: ACTA DE ENTREGA Y  TRASPASO DE BIENES MUEBLES Y ENSERES (VERSION 03, 31/07/2024) y la generacion de los PAZ Y SALVO  de  Almacen General, que reposan en los archivos y registos del CGI de la actualizacion, realizan las actividades de control y seguimiento a los movimientos de los inventarios de los bienes muebles a cargo de los funcionarios y   ex funcionarios que son de propiedad de la Administracion Central.    2. Por medio del memorando 1423-2024-055636 el Almacen Gral convoco una mesa de trabajo a las dependecias de talento humano, Control disciplinario e Interno, para tratar el tema para del seguimiento de aquellos funcionarios que se retiran de la Administracion Central y no hace la debida entrega al almacen de aquellos elementos que tenian a cargo, con la evidencia de esta activdad el Acta de reunion N° 0014 del 02/12/2024.                                                                                                                                                                                                                                    3. Por medio del memorando 1423-2024-058041 del 09/12/2024, el Almacen Gral realiza convocatoria de segunda mesa de trabajo a las dependecias de Talento Humano, Control Interno y Disciplinarios y se fortalezcan las actividades de controles del Almacen Gral para emitor paz y salvos a aquellos funcionarios que se desvinculan de la Alcaldia de ibague, como evidencia el Acta de Reunion N° 0015 del 16/12/2024. 4. Por medio del correo electronico institucional del Almacen Gral en el mes de diciembre/2024 les  remite  a los funcionarios Maria Margarita Abraham, Sary Ibeth Santos Moreno, Shirley Lorena, Angela Ximena Charcas y a otros, que se acerquen al almacen y hagan el proceso de entrega la Almacen Gral y revisan su respectivo PAZ Y SALVO.                                                                                                                                                                                                         5. Por medio de comunicacion externa el almacen gral el dia 19/12/2024, remite por 472 oficio a la Señora Maria Margarita Rueda Abraham, solicitandole que haga entrega de los bienes muebles que aun tiene bajo su responsabilidad en el sistema de informacion de esta oficina ( se anbexa formato de correspondencia- Oficina de Atencion al Ciudadano).                                                                                                                                                                                                                                                                                                 </t>
  </si>
  <si>
    <r>
      <rPr>
        <b/>
        <sz val="10"/>
        <color theme="1"/>
        <rFont val="Arial Narrow"/>
        <family val="2"/>
      </rPr>
      <t>MESAS DE TRABAJO:</t>
    </r>
    <r>
      <rPr>
        <sz val="10"/>
        <color theme="1"/>
        <rFont val="Arial Narrow"/>
        <family val="2"/>
      </rPr>
      <t xml:space="preserve">                                                                                                                                                                                                                                      1. Dando cumplimiento al  control, la Directora de Recursos Fisicos, realiza mesa de trabajo realizando seguimiento a la actualizacion digital de los expedientes, informacion  que reposa en el Drive de las BDD, del correo inst. de Predios. Acta N° 0011 del 16/04/2024.  2. La Directora de Recursos Fisicos le hace seguimiento a la actualizacion correcta de la BDD  de bienes fiscales, realizando un plan de choque para subsanar los incovenientes de control de interno, dando alcance al Acta N° 0011 del 16/04/2024. Evidencia de seguimiento Acta N° 0027 de 21/06/2024.  3. Dando cumplimiento al seguimiento, control del registro y a la confidencialidad de la informacion de las BDD y a los expedientes del grupo de bienes fiscales y titulaciones, efectuado por el grupo de gestion documental, bajo el acta de reunion N° 0031 de 02/08/2024. 4. Dando cumplimiento a esta actividad, por medio del acta de reunion N° 0035 del 16/09/2024, la direccion realiza seguimiento a las proceso de gestion documental, del archivo que reposa en la direccion y los avances en la actualizacion y contol de la BBD de predios que reposa en el Drive. 5. Por medio del Acta N° 034 del 13/09/2024, el lider del Grupo de titulaciones que hace parte de Bienes Fiscales y  de Uso Publico asdcrita a la Direccion de Recursos Fisicos, haciendo una socializacion del cumplimiento de las metas con respecto al archivo  y la realizacion del proceso de gestion documental de estos expedientes.                                                                                                                                                                     </t>
    </r>
    <r>
      <rPr>
        <b/>
        <sz val="10"/>
        <color theme="1"/>
        <rFont val="Arial Narrow"/>
        <family val="2"/>
      </rPr>
      <t xml:space="preserve">REMISIONES ALEATORIAS EXPEDIENTES Y BDD: </t>
    </r>
    <r>
      <rPr>
        <sz val="10"/>
        <color theme="1"/>
        <rFont val="Arial Narrow"/>
        <family val="2"/>
      </rPr>
      <t xml:space="preserve">                                                                                                                                                     1. Por medio de correo electronico institucional el dia 30 de abril de 2024, el grupo de Bienes Fiscales remiten a la Directora de Recursos Fisicos reporte del muestreo aleatorio de la revision de los expedientes que reposan en el archivo gestion, donde realizan la verificacion y corraborar la infiornacion de la BDD  de  grupo de Bienes Fiscales y Uso Publico conforme a  los expedientes fisicos.                                                                                                                           2. Dando cumplimiento a esta actividad en los meses de mayo y junio de 2024, el profesional universitario especializado hace un muestreo aleatorio a los expedientes fisicos del archivo gestion de bienes fiscales y de uso publico, confrontando esta informacion fisica con los datos rgistrados en el drive de la BDD de predios, para identificar fallas. Evidencias infomacion reportada por bienes fiscales al correo intitucional de Recursos Fisicos.   3 .Por medio de correo electronico  remiten a la Direccion de Recursos Fisicos el area de predios el muestreo aleatorios de los meses de julio y agosto de 2024, donde  el profesional universitario especializado realiza el muestreo aleatorio a los expedientes fisicos del archivo gestion de bienes fiscales y se uso publico, corraborando con la informacion que reposa en la BDD de Drive. para identificar inconsistencias de la infornacion cargada y que coincidan y de corregir las fallas que se presenten.      4.  Por medio del correo electrico inst, el grupo de bienes fiscales le remite el dia 29/10/2024 al despacho el muestreo aleatorio por el mes de septiembre  de 2024, con el fin de identificar fallas en el proceso y mal proceso archivistico en el expedientes que reposan en la direccion y en la BBD del Drive.   5.  Por medio del correo electrico inst, el grupo de bienes fiscales le remite el dia 31/10/2024 al despacho el muestreo aleatorio por el mes de octubre  de 2024, con el fin de identificar fallas en el proceso y mal proceso archivistico en el expedientes que reposan en la direccion y en la BBD del Drive. 6. Por medio del correo electrico inst, el grupo de bienes fiscales le remite el dia 21/11/2024 al despacho el muestreo aleatorio por el mes de Noviembre  de 2024, con el fin de identificar fallas en el proceso y mal proceso archivistico en el expedientes que reposan en la direccion y en la BBD del Drive.                                                                                                                                                                                                                                                                                                    7. Por medio del correo electrico inst, el grupo de bienes fiscales le remite el dia 12/12/2024 al despacho el muestreo aleatorio por el mes de diciembre  de 2024, con el fin de identificar fallas en el proceso y mal proceso archivistico en el expedientes que reposan en la direccion y en la BBD del Drive                                                                                                                                                                                                                                                                        </t>
    </r>
    <r>
      <rPr>
        <b/>
        <sz val="10"/>
        <color theme="1"/>
        <rFont val="Arial Narrow"/>
        <family val="2"/>
      </rPr>
      <t>PROFESIONAL DE APOYO CONTRATADO</t>
    </r>
    <r>
      <rPr>
        <sz val="10"/>
        <color theme="1"/>
        <rFont val="Arial Narrow"/>
        <family val="2"/>
      </rPr>
      <t xml:space="preserve">:                                                                                                                                                                                                                                    1. Por medio de los  Contratos N° 0870 del 13/03/2024 y N° 2636 del 15/10/2024 la Direccion contrata la prestacion de los servicios profesionales de una Ingeniera de Sistema con la obligacion de desarrollar la actividad  de realizar la actualzacion, seguimiento y unificacion de las bases de los datos de los expedientes del archivo a cargo del grupo de bienes bajo la direccion de recursos fisicos.                        </t>
    </r>
  </si>
  <si>
    <t xml:space="preserve">1. Cumpliendo con la Actividad de Control, la Directora de Recursos Fisicos cita a comite de Seguimiento el dia 22 de marzo de 2024, con la finalidad de socializar el manual y el procedimiento de Bienes Fiscales y Titulacion y tener un compromiso de confidencialidad y responsabilidad del manejo y control de la infirmacion de las BDD de esta area Acta 0008 del 22/03/2024. 2. Dando cumplimiento a la socializacion del manual de bienes fiscales y de uso publico y pactar confidencialidad y responsabilidad de la manejo e informacion de las BBD, se realizo una capacitacion a los contratistas que ingresaron en  el segundo trimestre al grupo de predios. Evidencia Acta N° 0026 del 20/06/2024.  3.Dando cumplimiento a esta actividad el dia 03/12/2024, por medio de correo electronico institucional se realizo convocatoria al personal de apoyo que ingresaron en los meses de septiembre, octubre,  noviembre y diciembre  de 2024 al grupo de titulaciones, para realizar el proceso de sociliazion del manual de ADMINSITRACION AL GRUPO DE BIENES FISCALES Y DE USO PUBLICO Y PACTAR COMPROMISO DE CONFIDENCIALIDAD DE LAS BDD que reposan en la Direccion de Recursos Fisicos.                                                                                                                                                                                                                                                                                             </t>
  </si>
  <si>
    <r>
      <rPr>
        <b/>
        <sz val="12"/>
        <color theme="1"/>
        <rFont val="Arial Narrow"/>
        <family val="2"/>
      </rPr>
      <t>Mayo - Junio 2024</t>
    </r>
    <r>
      <rPr>
        <sz val="12"/>
        <color theme="1"/>
        <rFont val="Arial Narrow"/>
        <family val="2"/>
      </rPr>
      <t xml:space="preserve">
se elabora circular 28 del 22 de mayo del 2024 donde se socializa el cronograma de visitas de seguimiento a las unidades administritivas que presentaron planes de trabajo en la vigencia 2023 Durante este periodo se llevaron a cabo 46 visitas de seguimiento  a las siguientes unidades administrativas: 
</t>
    </r>
    <r>
      <rPr>
        <sz val="12"/>
        <color rgb="FFFF0000"/>
        <rFont val="Arial Narrow"/>
        <family val="2"/>
      </rPr>
      <t>Porcentaje de cumplimiento: 77%</t>
    </r>
    <r>
      <rPr>
        <sz val="12"/>
        <color theme="1"/>
        <rFont val="Arial Narrow"/>
        <family val="2"/>
      </rPr>
      <t xml:space="preserve">
 Despacho Alcalde Oficina de Control Interno Oficina de Control Unico Disciplinario Oficina Jurídica Oficina Contratación Oficina Comunicaciones Grupo Logística y Protocolo Gerencia de Proyectos Despacho Secretaria educativa Grupo Inspección y Vigilancia Dirección Calidad Educativa Grupo Evaluación Dirección Administrativa y Financiera Grupo Talento Humano y SST Despacho planeación Dirección Ordenamiento Territorial Sostenible - OTS Dirección Información y Aplicación de la norma Urbanística - DIANU Dirección planeación del desarollo Dirección Administración del SISBEN Dirección Fortalecimiento Institucional Despacho hacienda Dirección de Presupuesto Dirección Contabilidad Direccion Tecnica Direccion Operativa Despacho administrativa Dirección De Recursos Fìsicos Despacho Cultura Dirección de fomento de las practicas administrativas Despacho gobierno Dirección de justicia Centro de estudios y análisis de convivencia Dirección de participación ciudadana comunitaria Dirección de Infancia, Adolescencia y Juventud Grupo Etnias Despacho secretaria general Dirección de Atención al Ciudadano Despacho TIC Grupo Ciencia Tecnologia e innovaciòn Grupo Infraestructura Tecnologica  
2. Se elabora circualr 005 del 26 de junio de 2024 en donde se solicita planes de trabajo con vigencias 2024 y reportar los inventarior totales de la documentación existente 
3. De acuerdo a circular 35 del 22 de abril del 2024 donde se socializa el cronograma de capaciones en gestión documental 
Durante este periodo se realizan 7 capacitaciones donde se socializa las siguiente tematicas: protocolo para embalaje y traslado de archivos , fundamentos basicos de Gestión Documental e Implementación de TRD: 
Las unidades administrativas capacitadas fueron: GRUPO ALMACEN; GRUPO DE BIENES FISCALES Y DE USO PUBLICO; OFICINA JURIDICA; SECRETARÍA DE SALUD; DIRECCION DE JUSTICIA;  SECRETARÍA DE AMBIENTE Y GESTIÓN 
DEL RIESGO; SECRETARIA DE INFRAESTRUCTURA
</t>
    </r>
    <r>
      <rPr>
        <b/>
        <sz val="12"/>
        <color theme="1"/>
        <rFont val="Arial Narrow"/>
        <family val="2"/>
      </rPr>
      <t xml:space="preserve">JULIO- AGOSTO 2024
</t>
    </r>
    <r>
      <rPr>
        <sz val="12"/>
        <color theme="1"/>
        <rFont val="Arial Narrow"/>
        <family val="2"/>
      </rPr>
      <t xml:space="preserve">Para este periodo se realizarón las visitas de seguimiento que estan pednientes para cumplir el 100% del cronograma estabecido en la circular 28 del 22 de mayo de 2024.
Las unidades administrativas que se visitaron fueron las siguientes ( 13 en total):
Dirección Tesorería
Grupo Cobro Coactivo
Dirección Rentas
Secretaria de desarrollo social- despacho 
Grupo Juventudes
Grupo Etnias
Grupo discapacidad
Grupo Habitante de la Calle
Grupo de Adulto mayor
Grupo Atención y Orientación a las Víctimas del Conflicto Armado
Dirección Mujer, Género y Diversidad Sexual
Grupo LGBTI
Grupo Relaciones Estratégicas
Porcentaje de cumplimiento: 100%
Adicionalmente, para las unidades administrativas que no habian entregado plan de trabajo en la vigencia 2023, se realizo visita de acompañamiento para la contrucción del plan de trabajo 2024, con el fin de brindar apoyo en el cumplimiento de las circulares 005 del 26 de junio y 003 del 27 de junio.
Secretaria de las TIC
grupo SST 
Gerencia de Proyectos Estratégicos
Grupo de Inspección y Vigilancia (Sec. de Educación - Grupo de Cobertura)
Dirección de recursos Fisicos
Grupo de gestión documental
Dirección de Gestión del Riesgo y Atención de Desastres
Despacho secretaria Dirección de Ambiente, Agua y Cambio Climatico
Dirección de Trámites y Servicios
Dirección Asuntos Jurídicos
Dirección Operativa
Secretaria de Salud
EFAC
Dirección de Participación Ciudadana y Grupo de Asuntos Religiosos
Despacho Secretaría de Gobierno
Dirección de Justicia y SEACSPAZ
Dirección de Espacio Público
 Grupo de Acceso Sec. de Educación
direccion cuerpo oficial de bomberos
Secretaría de Cultura
Bienes fiscales 
Dirección de Recursos Físicos ,
Grupo de almacen
Secretaría Administrativa - Despacho
Dirección de Talento Humano
Secretaría de Movilidad-Despacho
Se realizó 26 visitas, las cuales abarcaron las 46 unidades administrativas faltantes para completar visitas al 100% de las unidades administritivas.
</t>
    </r>
    <r>
      <rPr>
        <b/>
        <sz val="12"/>
        <color theme="1"/>
        <rFont val="Arial Narrow"/>
        <family val="2"/>
      </rPr>
      <t>SEPTIEMBRE - OCTUBRE 2024</t>
    </r>
    <r>
      <rPr>
        <b/>
        <sz val="12"/>
        <color rgb="FFFF0000"/>
        <rFont val="Arial Narrow"/>
        <family val="2"/>
      </rPr>
      <t xml:space="preserve">
</t>
    </r>
    <r>
      <rPr>
        <sz val="12"/>
        <color theme="1"/>
        <rFont val="Arial Narrow"/>
        <family val="2"/>
      </rPr>
      <t xml:space="preserve">Se emite circular 58 del 25 de octubre  de 2024 en donde se socializa el cronograma de visitas de seguimiento a todas las unidades administritivas con el fin de hacer segumiento al plan de trabajo planteado para el 2024 y hacer verificación en campo de apropiación de conocimientos adquiridos por medio de las capacitaciones. Es importante mencionar que las visitas se iniciarán en el mes de noviembre. </t>
    </r>
    <r>
      <rPr>
        <sz val="12"/>
        <color rgb="FFFF0000"/>
        <rFont val="Arial Narrow"/>
        <family val="2"/>
      </rPr>
      <t xml:space="preserve">
</t>
    </r>
    <r>
      <rPr>
        <b/>
        <sz val="12"/>
        <color rgb="FFFF0000"/>
        <rFont val="Arial Narrow"/>
        <family val="2"/>
      </rPr>
      <t xml:space="preserve">
NOVIEMBRE- DICIEMBRE 2024
 1. </t>
    </r>
    <r>
      <rPr>
        <sz val="12"/>
        <color rgb="FF000000"/>
        <rFont val="Arial Narrow"/>
        <family val="2"/>
      </rPr>
      <t xml:space="preserve">Conforme a la circular 58 del 25 de octubre , se realizaron 69 visitas las cuales abarcaron el total de las 103  unidades administrativas de la Alcaldía municipal de Ibagué. En estas visitas se reviso  el avance en los planes de trabajo establecidos para el 2024 de cada una de las unidades administrativas y se reviso la correcta aplicación del proceso archivistico. 
Porcentaje de cumplimiento: 100%
</t>
    </r>
    <r>
      <rPr>
        <sz val="12"/>
        <color rgb="FFFF0000"/>
        <rFont val="Arial Narrow"/>
        <family val="2"/>
      </rPr>
      <t>2.</t>
    </r>
    <r>
      <rPr>
        <sz val="12"/>
        <color rgb="FF000000"/>
        <rFont val="Arial Narrow"/>
        <family val="2"/>
      </rPr>
      <t xml:space="preserve"> Esta actividad ya se habia realizado y se registro el avance en el reporte de mayo y junio de 2024
</t>
    </r>
    <r>
      <rPr>
        <sz val="12"/>
        <color rgb="FFFF0000"/>
        <rFont val="Arial Narrow"/>
        <family val="2"/>
      </rPr>
      <t xml:space="preserve">3. </t>
    </r>
    <r>
      <rPr>
        <sz val="12"/>
        <color rgb="FF000000"/>
        <rFont val="Arial Narrow"/>
        <family val="2"/>
      </rPr>
      <t xml:space="preserve">Durante este periodo no se recibieron solicitudes de los archivos de gestión.
</t>
    </r>
  </si>
  <si>
    <r>
      <rPr>
        <b/>
        <sz val="11"/>
        <color theme="1"/>
        <rFont val="Arial Narrow"/>
        <family val="2"/>
      </rPr>
      <t xml:space="preserve">Mayo - Junio 2024
</t>
    </r>
    <r>
      <rPr>
        <sz val="11"/>
        <color theme="1"/>
        <rFont val="Arial Narrow"/>
        <family val="2"/>
      </rPr>
      <t xml:space="preserve">
1. Se presenta informe semestral de ejecución del SIC  
 2. Se presneta información dentro del informe de ejecución del SIC
 3. No se realizan actividades relacionadas en este periodo
</t>
    </r>
    <r>
      <rPr>
        <b/>
        <sz val="11"/>
        <color theme="1"/>
        <rFont val="Arial Narrow"/>
        <family val="2"/>
      </rPr>
      <t xml:space="preserve">JULIO- AGOSTO 2024
1. </t>
    </r>
    <r>
      <rPr>
        <sz val="11"/>
        <color theme="1"/>
        <rFont val="Arial Narrow"/>
        <family val="2"/>
      </rPr>
      <t>Las actividades realizadas en este periodo se reportara en el informe del semestre N°2</t>
    </r>
    <r>
      <rPr>
        <b/>
        <sz val="11"/>
        <color theme="1"/>
        <rFont val="Arial Narrow"/>
        <family val="2"/>
      </rPr>
      <t xml:space="preserve">
 2. </t>
    </r>
    <r>
      <rPr>
        <sz val="11"/>
        <color theme="1"/>
        <rFont val="Arial Narrow"/>
        <family val="2"/>
      </rPr>
      <t>No se realizan actividades relacionadas en este periodo</t>
    </r>
    <r>
      <rPr>
        <b/>
        <sz val="11"/>
        <color theme="1"/>
        <rFont val="Arial Narrow"/>
        <family val="2"/>
      </rPr>
      <t xml:space="preserve">
 3. </t>
    </r>
    <r>
      <rPr>
        <sz val="11"/>
        <color theme="1"/>
        <rFont val="Arial Narrow"/>
        <family val="2"/>
      </rPr>
      <t xml:space="preserve">No se realizan actividades relacionadas en este periodo
</t>
    </r>
    <r>
      <rPr>
        <b/>
        <sz val="11"/>
        <color theme="1"/>
        <rFont val="Arial Narrow"/>
        <family val="2"/>
      </rPr>
      <t>SEPTIEMBRE - OCTUBRE 2024</t>
    </r>
    <r>
      <rPr>
        <b/>
        <sz val="11"/>
        <color rgb="FFFF0000"/>
        <rFont val="Arial Narrow"/>
        <family val="2"/>
      </rPr>
      <t xml:space="preserve">
</t>
    </r>
    <r>
      <rPr>
        <sz val="11"/>
        <color theme="1"/>
        <rFont val="Arial Narrow"/>
        <family val="2"/>
      </rPr>
      <t xml:space="preserve">1. Aunque la periodicida del informe es semestral, se adjunta informe de ejecución del SIC del tirmestre III 
2. El día 10 de octubre se envia correo al area de mantenimiento solicitando las necesidades indentificadas
3. Para este periodo, la secretaria de movilidad solicita acoompañamiento para la evaluación de las condiciones del nuevo luegar propuesto para el trasaldo de la misma. Para lo anterior se reaiza reliza comite de gestión del cambio en la dirección recursos fisicos el día 4 de septiembre y posterior a esto el día 10 de septiembre se realiza la visita fisica al punto de traslado con todos los intengrantes del comite en donde cada participante deja plasmado en el acta sus observaciones y recomendaciones
</t>
    </r>
    <r>
      <rPr>
        <b/>
        <sz val="11"/>
        <color theme="1"/>
        <rFont val="Arial Narrow"/>
        <family val="2"/>
      </rPr>
      <t xml:space="preserve">
</t>
    </r>
    <r>
      <rPr>
        <b/>
        <sz val="11"/>
        <color rgb="FFFF0000"/>
        <rFont val="Arial Narrow"/>
        <family val="2"/>
      </rPr>
      <t>NOVIEMBRE- DICIEMBRE 2024</t>
    </r>
    <r>
      <rPr>
        <b/>
        <sz val="11"/>
        <color theme="1"/>
        <rFont val="Arial Narrow"/>
        <family val="2"/>
      </rPr>
      <t xml:space="preserve">
1. Se presenta informe del trimestre IV de ejecución del SIC
2. Durante este periodo se realizan los siguientes requerimientos de mantenimeinto:
–Se solicita visita de revisión de mantenimiento al archivo de la 60 en donde se evidencia gotera dentro del archivo
- Se reporta deterioro en la chapa de la puerta del archivo de la 60
- Se solicita inspección en el archivo de las TIC en donde hay tuberia con gotera
3. No se realizan actividades relacionadas en este periodo
</t>
    </r>
  </si>
  <si>
    <t>FOR-13-PRO-GD-04 FORMATO CONTROL PRÉSTAMO.
*DIAGNOSTICO INTEGRAL DE ARCHIVO EN LA ALCALDIA MUNICAAPL DE IBAGUÉ 
*ACTA DE VISITA DE CONTROL ALCALDIA MUNICIPAL DE IBAGUÉ 2024</t>
  </si>
  <si>
    <r>
      <rPr>
        <b/>
        <sz val="11"/>
        <color theme="1"/>
        <rFont val="Arial Narrow"/>
        <family val="2"/>
      </rPr>
      <t xml:space="preserve">Mayo - Junio 2024
</t>
    </r>
    <r>
      <rPr>
        <sz val="11"/>
        <color theme="1"/>
        <rFont val="Arial Narrow"/>
        <family val="2"/>
      </rPr>
      <t xml:space="preserve"> 1. No se realizan actividades relacionadas en este periodo
</t>
    </r>
    <r>
      <rPr>
        <b/>
        <sz val="11"/>
        <color theme="1"/>
        <rFont val="Arial Narrow"/>
        <family val="2"/>
      </rPr>
      <t xml:space="preserve">JULIO- AGOSTO 2024
</t>
    </r>
    <r>
      <rPr>
        <sz val="11"/>
        <color theme="1"/>
        <rFont val="Arial Narrow"/>
        <family val="2"/>
      </rPr>
      <t xml:space="preserve">
1. No se realizan actividades relacionadas en este periodo
</t>
    </r>
    <r>
      <rPr>
        <b/>
        <sz val="11"/>
        <color theme="1"/>
        <rFont val="Arial Narrow"/>
        <family val="2"/>
      </rPr>
      <t xml:space="preserve">SEPTIEMBRE - OCTUBRE 2024
</t>
    </r>
    <r>
      <rPr>
        <b/>
        <sz val="11"/>
        <color rgb="FFFF0000"/>
        <rFont val="Arial Narrow"/>
        <family val="2"/>
      </rPr>
      <t xml:space="preserve">
</t>
    </r>
    <r>
      <rPr>
        <sz val="11"/>
        <color theme="1"/>
        <rFont val="Arial Narrow"/>
        <family val="2"/>
      </rPr>
      <t xml:space="preserve">Se emite circular 58 del 25 de octubre  de 2024 en donde se socializa el cronograma de visitas de seguimiento a todas las unidades administritivas dentro de las cuales se realizara la verificación la correcta aplicación del formato de control de prestamos documentales
</t>
    </r>
    <r>
      <rPr>
        <b/>
        <sz val="11"/>
        <color rgb="FFFF0000"/>
        <rFont val="Arial Narrow"/>
        <family val="2"/>
      </rPr>
      <t>NOVIEMBRE- DICIEMBRE 2024</t>
    </r>
    <r>
      <rPr>
        <sz val="11"/>
        <color theme="1"/>
        <rFont val="Arial Narrow"/>
        <family val="2"/>
      </rPr>
      <t xml:space="preserve">
 1. Conforme a la circular 58 del 25 de octubre , se realizaron 69 visitas las cuales abarcaron el total de las 103  unidades administrativas de la Alcaldía municipal de Ibagué. En estas visitas se reviso  el avance en los planes de trabajo establecidos para el 2024 de cada una de las unidades administrativas y se reviso la correcta aplicación del proceso archivistico. 
</t>
    </r>
    <r>
      <rPr>
        <b/>
        <sz val="11"/>
        <color theme="1"/>
        <rFont val="Arial Narrow"/>
        <family val="2"/>
      </rPr>
      <t>Porcentaje de cumplimiento: 100%</t>
    </r>
  </si>
  <si>
    <t>Insuficiente competencia e idoneidad del personal contratado frente al manejo del proceso de Gestión Documental en las Unidades Administrativas</t>
  </si>
  <si>
    <r>
      <rPr>
        <b/>
        <sz val="11"/>
        <color rgb="FF000000"/>
        <rFont val="Arial Narrow"/>
        <family val="2"/>
      </rPr>
      <t>Mayo - Junio 2024</t>
    </r>
    <r>
      <rPr>
        <b/>
        <sz val="11"/>
        <color rgb="FFFF0000"/>
        <rFont val="Arial Narrow"/>
        <family val="2"/>
      </rPr>
      <t xml:space="preserve">
</t>
    </r>
    <r>
      <rPr>
        <b/>
        <sz val="11"/>
        <color theme="1"/>
        <rFont val="Arial Narrow"/>
        <family val="2"/>
      </rPr>
      <t xml:space="preserve">
</t>
    </r>
    <r>
      <rPr>
        <sz val="11"/>
        <color theme="1"/>
        <rFont val="Arial Narrow"/>
        <family val="2"/>
      </rPr>
      <t xml:space="preserve">Se elabora circualr 005 del 26 de junio de 2024 en donde se solicita planes de trabajo con vigencias 2024 y reportar los inventarior totales de la documentación existente 
3. De acuerdo a circular 35 del 22 de abril del 2024 donde se socializa el cronograma de capaciones en gestión documental 
Durante este periodo se realizan 7 capacitaciones donde se socializa las siguiente tematicas: protocolo para embalaje y traslado de archivos , fundamentos basicos de Gestión Documental e Implementación de TRD: 
</t>
    </r>
    <r>
      <rPr>
        <sz val="11"/>
        <color rgb="FFFF0000"/>
        <rFont val="Arial Narrow"/>
        <family val="2"/>
      </rPr>
      <t>Porcentaje de cumplimiento: 100%</t>
    </r>
    <r>
      <rPr>
        <sz val="11"/>
        <color theme="1"/>
        <rFont val="Arial Narrow"/>
        <family val="2"/>
      </rPr>
      <t xml:space="preserve">
Las unidades administrativas capacitadas fueron: GRUPO ALMACEN; GRUPO DE BIENES FISCALES Y DE USO PUBLICO; OFICINA JURIDICA; SECRETARÍA DE SALUD; DIRECCION DE JUSTICIA;  SECRETARÍA DE AMBIENTE Y GESTIÓN 
DEL RIESGO; SECRETARIA DE INFRAESTRUCTURA
</t>
    </r>
    <r>
      <rPr>
        <b/>
        <sz val="11"/>
        <color rgb="FF000000"/>
        <rFont val="Arial Narrow"/>
        <family val="2"/>
      </rPr>
      <t>Julio - Agosto 2024</t>
    </r>
    <r>
      <rPr>
        <b/>
        <sz val="11"/>
        <color theme="1"/>
        <rFont val="Arial Narrow"/>
        <family val="2"/>
      </rPr>
      <t xml:space="preserve">
</t>
    </r>
    <r>
      <rPr>
        <sz val="11"/>
        <color theme="1"/>
        <rFont val="Arial Narrow"/>
        <family val="2"/>
      </rPr>
      <t xml:space="preserve">Se elabora memorando 33711 del 5 de agosto de 2024 en donde se solicializa cronograma de capacitaciones a las 104 unidades administrativas en temas de criterios de organización de archivos de gestión; Aplicación TRD; Diligenciamientos de hojas de control e inventarios documentales:
</t>
    </r>
    <r>
      <rPr>
        <b/>
        <sz val="11"/>
        <color rgb="FFFF0000"/>
        <rFont val="Arial Narrow"/>
        <family val="2"/>
      </rPr>
      <t xml:space="preserve">Porcentaje de cumplimiento: 86,6%
</t>
    </r>
    <r>
      <rPr>
        <sz val="11"/>
        <color theme="1"/>
        <rFont val="Arial Narrow"/>
        <family val="2"/>
      </rPr>
      <t xml:space="preserve">Se progamaron 15 capacitaciones que cubren el 100% de Las unidades administrativas. Las unidades administrativas capacitadas fueron:
Dirección de Cobertura,
 Grupo Acceso,
 Grupo cobertura 
Oficina de control interno, 
Oficina de control unico disciplinario, 
Gerencia de proyectos estrategicos
SECRETARIA DESARROLLO ECONOMICO
Despacho, Grupo inspección y vigilancia
Dirección calidad educativa, grupo mejoramiento, grupo Evaluación
Despacho del alcalde/ Oficina Jurídica/Oficina de comunicaciones/ Secretaría general
Secretaría de Hacienda
SECRETARÍA ADMINISTRATIVA – SECRETARÍA DE GOBIERNO
Secretaría TIC, Oficina de contratación
Dirección de justicia
Dirección de espacio público
secretaria de planeación
Dirección Administrativa y financiera, Dirección de calidad
</t>
    </r>
    <r>
      <rPr>
        <b/>
        <sz val="11"/>
        <color rgb="FF000000"/>
        <rFont val="Arial Narrow"/>
        <family val="2"/>
      </rPr>
      <t xml:space="preserve">SEPTIEMBRE - OCTUBRE 2024
</t>
    </r>
    <r>
      <rPr>
        <b/>
        <sz val="11"/>
        <color rgb="FFFF0000"/>
        <rFont val="Arial Narrow"/>
        <family val="2"/>
      </rPr>
      <t xml:space="preserve">
</t>
    </r>
    <r>
      <rPr>
        <sz val="11"/>
        <color theme="1"/>
        <rFont val="Arial Narrow"/>
        <family val="2"/>
      </rPr>
      <t xml:space="preserve">Se realizan las ultimas 3 capacitaciones pendientes para cumplir el 100% del cronograma establecido en el memorando 33711 del 5 de agosto de 2024 y las unidades capacitadas so las siguientes:
Secretaria de infraestructura 
 secretaria de agricultura
 direcciòn de catastro multiproposito
Secretaria de gobierno
 Direcciòn de participaciòn ciudadana
Secretaria de salud
</t>
    </r>
    <r>
      <rPr>
        <sz val="11"/>
        <color rgb="FFFF0000"/>
        <rFont val="Arial Narrow"/>
        <family val="2"/>
      </rPr>
      <t xml:space="preserve">Porcentaje de cumplimiento: 100%
</t>
    </r>
    <r>
      <rPr>
        <b/>
        <sz val="11"/>
        <color rgb="FFFF0000"/>
        <rFont val="Arial Narrow"/>
        <family val="2"/>
      </rPr>
      <t>NOVIEMBRE - DICIEMBRE 2024</t>
    </r>
    <r>
      <rPr>
        <b/>
        <sz val="11"/>
        <color rgb="FF000000"/>
        <rFont val="Arial Narrow"/>
        <family val="2"/>
      </rPr>
      <t xml:space="preserve">
</t>
    </r>
    <r>
      <rPr>
        <sz val="11"/>
        <color rgb="FF000000"/>
        <rFont val="Arial Narrow"/>
        <family val="2"/>
      </rPr>
      <t>Durante este periodo no se realizan capacitaciones ya que en el més de octubre se completaron y reportaron las actividades programadas para el año 2024 en temas de capacitaciones</t>
    </r>
    <r>
      <rPr>
        <sz val="11"/>
        <color rgb="FFFF0000"/>
        <rFont val="Arial Narrow"/>
        <family val="2"/>
      </rPr>
      <t xml:space="preserve">
</t>
    </r>
    <r>
      <rPr>
        <sz val="11"/>
        <color theme="1"/>
        <rFont val="Arial Narrow"/>
        <family val="2"/>
      </rPr>
      <t xml:space="preserve">
</t>
    </r>
  </si>
  <si>
    <t xml:space="preserve">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t>
  </si>
  <si>
    <t>INICIA CON LA ELABORACIÓN DEL PLAN ANUAL DE AUDITORÍA, INCLUYE LAS ACTIVIDADES REQUERIDAS PARA LA IMPLEMENTACIÓN DE LOS 5 ROLES ASIGNADOS A LAS OFICINAS DE CONTROL INTERNO, Y FINALIZA CON LA EVALUACIÓN DEL CUMPLIMIENTO DEL PLAN ANUAL DE AUDITORIA.</t>
  </si>
  <si>
    <r>
      <rPr>
        <sz val="12"/>
        <color rgb="FFFF0000"/>
        <rFont val="Arial Narrow"/>
        <family val="2"/>
      </rPr>
      <t>Posibilidad</t>
    </r>
    <r>
      <rPr>
        <sz val="12"/>
        <rFont val="Arial Narrow"/>
        <family val="2"/>
      </rPr>
      <t xml:space="preserve">  de afectación reputacional </t>
    </r>
    <r>
      <rPr>
        <sz val="12"/>
        <color rgb="FFFF0000"/>
        <rFont val="Arial Narrow"/>
        <family val="2"/>
      </rPr>
      <t>por</t>
    </r>
    <r>
      <rPr>
        <sz val="12"/>
        <rFont val="Arial Narrow"/>
        <family val="2"/>
      </rPr>
      <t xml:space="preserve"> multa o sanción del ente de control, </t>
    </r>
    <r>
      <rPr>
        <sz val="12"/>
        <color rgb="FFFF0000"/>
        <rFont val="Arial Narrow"/>
        <family val="2"/>
      </rPr>
      <t>debido a la</t>
    </r>
    <r>
      <rPr>
        <sz val="12"/>
        <rFont val="Arial Narrow"/>
        <family val="2"/>
      </rPr>
      <t xml:space="preserve">  Inoportunidad en el cargue  de informes de ley  a través de aplicativos dispuestos por entes de control. </t>
    </r>
  </si>
  <si>
    <t xml:space="preserve">La actividad generadora del riesgo  se presenta:  Realización del cargue del  informe de ley en el aplicativo dispuesto por el  ente de control: Actividad que   se encuentra documentada en:  Guía rendición de la cuenta anual  a la contraloría Municipal, guía rendición de la cuenta a la contraloría general, guía informe de control interno contable, guía informe de derechos de autor y  procedimiento evaluación del sistema de control interno con énfasis del reporte Furag. </t>
  </si>
  <si>
    <t>El auditor asignado en el plan anual de auditoria para realizar  el informe de ley  o  coordinar el cargue en los  aplicativos del ente del control, cada vez que realiza un informe o lo coordina;   verifica que los líderes de procesos responsables del reporte de información,  designen en personal de planta,  diligenciamiento  de  la información  solicitada  en  formatos y sus respectivos anexos,   con el fin de asegurar que realicen  adecuadamente la  validación de  la información   dentro de los plazos establecidos   en los aplicativos  dispuestos por el ente de control;  para ello cada auditor  proyecta   una circular solicitando a los líderes de proceso  que asignen  la responsabilidad  del reporte  de la información solicitada,  en personal de planta, con el fin de garantizar  la calidad y   oportunidad  del reporte del informe al ente de control.  Fijando como fecha límite para el reporte   7  días ´previos al vencimiento del término.  En el caso de detectar que el reporte no esté a cargo de personal de planta, se reitera el cumplimiento de esta directriz.  Como evidencia de ejecución de control queda la circular proyectada, la respuesta emitida por la unidad administrativa citando el nombre y cargo del funcionario asignado y el memorando del reiterado si fue necesario.</t>
  </si>
  <si>
    <t>A4,7,11F8 Incluir dentro de las temáticas a tratar en Comité de Coordinación de Control Interno, la falta de compromiso por parte de los líderes de los procesos  con  la implementación de acciones de mejora formuladas en planes de mejoramiento, la responsabilidad de asignar en personal de planta los reportes a entes de control solicitados por la Oficina de Control Interno, atención a las recomendaciones de la Oficina de Control Interno y la oportunidad en la entrega de la información sobre los requerimientos generados por la Oficina.</t>
  </si>
  <si>
    <t>Jefe de la oficina de control interno</t>
  </si>
  <si>
    <t>01/01/2025 al 31/12/2025</t>
  </si>
  <si>
    <t>7/03/2025
9/05/2025
4/07/2025
5/09/2025
7/11/2025</t>
  </si>
  <si>
    <t>El profesional especializado asignado para diligenciar y actualizar la matriz del normograma del proceso:  Gestión de evaluación y seguimiento, deberá informar al jefe de la oficina,   cada vez que se presenten cambios normativos que requieran  la generación de nuevos  informes, con el fin de  ajustar o actualizar   el plan de Anual de Auditoria   confrontando  la fecha de emisión del informe con la disponibilidad del personal en el cronograma del plan anual de auditoria, para  asignar  el responsable de elaborar el nuevo  informe; garantizando la emisión  oportuna del mismo al ente de control;   en caso de no contar con personal disponible o el perfil indicado  la  jefe   solicita a la Dirección de Talento Humano la asignación de personal idóneo para  elaborar  el informe o gestionar  la  contratación de personal.  Como evidencia queda el Plan  Anual de auditoria ajustado y  publicado en la web, el acta de Comité de Coordinación de Control Interno que registre la aprobación de la actualización  del Plan, el  informe generado publicado en la web y el  memorando de solicitud de personal idóneo para elaborar el informe.</t>
  </si>
  <si>
    <t xml:space="preserve">D8,12,O19 Consultar los cambios normativos que aplican a control interno socializados en el grupo WhatsApp Mi Tolima y darlos a conocer al equipo de control interno y en caso que el jefe de la Oficina lo considere necesario solicitar a talento humano capacitación y multiplicarla a los compañeros de trabajo. </t>
  </si>
  <si>
    <t>Los auditores responsables de la elaboración de los informes de ley, al momento de generar el informe, emitir una circular a las áreas correspondientes, relacionando el reporte que debe presentarse y estableciendo la fecha límite para la emisión de la respuesta al requerimiento. Esta fecha debe fijarse con al menos 7 días hábiles previos al vencimiento del plazo establecido por la normativa, con el objetivo de asegurar que el informe o reporte se cargue oportunamente al ente de control. Para determinar la fecha de entrega de la información por parte de las unidades administrativas, se debe confrontar la fecha límite para la emisión del reporte con la fecha establecida por el ente de control, de modo que se disponga del tiempo necesario para solicitar una prórroga, en caso de ser necesario.
Vencido el plazo establecido, el auditor debe consultar el aplicativo de correspondencia PISAMI y, al mismo tiempo, coordinar con el auxiliar administrativo para verificar si la información solicitada ha sido recibida. Si la respuesta es afirmativa, se procederá a realizar las actividades necesarias para generar el informe. En caso contrario, se deberá comunicar a jefe el estado del requerimiento para que gestione la entrega inmediata de la información.
Como evidencia de la ejecución del control, se deberá dejar constancia de lo siguiente: el memorando o circular que respalda el requerimiento oportuno de la información y la información recibida, la cual debe ser incluida en los expedientes de la serie documental asociada a los respectivos informes. En caso de desviación, se generará evidencia de la reiteración del requerimiento mediante el correo institucional de la Oficina y/o el aplicativo de correspondencia PISAMI, si se ha reiterado mediante memorando.</t>
  </si>
  <si>
    <t xml:space="preserve">A12,F8 Recomendar a la alta dirección en el Comité de Coordinación de Control Interno, asignar en personal de planta el responsable de la consulta diaria de la correspondencia y los correos institucionales; con el fin de emitir respuesta oportuna a los requerimientos de la oficina y evitar sanciones por respuesta inoportuna a los entes de control.  </t>
  </si>
  <si>
    <t>01/01/2025 al 31/12/2026</t>
  </si>
  <si>
    <t>7/03/2025
9/05/2025
4/07/2025
5/09/2025
7/11/2026</t>
  </si>
  <si>
    <t xml:space="preserve">El auditor responsable de elaborar el informe, conforme al plazo establecido por el ente de control 3) previene la  emisión  inoportuna  del informe, por fallas en los aplicativos,  confrontando  la fecha limite para el cargue del informe en los aplicativos dispuestos por los entes de control  VERSUS la fecha establecida el organismo de control para  la solicitud de prórroga;  con el fin de asegurar   que la falla presentada no afecte la oportunidad del cargue  del informe, dejando como registro los pantallazos de las fallas en el aplicativo.  Si las fallas se presentan dentro del rango de los   7  días previos a la fecha establecida por el ente control para el reporte, se solicita prórroga para el reporte,  adjuntando el registro de los pantallazos;  con el fin de justificar y obtener  la disponibilidad del aplicativo para realizar el cargue 6) como evidencia queda el oficio de solicitud de prórroga, la respuesta emitida por el ente de control y el log de cargue del informe o reporte.  </t>
  </si>
  <si>
    <t>A3,10 F5 Tomar pantallazos como evidencia de fallas en el aplicativo  y solicitar prórroga al ente de control, fundamentando fuerza mayor y caso fortuito, en cumplimiento de los lineamientos establecidos en  las guías adoptadas e implementadas  para elaborar los informes con entes de control y a su vez, las resoluciones vigentes para rendir el informe</t>
  </si>
  <si>
    <t>01/01/2025 al 31/12/2027</t>
  </si>
  <si>
    <t>7/03/2025
9/05/2025
4/07/2025
5/09/2025
7/11/2027</t>
  </si>
  <si>
    <t xml:space="preserve">Olvido de los informes generados por la Oficina de control interno y pendientes de socialización a la Alta Dirección en el Comité de Coordinación de Control Interno, en el momento previo a la convocatoria para la elaboración del orden del día. </t>
  </si>
  <si>
    <r>
      <rPr>
        <sz val="11"/>
        <color rgb="FFFF0000"/>
        <rFont val="Arial Narrow"/>
        <family val="2"/>
      </rPr>
      <t>Posibilidad</t>
    </r>
    <r>
      <rPr>
        <sz val="11"/>
        <rFont val="Arial Narrow"/>
        <family val="2"/>
      </rPr>
      <t xml:space="preserve"> de afectación reputaciona</t>
    </r>
    <r>
      <rPr>
        <sz val="11"/>
        <color rgb="FFFF0000"/>
        <rFont val="Arial Narrow"/>
        <family val="2"/>
      </rPr>
      <t>l</t>
    </r>
    <r>
      <rPr>
        <b/>
        <sz val="11"/>
        <color rgb="FFFF0000"/>
        <rFont val="Arial Narrow"/>
        <family val="2"/>
      </rPr>
      <t xml:space="preserve"> por</t>
    </r>
    <r>
      <rPr>
        <sz val="11"/>
        <rFont val="Arial Narrow"/>
        <family val="2"/>
      </rPr>
      <t xml:space="preserve"> Incumplimiento del  rol de liderazgo estratégico, </t>
    </r>
    <r>
      <rPr>
        <sz val="11"/>
        <color rgb="FFFF0000"/>
        <rFont val="Arial Narrow"/>
        <family val="2"/>
      </rPr>
      <t xml:space="preserve">debido a:  </t>
    </r>
    <r>
      <rPr>
        <sz val="11"/>
        <rFont val="Arial Narrow"/>
        <family val="2"/>
      </rPr>
      <t>socialización inoportuna de los informes emitidos por la Oficina  en  el  Comité de Coordinación de Control Interno</t>
    </r>
  </si>
  <si>
    <t xml:space="preserve">El Profesional especializado y el jefe de control interno 2. Para elaborar el orden del día a tratar en el comité de coordinación de control interno 3. verifica que los informes programados   a realizar en el plan Anual de Auditoria en el trimestre previo a la realización del comité, se encuentren elaborados 4. Para ello consulta en el Plan Anual de Auditoria qué informes se encuentran programados a realizar entre la fecha del último comité y la definida para el siguiente comité y los confronta con los que se encuentran elaborados, durante el mismo periodo usando como fuente de información el aplicativo PISAMI, el Link de transparencia y los expedientes Físicos, con el fin de asegurar la disponibilidad de los informes para la socialización a la Alta dirección en el Comité.   Acto seguido genera el orden del día con los informes a socializar y convoca al Comité de Coordinación de Control Interno5. No obstante, si se presenta diferencia entre los informes programados a realizar en el PAA   VS los informes realizados; procede a realizar comité extraordinario en fecha posterior al Comité ordinario, o se incluyen junto a los que se deben socializar en el próximo comité.  6.  Como evidencia de ejecución quedan las actas de comité técnico de la oficina de control interno, la hoja de vida del indicador descrito: Índice de informes socializados y las actas del comité de coordinación de control interno.  </t>
  </si>
  <si>
    <t xml:space="preserve">D11,O14,F6,10  Establecer el orden del día del Comité de Coordinación de Control Interno previa consulta de la aplicación trimestral del indicador  índice de informes socializados en el Comité y el acta anterior del comité. </t>
  </si>
  <si>
    <t xml:space="preserve">PROCESO: Gestión de Evaluación y  Seguimiento </t>
  </si>
  <si>
    <t>Líderes de proceso asignando   en personal vinculado mediante contrato de prestación de servicios la responsabilidad de reportes de ley a los entes de control, y a su vez, la emisión de respuestas a los requerimientos de dichos entes.</t>
  </si>
  <si>
    <t>Falta de asignación de un funcionario responsable en las unidades administrativas, para consultar diariamente la correspondencia; generando que los líderes de proceso desconozcan los requerimientos, lo que da lugar a la emisión extemporánea de las respuestas, al requerimiento de la Oficina, para atender los requerimientos de los entes de control.</t>
  </si>
  <si>
    <r>
      <t xml:space="preserve">Frente a la presente Actividad, y De acuerdo a lo previsto durante el monitoreo y revisión del Mapa de riesgos de gestion  de la Oficina Jurídica, se realizo la  siguiente AUTOEVALUCION: para esta actividad de control, y durante el mes de </t>
    </r>
    <r>
      <rPr>
        <b/>
        <sz val="10"/>
        <color theme="1"/>
        <rFont val="Arial"/>
        <family val="2"/>
      </rPr>
      <t>ENERO:</t>
    </r>
    <r>
      <rPr>
        <sz val="10"/>
        <color theme="1"/>
        <rFont val="Arial"/>
        <family val="2"/>
      </rPr>
      <t xml:space="preserve"> la Oficina Juridica emitio 2 memorandos, solicitando el cumplimiento  a sentencias judiciales:
- MEMORANDO  No. 2025-003111 del 24/01/2025 Solicitando de manera urgente informe sobre el cumplimiento a fallo judicial dentro de la acción popular promovida por GUILLERMO PARRA OSORIO RAD 00257-2015, el cual fue contestado por parte de la secretaria de agricultura mediante el memorando No. 2200-003842
</t>
    </r>
    <r>
      <rPr>
        <b/>
        <sz val="10"/>
        <color theme="1"/>
        <rFont val="Arial"/>
        <family val="2"/>
      </rPr>
      <t xml:space="preserve">
</t>
    </r>
    <r>
      <rPr>
        <sz val="10"/>
        <color theme="1"/>
        <rFont val="Arial"/>
        <family val="2"/>
      </rPr>
      <t xml:space="preserve">- MEMORANDO  No. 2025-003073 del 23/01/2025 - Solicitud de manera urgente informe de actividades en cumplimiento a fallo judicial dentro de la acción popular promovida por GLORIA PATRICIA PIMIENTO GUZMAN Y OTROS RAD 00064-2011, .el cual fue contstado por la secretaria de infraestructura meiante el memorando No. 2300 - 03642 del 28 de enero de 2025. 
- MEMORANDO No. 2025-001994 del 17/01/2024- Solicitud de manera urgente informe de actividades en cumplimiento al fallo judicial dentro de la acción popular promovida por la DEFENSORIA DEL PUEBLO RAD 00015-2018..
- MEMOERANDO No. 2025-001278 del 15/01/2025 -Solicitud informe de gestiones adelantadas en cumplimiento del fallo judicial dentro de la acción popular promovida por WILSON LEAL ECHEVERRY RAD 02180-2004 Estación De Bomberos., memorando que fue contestado por la secretria de eudycacion, secretaria de ambiente y gestion e riesgo y la direccion de recurso fisicos. 
</t>
    </r>
    <r>
      <rPr>
        <b/>
        <sz val="10"/>
        <color theme="1"/>
        <rFont val="Arial"/>
        <family val="2"/>
      </rPr>
      <t>FEBRERO:</t>
    </r>
    <r>
      <rPr>
        <sz val="10"/>
        <color theme="1"/>
        <rFont val="Arial"/>
        <family val="2"/>
      </rPr>
      <t xml:space="preserve">   la oficina juridica  emitio 
- MEMORANDO No. 2025-007289 del 17/02/2025 - Solicitud de informacion requerida por el despacho judicial dentro de la accion popular promovida por GUILLERMO PARRA OSORIO RAD 00257-2015..
- MEMORANDO No. 2025-008631 del 24/02/2025 - solicitud avances de cumplimiento a fallo judicial dentro de la acción popular promovida por HERIBERTO BARRERA MENDOZA RAD 00181-2017, el cual fue contestado por la dirección y aplicación de la norma urbanística, mediante el memorando No. 11041 del 07/03/2025.. </t>
    </r>
  </si>
  <si>
    <t>De acuerdo a lo previsto durante el monitoreo y revisión del Mapa de riesgos de gestión de la Oficina Jurídica, durante el periodo de ENERO Y FEBRERO, se evidencia Comité Jurídico, realzado el 18 de febrero de 2025, convocado mediante memorando No. 1030-07094 del 17/02/2025, a todo el personal adscrito a la oficina, para llevar a cabo la socialización de los lineamientos del funcionamiento de la oficina.</t>
  </si>
  <si>
    <t xml:space="preserve">Frente a la presente Actividad y De acuerdo a lo previsto durante el monitoreo y revisión del Mapa de riesgos de gestion  de la Oficina Jurídica, el jefe de oficina mediante   MEMORANDO No. 2025-005588 del 06/02/2024 - solicito a los asesores de la oficina jurídica realizar la valoración de probabilidad de perdida de los procesos que tienen cada uno a su cargo y actualizacion a la plataforma softcon. </t>
  </si>
  <si>
    <r>
      <t xml:space="preserve">De acuerdo a lo previsto durante el monitoreo y revisión del Mapa de riesgos de gestion  de la Oficina Jurídica:
- </t>
    </r>
    <r>
      <rPr>
        <b/>
        <u/>
        <sz val="10"/>
        <color theme="1"/>
        <rFont val="Arial"/>
        <family val="2"/>
      </rPr>
      <t xml:space="preserve">ENERO
</t>
    </r>
    <r>
      <rPr>
        <b/>
        <sz val="10"/>
        <color theme="1"/>
        <rFont val="Arial"/>
        <family val="2"/>
      </rPr>
      <t xml:space="preserve">1. </t>
    </r>
    <r>
      <rPr>
        <sz val="10"/>
        <color theme="1"/>
        <rFont val="Arial"/>
        <family val="2"/>
      </rPr>
      <t xml:space="preserve">se evidencia petición bajo el radicado No.  2025-002506 del 13/01/2025, en la que se solicito el pago y cumplimiento de providencia judicial. dentro del medio de control nulidad y restablecimiento del derecho. radicacion  73001333300420180027700 demandante CORPORACIÓN COLOMBIA demandado MUNICIPIO DE IBAGUÉ, a el cual se le dio respuesta mediante el oficio No. 15421 del 28 de febrero de 2025. 
2. Peticion bajo el radicado No. 2025-005492 del 17/01/2025, la señora LUZ ANGELA ROMERO, solicito el pago y desembolso de costas, dentro del proceso ordinario laboral de COASINTOL demandante: JUAN CARLOS DUARTE APONTE radicacion: 73001310500520040055000, se da respuesta mediante el oficio No. 17873 del 08/03/2025.
</t>
    </r>
    <r>
      <rPr>
        <b/>
        <u/>
        <sz val="10"/>
        <color theme="1"/>
        <rFont val="Arial"/>
        <family val="2"/>
      </rPr>
      <t>- FEBRERO</t>
    </r>
    <r>
      <rPr>
        <sz val="10"/>
        <color theme="1"/>
        <rFont val="Arial"/>
        <family val="2"/>
      </rPr>
      <t xml:space="preserve">
1. Mediantte el radicado Pisami 2025-022520 del 27/02/2025, se da respuesta al Oficio No. 1030-14473 del 16 de febrero de 2025, radicacion de documentos para el pago de la sentencia judicial, dentro del medio de control de nulidad y restablecimiento del derecho adelantado por el señor CAMPO ELIAS OLARTE SACHICA 73001333301120210005000. </t>
    </r>
  </si>
  <si>
    <t xml:space="preserve">De acuerdo a lo previsto durante el monitoreo y revisión del Mapa de riesgos de gestion  de la Oficina Jurídica,: para esta actividad de control, durante los meses de ENERO - FEBRERO, no se evidencia memorando, en el que se requiera a los abogados determinar la procedencia de acción de repetición. </t>
  </si>
  <si>
    <t>SEGUIMIENTO</t>
  </si>
  <si>
    <t>INICIA DESDE LA PLANEACIÓN DEL PROCESO HASTA REALIZAR ACTIVIDADES DE SEGUIMIENTO A
INDICADORES, AUDITORIAS, PLANES DE MEJORAMIENTO, MAPAS DE RIESGOS Y SALIDAS NO CONFORMES.</t>
  </si>
  <si>
    <t xml:space="preserve">     SEGUIMIENTO NOVIEMBRE Y DICIEMBRE 2024</t>
  </si>
  <si>
    <t xml:space="preserve">No se aportaron las actas, sin embargo en el mes de noviembre se realizaron (2) comites técnico. </t>
  </si>
  <si>
    <t>los  enlaces SIGAMI de cada direccion y despacho  concertan mesas de trabajo de forma trimestralmente, con el fin de revisar ,validar los cambios normativos y posteriormente  socializar y actualizar el normograma,  quedando como evidencia el reporte trimestral entregado a la Direccion de Fortalecimiento Institucional</t>
  </si>
  <si>
    <t>Diciembre 30/2024</t>
  </si>
  <si>
    <t xml:space="preserve">Se realizo y se evidencia con el acta 06 del 23 de diciembre  de 2024 para los planes de accion y plan de desarrollo con corte a 20 de diciembre del 2024 </t>
  </si>
  <si>
    <t xml:space="preserve">
mediante los memorandos No.044623 y 046231 del 27/09/2024 y 07/10/2024, se solicita y se reitera a las  direcciones y grupos de trabajo de la Secretaria de Gobierno reportar el seguimiento y monitoreo del normograma con el fin de revisar ,consolidar y reportar a la Direccion de fortalecimiento institucional el monitoreo y seguimiento del 3° trimestre del normograma( Anexo Memorandos ). posteriormente el dia 09/10/2024 se realiza el reporte del monitoreo y seguimiento del  3° trimestre del Normograma. (Anexo pantallazo envio reporte a fortalecimiento institucional).-  se esta revisando la informacion que se reportadara para el 4° y ultimo trimestre del 2024 en espera de la circular de fortalecmiento institucional para la fecha maxima de reporte .</t>
  </si>
  <si>
    <t>el procedimiento se esta implementado por cada una de las comisarias ,inspecciones y corregidurias ,- se tiene programada una mesa de trabajo para el mes de enero con los comisarios,inspectores y corregidores para revisar el procedimkento sobre unas observaciones que tienen al procedimiento.</t>
  </si>
  <si>
    <t>se continua con el seguimiento al plan de contigencia con respecto a las respuesta a pisamis y tramites de rezagos asignados  solucionando la demora en los tiempos de respuesta a tramites</t>
  </si>
  <si>
    <t>Se hacen las solicitudes requeridas por cada una de las personas que hacen uso diario de la nueva plataforma catastral, ademas se hace revisión de los informes presentados a 30 de diciembre. (4 en total)</t>
  </si>
  <si>
    <t>Se envia correo al grupo de gestión documental solicitando la inclusión de tramites y las tablas de retencion para la dirección y se envia ademas el cuadro de clasificación de asusntos identificados para la dirección para poder realizar la tablas de retención de esta dirección</t>
  </si>
  <si>
    <t>Se realiza solicitud a tic´s    la inclusión del boton de catastro en linea y/o tramites catastrales en sitio web de la alcaldia y/o pisami, además se realiza una socialización de los tramites catastrales y la nueva plataforma a personal de gestion documental y algunas ventanillas de la administración central</t>
  </si>
  <si>
    <t>Seguimiento 31 Diciembre de 2024</t>
  </si>
  <si>
    <t>Económico y reputacional</t>
  </si>
  <si>
    <t>Recursos presupuestales y físicos limitados, para el cumplimiento de metas, desarrollo de programas, proyectos y actividades de la Secretaría de Ambiente y Gestión del Riesgo</t>
  </si>
  <si>
    <t>Incumplimiento  en la ejecución de  Planes, Programas y Proyectos,  establecidos en el Plan de Desarrollo</t>
  </si>
  <si>
    <t xml:space="preserve">Deficiente asignación de presupuesto por parte del municipio </t>
  </si>
  <si>
    <t xml:space="preserve">Posibilidad de pérdida  económica y reputacional por Incumplimiento en la ejecución de planes , programas y proyectos debido a  Recursos presupuestales y físicos limitados, para el cumplimiento de metas, desarrollo de programas, proyectos y actividades de la Secretaría de Ambiente y Gestión del Riesgo </t>
  </si>
  <si>
    <t>Desde la etapa de asignación de recursos realizada por la alta dirección, distribución de recursos por proyecto de inversión y metas de producto y  seguimiento a planes de acción, toma de decisiones en relación a metas rezagadas.</t>
  </si>
  <si>
    <t>Ejecución y administración de procesos</t>
  </si>
  <si>
    <t>Entre 1000 y 5000 SMLMV</t>
  </si>
  <si>
    <t xml:space="preserve">El Profesional Universitario asignado,para recopilar las evidencias de lo actuado o ejecutado, en cada programa  trimestralmente, verifica el avance en el cumplimiento de las metas de los diferentes programas  del plan de desarrollo, establecidos en los instrumentos de planeación (POAI, PLan de Acción, Plan Indicativo), comparando lo programado con lo ejecutado determinando si se cumple o si existe desviación o incumplimiento de las metas establecidas en los programas, se tratan en los comites tecnicos, que se realizan previo al reporte trimestral, estableciendo acciones correctivas que quedan evidenciadas  en las actas de los comites en los compromisos. Como evidencias se dejan el Acta de Comite, y el correo electronico enviado a planeacion municipal con el reporte de avance de cumplimiento al plan de accion, plan indicativo , POAI y los registros del aplicativo al tablero. </t>
  </si>
  <si>
    <t xml:space="preserve">Documentado </t>
  </si>
  <si>
    <t>Con registro</t>
  </si>
  <si>
    <t xml:space="preserve">Realizar seguimiento a los instrumentos de planeación y gestionar recursos de orden nacional e internacional para el  cumplimiento de los  objetivos estratégicos.
Realizar comité técnico para analizar las metas rezagadas.
Gestionar por parte de la alta dirección recursos a nivel nacional e internacional proyectos de preservación, conservación y protección del  medio ambiente, y gestion del riesgo - </t>
  </si>
  <si>
    <t xml:space="preserve">Secretaría de Ambiente y Gestión </t>
  </si>
  <si>
    <t>31 de marzo, 30 de junio, 30 de septiembre, 31  de diciembre  de 2024</t>
  </si>
  <si>
    <t>31 de  diciembre de 2024</t>
  </si>
  <si>
    <t xml:space="preserve">Teniendo en cuenta la periodicidad de evaluación de los instrumentos de planeación  (POAI, Plan Indicativo, Plan de Acción), se realiza medición  del cumplimiento del  Plan de Desarrollo Municipal  "Ibagué para Todos 2024-2027" con corte al 30 de septiembre de 2024, evidenciándose  que para la presente vigencia  hay programadas para ejecutar parcialmente 36 de las 42 metas bajo la responsabilidad de ejecución   de la Secretaría de Ambiente y Gestión del Riesgo, información contenida en los instrumentos ya mencionados y cuyo reporte se realiza a la Secretaría de Planeación.
Además de lo anterior  previo a la medición del cumplimiento se realiza coordinación de equipos internos de trabajo, para la consolidadción de  información en informes técnicos  por parte de los profesionales líderes de meta, cuya socialización  se hace en Comité Técnico General del día 25 de octubre de  2024.
</t>
  </si>
  <si>
    <t xml:space="preserve"> Deficiente gestión para conseguir  fuentes de financiación   y  cofinanciación para la ejecución  de metas  y proyectos instirucionales.</t>
  </si>
  <si>
    <t xml:space="preserve">Económico </t>
  </si>
  <si>
    <t>Pagos efectuados a contratistas  aplicando de manera inapropiada la normatividad en materia tributaria</t>
  </si>
  <si>
    <t>Inadecuada deducción de Impuestos, tasas o contribuciones al contratista</t>
  </si>
  <si>
    <t>Personal inexperto para  la estructuración de procesos contractuales, y ejecución  de   actividades relacionadas con el  área adiministrativa y  contable.</t>
  </si>
  <si>
    <t>Posibilidad de pagos a contratistas  aplicando de manera inapropiada la normatividad en materia tributaria, debido a inadecuada deducción de Impuestos, tasas o contribuciones al contratista</t>
  </si>
  <si>
    <t>Desde  la estructuración, adjudicación  y celebración del contrato, hasta  los pagos derivados de la ejecución y liquidación y/o terminación de los mismos.</t>
  </si>
  <si>
    <t>Entre 200 y 1000 SMLMV</t>
  </si>
  <si>
    <t>Durante la vigencia 2024 la Secretaría de Ambiente y Gestión del Riesgo suscribió ocho (8 ) contratos de suministro para la atención de necesidades de la Dirección de  Gestión del Riesgo y Atención de Desastres y la Dirección de Ambiente, Agua y Cambio Climático, teniendo en cuenta el tipo de bienes a adquirir y haciendo el adecuado estudio de mercado para  establecer los gravamenes indicados  en los Estudios Previos de los respectivos procesos en su etapa precontractual, los cuales a su vez fueron revisados y aprobados por la Oficina de Contratación en su rol de asesores en trámités de carácter contractual.</t>
  </si>
  <si>
    <t>Desconocimiento de normatividad en materia tributaria.</t>
  </si>
  <si>
    <t>Falta de  idoneidad y del personal que ejerce funciones de supervisoría  de contratos</t>
  </si>
  <si>
    <t>Posibilidad de efectos dañosos  obre bienes públicos por  obras inconclusas que no brindan utilidad o beneficio, debido a  deficiencias en el cumplimiento de  las funciones de Supervisión e Interventoría de los contratos de la Entidad.</t>
  </si>
  <si>
    <t>Desde  la  celebración de los contratos, hasta  la ejecución y liquidación y/o terminación de los mismos.</t>
  </si>
  <si>
    <t>Daños a activos físicos</t>
  </si>
  <si>
    <t>Mayor a 10000  SMLMV</t>
  </si>
  <si>
    <t>El supervisor designado ejercerá el control y seguimiento a la ejecución contractual para verificar el cumplimiento de las condiciones y especificaciones técnicas pactadas y establecidas en la etapa contractual, de presentarse incumplimiento se debe actuar de acuerdo a lo establecido en el manual de supervision e interventoria Código: MAN-GC-02, especificiamente en el capitulo 4.1.INFORME SOBRE PRESUNTO INCUMPLIMIENTO CONTRACTUAL.Previo a la citación que realice la entidad al contratista y su garante</t>
  </si>
  <si>
    <t>Durante la vigencia 2024 no se realizarhon las obras que se tenían planificadas dentro de las metas de la respectiva vigencia</t>
  </si>
  <si>
    <t>Seguimiento deficiente por parte del supervisor en aspectos administrativos, contables, jurídicos y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</si>
</sst>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0%"/>
    <numFmt numFmtId="165" formatCode="d/m/yyyy"/>
    <numFmt numFmtId="166" formatCode="_-\$* #,##0_-;&quot;-$&quot;* #,##0_-;_-\$* \-_-;_-@_-"/>
  </numFmts>
  <fonts count="12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Arial"/>
      <family val="2"/>
    </font>
    <font>
      <sz val="11"/>
      <name val="Calibri"/>
      <family val="2"/>
    </font>
    <font>
      <b/>
      <sz val="11"/>
      <color rgb="FF008000"/>
      <name val="Arial"/>
      <family val="2"/>
    </font>
    <font>
      <sz val="11"/>
      <color theme="1"/>
      <name val="Calibri"/>
      <family val="2"/>
    </font>
    <font>
      <b/>
      <sz val="11"/>
      <color theme="1"/>
      <name val="Arial"/>
      <family val="2"/>
    </font>
    <font>
      <sz val="10"/>
      <color theme="1"/>
      <name val="Arial"/>
      <family val="2"/>
    </font>
    <font>
      <b/>
      <sz val="11"/>
      <color rgb="FF000000"/>
      <name val="Arial"/>
      <family val="2"/>
    </font>
    <font>
      <sz val="11"/>
      <color theme="1"/>
      <name val="Arial"/>
      <family val="2"/>
    </font>
    <font>
      <b/>
      <sz val="12"/>
      <color theme="1"/>
      <name val="Arial"/>
      <family val="2"/>
    </font>
    <font>
      <sz val="10"/>
      <color theme="1"/>
      <name val="Calibri"/>
      <family val="2"/>
    </font>
    <font>
      <sz val="12"/>
      <color rgb="FF000000"/>
      <name val="Arial"/>
      <family val="2"/>
    </font>
    <font>
      <b/>
      <sz val="10"/>
      <color theme="1"/>
      <name val="Arial"/>
      <family val="2"/>
    </font>
    <font>
      <sz val="11"/>
      <color rgb="FF000000"/>
      <name val="Arial"/>
      <family val="2"/>
    </font>
    <font>
      <b/>
      <sz val="9"/>
      <color indexed="81"/>
      <name val="Tahoma"/>
      <family val="2"/>
    </font>
    <font>
      <sz val="9"/>
      <color indexed="81"/>
      <name val="Tahoma"/>
      <family val="2"/>
    </font>
    <font>
      <sz val="11"/>
      <color theme="1"/>
      <name val="Arial"/>
      <family val="2"/>
    </font>
    <font>
      <sz val="11"/>
      <color theme="1"/>
      <name val="Calibri"/>
      <family val="2"/>
      <scheme val="minor"/>
    </font>
    <font>
      <b/>
      <sz val="10"/>
      <color theme="1"/>
      <name val="Arial Narrow"/>
      <family val="2"/>
    </font>
    <font>
      <sz val="10"/>
      <color theme="1"/>
      <name val="Arial Narrow"/>
      <family val="2"/>
    </font>
    <font>
      <sz val="10"/>
      <name val="Arial Narrow"/>
      <family val="2"/>
    </font>
    <font>
      <b/>
      <sz val="18"/>
      <color theme="1"/>
      <name val="Arial Narrow"/>
      <family val="2"/>
    </font>
    <font>
      <sz val="12"/>
      <color theme="1"/>
      <name val="Arial Narrow"/>
      <family val="2"/>
    </font>
    <font>
      <sz val="11"/>
      <color theme="1"/>
      <name val="Arial Narrow"/>
      <family val="2"/>
    </font>
    <font>
      <b/>
      <sz val="11"/>
      <color theme="1"/>
      <name val="Arial Narrow"/>
      <family val="2"/>
    </font>
    <font>
      <b/>
      <sz val="14"/>
      <color theme="1"/>
      <name val="Arial Narrow"/>
      <family val="2"/>
    </font>
    <font>
      <sz val="11"/>
      <name val="Arial Narrow"/>
      <family val="2"/>
    </font>
    <font>
      <sz val="12"/>
      <name val="Arial Narrow"/>
      <family val="2"/>
    </font>
    <font>
      <sz val="12"/>
      <color rgb="FFFF0000"/>
      <name val="Arial Narrow"/>
      <family val="2"/>
    </font>
    <font>
      <b/>
      <sz val="12"/>
      <color theme="1"/>
      <name val="Arial Narrow"/>
      <family val="2"/>
    </font>
    <font>
      <sz val="11"/>
      <color rgb="FFFF0000"/>
      <name val="Arial Narrow"/>
      <family val="2"/>
    </font>
    <font>
      <b/>
      <sz val="9"/>
      <color theme="1"/>
      <name val="Arial Narrow"/>
      <family val="2"/>
    </font>
    <font>
      <sz val="9"/>
      <color theme="1"/>
      <name val="Arial Narrow"/>
      <family val="2"/>
    </font>
    <font>
      <b/>
      <sz val="9"/>
      <color rgb="FF002060"/>
      <name val="Arial Narrow"/>
      <family val="2"/>
    </font>
    <font>
      <b/>
      <sz val="9"/>
      <color rgb="FF00B050"/>
      <name val="Arial Narrow"/>
      <family val="2"/>
    </font>
    <font>
      <b/>
      <sz val="9"/>
      <name val="Arial Narrow"/>
      <family val="2"/>
    </font>
    <font>
      <b/>
      <sz val="9"/>
      <color rgb="FFFF0000"/>
      <name val="Arial Narrow"/>
      <family val="2"/>
    </font>
    <font>
      <b/>
      <sz val="9"/>
      <color rgb="FFFF9900"/>
      <name val="Arial Narrow"/>
      <family val="2"/>
    </font>
    <font>
      <sz val="9"/>
      <name val="Arial Narrow"/>
      <family val="2"/>
    </font>
    <font>
      <b/>
      <sz val="9"/>
      <color theme="8" tint="-0.499984740745262"/>
      <name val="Arial Narrow"/>
      <family val="2"/>
    </font>
    <font>
      <b/>
      <sz val="9"/>
      <color theme="5" tint="-0.249977111117893"/>
      <name val="Arial Narrow"/>
      <family val="2"/>
    </font>
    <font>
      <b/>
      <sz val="9"/>
      <color theme="3"/>
      <name val="Arial Narrow"/>
      <family val="2"/>
    </font>
    <font>
      <b/>
      <sz val="9"/>
      <color rgb="FFC00000"/>
      <name val="Arial Narrow"/>
      <family val="2"/>
    </font>
    <font>
      <sz val="9"/>
      <color rgb="FF00B050"/>
      <name val="Arial Narrow"/>
      <family val="2"/>
    </font>
    <font>
      <b/>
      <sz val="9"/>
      <color rgb="FFFFC000"/>
      <name val="Arial Narrow"/>
      <family val="2"/>
    </font>
    <font>
      <b/>
      <sz val="9"/>
      <color rgb="FF92D050"/>
      <name val="Arial Narrow"/>
      <family val="2"/>
    </font>
    <font>
      <b/>
      <sz val="11"/>
      <color rgb="FFFF0000"/>
      <name val="Arial Narrow"/>
      <family val="2"/>
    </font>
    <font>
      <sz val="11"/>
      <color rgb="FF0070C0"/>
      <name val="Arial Narrow"/>
      <family val="2"/>
    </font>
    <font>
      <b/>
      <sz val="11"/>
      <name val="Arial Narrow"/>
      <family val="2"/>
    </font>
    <font>
      <b/>
      <sz val="18"/>
      <color rgb="FF000000"/>
      <name val="Arial Narrow"/>
      <family val="2"/>
      <charset val="1"/>
    </font>
    <font>
      <sz val="12"/>
      <color rgb="FF000000"/>
      <name val="Arial Narrow"/>
      <family val="2"/>
      <charset val="1"/>
    </font>
    <font>
      <sz val="11"/>
      <color rgb="FF000000"/>
      <name val="Arial Narrow"/>
      <family val="2"/>
      <charset val="1"/>
    </font>
    <font>
      <b/>
      <sz val="11"/>
      <color rgb="FF000000"/>
      <name val="Arial Narrow"/>
      <family val="2"/>
      <charset val="1"/>
    </font>
    <font>
      <b/>
      <sz val="14"/>
      <color rgb="FF000000"/>
      <name val="Arial Narrow"/>
      <family val="2"/>
      <charset val="1"/>
    </font>
    <font>
      <sz val="11"/>
      <name val="Arial Narrow"/>
      <family val="2"/>
      <charset val="1"/>
    </font>
    <font>
      <b/>
      <sz val="12"/>
      <color rgb="FF000000"/>
      <name val="Arial Narrow"/>
      <family val="2"/>
      <charset val="1"/>
    </font>
    <font>
      <sz val="10"/>
      <color rgb="FF000000"/>
      <name val="Arial Narrow"/>
      <family val="2"/>
      <charset val="1"/>
    </font>
    <font>
      <sz val="11"/>
      <color rgb="FF000000"/>
      <name val="Calibri"/>
      <family val="2"/>
      <charset val="1"/>
    </font>
    <font>
      <sz val="9"/>
      <color rgb="FF0070C0"/>
      <name val="Arial Narrow"/>
      <family val="2"/>
    </font>
    <font>
      <sz val="8"/>
      <color rgb="FF0070C0"/>
      <name val="Arial Narrow"/>
      <family val="2"/>
    </font>
    <font>
      <sz val="12"/>
      <color indexed="81"/>
      <name val="Tahoma"/>
      <family val="2"/>
    </font>
    <font>
      <b/>
      <sz val="8"/>
      <color indexed="81"/>
      <name val="Tahoma"/>
      <family val="2"/>
    </font>
    <font>
      <sz val="8"/>
      <color indexed="81"/>
      <name val="Tahoma"/>
      <family val="2"/>
    </font>
    <font>
      <sz val="10"/>
      <color indexed="81"/>
      <name val="Tahoma"/>
      <family val="2"/>
    </font>
    <font>
      <b/>
      <sz val="10"/>
      <color indexed="81"/>
      <name val="Tahoma"/>
      <family val="2"/>
    </font>
    <font>
      <b/>
      <sz val="11"/>
      <color indexed="81"/>
      <name val="Tahoma"/>
      <family val="2"/>
    </font>
    <font>
      <b/>
      <sz val="22"/>
      <color theme="1"/>
      <name val="Arial Narrow"/>
      <family val="2"/>
    </font>
    <font>
      <b/>
      <sz val="22"/>
      <color rgb="FF000000"/>
      <name val="Arial Narrow"/>
      <family val="2"/>
      <charset val="1"/>
    </font>
    <font>
      <sz val="10"/>
      <color rgb="FF000000"/>
      <name val="Arial Narrow"/>
      <family val="2"/>
    </font>
    <font>
      <sz val="11"/>
      <color rgb="FFFF0000"/>
      <name val="Arial Narrow"/>
      <family val="2"/>
      <charset val="1"/>
    </font>
    <font>
      <sz val="10"/>
      <name val="Arial Narrow"/>
      <family val="2"/>
      <charset val="1"/>
    </font>
    <font>
      <b/>
      <sz val="20"/>
      <color theme="1"/>
      <name val="Arial Narrow"/>
      <family val="2"/>
    </font>
    <font>
      <sz val="11"/>
      <name val="Calibri"/>
      <family val="2"/>
      <scheme val="minor"/>
    </font>
    <font>
      <b/>
      <sz val="9"/>
      <color theme="0"/>
      <name val="Arial Narrow"/>
      <family val="2"/>
    </font>
    <font>
      <u/>
      <sz val="9"/>
      <color theme="1"/>
      <name val="Arial Narrow"/>
      <family val="2"/>
    </font>
    <font>
      <b/>
      <sz val="10"/>
      <color rgb="FF000000"/>
      <name val="Tahoma"/>
      <family val="2"/>
    </font>
    <font>
      <sz val="10"/>
      <color rgb="FF000000"/>
      <name val="Tahoma"/>
      <family val="2"/>
    </font>
    <font>
      <sz val="8"/>
      <color theme="1"/>
      <name val="Arial"/>
      <family val="2"/>
    </font>
    <font>
      <b/>
      <sz val="8"/>
      <color theme="1"/>
      <name val="Arial"/>
      <family val="2"/>
    </font>
    <font>
      <sz val="8"/>
      <color theme="1"/>
      <name val="Arial Narrow"/>
      <family val="2"/>
    </font>
    <font>
      <u/>
      <sz val="11"/>
      <color theme="10"/>
      <name val="Calibri"/>
      <family val="2"/>
      <scheme val="minor"/>
    </font>
    <font>
      <b/>
      <sz val="11"/>
      <name val="Calibri"/>
      <family val="2"/>
      <scheme val="minor"/>
    </font>
    <font>
      <sz val="11"/>
      <color theme="1"/>
      <name val="Calibri"/>
      <family val="2"/>
      <scheme val="minor"/>
    </font>
    <font>
      <b/>
      <sz val="11"/>
      <color theme="9" tint="-0.249977111117893"/>
      <name val="Arial Narrow"/>
      <family val="2"/>
    </font>
    <font>
      <sz val="18"/>
      <name val="Arial Narrow"/>
      <family val="2"/>
    </font>
    <font>
      <sz val="10"/>
      <color theme="0"/>
      <name val="Arial Narrow"/>
      <family val="2"/>
    </font>
    <font>
      <sz val="9"/>
      <color theme="1"/>
      <name val="Calibri"/>
      <family val="2"/>
      <scheme val="minor"/>
    </font>
    <font>
      <sz val="14"/>
      <name val="Arial Narrow"/>
      <family val="2"/>
    </font>
    <font>
      <sz val="10"/>
      <color rgb="FFFF0000"/>
      <name val="Arial Narrow"/>
      <family val="2"/>
    </font>
    <font>
      <sz val="12"/>
      <color theme="6" tint="-0.249977111117893"/>
      <name val="Arial Narrow"/>
      <family val="2"/>
    </font>
    <font>
      <b/>
      <sz val="10"/>
      <name val="Arial Narrow"/>
      <family val="2"/>
    </font>
    <font>
      <b/>
      <sz val="10"/>
      <color rgb="FF002060"/>
      <name val="Arial Narrow"/>
      <family val="2"/>
    </font>
    <font>
      <b/>
      <sz val="10"/>
      <color rgb="FF00B050"/>
      <name val="Arial Narrow"/>
      <family val="2"/>
    </font>
    <font>
      <b/>
      <sz val="10"/>
      <color rgb="FFFF0000"/>
      <name val="Arial Narrow"/>
      <family val="2"/>
    </font>
    <font>
      <b/>
      <sz val="10"/>
      <color rgb="FFFF9900"/>
      <name val="Arial Narrow"/>
      <family val="2"/>
    </font>
    <font>
      <b/>
      <sz val="10"/>
      <color rgb="FF0070C0"/>
      <name val="Arial Narrow"/>
      <family val="2"/>
    </font>
    <font>
      <b/>
      <sz val="10"/>
      <color rgb="FF00B0F0"/>
      <name val="Arial Narrow"/>
      <family val="2"/>
    </font>
    <font>
      <b/>
      <sz val="10"/>
      <color theme="9" tint="-0.249977111117893"/>
      <name val="Arial Narrow"/>
      <family val="2"/>
    </font>
    <font>
      <b/>
      <sz val="10"/>
      <color rgb="FFFFC000"/>
      <name val="Arial Narrow"/>
      <family val="2"/>
    </font>
    <font>
      <b/>
      <sz val="11"/>
      <color rgb="FF0070C0"/>
      <name val="Arial Narrow"/>
      <family val="2"/>
    </font>
    <font>
      <b/>
      <sz val="11"/>
      <color rgb="FF00B050"/>
      <name val="Arial Narrow"/>
      <family val="2"/>
    </font>
    <font>
      <sz val="11"/>
      <color theme="9" tint="-0.249977111117893"/>
      <name val="Arial Narrow"/>
      <family val="2"/>
    </font>
    <font>
      <b/>
      <sz val="12"/>
      <color rgb="FFFF0000"/>
      <name val="Arial Narrow"/>
      <family val="2"/>
    </font>
    <font>
      <sz val="10"/>
      <color rgb="FF00B050"/>
      <name val="Arial Narrow"/>
      <family val="2"/>
    </font>
    <font>
      <sz val="10"/>
      <color rgb="FF002060"/>
      <name val="Arial Narrow"/>
      <family val="2"/>
    </font>
    <font>
      <sz val="10"/>
      <color theme="4"/>
      <name val="Arial Narrow"/>
      <family val="2"/>
    </font>
    <font>
      <sz val="18"/>
      <color theme="1"/>
      <name val="Arial Narrow"/>
      <family val="2"/>
    </font>
    <font>
      <sz val="12"/>
      <color rgb="FF000000"/>
      <name val="Arial Narrow"/>
      <family val="2"/>
    </font>
    <font>
      <b/>
      <sz val="11"/>
      <color rgb="FF000000"/>
      <name val="Arial Narrow"/>
      <family val="2"/>
    </font>
    <font>
      <sz val="11"/>
      <color rgb="FF000000"/>
      <name val="Arial Narrow"/>
      <family val="2"/>
    </font>
    <font>
      <sz val="14"/>
      <color theme="1"/>
      <name val="Arial Narrow"/>
      <family val="2"/>
    </font>
    <font>
      <b/>
      <u/>
      <sz val="10"/>
      <color theme="1"/>
      <name val="Arial"/>
      <family val="2"/>
    </font>
    <font>
      <sz val="12"/>
      <color theme="1"/>
      <name val="Arial"/>
      <family val="2"/>
    </font>
    <font>
      <sz val="12"/>
      <name val="Arial"/>
      <family val="2"/>
    </font>
    <font>
      <sz val="12"/>
      <color rgb="FFFF0000"/>
      <name val="Arial"/>
      <family val="2"/>
    </font>
    <font>
      <sz val="11"/>
      <name val="Arial"/>
      <family val="2"/>
    </font>
  </fonts>
  <fills count="32">
    <fill>
      <patternFill patternType="none"/>
    </fill>
    <fill>
      <patternFill patternType="gray125"/>
    </fill>
    <fill>
      <patternFill patternType="solid">
        <fgColor theme="6"/>
        <bgColor theme="6"/>
      </patternFill>
    </fill>
    <fill>
      <patternFill patternType="solid">
        <fgColor rgb="FFFFFF00"/>
        <bgColor rgb="FFFFFF00"/>
      </patternFill>
    </fill>
    <fill>
      <patternFill patternType="solid">
        <fgColor theme="9"/>
        <bgColor theme="9"/>
      </patternFill>
    </fill>
    <fill>
      <patternFill patternType="solid">
        <fgColor rgb="FFFF9B57"/>
        <bgColor rgb="FFFF9B57"/>
      </patternFill>
    </fill>
    <fill>
      <patternFill patternType="solid">
        <fgColor theme="0"/>
        <bgColor theme="0"/>
      </patternFill>
    </fill>
    <fill>
      <patternFill patternType="solid">
        <fgColor rgb="FFFBD4B4"/>
        <bgColor rgb="FFFBD4B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rgb="FFFCD5B5"/>
        <bgColor rgb="FFFFC7CE"/>
      </patternFill>
    </fill>
    <fill>
      <patternFill patternType="solid">
        <fgColor rgb="FFFFFFFF"/>
        <bgColor rgb="FFFDEADA"/>
      </patternFill>
    </fill>
    <fill>
      <patternFill patternType="solid">
        <fgColor rgb="FF00B050"/>
        <bgColor indexed="64"/>
      </patternFill>
    </fill>
    <fill>
      <patternFill patternType="solid">
        <fgColor rgb="FF92D050"/>
        <bgColor indexed="64"/>
      </patternFill>
    </fill>
    <fill>
      <patternFill patternType="solid">
        <fgColor theme="1"/>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rgb="FFFFFF00"/>
        <bgColor theme="0"/>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7" tint="0.79998168889431442"/>
        <bgColor indexed="64"/>
      </patternFill>
    </fill>
  </fills>
  <borders count="17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dashed">
        <color theme="9" tint="-0.24994659260841701"/>
      </left>
      <right style="thin">
        <color indexed="64"/>
      </right>
      <top style="dashed">
        <color theme="9" tint="-0.24994659260841701"/>
      </top>
      <bottom/>
      <diagonal/>
    </border>
    <border>
      <left/>
      <right style="dashed">
        <color theme="9" tint="-0.24994659260841701"/>
      </right>
      <top/>
      <bottom/>
      <diagonal/>
    </border>
    <border>
      <left style="dashed">
        <color theme="9" tint="-0.24994659260841701"/>
      </left>
      <right style="thin">
        <color indexed="64"/>
      </right>
      <top/>
      <bottom/>
      <diagonal/>
    </border>
    <border>
      <left style="dashed">
        <color theme="9" tint="-0.24994659260841701"/>
      </left>
      <right style="thin">
        <color indexed="64"/>
      </right>
      <top/>
      <bottom style="dashed">
        <color theme="9" tint="-0.24994659260841701"/>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right style="dashed">
        <color theme="9" tint="-0.24994659260841701"/>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top style="dashed">
        <color theme="9" tint="-0.249977111117893"/>
      </top>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top style="dotted">
        <color rgb="FFE36C09"/>
      </top>
      <bottom/>
      <diagonal/>
    </border>
    <border>
      <left/>
      <right style="dotted">
        <color rgb="FFE36C09"/>
      </right>
      <top style="dotted">
        <color rgb="FFE36C09"/>
      </top>
      <bottom/>
      <diagonal/>
    </border>
    <border>
      <left/>
      <right style="dotted">
        <color rgb="FFE36C09"/>
      </right>
      <top/>
      <bottom/>
      <diagonal/>
    </border>
    <border>
      <left style="dashed">
        <color theme="9" tint="-0.24994659260841701"/>
      </left>
      <right style="dashed">
        <color theme="9" tint="-0.24994659260841701"/>
      </right>
      <top/>
      <bottom style="dashed">
        <color theme="9" tint="-0.249977111117893"/>
      </bottom>
      <diagonal/>
    </border>
    <border>
      <left style="dotted">
        <color rgb="FFE36C09"/>
      </left>
      <right style="dotted">
        <color rgb="FFE36C09"/>
      </right>
      <top style="thin">
        <color rgb="FF000000"/>
      </top>
      <bottom/>
      <diagonal/>
    </border>
    <border>
      <left/>
      <right/>
      <top style="dotted">
        <color rgb="FFE36C09"/>
      </top>
      <bottom/>
      <diagonal/>
    </border>
    <border>
      <left style="dashed">
        <color rgb="FFE46C0A"/>
      </left>
      <right/>
      <top style="dashed">
        <color rgb="FFE46C0A"/>
      </top>
      <bottom style="dashed">
        <color rgb="FFE46C0A"/>
      </bottom>
      <diagonal/>
    </border>
    <border>
      <left style="dashed">
        <color rgb="FFE46C0A"/>
      </left>
      <right style="dashed">
        <color rgb="FFE46C0A"/>
      </right>
      <top style="dashed">
        <color rgb="FFE46C0A"/>
      </top>
      <bottom style="dashed">
        <color rgb="FFE46C0A"/>
      </bottom>
      <diagonal/>
    </border>
    <border>
      <left style="dashed">
        <color rgb="FFE46C0A"/>
      </left>
      <right style="dashed">
        <color rgb="FFE46C0A"/>
      </right>
      <top/>
      <bottom style="dashed">
        <color rgb="FFE46C0A"/>
      </bottom>
      <diagonal/>
    </border>
    <border>
      <left style="dashed">
        <color rgb="FFE46C0A"/>
      </left>
      <right style="dashed">
        <color rgb="FFE46C0A"/>
      </right>
      <top style="dashed">
        <color rgb="FFE46C0A"/>
      </top>
      <bottom/>
      <diagonal/>
    </border>
    <border>
      <left style="dashed">
        <color rgb="FFE46C0A"/>
      </left>
      <right style="dashed">
        <color rgb="FFE46C0A"/>
      </right>
      <top/>
      <bottom/>
      <diagonal/>
    </border>
    <border>
      <left style="dashed">
        <color rgb="FFE46C0A"/>
      </left>
      <right/>
      <top/>
      <bottom style="dashed">
        <color rgb="FFE46C0A"/>
      </bottom>
      <diagonal/>
    </border>
    <border>
      <left/>
      <right style="dashed">
        <color rgb="FFE46C0A"/>
      </right>
      <top style="dashed">
        <color rgb="FFE46C0A"/>
      </top>
      <bottom style="dashed">
        <color rgb="FFE46C0A"/>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4659260841701"/>
      </left>
      <right style="dashed">
        <color theme="9" tint="-0.24994659260841701"/>
      </right>
      <top/>
      <bottom style="dotted">
        <color theme="9" tint="-0.24994659260841701"/>
      </bottom>
      <diagonal/>
    </border>
    <border>
      <left style="dashed">
        <color theme="9" tint="-0.24994659260841701"/>
      </left>
      <right style="dashed">
        <color theme="9" tint="-0.249977111117893"/>
      </right>
      <top/>
      <bottom style="dashed">
        <color theme="9" tint="-0.24994659260841701"/>
      </bottom>
      <diagonal/>
    </border>
    <border>
      <left style="thin">
        <color theme="9" tint="0.39997558519241921"/>
      </left>
      <right/>
      <top/>
      <bottom/>
      <diagonal/>
    </border>
    <border>
      <left style="dashed">
        <color theme="9" tint="-0.24994659260841701"/>
      </left>
      <right/>
      <top/>
      <bottom style="thin">
        <color theme="9" tint="0.39997558519241921"/>
      </bottom>
      <diagonal/>
    </border>
    <border>
      <left/>
      <right/>
      <top/>
      <bottom style="thin">
        <color theme="9" tint="0.39997558519241921"/>
      </bottom>
      <diagonal/>
    </border>
    <border>
      <left style="dashed">
        <color theme="9" tint="-0.249977111117893"/>
      </left>
      <right style="thin">
        <color theme="9" tint="0.39997558519241921"/>
      </right>
      <top style="thin">
        <color theme="9" tint="0.39997558519241921"/>
      </top>
      <bottom/>
      <diagonal/>
    </border>
    <border>
      <left style="dashed">
        <color theme="9" tint="-0.24994659260841701"/>
      </left>
      <right style="dashed">
        <color theme="9" tint="-0.24994659260841701"/>
      </right>
      <top style="dashed">
        <color theme="9" tint="-0.24994659260841701"/>
      </top>
      <bottom style="thin">
        <color theme="9" tint="0.39997558519241921"/>
      </bottom>
      <diagonal/>
    </border>
    <border>
      <left style="dashed">
        <color theme="9" tint="-0.24994659260841701"/>
      </left>
      <right style="thin">
        <color theme="9" tint="0.39997558519241921"/>
      </right>
      <top style="dashed">
        <color theme="9" tint="-0.24994659260841701"/>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dashed">
        <color theme="9" tint="-0.24994659260841701"/>
      </left>
      <right style="thin">
        <color theme="9" tint="0.39997558519241921"/>
      </right>
      <top/>
      <bottom style="thin">
        <color theme="9" tint="0.39997558519241921"/>
      </bottom>
      <diagonal/>
    </border>
    <border>
      <left style="medium">
        <color indexed="64"/>
      </left>
      <right/>
      <top/>
      <bottom/>
      <diagonal/>
    </border>
    <border>
      <left style="dashed">
        <color theme="9" tint="-0.249977111117893"/>
      </left>
      <right/>
      <top/>
      <bottom style="dashed">
        <color theme="9" tint="-0.249977111117893"/>
      </bottom>
      <diagonal/>
    </border>
    <border>
      <left style="dashed">
        <color theme="9" tint="-0.24994659260841701"/>
      </left>
      <right style="dashed">
        <color theme="9" tint="-0.24994659260841701"/>
      </right>
      <top style="dashed">
        <color theme="9" tint="-0.249977111117893"/>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ashed">
        <color theme="9" tint="-0.249977111117893"/>
      </left>
      <right style="dashed">
        <color theme="9" tint="-0.24994659260841701"/>
      </right>
      <top style="dashed">
        <color theme="9" tint="-0.24994659260841701"/>
      </top>
      <bottom/>
      <diagonal/>
    </border>
    <border>
      <left style="dashed">
        <color theme="9" tint="-0.249977111117893"/>
      </left>
      <right style="dashed">
        <color theme="9" tint="-0.24994659260841701"/>
      </right>
      <top/>
      <bottom/>
      <diagonal/>
    </border>
    <border>
      <left style="dashed">
        <color theme="9" tint="-0.249977111117893"/>
      </left>
      <right style="dashed">
        <color theme="9" tint="-0.24994659260841701"/>
      </right>
      <top/>
      <bottom style="dashed">
        <color theme="9" tint="-0.24994659260841701"/>
      </bottom>
      <diagonal/>
    </border>
    <border>
      <left style="dashed">
        <color theme="9" tint="-0.24994659260841701"/>
      </left>
      <right style="thin">
        <color indexed="64"/>
      </right>
      <top style="dashed">
        <color theme="9" tint="-0.24994659260841701"/>
      </top>
      <bottom style="dashed">
        <color theme="9" tint="-0.24994659260841701"/>
      </bottom>
      <diagonal/>
    </border>
    <border>
      <left/>
      <right style="dashed">
        <color theme="9" tint="-0.249977111117893"/>
      </right>
      <top style="dashed">
        <color theme="9" tint="-0.24994659260841701"/>
      </top>
      <bottom/>
      <diagonal/>
    </border>
    <border>
      <left/>
      <right style="dashed">
        <color theme="9" tint="-0.249977111117893"/>
      </right>
      <top/>
      <bottom/>
      <diagonal/>
    </border>
    <border>
      <left style="dashed">
        <color theme="9" tint="-0.249977111117893"/>
      </left>
      <right/>
      <top/>
      <bottom/>
      <diagonal/>
    </border>
    <border>
      <left style="dashed">
        <color rgb="FFE46C0A"/>
      </left>
      <right/>
      <top style="dashed">
        <color rgb="FFE46C0A"/>
      </top>
      <bottom/>
      <diagonal/>
    </border>
    <border>
      <left style="dashed">
        <color rgb="FFE46C0A"/>
      </left>
      <right/>
      <top/>
      <bottom/>
      <diagonal/>
    </border>
    <border>
      <left style="dashed">
        <color rgb="FFE46C0A"/>
      </left>
      <right/>
      <top style="dotted">
        <color rgb="FFE36C09"/>
      </top>
      <bottom/>
      <diagonal/>
    </border>
    <border>
      <left style="dashed">
        <color theme="9" tint="-0.24994659260841701"/>
      </left>
      <right style="dashed">
        <color theme="9" tint="-0.24994659260841701"/>
      </right>
      <top/>
      <bottom style="dotted">
        <color rgb="FFE36C09"/>
      </bottom>
      <diagonal/>
    </border>
    <border>
      <left style="dotted">
        <color rgb="FFE36C09"/>
      </left>
      <right style="dotted">
        <color rgb="FFE36C09"/>
      </right>
      <top style="dashed">
        <color theme="9" tint="-0.24994659260841701"/>
      </top>
      <bottom/>
      <diagonal/>
    </border>
    <border>
      <left style="thin">
        <color indexed="64"/>
      </left>
      <right style="thin">
        <color indexed="64"/>
      </right>
      <top style="dashed">
        <color theme="9" tint="-0.24994659260841701"/>
      </top>
      <bottom/>
      <diagonal/>
    </border>
    <border>
      <left style="thin">
        <color indexed="64"/>
      </left>
      <right style="thin">
        <color indexed="64"/>
      </right>
      <top/>
      <bottom style="dashed">
        <color theme="9" tint="-0.24994659260841701"/>
      </bottom>
      <diagonal/>
    </border>
    <border>
      <left style="thin">
        <color indexed="64"/>
      </left>
      <right style="thin">
        <color indexed="64"/>
      </right>
      <top/>
      <bottom/>
      <diagonal/>
    </border>
    <border>
      <left style="dashed">
        <color theme="9" tint="-0.249977111117893"/>
      </left>
      <right/>
      <top style="dotted">
        <color rgb="FFE36C09"/>
      </top>
      <bottom/>
      <diagonal/>
    </border>
    <border>
      <left style="dashed">
        <color theme="9" tint="-0.24994659260841701"/>
      </left>
      <right/>
      <top/>
      <bottom style="dashed">
        <color theme="9" tint="-0.249977111117893"/>
      </bottom>
      <diagonal/>
    </border>
    <border>
      <left style="dotted">
        <color rgb="FFE26B0A"/>
      </left>
      <right style="dotted">
        <color rgb="FFE26B0A"/>
      </right>
      <top style="dotted">
        <color rgb="FFE26B0A"/>
      </top>
      <bottom/>
      <diagonal/>
    </border>
    <border>
      <left style="dotted">
        <color rgb="FFE26B0A"/>
      </left>
      <right style="dotted">
        <color rgb="FFE26B0A"/>
      </right>
      <top/>
      <bottom style="dotted">
        <color rgb="FFE26B0A"/>
      </bottom>
      <diagonal/>
    </border>
    <border>
      <left style="dotted">
        <color rgb="FFE26B0A"/>
      </left>
      <right style="dotted">
        <color rgb="FFE26B0A"/>
      </right>
      <top/>
      <bottom style="dotted">
        <color rgb="FFE36C09"/>
      </bottom>
      <diagonal/>
    </border>
    <border>
      <left style="dotted">
        <color rgb="FFE36C09"/>
      </left>
      <right style="dotted">
        <color rgb="FFE36C09"/>
      </right>
      <top style="dotted">
        <color rgb="FFE26B0A"/>
      </top>
      <bottom/>
      <diagonal/>
    </border>
    <border>
      <left style="dashed">
        <color rgb="FFE46C0A"/>
      </left>
      <right/>
      <top style="dashed">
        <color rgb="FFE46C0A"/>
      </top>
      <bottom style="thin">
        <color indexed="64"/>
      </bottom>
      <diagonal/>
    </border>
    <border>
      <left/>
      <right/>
      <top style="dashed">
        <color rgb="FFE46C0A"/>
      </top>
      <bottom style="thin">
        <color indexed="64"/>
      </bottom>
      <diagonal/>
    </border>
    <border>
      <left/>
      <right style="dashed">
        <color rgb="FFE46C0A"/>
      </right>
      <top style="dashed">
        <color rgb="FFE46C0A"/>
      </top>
      <bottom style="thin">
        <color indexed="64"/>
      </bottom>
      <diagonal/>
    </border>
    <border>
      <left style="dashed">
        <color rgb="FFE46C0A"/>
      </left>
      <right/>
      <top style="thin">
        <color indexed="64"/>
      </top>
      <bottom style="thin">
        <color indexed="64"/>
      </bottom>
      <diagonal/>
    </border>
    <border>
      <left/>
      <right/>
      <top style="thin">
        <color indexed="64"/>
      </top>
      <bottom style="thin">
        <color indexed="64"/>
      </bottom>
      <diagonal/>
    </border>
    <border>
      <left/>
      <right style="dashed">
        <color rgb="FFE46C0A"/>
      </right>
      <top style="thin">
        <color indexed="64"/>
      </top>
      <bottom style="thin">
        <color indexed="64"/>
      </bottom>
      <diagonal/>
    </border>
    <border>
      <left style="dashed">
        <color theme="9" tint="-0.24994659260841701"/>
      </left>
      <right style="thin">
        <color theme="9" tint="-0.249977111117893"/>
      </right>
      <top style="dashed">
        <color theme="9" tint="-0.24994659260841701"/>
      </top>
      <bottom/>
      <diagonal/>
    </border>
    <border>
      <left style="thin">
        <color theme="9" tint="-0.249977111117893"/>
      </left>
      <right style="dashed">
        <color theme="9" tint="-0.24994659260841701"/>
      </right>
      <top style="dashed">
        <color theme="9" tint="-0.24994659260841701"/>
      </top>
      <bottom style="dashed">
        <color theme="9" tint="-0.24994659260841701"/>
      </bottom>
      <diagonal/>
    </border>
    <border>
      <left style="dashed">
        <color theme="9" tint="-0.24994659260841701"/>
      </left>
      <right style="thin">
        <color theme="9" tint="-0.249977111117893"/>
      </right>
      <top/>
      <bottom style="dashed">
        <color theme="9" tint="-0.24994659260841701"/>
      </bottom>
      <diagonal/>
    </border>
    <border>
      <left style="dashed">
        <color rgb="FFE46C0A"/>
      </left>
      <right style="dashed">
        <color rgb="FFE46C0A"/>
      </right>
      <top style="dotted">
        <color rgb="FFE36C09"/>
      </top>
      <bottom/>
      <diagonal/>
    </border>
    <border>
      <left style="dashed">
        <color theme="9" tint="-0.24994659260841701"/>
      </left>
      <right style="dashed">
        <color theme="9" tint="-0.24994659260841701"/>
      </right>
      <top/>
      <bottom style="thin">
        <color theme="9" tint="0.39997558519241921"/>
      </bottom>
      <diagonal/>
    </border>
    <border>
      <left style="dashed">
        <color theme="9" tint="-0.24994659260841701"/>
      </left>
      <right style="thin">
        <color theme="9" tint="0.39997558519241921"/>
      </right>
      <top/>
      <bottom/>
      <diagonal/>
    </border>
    <border>
      <left style="thin">
        <color theme="9" tint="0.39997558519241921"/>
      </left>
      <right style="thin">
        <color theme="9" tint="0.39997558519241921"/>
      </right>
      <top/>
      <bottom style="thin">
        <color theme="9"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ashed">
        <color theme="9" tint="-0.24994659260841701"/>
      </right>
      <top style="dashed">
        <color theme="9" tint="-0.24994659260841701"/>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style="dotted">
        <color indexed="64"/>
      </left>
      <right style="dashed">
        <color theme="9" tint="-0.24994659260841701"/>
      </right>
      <top/>
      <bottom/>
      <diagonal/>
    </border>
    <border>
      <left style="dotted">
        <color indexed="64"/>
      </left>
      <right style="dotted">
        <color indexed="64"/>
      </right>
      <top/>
      <bottom/>
      <diagonal/>
    </border>
    <border>
      <left style="dotted">
        <color indexed="64"/>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ashed">
        <color theme="9" tint="-0.249977111117893"/>
      </left>
      <right style="dashed">
        <color theme="9" tint="-0.24994659260841701"/>
      </right>
      <top style="dotted">
        <color indexed="64"/>
      </top>
      <bottom/>
      <diagonal/>
    </border>
    <border>
      <left style="dashed">
        <color theme="9" tint="-0.24994659260841701"/>
      </left>
      <right style="dashed">
        <color theme="9" tint="-0.24994659260841701"/>
      </right>
      <top style="dotted">
        <color indexed="64"/>
      </top>
      <bottom/>
      <diagonal/>
    </border>
    <border>
      <left style="dashed">
        <color rgb="FFE26B0A"/>
      </left>
      <right style="dashed">
        <color rgb="FFE26B0A"/>
      </right>
      <top style="dashed">
        <color rgb="FFE26B0A"/>
      </top>
      <bottom/>
      <diagonal/>
    </border>
    <border>
      <left style="dashed">
        <color rgb="FFE26B0A"/>
      </left>
      <right style="dashed">
        <color rgb="FFE26B0A"/>
      </right>
      <top/>
      <bottom style="dotted">
        <color rgb="FFE36C09"/>
      </bottom>
      <diagonal/>
    </border>
    <border>
      <left style="dashed">
        <color theme="9" tint="-0.24994659260841701"/>
      </left>
      <right style="dotted">
        <color rgb="FFE36C09"/>
      </right>
      <top style="dashed">
        <color theme="9" tint="-0.24994659260841701"/>
      </top>
      <bottom/>
      <diagonal/>
    </border>
    <border>
      <left style="dashed">
        <color theme="9" tint="-0.24994659260841701"/>
      </left>
      <right style="dotted">
        <color rgb="FFE36C09"/>
      </right>
      <top/>
      <bottom/>
      <diagonal/>
    </border>
    <border>
      <left style="dashed">
        <color theme="9" tint="-0.24994659260841701"/>
      </left>
      <right style="dotted">
        <color rgb="FFE36C09"/>
      </right>
      <top/>
      <bottom style="dashed">
        <color theme="9" tint="-0.24994659260841701"/>
      </bottom>
      <diagonal/>
    </border>
    <border>
      <left style="dotted">
        <color rgb="FFE36C09"/>
      </left>
      <right style="thin">
        <color auto="1"/>
      </right>
      <top style="dotted">
        <color rgb="FFE36C09"/>
      </top>
      <bottom/>
      <diagonal/>
    </border>
    <border>
      <left style="dotted">
        <color rgb="FFE36C09"/>
      </left>
      <right style="thin">
        <color auto="1"/>
      </right>
      <top/>
      <bottom/>
      <diagonal/>
    </border>
    <border>
      <left style="dotted">
        <color rgb="FFE36C09"/>
      </left>
      <right style="dotted">
        <color rgb="FFE36C09"/>
      </right>
      <top/>
      <bottom style="dashed">
        <color rgb="FFE26B0A"/>
      </bottom>
      <diagonal/>
    </border>
    <border>
      <left style="dotted">
        <color rgb="FFE36C09"/>
      </left>
      <right style="thin">
        <color auto="1"/>
      </right>
      <top/>
      <bottom style="dashed">
        <color theme="9" tint="-0.24994659260841701"/>
      </bottom>
      <diagonal/>
    </border>
    <border>
      <left style="dashed">
        <color rgb="FFE26B0A"/>
      </left>
      <right/>
      <top style="dashed">
        <color rgb="FFE26B0A"/>
      </top>
      <bottom/>
      <diagonal/>
    </border>
    <border>
      <left style="dashed">
        <color rgb="FFE26B0A"/>
      </left>
      <right/>
      <top/>
      <bottom style="dashed">
        <color rgb="FFE26B0A"/>
      </bottom>
      <diagonal/>
    </border>
    <border>
      <left style="dotted">
        <color rgb="FFE36C09"/>
      </left>
      <right style="thin">
        <color auto="1"/>
      </right>
      <top style="dashed">
        <color theme="9" tint="-0.24994659260841701"/>
      </top>
      <bottom/>
      <diagonal/>
    </border>
    <border>
      <left style="dotted">
        <color rgb="FFE36C09"/>
      </left>
      <right style="thin">
        <color auto="1"/>
      </right>
      <top/>
      <bottom style="dotted">
        <color rgb="FFE36C09"/>
      </bottom>
      <diagonal/>
    </border>
    <border>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4659260841701"/>
      </right>
      <top/>
      <bottom style="thin">
        <color indexed="64"/>
      </bottom>
      <diagonal/>
    </border>
  </borders>
  <cellStyleXfs count="22">
    <xf numFmtId="0" fontId="0" fillId="0" borderId="0"/>
    <xf numFmtId="0" fontId="24" fillId="0" borderId="37"/>
    <xf numFmtId="0" fontId="7" fillId="0" borderId="37"/>
    <xf numFmtId="0" fontId="25" fillId="0" borderId="37"/>
    <xf numFmtId="0" fontId="6" fillId="0" borderId="37"/>
    <xf numFmtId="0" fontId="5" fillId="0" borderId="37"/>
    <xf numFmtId="44" fontId="16" fillId="0" borderId="37" applyFont="0" applyFill="0" applyBorder="0" applyAlignment="0" applyProtection="0"/>
    <xf numFmtId="0" fontId="4" fillId="0" borderId="37"/>
    <xf numFmtId="9" fontId="4" fillId="0" borderId="37" applyFont="0" applyFill="0" applyBorder="0" applyAlignment="0" applyProtection="0"/>
    <xf numFmtId="166" fontId="65" fillId="0" borderId="37" applyBorder="0" applyProtection="0"/>
    <xf numFmtId="0" fontId="65" fillId="0" borderId="37"/>
    <xf numFmtId="9" fontId="65" fillId="0" borderId="37" applyBorder="0" applyProtection="0"/>
    <xf numFmtId="0" fontId="4" fillId="0" borderId="37"/>
    <xf numFmtId="0" fontId="88" fillId="0" borderId="37" applyNumberFormat="0" applyFill="0" applyBorder="0" applyAlignment="0" applyProtection="0"/>
    <xf numFmtId="0" fontId="3" fillId="0" borderId="37"/>
    <xf numFmtId="9" fontId="3" fillId="0" borderId="37" applyFont="0" applyFill="0" applyBorder="0" applyAlignment="0" applyProtection="0"/>
    <xf numFmtId="9" fontId="90" fillId="0" borderId="0" applyFont="0" applyFill="0" applyBorder="0" applyAlignment="0" applyProtection="0"/>
    <xf numFmtId="0" fontId="2" fillId="0" borderId="37"/>
    <xf numFmtId="9" fontId="2" fillId="0" borderId="37" applyFont="0" applyFill="0" applyBorder="0" applyAlignment="0" applyProtection="0"/>
    <xf numFmtId="0" fontId="90" fillId="0" borderId="37"/>
    <xf numFmtId="0" fontId="1" fillId="0" borderId="37"/>
    <xf numFmtId="9" fontId="1" fillId="0" borderId="37" applyFont="0" applyFill="0" applyBorder="0" applyAlignment="0" applyProtection="0"/>
  </cellStyleXfs>
  <cellXfs count="3734">
    <xf numFmtId="0" fontId="0" fillId="0" borderId="0" xfId="0"/>
    <xf numFmtId="0" fontId="8" fillId="0" borderId="0" xfId="0" applyFont="1"/>
    <xf numFmtId="0" fontId="11" fillId="0" borderId="4" xfId="0" applyFont="1" applyBorder="1" applyAlignment="1">
      <alignment vertical="center" wrapText="1"/>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4" xfId="0" applyFont="1" applyFill="1" applyBorder="1" applyAlignment="1">
      <alignment horizontal="center" vertical="center" wrapText="1"/>
    </xf>
    <xf numFmtId="0" fontId="12" fillId="3" borderId="15" xfId="0" applyFont="1" applyFill="1" applyBorder="1" applyAlignment="1">
      <alignment wrapText="1"/>
    </xf>
    <xf numFmtId="0" fontId="12" fillId="0" borderId="16" xfId="0" applyFont="1" applyBorder="1"/>
    <xf numFmtId="0" fontId="12" fillId="0" borderId="17" xfId="0" applyFont="1" applyBorder="1"/>
    <xf numFmtId="0" fontId="14" fillId="0" borderId="0" xfId="0" applyFont="1" applyAlignment="1">
      <alignment wrapText="1"/>
    </xf>
    <xf numFmtId="0" fontId="12" fillId="0" borderId="4" xfId="0" applyFont="1" applyBorder="1"/>
    <xf numFmtId="0" fontId="12" fillId="0" borderId="18" xfId="0" applyFont="1" applyBorder="1"/>
    <xf numFmtId="0" fontId="12" fillId="3" borderId="19" xfId="0" applyFont="1" applyFill="1" applyBorder="1" applyAlignment="1">
      <alignment wrapText="1"/>
    </xf>
    <xf numFmtId="0" fontId="12" fillId="0" borderId="6" xfId="0" applyFont="1" applyBorder="1"/>
    <xf numFmtId="0" fontId="12" fillId="0" borderId="20" xfId="0" applyFont="1" applyBorder="1"/>
    <xf numFmtId="0" fontId="16" fillId="0" borderId="16" xfId="0" applyFont="1" applyBorder="1" applyAlignment="1">
      <alignment vertical="center" wrapText="1"/>
    </xf>
    <xf numFmtId="0" fontId="16" fillId="0" borderId="4" xfId="0" applyFont="1" applyBorder="1" applyAlignment="1">
      <alignment vertical="center" wrapText="1"/>
    </xf>
    <xf numFmtId="0" fontId="16" fillId="0" borderId="14" xfId="0" applyFont="1" applyBorder="1" applyAlignment="1">
      <alignment vertical="center" wrapText="1"/>
    </xf>
    <xf numFmtId="0" fontId="17" fillId="4" borderId="33" xfId="0" applyFont="1" applyFill="1" applyBorder="1" applyAlignment="1">
      <alignment horizontal="center" vertical="center"/>
    </xf>
    <xf numFmtId="0" fontId="17" fillId="4" borderId="34" xfId="0" applyFont="1" applyFill="1" applyBorder="1" applyAlignment="1">
      <alignment horizontal="center" vertical="center"/>
    </xf>
    <xf numFmtId="0" fontId="17" fillId="4" borderId="34" xfId="0" applyFont="1" applyFill="1" applyBorder="1" applyAlignment="1">
      <alignment vertical="center"/>
    </xf>
    <xf numFmtId="0" fontId="17" fillId="4" borderId="34" xfId="0" applyFont="1" applyFill="1" applyBorder="1" applyAlignment="1">
      <alignment horizontal="center" vertical="center" wrapText="1"/>
    </xf>
    <xf numFmtId="0" fontId="17" fillId="4" borderId="35" xfId="0" applyFont="1" applyFill="1" applyBorder="1" applyAlignment="1">
      <alignment horizontal="center" vertical="center"/>
    </xf>
    <xf numFmtId="0" fontId="12" fillId="3" borderId="4" xfId="0" applyFont="1" applyFill="1" applyBorder="1"/>
    <xf numFmtId="0" fontId="18" fillId="0" borderId="0" xfId="0" applyFont="1"/>
    <xf numFmtId="0" fontId="12" fillId="3" borderId="37" xfId="0" applyFont="1" applyFill="1" applyBorder="1" applyAlignment="1">
      <alignment vertical="center"/>
    </xf>
    <xf numFmtId="0" fontId="18" fillId="0" borderId="0" xfId="0" applyFont="1" applyAlignment="1">
      <alignment vertical="top" wrapText="1"/>
    </xf>
    <xf numFmtId="0" fontId="12" fillId="0" borderId="0" xfId="0" applyFont="1" applyAlignment="1">
      <alignment vertical="center" wrapText="1"/>
    </xf>
    <xf numFmtId="0" fontId="18" fillId="0" borderId="0" xfId="0" applyFont="1" applyAlignment="1">
      <alignment wrapText="1"/>
    </xf>
    <xf numFmtId="0" fontId="12" fillId="0" borderId="0" xfId="0" applyFont="1" applyAlignment="1">
      <alignment vertical="center"/>
    </xf>
    <xf numFmtId="0" fontId="12" fillId="0" borderId="0" xfId="0" applyFont="1" applyAlignment="1">
      <alignment wrapText="1"/>
    </xf>
    <xf numFmtId="0" fontId="18" fillId="5" borderId="37" xfId="0" applyFont="1" applyFill="1" applyBorder="1"/>
    <xf numFmtId="0" fontId="12" fillId="3" borderId="37" xfId="0" applyFont="1" applyFill="1" applyBorder="1"/>
    <xf numFmtId="0" fontId="16" fillId="0" borderId="0" xfId="0" applyFont="1"/>
    <xf numFmtId="0" fontId="14" fillId="0" borderId="0" xfId="0" applyFont="1" applyAlignment="1">
      <alignment horizontal="left" vertical="center" wrapText="1"/>
    </xf>
    <xf numFmtId="0" fontId="27" fillId="0" borderId="37" xfId="7" applyFont="1"/>
    <xf numFmtId="0" fontId="26" fillId="8" borderId="37" xfId="7" applyFont="1" applyFill="1" applyAlignment="1">
      <alignment horizontal="center" vertical="center"/>
    </xf>
    <xf numFmtId="0" fontId="31" fillId="9" borderId="37" xfId="7" applyFont="1" applyFill="1"/>
    <xf numFmtId="0" fontId="27" fillId="0" borderId="51" xfId="7" applyFont="1" applyBorder="1" applyAlignment="1" applyProtection="1">
      <alignment horizontal="center" vertical="top" wrapText="1"/>
      <protection locked="0"/>
    </xf>
    <xf numFmtId="0" fontId="32" fillId="8" borderId="52" xfId="7" applyFont="1" applyFill="1" applyBorder="1" applyAlignment="1">
      <alignment horizontal="center" vertical="center" wrapText="1"/>
    </xf>
    <xf numFmtId="0" fontId="32" fillId="8" borderId="53" xfId="7" applyFont="1" applyFill="1" applyBorder="1" applyAlignment="1">
      <alignment horizontal="center" vertical="center" wrapText="1"/>
    </xf>
    <xf numFmtId="0" fontId="32" fillId="8" borderId="51" xfId="7" applyFont="1" applyFill="1" applyBorder="1" applyAlignment="1">
      <alignment horizontal="center" vertical="center" wrapText="1"/>
    </xf>
    <xf numFmtId="0" fontId="32" fillId="8" borderId="51" xfId="7" applyFont="1" applyFill="1" applyBorder="1" applyAlignment="1">
      <alignment horizontal="center" vertical="center" textRotation="90"/>
    </xf>
    <xf numFmtId="0" fontId="31" fillId="0" borderId="50" xfId="7" applyFont="1" applyBorder="1" applyAlignment="1" applyProtection="1">
      <alignment horizontal="center" vertical="top" wrapText="1"/>
      <protection locked="0"/>
    </xf>
    <xf numFmtId="0" fontId="31" fillId="0" borderId="50" xfId="7" applyFont="1" applyBorder="1" applyAlignment="1" applyProtection="1">
      <alignment vertical="top" wrapText="1"/>
      <protection locked="0"/>
    </xf>
    <xf numFmtId="0" fontId="31" fillId="0" borderId="50" xfId="7" applyFont="1" applyBorder="1" applyAlignment="1" applyProtection="1">
      <alignment horizontal="center" vertical="center" wrapText="1"/>
      <protection locked="0"/>
    </xf>
    <xf numFmtId="0" fontId="31" fillId="0" borderId="50" xfId="7" applyFont="1" applyBorder="1" applyAlignment="1" applyProtection="1">
      <alignment horizontal="center" vertical="top"/>
      <protection locked="0"/>
    </xf>
    <xf numFmtId="9" fontId="31" fillId="0" borderId="50" xfId="7" applyNumberFormat="1" applyFont="1" applyBorder="1" applyAlignment="1" applyProtection="1">
      <alignment horizontal="center" vertical="top" wrapText="1"/>
      <protection hidden="1"/>
    </xf>
    <xf numFmtId="0" fontId="31" fillId="0" borderId="51" xfId="7" applyFont="1" applyBorder="1" applyAlignment="1">
      <alignment horizontal="center" vertical="top"/>
    </xf>
    <xf numFmtId="0" fontId="27" fillId="0" borderId="51" xfId="7" applyFont="1" applyBorder="1" applyAlignment="1" applyProtection="1">
      <alignment horizontal="justify" vertical="top" wrapText="1"/>
      <protection locked="0"/>
    </xf>
    <xf numFmtId="0" fontId="31" fillId="0" borderId="51" xfId="7" applyFont="1" applyBorder="1" applyAlignment="1" applyProtection="1">
      <alignment horizontal="center" vertical="top"/>
      <protection hidden="1"/>
    </xf>
    <xf numFmtId="0" fontId="31" fillId="0" borderId="51" xfId="7" applyFont="1" applyBorder="1" applyAlignment="1" applyProtection="1">
      <alignment horizontal="center" vertical="top" textRotation="90"/>
      <protection locked="0"/>
    </xf>
    <xf numFmtId="9" fontId="31" fillId="0" borderId="51" xfId="7" applyNumberFormat="1" applyFont="1" applyBorder="1" applyAlignment="1" applyProtection="1">
      <alignment horizontal="center" vertical="top"/>
      <protection hidden="1"/>
    </xf>
    <xf numFmtId="0" fontId="31" fillId="0" borderId="53" xfId="7" applyFont="1" applyBorder="1" applyAlignment="1" applyProtection="1">
      <alignment horizontal="center" vertical="top" wrapText="1"/>
      <protection locked="0"/>
    </xf>
    <xf numFmtId="0" fontId="31" fillId="0" borderId="53" xfId="7" applyFont="1" applyBorder="1" applyAlignment="1" applyProtection="1">
      <alignment horizontal="left" vertical="center" wrapText="1"/>
      <protection locked="0"/>
    </xf>
    <xf numFmtId="0" fontId="31" fillId="0" borderId="53" xfId="7" applyFont="1" applyBorder="1" applyAlignment="1" applyProtection="1">
      <alignment horizontal="left" vertical="top" wrapText="1"/>
      <protection locked="0"/>
    </xf>
    <xf numFmtId="0" fontId="32" fillId="8" borderId="53" xfId="7" applyFont="1" applyFill="1" applyBorder="1" applyAlignment="1">
      <alignment horizontal="center" vertical="center"/>
    </xf>
    <xf numFmtId="0" fontId="31" fillId="0" borderId="50" xfId="7" applyFont="1" applyBorder="1" applyAlignment="1">
      <alignment horizontal="center" vertical="center"/>
    </xf>
    <xf numFmtId="0" fontId="30" fillId="0" borderId="50" xfId="7" applyFont="1" applyBorder="1" applyAlignment="1" applyProtection="1">
      <alignment horizontal="center" vertical="top" wrapText="1"/>
      <protection locked="0"/>
    </xf>
    <xf numFmtId="0" fontId="30" fillId="0" borderId="43" xfId="7" applyFont="1" applyBorder="1" applyAlignment="1" applyProtection="1">
      <alignment horizontal="center" vertical="top" wrapText="1"/>
      <protection locked="0"/>
    </xf>
    <xf numFmtId="0" fontId="31" fillId="0" borderId="51" xfId="7" applyFont="1" applyBorder="1" applyAlignment="1" applyProtection="1">
      <alignment horizontal="justify" vertical="top" wrapText="1"/>
      <protection locked="0"/>
    </xf>
    <xf numFmtId="0" fontId="30" fillId="0" borderId="51" xfId="7" applyFont="1" applyBorder="1" applyAlignment="1" applyProtection="1">
      <alignment horizontal="center" vertical="top" textRotation="90"/>
      <protection locked="0"/>
    </xf>
    <xf numFmtId="9" fontId="30" fillId="0" borderId="51" xfId="7" applyNumberFormat="1" applyFont="1" applyBorder="1" applyAlignment="1" applyProtection="1">
      <alignment horizontal="center" vertical="top"/>
      <protection hidden="1"/>
    </xf>
    <xf numFmtId="164" fontId="31" fillId="0" borderId="51" xfId="8" applyNumberFormat="1" applyFont="1" applyBorder="1" applyAlignment="1">
      <alignment horizontal="center" vertical="top"/>
    </xf>
    <xf numFmtId="0" fontId="37" fillId="0" borderId="51" xfId="7" applyFont="1" applyBorder="1" applyAlignment="1" applyProtection="1">
      <alignment horizontal="center" vertical="top" textRotation="90" wrapText="1"/>
      <protection hidden="1"/>
    </xf>
    <xf numFmtId="9" fontId="30" fillId="0" borderId="50" xfId="7" applyNumberFormat="1" applyFont="1" applyBorder="1" applyAlignment="1" applyProtection="1">
      <alignment horizontal="center" vertical="top"/>
      <protection hidden="1"/>
    </xf>
    <xf numFmtId="0" fontId="37" fillId="0" borderId="51" xfId="7" applyFont="1" applyBorder="1" applyAlignment="1" applyProtection="1">
      <alignment horizontal="center" vertical="top" textRotation="90"/>
      <protection hidden="1"/>
    </xf>
    <xf numFmtId="0" fontId="30" fillId="0" borderId="51" xfId="7" applyFont="1" applyBorder="1" applyAlignment="1" applyProtection="1">
      <alignment horizontal="justify" vertical="top" wrapText="1"/>
      <protection locked="0"/>
    </xf>
    <xf numFmtId="14" fontId="30" fillId="0" borderId="51" xfId="7" applyNumberFormat="1" applyFont="1" applyBorder="1" applyAlignment="1" applyProtection="1">
      <alignment horizontal="justify" vertical="top" wrapText="1"/>
      <protection locked="0"/>
    </xf>
    <xf numFmtId="0" fontId="30" fillId="0" borderId="51" xfId="7" applyFont="1" applyBorder="1" applyAlignment="1" applyProtection="1">
      <alignment horizontal="center" vertical="top" wrapText="1"/>
      <protection locked="0"/>
    </xf>
    <xf numFmtId="0" fontId="30" fillId="0" borderId="51" xfId="7" applyFont="1" applyBorder="1" applyAlignment="1" applyProtection="1">
      <alignment horizontal="center" vertical="top"/>
      <protection locked="0"/>
    </xf>
    <xf numFmtId="0" fontId="31" fillId="0" borderId="53" xfId="7" applyFont="1" applyBorder="1" applyAlignment="1">
      <alignment horizontal="center" vertical="center"/>
    </xf>
    <xf numFmtId="0" fontId="30" fillId="0" borderId="53" xfId="7" applyFont="1" applyBorder="1" applyAlignment="1" applyProtection="1">
      <alignment horizontal="center" vertical="top" wrapText="1"/>
      <protection locked="0"/>
    </xf>
    <xf numFmtId="0" fontId="30" fillId="0" borderId="54" xfId="7" applyFont="1" applyBorder="1" applyAlignment="1" applyProtection="1">
      <alignment horizontal="center" vertical="top" wrapText="1"/>
      <protection locked="0"/>
    </xf>
    <xf numFmtId="0" fontId="32" fillId="9" borderId="49" xfId="7" applyFont="1" applyFill="1" applyBorder="1" applyAlignment="1">
      <alignment vertical="center" wrapText="1"/>
    </xf>
    <xf numFmtId="0" fontId="30" fillId="0" borderId="56" xfId="7" applyFont="1" applyBorder="1" applyAlignment="1" applyProtection="1">
      <alignment horizontal="center" vertical="top" wrapText="1"/>
      <protection locked="0"/>
    </xf>
    <xf numFmtId="9" fontId="30" fillId="0" borderId="53" xfId="7" applyNumberFormat="1" applyFont="1" applyBorder="1" applyAlignment="1" applyProtection="1">
      <alignment horizontal="center" vertical="top" wrapText="1"/>
      <protection hidden="1"/>
    </xf>
    <xf numFmtId="0" fontId="31" fillId="0" borderId="51" xfId="7" applyFont="1" applyBorder="1" applyAlignment="1" applyProtection="1">
      <alignment horizontal="center" vertical="top" wrapText="1"/>
      <protection locked="0"/>
    </xf>
    <xf numFmtId="0" fontId="31" fillId="0" borderId="51" xfId="7" applyFont="1" applyBorder="1" applyAlignment="1" applyProtection="1">
      <alignment horizontal="center" vertical="top"/>
      <protection locked="0"/>
    </xf>
    <xf numFmtId="0" fontId="31" fillId="0" borderId="51" xfId="7" applyFont="1" applyBorder="1" applyAlignment="1" applyProtection="1">
      <alignment horizontal="justify" vertical="top"/>
      <protection locked="0"/>
    </xf>
    <xf numFmtId="0" fontId="30" fillId="0" borderId="49" xfId="7" applyFont="1" applyBorder="1" applyAlignment="1" applyProtection="1">
      <alignment horizontal="center" vertical="top" wrapText="1"/>
      <protection locked="0"/>
    </xf>
    <xf numFmtId="0" fontId="30" fillId="0" borderId="50" xfId="7" applyFont="1" applyBorder="1" applyAlignment="1" applyProtection="1">
      <alignment horizontal="center" vertical="top" textRotation="90"/>
      <protection locked="0"/>
    </xf>
    <xf numFmtId="14" fontId="31" fillId="0" borderId="51" xfId="7" applyNumberFormat="1" applyFont="1" applyBorder="1" applyAlignment="1" applyProtection="1">
      <alignment horizontal="center" vertical="top"/>
      <protection locked="0"/>
    </xf>
    <xf numFmtId="0" fontId="34" fillId="0" borderId="49" xfId="7" applyFont="1" applyBorder="1" applyAlignment="1" applyProtection="1">
      <alignment horizontal="center" vertical="top" wrapText="1"/>
      <protection locked="0"/>
    </xf>
    <xf numFmtId="0" fontId="31" fillId="0" borderId="43" xfId="7" applyFont="1" applyBorder="1" applyAlignment="1" applyProtection="1">
      <alignment horizontal="center" vertical="top" wrapText="1"/>
      <protection locked="0"/>
    </xf>
    <xf numFmtId="0" fontId="32" fillId="0" borderId="50" xfId="7" applyFont="1" applyBorder="1" applyAlignment="1" applyProtection="1">
      <alignment horizontal="center" vertical="top" wrapText="1"/>
      <protection hidden="1"/>
    </xf>
    <xf numFmtId="9" fontId="31" fillId="0" borderId="50" xfId="7" applyNumberFormat="1" applyFont="1" applyBorder="1" applyAlignment="1" applyProtection="1">
      <alignment horizontal="center" vertical="top" wrapText="1"/>
      <protection locked="0"/>
    </xf>
    <xf numFmtId="0" fontId="32" fillId="0" borderId="50" xfId="7" applyFont="1" applyBorder="1" applyAlignment="1" applyProtection="1">
      <alignment horizontal="center" vertical="top"/>
      <protection hidden="1"/>
    </xf>
    <xf numFmtId="0" fontId="31" fillId="0" borderId="49" xfId="7" applyFont="1" applyBorder="1" applyAlignment="1" applyProtection="1">
      <alignment horizontal="center" vertical="top" wrapText="1"/>
      <protection locked="0"/>
    </xf>
    <xf numFmtId="0" fontId="31" fillId="0" borderId="52" xfId="7" applyFont="1" applyBorder="1" applyAlignment="1" applyProtection="1">
      <alignment horizontal="center" vertical="top" wrapText="1"/>
      <protection locked="0"/>
    </xf>
    <xf numFmtId="0" fontId="30" fillId="9" borderId="49" xfId="7" applyFont="1" applyFill="1" applyBorder="1" applyAlignment="1">
      <alignment horizontal="left" vertical="center" wrapText="1"/>
    </xf>
    <xf numFmtId="0" fontId="35" fillId="0" borderId="59" xfId="7" applyFont="1" applyBorder="1" applyAlignment="1" applyProtection="1">
      <alignment horizontal="left" vertical="top" wrapText="1"/>
      <protection locked="0"/>
    </xf>
    <xf numFmtId="0" fontId="35" fillId="0" borderId="59" xfId="7" applyFont="1" applyBorder="1" applyAlignment="1" applyProtection="1">
      <alignment vertical="top" wrapText="1"/>
      <protection locked="0"/>
    </xf>
    <xf numFmtId="0" fontId="30" fillId="0" borderId="43" xfId="7" applyFont="1" applyBorder="1" applyAlignment="1" applyProtection="1">
      <alignment vertical="top" wrapText="1"/>
      <protection locked="0"/>
    </xf>
    <xf numFmtId="14" fontId="30" fillId="0" borderId="51" xfId="7" quotePrefix="1" applyNumberFormat="1" applyFont="1" applyBorder="1" applyAlignment="1" applyProtection="1">
      <alignment horizontal="center" vertical="top" wrapText="1"/>
      <protection locked="0"/>
    </xf>
    <xf numFmtId="0" fontId="35" fillId="0" borderId="60" xfId="7" applyFont="1" applyBorder="1" applyAlignment="1" applyProtection="1">
      <alignment horizontal="left" vertical="top" wrapText="1"/>
      <protection locked="0"/>
    </xf>
    <xf numFmtId="0" fontId="30" fillId="0" borderId="56" xfId="7" applyFont="1" applyBorder="1" applyAlignment="1" applyProtection="1">
      <alignment vertical="top" wrapText="1"/>
      <protection locked="0"/>
    </xf>
    <xf numFmtId="0" fontId="31" fillId="0" borderId="51" xfId="7" applyFont="1" applyBorder="1" applyAlignment="1" applyProtection="1">
      <alignment horizontal="left" vertical="top" wrapText="1"/>
      <protection locked="0"/>
    </xf>
    <xf numFmtId="0" fontId="35" fillId="0" borderId="49" xfId="7" applyFont="1" applyBorder="1" applyAlignment="1" applyProtection="1">
      <alignment vertical="top" wrapText="1"/>
      <protection locked="0"/>
    </xf>
    <xf numFmtId="0" fontId="30" fillId="0" borderId="53" xfId="7" applyFont="1" applyBorder="1" applyAlignment="1" applyProtection="1">
      <alignment vertical="top"/>
      <protection locked="0"/>
    </xf>
    <xf numFmtId="14" fontId="31" fillId="0" borderId="51" xfId="7" applyNumberFormat="1" applyFont="1" applyBorder="1" applyAlignment="1" applyProtection="1">
      <alignment horizontal="center" vertical="top" wrapText="1"/>
      <protection locked="0"/>
    </xf>
    <xf numFmtId="0" fontId="35" fillId="0" borderId="65" xfId="7" applyFont="1" applyBorder="1" applyAlignment="1" applyProtection="1">
      <alignment horizontal="left" vertical="top" wrapText="1"/>
      <protection locked="0"/>
    </xf>
    <xf numFmtId="0" fontId="30" fillId="0" borderId="46" xfId="7" applyFont="1" applyBorder="1" applyAlignment="1" applyProtection="1">
      <alignment vertical="top" wrapText="1"/>
      <protection locked="0"/>
    </xf>
    <xf numFmtId="0" fontId="30" fillId="0" borderId="52" xfId="7" applyFont="1" applyBorder="1" applyAlignment="1" applyProtection="1">
      <alignment vertical="top"/>
      <protection locked="0"/>
    </xf>
    <xf numFmtId="0" fontId="39" fillId="8" borderId="53" xfId="7" applyFont="1" applyFill="1" applyBorder="1" applyAlignment="1">
      <alignment horizontal="center" vertical="center"/>
    </xf>
    <xf numFmtId="0" fontId="39" fillId="8" borderId="53" xfId="7" applyFont="1" applyFill="1" applyBorder="1" applyAlignment="1">
      <alignment horizontal="center" vertical="center" wrapText="1"/>
    </xf>
    <xf numFmtId="0" fontId="39" fillId="8" borderId="51" xfId="7" applyFont="1" applyFill="1" applyBorder="1" applyAlignment="1">
      <alignment horizontal="center" vertical="center" textRotation="90"/>
    </xf>
    <xf numFmtId="0" fontId="40" fillId="0" borderId="50" xfId="7" applyFont="1" applyBorder="1" applyAlignment="1">
      <alignment horizontal="left" vertical="top"/>
    </xf>
    <xf numFmtId="0" fontId="40" fillId="0" borderId="50" xfId="7" applyFont="1" applyBorder="1" applyAlignment="1" applyProtection="1">
      <alignment horizontal="left" vertical="top" wrapText="1"/>
      <protection locked="0"/>
    </xf>
    <xf numFmtId="0" fontId="41" fillId="0" borderId="50" xfId="7" applyFont="1" applyBorder="1" applyAlignment="1" applyProtection="1">
      <alignment horizontal="left" vertical="top" wrapText="1"/>
      <protection locked="0"/>
    </xf>
    <xf numFmtId="0" fontId="42" fillId="0" borderId="41" xfId="7" applyFont="1" applyBorder="1" applyAlignment="1" applyProtection="1">
      <alignment horizontal="left" vertical="top" wrapText="1"/>
      <protection locked="0"/>
    </xf>
    <xf numFmtId="0" fontId="39" fillId="9" borderId="49" xfId="7" applyFont="1" applyFill="1" applyBorder="1" applyAlignment="1">
      <alignment horizontal="left" vertical="top" wrapText="1"/>
    </xf>
    <xf numFmtId="0" fontId="43" fillId="0" borderId="49" xfId="7" applyFont="1" applyBorder="1" applyAlignment="1" applyProtection="1">
      <alignment horizontal="left" vertical="top" wrapText="1"/>
      <protection locked="0"/>
    </xf>
    <xf numFmtId="0" fontId="46" fillId="0" borderId="49" xfId="7" applyFont="1" applyBorder="1" applyAlignment="1" applyProtection="1">
      <alignment horizontal="left" vertical="top" wrapText="1"/>
      <protection locked="0"/>
    </xf>
    <xf numFmtId="0" fontId="40" fillId="0" borderId="43" xfId="7" applyFont="1" applyBorder="1" applyAlignment="1" applyProtection="1">
      <alignment horizontal="left" vertical="top" wrapText="1"/>
      <protection locked="0"/>
    </xf>
    <xf numFmtId="0" fontId="40" fillId="0" borderId="50" xfId="7" applyFont="1" applyBorder="1" applyAlignment="1" applyProtection="1">
      <alignment horizontal="left" vertical="top"/>
      <protection locked="0"/>
    </xf>
    <xf numFmtId="0" fontId="39" fillId="0" borderId="50" xfId="7" applyFont="1" applyBorder="1" applyAlignment="1" applyProtection="1">
      <alignment horizontal="left" vertical="top" wrapText="1"/>
      <protection hidden="1"/>
    </xf>
    <xf numFmtId="9" fontId="40" fillId="0" borderId="50" xfId="7" applyNumberFormat="1" applyFont="1" applyBorder="1" applyAlignment="1" applyProtection="1">
      <alignment horizontal="left" vertical="top" wrapText="1"/>
      <protection hidden="1"/>
    </xf>
    <xf numFmtId="9" fontId="40" fillId="0" borderId="50" xfId="7" applyNumberFormat="1" applyFont="1" applyBorder="1" applyAlignment="1" applyProtection="1">
      <alignment horizontal="left" vertical="top" wrapText="1"/>
      <protection locked="0"/>
    </xf>
    <xf numFmtId="0" fontId="39" fillId="0" borderId="50" xfId="7" applyFont="1" applyBorder="1" applyAlignment="1" applyProtection="1">
      <alignment horizontal="left" vertical="top"/>
      <protection hidden="1"/>
    </xf>
    <xf numFmtId="0" fontId="40" fillId="0" borderId="51" xfId="7" applyFont="1" applyBorder="1" applyAlignment="1">
      <alignment horizontal="left" vertical="top"/>
    </xf>
    <xf numFmtId="0" fontId="39" fillId="0" borderId="51" xfId="7" applyFont="1" applyBorder="1" applyAlignment="1" applyProtection="1">
      <alignment horizontal="left" vertical="top" wrapText="1"/>
      <protection locked="0"/>
    </xf>
    <xf numFmtId="0" fontId="40" fillId="0" borderId="51" xfId="7" applyFont="1" applyBorder="1" applyAlignment="1" applyProtection="1">
      <alignment horizontal="left" vertical="top"/>
      <protection hidden="1"/>
    </xf>
    <xf numFmtId="0" fontId="40" fillId="0" borderId="51" xfId="7" applyFont="1" applyBorder="1" applyAlignment="1" applyProtection="1">
      <alignment horizontal="left" vertical="top" textRotation="90"/>
      <protection locked="0"/>
    </xf>
    <xf numFmtId="9" fontId="40" fillId="0" borderId="51" xfId="7" applyNumberFormat="1" applyFont="1" applyBorder="1" applyAlignment="1" applyProtection="1">
      <alignment horizontal="left" vertical="top"/>
      <protection hidden="1"/>
    </xf>
    <xf numFmtId="164" fontId="40" fillId="0" borderId="51" xfId="8" applyNumberFormat="1" applyFont="1" applyBorder="1" applyAlignment="1">
      <alignment horizontal="left" vertical="top"/>
    </xf>
    <xf numFmtId="0" fontId="39" fillId="0" borderId="51" xfId="7" applyFont="1" applyBorder="1" applyAlignment="1" applyProtection="1">
      <alignment horizontal="left" vertical="top" textRotation="90" wrapText="1"/>
      <protection hidden="1"/>
    </xf>
    <xf numFmtId="9" fontId="40" fillId="0" borderId="50" xfId="7" applyNumberFormat="1" applyFont="1" applyBorder="1" applyAlignment="1" applyProtection="1">
      <alignment horizontal="left" vertical="top"/>
      <protection hidden="1"/>
    </xf>
    <xf numFmtId="0" fontId="39" fillId="0" borderId="51" xfId="7" applyFont="1" applyBorder="1" applyAlignment="1" applyProtection="1">
      <alignment horizontal="left" vertical="top" textRotation="90"/>
      <protection hidden="1"/>
    </xf>
    <xf numFmtId="0" fontId="40" fillId="0" borderId="50" xfId="7" applyFont="1" applyBorder="1" applyAlignment="1" applyProtection="1">
      <alignment horizontal="left" vertical="top" textRotation="90"/>
      <protection locked="0"/>
    </xf>
    <xf numFmtId="0" fontId="40" fillId="0" borderId="51" xfId="7" applyFont="1" applyBorder="1" applyAlignment="1" applyProtection="1">
      <alignment horizontal="justify" vertical="top" wrapText="1"/>
      <protection locked="0"/>
    </xf>
    <xf numFmtId="0" fontId="40" fillId="0" borderId="51" xfId="7" applyFont="1" applyBorder="1" applyAlignment="1" applyProtection="1">
      <alignment horizontal="left" vertical="top" wrapText="1"/>
      <protection locked="0"/>
    </xf>
    <xf numFmtId="14" fontId="40" fillId="0" borderId="51" xfId="7" applyNumberFormat="1" applyFont="1" applyBorder="1" applyAlignment="1" applyProtection="1">
      <alignment horizontal="left" vertical="top" wrapText="1"/>
      <protection locked="0"/>
    </xf>
    <xf numFmtId="14" fontId="40" fillId="0" borderId="51" xfId="7" applyNumberFormat="1" applyFont="1" applyBorder="1" applyAlignment="1" applyProtection="1">
      <alignment horizontal="left" vertical="top"/>
      <protection locked="0"/>
    </xf>
    <xf numFmtId="0" fontId="40" fillId="0" borderId="47" xfId="7" applyFont="1" applyBorder="1" applyAlignment="1" applyProtection="1">
      <alignment horizontal="left" vertical="top"/>
      <protection locked="0"/>
    </xf>
    <xf numFmtId="0" fontId="49" fillId="0" borderId="50" xfId="7" applyFont="1" applyBorder="1" applyAlignment="1" applyProtection="1">
      <alignment horizontal="left" vertical="top" wrapText="1"/>
      <protection locked="0"/>
    </xf>
    <xf numFmtId="0" fontId="40" fillId="0" borderId="41" xfId="7" applyFont="1" applyBorder="1" applyAlignment="1" applyProtection="1">
      <alignment horizontal="left" vertical="top" wrapText="1"/>
      <protection locked="0"/>
    </xf>
    <xf numFmtId="0" fontId="39" fillId="0" borderId="49" xfId="7" applyFont="1" applyBorder="1" applyAlignment="1" applyProtection="1">
      <alignment horizontal="left" vertical="top" wrapText="1"/>
      <protection locked="0"/>
    </xf>
    <xf numFmtId="0" fontId="39" fillId="0" borderId="51" xfId="7" applyFont="1" applyBorder="1" applyAlignment="1">
      <alignment horizontal="left" vertical="top"/>
    </xf>
    <xf numFmtId="0" fontId="39" fillId="0" borderId="51" xfId="7" applyFont="1" applyBorder="1" applyAlignment="1" applyProtection="1">
      <alignment horizontal="left" vertical="top"/>
      <protection hidden="1"/>
    </xf>
    <xf numFmtId="0" fontId="39" fillId="0" borderId="51" xfId="7" applyFont="1" applyBorder="1" applyAlignment="1" applyProtection="1">
      <alignment horizontal="left" vertical="top" textRotation="90"/>
      <protection locked="0"/>
    </xf>
    <xf numFmtId="9" fontId="39" fillId="0" borderId="51" xfId="7" applyNumberFormat="1" applyFont="1" applyBorder="1" applyAlignment="1" applyProtection="1">
      <alignment horizontal="left" vertical="top"/>
      <protection hidden="1"/>
    </xf>
    <xf numFmtId="0" fontId="39" fillId="9" borderId="51" xfId="7" applyFont="1" applyFill="1" applyBorder="1" applyAlignment="1" applyProtection="1">
      <alignment horizontal="left" vertical="top" textRotation="90"/>
      <protection locked="0"/>
    </xf>
    <xf numFmtId="164" fontId="39" fillId="0" borderId="51" xfId="8" applyNumberFormat="1" applyFont="1" applyBorder="1" applyAlignment="1">
      <alignment horizontal="left" vertical="top"/>
    </xf>
    <xf numFmtId="9" fontId="39" fillId="0" borderId="50" xfId="7" applyNumberFormat="1" applyFont="1" applyBorder="1" applyAlignment="1" applyProtection="1">
      <alignment horizontal="left" vertical="top"/>
      <protection hidden="1"/>
    </xf>
    <xf numFmtId="0" fontId="39" fillId="0" borderId="50" xfId="7" applyFont="1" applyBorder="1" applyAlignment="1" applyProtection="1">
      <alignment horizontal="left" vertical="top" textRotation="90"/>
      <protection locked="0"/>
    </xf>
    <xf numFmtId="0" fontId="35" fillId="0" borderId="59" xfId="7" applyFont="1" applyBorder="1" applyAlignment="1" applyProtection="1">
      <alignment horizontal="center" vertical="top" wrapText="1"/>
      <protection locked="0"/>
    </xf>
    <xf numFmtId="14" fontId="30" fillId="0" borderId="51" xfId="7" applyNumberFormat="1" applyFont="1" applyBorder="1" applyAlignment="1" applyProtection="1">
      <alignment horizontal="center" vertical="top" wrapText="1"/>
      <protection locked="0"/>
    </xf>
    <xf numFmtId="14" fontId="30" fillId="0" borderId="51" xfId="7" applyNumberFormat="1" applyFont="1" applyBorder="1" applyAlignment="1" applyProtection="1">
      <alignment horizontal="center" vertical="top"/>
      <protection locked="0"/>
    </xf>
    <xf numFmtId="0" fontId="30" fillId="0" borderId="51" xfId="7" applyFont="1" applyBorder="1" applyAlignment="1" applyProtection="1">
      <alignment horizontal="left" vertical="top" wrapText="1"/>
      <protection locked="0"/>
    </xf>
    <xf numFmtId="0" fontId="30" fillId="9" borderId="49" xfId="7" applyFont="1" applyFill="1" applyBorder="1" applyAlignment="1">
      <alignment vertical="center" wrapText="1"/>
    </xf>
    <xf numFmtId="0" fontId="35" fillId="0" borderId="60" xfId="7" applyFont="1" applyBorder="1" applyAlignment="1" applyProtection="1">
      <alignment horizontal="center" vertical="top" wrapText="1"/>
      <protection locked="0"/>
    </xf>
    <xf numFmtId="0" fontId="35" fillId="0" borderId="65" xfId="7" applyFont="1" applyBorder="1" applyAlignment="1" applyProtection="1">
      <alignment horizontal="center" vertical="top" wrapText="1"/>
      <protection locked="0"/>
    </xf>
    <xf numFmtId="0" fontId="31" fillId="0" borderId="50" xfId="7" applyFont="1" applyBorder="1" applyAlignment="1" applyProtection="1">
      <alignment horizontal="center" vertical="top" textRotation="90"/>
      <protection locked="0"/>
    </xf>
    <xf numFmtId="0" fontId="35" fillId="0" borderId="49" xfId="7" applyFont="1" applyBorder="1" applyAlignment="1" applyProtection="1">
      <alignment horizontal="center" vertical="top" wrapText="1"/>
      <protection locked="0"/>
    </xf>
    <xf numFmtId="14" fontId="27" fillId="0" borderId="51" xfId="7" applyNumberFormat="1" applyFont="1" applyBorder="1" applyAlignment="1" applyProtection="1">
      <alignment horizontal="justify" vertical="top" wrapText="1"/>
      <protection locked="0"/>
    </xf>
    <xf numFmtId="0" fontId="34" fillId="0" borderId="51" xfId="7" applyFont="1" applyBorder="1" applyAlignment="1" applyProtection="1">
      <alignment horizontal="justify" vertical="top" wrapText="1"/>
      <protection locked="0"/>
    </xf>
    <xf numFmtId="0" fontId="31" fillId="9" borderId="49" xfId="7" applyFont="1" applyFill="1" applyBorder="1" applyAlignment="1">
      <alignment vertical="center" wrapText="1"/>
    </xf>
    <xf numFmtId="164" fontId="31" fillId="0" borderId="50" xfId="8" applyNumberFormat="1" applyFont="1" applyBorder="1" applyAlignment="1">
      <alignment horizontal="center" vertical="top"/>
    </xf>
    <xf numFmtId="0" fontId="37" fillId="0" borderId="50" xfId="7" applyFont="1" applyBorder="1" applyAlignment="1" applyProtection="1">
      <alignment horizontal="center" vertical="top" textRotation="90" wrapText="1"/>
      <protection hidden="1"/>
    </xf>
    <xf numFmtId="0" fontId="37" fillId="0" borderId="50" xfId="7" applyFont="1" applyBorder="1" applyAlignment="1" applyProtection="1">
      <alignment horizontal="center" vertical="top" textRotation="90"/>
      <protection hidden="1"/>
    </xf>
    <xf numFmtId="0" fontId="32" fillId="7" borderId="74" xfId="7" applyFont="1" applyFill="1" applyBorder="1" applyAlignment="1">
      <alignment horizontal="center" vertical="center"/>
    </xf>
    <xf numFmtId="0" fontId="32" fillId="7" borderId="77" xfId="7" applyFont="1" applyFill="1" applyBorder="1" applyAlignment="1">
      <alignment horizontal="center" vertical="center" textRotation="90"/>
    </xf>
    <xf numFmtId="0" fontId="31" fillId="6" borderId="77" xfId="7" applyFont="1" applyFill="1" applyBorder="1" applyAlignment="1">
      <alignment vertical="center" wrapText="1"/>
    </xf>
    <xf numFmtId="0" fontId="31" fillId="0" borderId="77" xfId="7" applyFont="1" applyBorder="1" applyAlignment="1">
      <alignment horizontal="center" vertical="top"/>
    </xf>
    <xf numFmtId="0" fontId="31" fillId="0" borderId="77" xfId="7" applyFont="1" applyBorder="1" applyAlignment="1">
      <alignment horizontal="left" vertical="top" wrapText="1"/>
    </xf>
    <xf numFmtId="0" fontId="30" fillId="0" borderId="77" xfId="7" applyFont="1" applyBorder="1" applyAlignment="1">
      <alignment horizontal="center" vertical="top" textRotation="90"/>
    </xf>
    <xf numFmtId="9" fontId="30" fillId="0" borderId="77" xfId="7" applyNumberFormat="1" applyFont="1" applyBorder="1" applyAlignment="1">
      <alignment horizontal="center" vertical="top"/>
    </xf>
    <xf numFmtId="164" fontId="31" fillId="0" borderId="77" xfId="7" applyNumberFormat="1" applyFont="1" applyBorder="1" applyAlignment="1">
      <alignment horizontal="center" vertical="top"/>
    </xf>
    <xf numFmtId="0" fontId="37" fillId="0" borderId="77" xfId="7" applyFont="1" applyBorder="1" applyAlignment="1">
      <alignment horizontal="center" vertical="top" textRotation="90" wrapText="1"/>
    </xf>
    <xf numFmtId="9" fontId="30" fillId="0" borderId="73" xfId="7" applyNumberFormat="1" applyFont="1" applyBorder="1" applyAlignment="1">
      <alignment horizontal="center" vertical="top"/>
    </xf>
    <xf numFmtId="0" fontId="37" fillId="0" borderId="77" xfId="7" applyFont="1" applyBorder="1" applyAlignment="1">
      <alignment horizontal="center" vertical="top" textRotation="90"/>
    </xf>
    <xf numFmtId="0" fontId="30" fillId="0" borderId="73" xfId="7" applyFont="1" applyBorder="1" applyAlignment="1">
      <alignment horizontal="center" vertical="top" textRotation="90"/>
    </xf>
    <xf numFmtId="0" fontId="30" fillId="0" borderId="77" xfId="7" applyFont="1" applyBorder="1" applyAlignment="1">
      <alignment horizontal="center" vertical="top" wrapText="1"/>
    </xf>
    <xf numFmtId="165" fontId="30" fillId="0" borderId="77" xfId="7" applyNumberFormat="1" applyFont="1" applyBorder="1" applyAlignment="1">
      <alignment horizontal="center" vertical="top"/>
    </xf>
    <xf numFmtId="0" fontId="30" fillId="0" borderId="77" xfId="7" applyFont="1" applyBorder="1" applyAlignment="1">
      <alignment horizontal="center" vertical="top"/>
    </xf>
    <xf numFmtId="0" fontId="27" fillId="0" borderId="77" xfId="7" applyFont="1" applyBorder="1" applyAlignment="1">
      <alignment horizontal="left" vertical="top" wrapText="1"/>
    </xf>
    <xf numFmtId="0" fontId="31" fillId="0" borderId="77" xfId="7" applyFont="1" applyBorder="1" applyAlignment="1">
      <alignment horizontal="left" vertical="top"/>
    </xf>
    <xf numFmtId="0" fontId="31" fillId="0" borderId="77" xfId="7" applyFont="1" applyBorder="1" applyAlignment="1">
      <alignment horizontal="center" vertical="top" wrapText="1"/>
    </xf>
    <xf numFmtId="165" fontId="31" fillId="0" borderId="77" xfId="7" applyNumberFormat="1" applyFont="1" applyBorder="1" applyAlignment="1">
      <alignment horizontal="center" vertical="top"/>
    </xf>
    <xf numFmtId="0" fontId="30" fillId="0" borderId="50" xfId="7" applyFont="1" applyBorder="1" applyAlignment="1" applyProtection="1">
      <alignment horizontal="center" vertical="center" wrapText="1"/>
      <protection locked="0"/>
    </xf>
    <xf numFmtId="0" fontId="30" fillId="0" borderId="47" xfId="7" applyFont="1" applyBorder="1" applyAlignment="1" applyProtection="1">
      <alignment horizontal="center" vertical="top"/>
      <protection locked="0"/>
    </xf>
    <xf numFmtId="0" fontId="31" fillId="0" borderId="47" xfId="7" applyFont="1" applyBorder="1" applyAlignment="1" applyProtection="1">
      <alignment horizontal="center" vertical="top"/>
      <protection locked="0"/>
    </xf>
    <xf numFmtId="0" fontId="27" fillId="9" borderId="51" xfId="7" applyFont="1" applyFill="1" applyBorder="1" applyAlignment="1" applyProtection="1">
      <alignment horizontal="justify" vertical="top" wrapText="1"/>
      <protection locked="0"/>
    </xf>
    <xf numFmtId="0" fontId="31" fillId="0" borderId="37" xfId="7" applyFont="1"/>
    <xf numFmtId="0" fontId="31" fillId="7" borderId="77" xfId="7" applyFont="1" applyFill="1" applyBorder="1" applyAlignment="1">
      <alignment horizontal="center" vertical="center" textRotation="90" wrapText="1"/>
    </xf>
    <xf numFmtId="0" fontId="31" fillId="0" borderId="73" xfId="7" applyFont="1" applyBorder="1" applyAlignment="1">
      <alignment horizontal="center" vertical="center" wrapText="1"/>
    </xf>
    <xf numFmtId="0" fontId="31" fillId="0" borderId="77" xfId="7" applyFont="1" applyBorder="1" applyAlignment="1">
      <alignment horizontal="center" vertical="center" wrapText="1"/>
    </xf>
    <xf numFmtId="0" fontId="31" fillId="0" borderId="77" xfId="7" applyFont="1" applyBorder="1" applyAlignment="1">
      <alignment horizontal="center" vertical="center" textRotation="90" wrapText="1"/>
    </xf>
    <xf numFmtId="9" fontId="31" fillId="0" borderId="77" xfId="7" applyNumberFormat="1" applyFont="1" applyBorder="1" applyAlignment="1">
      <alignment horizontal="center" vertical="center" wrapText="1"/>
    </xf>
    <xf numFmtId="164" fontId="31" fillId="0" borderId="77" xfId="7" applyNumberFormat="1" applyFont="1" applyBorder="1" applyAlignment="1">
      <alignment horizontal="center" vertical="center" wrapText="1"/>
    </xf>
    <xf numFmtId="0" fontId="31" fillId="6" borderId="77" xfId="7" applyFont="1" applyFill="1" applyBorder="1" applyAlignment="1">
      <alignment horizontal="center" vertical="center" wrapText="1"/>
    </xf>
    <xf numFmtId="165" fontId="31" fillId="0" borderId="77" xfId="7" applyNumberFormat="1" applyFont="1" applyBorder="1" applyAlignment="1">
      <alignment horizontal="center" vertical="center" wrapText="1"/>
    </xf>
    <xf numFmtId="0" fontId="30" fillId="0" borderId="77" xfId="7" applyFont="1" applyBorder="1" applyAlignment="1">
      <alignment horizontal="left" vertical="top" wrapText="1"/>
    </xf>
    <xf numFmtId="0" fontId="32" fillId="8" borderId="47" xfId="7" applyFont="1" applyFill="1" applyBorder="1" applyAlignment="1">
      <alignment vertical="center"/>
    </xf>
    <xf numFmtId="0" fontId="32" fillId="8" borderId="48" xfId="7" applyFont="1" applyFill="1" applyBorder="1" applyAlignment="1">
      <alignment vertical="center"/>
    </xf>
    <xf numFmtId="0" fontId="32" fillId="8" borderId="45" xfId="7" applyFont="1" applyFill="1" applyBorder="1" applyAlignment="1">
      <alignment vertical="center"/>
    </xf>
    <xf numFmtId="0" fontId="32" fillId="8" borderId="46" xfId="7" applyFont="1" applyFill="1" applyBorder="1" applyAlignment="1">
      <alignment vertical="center"/>
    </xf>
    <xf numFmtId="0" fontId="32" fillId="8" borderId="44" xfId="7" applyFont="1" applyFill="1" applyBorder="1" applyAlignment="1">
      <alignment vertical="center"/>
    </xf>
    <xf numFmtId="0" fontId="30" fillId="0" borderId="51" xfId="7" applyFont="1" applyBorder="1" applyAlignment="1" applyProtection="1">
      <alignment horizontal="center" vertical="center" wrapText="1"/>
      <protection locked="0"/>
    </xf>
    <xf numFmtId="14" fontId="30" fillId="0" borderId="51" xfId="7" applyNumberFormat="1" applyFont="1" applyBorder="1" applyAlignment="1" applyProtection="1">
      <alignment horizontal="center" vertical="center"/>
      <protection locked="0"/>
    </xf>
    <xf numFmtId="0" fontId="30" fillId="0" borderId="47" xfId="7" applyFont="1" applyBorder="1" applyAlignment="1" applyProtection="1">
      <alignment horizontal="center" vertical="center"/>
      <protection locked="0"/>
    </xf>
    <xf numFmtId="14" fontId="30" fillId="0" borderId="50" xfId="7" applyNumberFormat="1" applyFont="1" applyBorder="1" applyAlignment="1" applyProtection="1">
      <alignment horizontal="center" vertical="center"/>
      <protection locked="0"/>
    </xf>
    <xf numFmtId="0" fontId="30" fillId="0" borderId="41" xfId="7" applyFont="1" applyBorder="1" applyAlignment="1" applyProtection="1">
      <alignment horizontal="center" vertical="center"/>
      <protection locked="0"/>
    </xf>
    <xf numFmtId="0" fontId="30" fillId="0" borderId="49" xfId="7" applyFont="1" applyBorder="1" applyAlignment="1" applyProtection="1">
      <alignment horizontal="left" vertical="top" wrapText="1"/>
      <protection locked="0"/>
    </xf>
    <xf numFmtId="0" fontId="30" fillId="0" borderId="51" xfId="7" applyFont="1" applyBorder="1" applyAlignment="1" applyProtection="1">
      <alignment horizontal="justify" vertical="top"/>
      <protection locked="0"/>
    </xf>
    <xf numFmtId="0" fontId="31" fillId="0" borderId="51" xfId="7" applyFont="1" applyBorder="1" applyAlignment="1" applyProtection="1">
      <alignment horizontal="center" vertical="center" wrapText="1"/>
      <protection locked="0"/>
    </xf>
    <xf numFmtId="14" fontId="31" fillId="0" borderId="51" xfId="7" applyNumberFormat="1" applyFont="1" applyBorder="1" applyAlignment="1" applyProtection="1">
      <alignment horizontal="center" vertical="center"/>
      <protection locked="0"/>
    </xf>
    <xf numFmtId="0" fontId="31" fillId="0" borderId="47" xfId="7" applyFont="1" applyBorder="1" applyAlignment="1" applyProtection="1">
      <alignment horizontal="center" vertical="center"/>
      <protection locked="0"/>
    </xf>
    <xf numFmtId="0" fontId="37" fillId="0" borderId="51" xfId="7" applyFont="1" applyBorder="1" applyAlignment="1" applyProtection="1">
      <alignment horizontal="center" vertical="center" textRotation="90" wrapText="1"/>
      <protection hidden="1"/>
    </xf>
    <xf numFmtId="0" fontId="37" fillId="0" borderId="51" xfId="7" applyFont="1" applyBorder="1" applyAlignment="1" applyProtection="1">
      <alignment horizontal="center" vertical="center" textRotation="90"/>
      <protection hidden="1"/>
    </xf>
    <xf numFmtId="0" fontId="31" fillId="0" borderId="50" xfId="7" applyFont="1" applyBorder="1" applyAlignment="1" applyProtection="1">
      <alignment horizontal="center" vertical="center"/>
      <protection locked="0"/>
    </xf>
    <xf numFmtId="0" fontId="27" fillId="0" borderId="50" xfId="7" applyFont="1" applyBorder="1" applyAlignment="1" applyProtection="1">
      <alignment vertical="center" wrapText="1"/>
      <protection locked="0"/>
    </xf>
    <xf numFmtId="0" fontId="31" fillId="0" borderId="38" xfId="7" applyFont="1" applyBorder="1" applyAlignment="1" applyProtection="1">
      <alignment horizontal="center" vertical="center" wrapText="1"/>
      <protection locked="0"/>
    </xf>
    <xf numFmtId="0" fontId="31" fillId="0" borderId="51" xfId="7" applyFont="1" applyBorder="1" applyAlignment="1" applyProtection="1">
      <alignment horizontal="center" vertical="center"/>
      <protection locked="0"/>
    </xf>
    <xf numFmtId="0" fontId="31" fillId="0" borderId="38" xfId="7" applyFont="1" applyBorder="1" applyAlignment="1" applyProtection="1">
      <alignment horizontal="center" vertical="center"/>
      <protection locked="0"/>
    </xf>
    <xf numFmtId="0" fontId="31" fillId="0" borderId="50" xfId="7" applyFont="1" applyBorder="1" applyAlignment="1" applyProtection="1">
      <alignment horizontal="left" vertical="center" wrapText="1"/>
      <protection locked="0"/>
    </xf>
    <xf numFmtId="0" fontId="34" fillId="0" borderId="50" xfId="7" applyFont="1" applyBorder="1" applyAlignment="1" applyProtection="1">
      <alignment horizontal="center" vertical="top" wrapText="1"/>
      <protection locked="0"/>
    </xf>
    <xf numFmtId="0" fontId="32" fillId="0" borderId="51" xfId="7" applyFont="1" applyBorder="1" applyAlignment="1" applyProtection="1">
      <alignment horizontal="center" vertical="top" textRotation="90" wrapText="1"/>
      <protection hidden="1"/>
    </xf>
    <xf numFmtId="9" fontId="31" fillId="0" borderId="50" xfId="7" applyNumberFormat="1" applyFont="1" applyBorder="1" applyAlignment="1" applyProtection="1">
      <alignment horizontal="center" vertical="top"/>
      <protection hidden="1"/>
    </xf>
    <xf numFmtId="0" fontId="32" fillId="0" borderId="51" xfId="7" applyFont="1" applyBorder="1" applyAlignment="1" applyProtection="1">
      <alignment horizontal="center" vertical="top" textRotation="90"/>
      <protection hidden="1"/>
    </xf>
    <xf numFmtId="0" fontId="34" fillId="0" borderId="53" xfId="7" applyFont="1" applyBorder="1" applyAlignment="1" applyProtection="1">
      <alignment horizontal="center" vertical="top" wrapText="1"/>
      <protection locked="0"/>
    </xf>
    <xf numFmtId="0" fontId="32" fillId="8" borderId="37" xfId="7" applyFont="1" applyFill="1" applyAlignment="1">
      <alignment horizontal="center" vertical="center"/>
    </xf>
    <xf numFmtId="0" fontId="30" fillId="0" borderId="38" xfId="7" applyFont="1" applyBorder="1" applyAlignment="1" applyProtection="1">
      <alignment horizontal="center" vertical="center" wrapText="1"/>
      <protection locked="0"/>
    </xf>
    <xf numFmtId="0" fontId="31" fillId="9" borderId="37" xfId="7" applyFont="1" applyFill="1" applyAlignment="1">
      <alignment vertical="center"/>
    </xf>
    <xf numFmtId="0" fontId="31" fillId="9" borderId="37" xfId="7" applyFont="1" applyFill="1" applyAlignment="1">
      <alignment horizontal="center"/>
    </xf>
    <xf numFmtId="0" fontId="34" fillId="0" borderId="59" xfId="7" applyFont="1" applyBorder="1" applyAlignment="1" applyProtection="1">
      <alignment horizontal="center" vertical="top" wrapText="1"/>
      <protection locked="0"/>
    </xf>
    <xf numFmtId="0" fontId="30" fillId="9" borderId="37" xfId="7" applyFont="1" applyFill="1" applyAlignment="1" applyProtection="1">
      <alignment horizontal="left" vertical="center"/>
      <protection locked="0"/>
    </xf>
    <xf numFmtId="0" fontId="30" fillId="9" borderId="37" xfId="7" applyFont="1" applyFill="1" applyAlignment="1" applyProtection="1">
      <alignment horizontal="left" vertical="center" wrapText="1"/>
      <protection locked="0"/>
    </xf>
    <xf numFmtId="0" fontId="31" fillId="0" borderId="37" xfId="7" applyFont="1" applyAlignment="1" applyProtection="1">
      <alignment horizontal="center" vertical="top"/>
      <protection locked="0"/>
    </xf>
    <xf numFmtId="0" fontId="32" fillId="9" borderId="37" xfId="7" applyFont="1" applyFill="1" applyAlignment="1">
      <alignment horizontal="center" vertical="center"/>
    </xf>
    <xf numFmtId="0" fontId="31" fillId="0" borderId="37" xfId="7" applyFont="1" applyAlignment="1">
      <alignment vertical="center"/>
    </xf>
    <xf numFmtId="0" fontId="30" fillId="0" borderId="51" xfId="7" applyFont="1" applyBorder="1" applyAlignment="1" applyProtection="1">
      <alignment horizontal="center" vertical="center"/>
      <protection locked="0"/>
    </xf>
    <xf numFmtId="0" fontId="32" fillId="0" borderId="49" xfId="7" applyFont="1" applyBorder="1" applyAlignment="1">
      <alignment vertical="center" wrapText="1"/>
    </xf>
    <xf numFmtId="14" fontId="31" fillId="0" borderId="50" xfId="7" applyNumberFormat="1" applyFont="1" applyBorder="1" applyAlignment="1" applyProtection="1">
      <alignment horizontal="center" vertical="top" wrapText="1"/>
      <protection locked="0"/>
    </xf>
    <xf numFmtId="14" fontId="31" fillId="0" borderId="52" xfId="7" applyNumberFormat="1" applyFont="1" applyBorder="1" applyAlignment="1" applyProtection="1">
      <alignment vertical="top"/>
      <protection locked="0"/>
    </xf>
    <xf numFmtId="0" fontId="66" fillId="9" borderId="50" xfId="7" applyFont="1" applyFill="1" applyBorder="1" applyAlignment="1" applyProtection="1">
      <alignment horizontal="center" vertical="top" wrapText="1"/>
      <protection locked="0"/>
    </xf>
    <xf numFmtId="0" fontId="67" fillId="9" borderId="51" xfId="7" applyFont="1" applyFill="1" applyBorder="1" applyAlignment="1" applyProtection="1">
      <alignment horizontal="center" vertical="top" wrapText="1"/>
      <protection locked="0"/>
    </xf>
    <xf numFmtId="0" fontId="34" fillId="0" borderId="52" xfId="7" applyFont="1" applyBorder="1" applyAlignment="1" applyProtection="1">
      <alignment horizontal="center" vertical="top" wrapText="1"/>
      <protection locked="0"/>
    </xf>
    <xf numFmtId="0" fontId="27" fillId="0" borderId="37" xfId="7" applyFont="1" applyAlignment="1">
      <alignment horizontal="center" vertical="center"/>
    </xf>
    <xf numFmtId="0" fontId="27" fillId="0" borderId="37" xfId="7" applyFont="1" applyAlignment="1">
      <alignment horizontal="center"/>
    </xf>
    <xf numFmtId="0" fontId="28" fillId="0" borderId="37" xfId="7" applyFont="1" applyAlignment="1" applyProtection="1">
      <alignment horizontal="center" vertical="center" wrapText="1"/>
      <protection locked="0"/>
    </xf>
    <xf numFmtId="0" fontId="31" fillId="9" borderId="37" xfId="7" applyFont="1" applyFill="1" applyAlignment="1">
      <alignment horizontal="center" vertical="center"/>
    </xf>
    <xf numFmtId="0" fontId="31" fillId="9" borderId="37" xfId="7" applyFont="1" applyFill="1" applyAlignment="1">
      <alignment horizontal="left" vertical="center"/>
    </xf>
    <xf numFmtId="0" fontId="26" fillId="16" borderId="37" xfId="7" applyFont="1" applyFill="1" applyAlignment="1">
      <alignment horizontal="center" vertical="center"/>
    </xf>
    <xf numFmtId="0" fontId="59" fillId="13" borderId="37" xfId="10" applyFont="1" applyFill="1"/>
    <xf numFmtId="0" fontId="59" fillId="13" borderId="37" xfId="10" applyFont="1" applyFill="1" applyAlignment="1">
      <alignment horizontal="center" vertical="center"/>
    </xf>
    <xf numFmtId="0" fontId="59" fillId="13" borderId="37" xfId="10" applyFont="1" applyFill="1" applyAlignment="1">
      <alignment horizontal="left" vertical="center"/>
    </xf>
    <xf numFmtId="0" fontId="59" fillId="13" borderId="37" xfId="10" applyFont="1" applyFill="1" applyAlignment="1">
      <alignment horizontal="center"/>
    </xf>
    <xf numFmtId="0" fontId="60" fillId="12" borderId="88" xfId="10" applyFont="1" applyFill="1" applyBorder="1" applyAlignment="1">
      <alignment horizontal="center" vertical="center"/>
    </xf>
    <xf numFmtId="0" fontId="60" fillId="12" borderId="85" xfId="10" applyFont="1" applyFill="1" applyBorder="1" applyAlignment="1">
      <alignment horizontal="center" vertical="center" textRotation="90"/>
    </xf>
    <xf numFmtId="0" fontId="59" fillId="13" borderId="85" xfId="10" applyFont="1" applyFill="1" applyBorder="1" applyAlignment="1">
      <alignment vertical="center" wrapText="1"/>
    </xf>
    <xf numFmtId="0" fontId="59" fillId="0" borderId="85" xfId="10" applyFont="1" applyBorder="1" applyAlignment="1">
      <alignment horizontal="center" vertical="top"/>
    </xf>
    <xf numFmtId="0" fontId="59" fillId="0" borderId="85" xfId="10" applyFont="1" applyBorder="1" applyAlignment="1" applyProtection="1">
      <alignment horizontal="center" vertical="center"/>
      <protection hidden="1"/>
    </xf>
    <xf numFmtId="0" fontId="58" fillId="0" borderId="85" xfId="10" applyFont="1" applyBorder="1" applyAlignment="1" applyProtection="1">
      <alignment horizontal="center" vertical="center" textRotation="90"/>
      <protection locked="0"/>
    </xf>
    <xf numFmtId="9" fontId="58" fillId="0" borderId="85" xfId="10" applyNumberFormat="1" applyFont="1" applyBorder="1" applyAlignment="1" applyProtection="1">
      <alignment horizontal="center" vertical="center"/>
      <protection hidden="1"/>
    </xf>
    <xf numFmtId="164" fontId="59" fillId="0" borderId="85" xfId="11" applyNumberFormat="1" applyFont="1" applyBorder="1" applyAlignment="1" applyProtection="1">
      <alignment horizontal="center" vertical="top"/>
    </xf>
    <xf numFmtId="0" fontId="63" fillId="0" borderId="85" xfId="10" applyFont="1" applyBorder="1" applyAlignment="1" applyProtection="1">
      <alignment horizontal="center" vertical="top" textRotation="90" wrapText="1"/>
      <protection hidden="1"/>
    </xf>
    <xf numFmtId="9" fontId="58" fillId="0" borderId="87" xfId="10" applyNumberFormat="1" applyFont="1" applyBorder="1" applyAlignment="1" applyProtection="1">
      <alignment horizontal="center" vertical="top"/>
      <protection hidden="1"/>
    </xf>
    <xf numFmtId="0" fontId="63" fillId="0" borderId="85" xfId="10" applyFont="1" applyBorder="1" applyAlignment="1" applyProtection="1">
      <alignment horizontal="center" vertical="top" textRotation="90"/>
      <protection hidden="1"/>
    </xf>
    <xf numFmtId="0" fontId="59" fillId="0" borderId="85" xfId="10" applyFont="1" applyBorder="1" applyAlignment="1" applyProtection="1">
      <alignment horizontal="center" vertical="center" wrapText="1"/>
      <protection locked="0"/>
    </xf>
    <xf numFmtId="0" fontId="58" fillId="13" borderId="85" xfId="10" applyFont="1" applyFill="1" applyBorder="1" applyAlignment="1" applyProtection="1">
      <alignment horizontal="center" vertical="top" wrapText="1"/>
      <protection locked="0"/>
    </xf>
    <xf numFmtId="0" fontId="59" fillId="0" borderId="85" xfId="10" applyFont="1" applyBorder="1" applyAlignment="1" applyProtection="1">
      <alignment horizontal="justify" vertical="top"/>
      <protection locked="0"/>
    </xf>
    <xf numFmtId="0" fontId="59" fillId="0" borderId="85" xfId="10" applyFont="1" applyBorder="1" applyAlignment="1" applyProtection="1">
      <alignment horizontal="center" vertical="top"/>
      <protection hidden="1"/>
    </xf>
    <xf numFmtId="0" fontId="58" fillId="0" borderId="85" xfId="10" applyFont="1" applyBorder="1" applyAlignment="1" applyProtection="1">
      <alignment horizontal="center" vertical="top" textRotation="90"/>
      <protection locked="0"/>
    </xf>
    <xf numFmtId="9" fontId="58" fillId="0" borderId="85" xfId="10" applyNumberFormat="1" applyFont="1" applyBorder="1" applyAlignment="1" applyProtection="1">
      <alignment horizontal="center" vertical="top"/>
      <protection hidden="1"/>
    </xf>
    <xf numFmtId="0" fontId="58" fillId="0" borderId="87" xfId="10" applyFont="1" applyBorder="1" applyAlignment="1" applyProtection="1">
      <alignment horizontal="center" vertical="top" textRotation="90"/>
      <protection locked="0"/>
    </xf>
    <xf numFmtId="0" fontId="59" fillId="0" borderId="85" xfId="10" applyFont="1" applyBorder="1" applyAlignment="1" applyProtection="1">
      <alignment horizontal="center" vertical="top" wrapText="1"/>
      <protection locked="0"/>
    </xf>
    <xf numFmtId="0" fontId="59" fillId="0" borderId="85" xfId="10" applyFont="1" applyBorder="1" applyAlignment="1" applyProtection="1">
      <alignment horizontal="center" vertical="top"/>
      <protection locked="0"/>
    </xf>
    <xf numFmtId="14" fontId="59" fillId="0" borderId="85" xfId="10" applyNumberFormat="1" applyFont="1" applyBorder="1" applyAlignment="1" applyProtection="1">
      <alignment horizontal="center" vertical="top"/>
      <protection locked="0"/>
    </xf>
    <xf numFmtId="0" fontId="64" fillId="0" borderId="85" xfId="10" applyFont="1" applyBorder="1" applyAlignment="1" applyProtection="1">
      <alignment horizontal="justify" vertical="top" wrapText="1"/>
      <protection locked="0"/>
    </xf>
    <xf numFmtId="0" fontId="34" fillId="0" borderId="85" xfId="10" applyFont="1" applyBorder="1" applyAlignment="1" applyProtection="1">
      <alignment horizontal="justify" vertical="center" wrapText="1"/>
      <protection locked="0"/>
    </xf>
    <xf numFmtId="164" fontId="59" fillId="0" borderId="85" xfId="11" applyNumberFormat="1" applyFont="1" applyBorder="1" applyAlignment="1" applyProtection="1">
      <alignment horizontal="center" vertical="center"/>
    </xf>
    <xf numFmtId="0" fontId="63" fillId="0" borderId="85" xfId="10" applyFont="1" applyBorder="1" applyAlignment="1" applyProtection="1">
      <alignment horizontal="center" vertical="center" textRotation="90" wrapText="1"/>
      <protection hidden="1"/>
    </xf>
    <xf numFmtId="9" fontId="58" fillId="0" borderId="87" xfId="10" applyNumberFormat="1" applyFont="1" applyBorder="1" applyAlignment="1" applyProtection="1">
      <alignment horizontal="center" vertical="center"/>
      <protection hidden="1"/>
    </xf>
    <xf numFmtId="0" fontId="63" fillId="0" borderId="85" xfId="10" applyFont="1" applyBorder="1" applyAlignment="1" applyProtection="1">
      <alignment horizontal="center" vertical="center" textRotation="90"/>
      <protection hidden="1"/>
    </xf>
    <xf numFmtId="0" fontId="34" fillId="0" borderId="85" xfId="10" applyFont="1" applyBorder="1" applyAlignment="1" applyProtection="1">
      <alignment horizontal="left" vertical="center" wrapText="1"/>
      <protection locked="0"/>
    </xf>
    <xf numFmtId="14" fontId="59" fillId="0" borderId="86" xfId="10" applyNumberFormat="1" applyFont="1" applyBorder="1" applyAlignment="1" applyProtection="1">
      <alignment vertical="center" wrapText="1"/>
      <protection locked="0"/>
    </xf>
    <xf numFmtId="0" fontId="28" fillId="0" borderId="85" xfId="10" applyFont="1" applyBorder="1" applyAlignment="1" applyProtection="1">
      <alignment horizontal="justify" vertical="top" wrapText="1"/>
      <protection locked="0"/>
    </xf>
    <xf numFmtId="0" fontId="78" fillId="9" borderId="85" xfId="10" applyFont="1" applyFill="1" applyBorder="1" applyAlignment="1" applyProtection="1">
      <alignment horizontal="justify" vertical="top" wrapText="1"/>
      <protection locked="0"/>
    </xf>
    <xf numFmtId="0" fontId="32" fillId="8" borderId="53" xfId="0" applyFont="1" applyFill="1" applyBorder="1" applyAlignment="1">
      <alignment horizontal="center" vertical="center"/>
    </xf>
    <xf numFmtId="0" fontId="32" fillId="8" borderId="51" xfId="0" applyFont="1" applyFill="1" applyBorder="1" applyAlignment="1">
      <alignment horizontal="center" vertical="center" textRotation="90"/>
    </xf>
    <xf numFmtId="0" fontId="31" fillId="9" borderId="49" xfId="0" applyFont="1" applyFill="1" applyBorder="1" applyAlignment="1">
      <alignment vertical="center" wrapText="1"/>
    </xf>
    <xf numFmtId="0" fontId="31" fillId="0" borderId="51" xfId="0" applyFont="1" applyBorder="1" applyAlignment="1">
      <alignment horizontal="center" vertical="top"/>
    </xf>
    <xf numFmtId="0" fontId="31" fillId="0" borderId="51" xfId="0" applyFont="1" applyBorder="1" applyAlignment="1" applyProtection="1">
      <alignment horizontal="justify" vertical="top" wrapText="1"/>
      <protection locked="0"/>
    </xf>
    <xf numFmtId="0" fontId="31" fillId="0" borderId="51" xfId="0" applyFont="1" applyBorder="1" applyAlignment="1" applyProtection="1">
      <alignment horizontal="center" vertical="top"/>
      <protection hidden="1"/>
    </xf>
    <xf numFmtId="0" fontId="30" fillId="0" borderId="51" xfId="0" applyFont="1" applyBorder="1" applyAlignment="1" applyProtection="1">
      <alignment horizontal="center" vertical="top" textRotation="90"/>
      <protection locked="0"/>
    </xf>
    <xf numFmtId="9" fontId="30" fillId="0" borderId="51" xfId="0" applyNumberFormat="1" applyFont="1" applyBorder="1" applyAlignment="1" applyProtection="1">
      <alignment horizontal="center" vertical="top"/>
      <protection hidden="1"/>
    </xf>
    <xf numFmtId="0" fontId="37" fillId="0" borderId="51" xfId="0" applyFont="1" applyBorder="1" applyAlignment="1" applyProtection="1">
      <alignment horizontal="center" vertical="top" textRotation="90" wrapText="1"/>
      <protection hidden="1"/>
    </xf>
    <xf numFmtId="9" fontId="30" fillId="0" borderId="50" xfId="0" applyNumberFormat="1" applyFont="1" applyBorder="1" applyAlignment="1" applyProtection="1">
      <alignment horizontal="center" vertical="top"/>
      <protection hidden="1"/>
    </xf>
    <xf numFmtId="0" fontId="37" fillId="0" borderId="51" xfId="0" applyFont="1" applyBorder="1" applyAlignment="1" applyProtection="1">
      <alignment horizontal="center" vertical="top" textRotation="90"/>
      <protection hidden="1"/>
    </xf>
    <xf numFmtId="0" fontId="30" fillId="0" borderId="50" xfId="0" applyFont="1" applyBorder="1" applyAlignment="1" applyProtection="1">
      <alignment horizontal="center" vertical="top" textRotation="90"/>
      <protection locked="0"/>
    </xf>
    <xf numFmtId="0" fontId="30" fillId="0" borderId="51" xfId="0" applyFont="1" applyBorder="1" applyAlignment="1" applyProtection="1">
      <alignment horizontal="center" vertical="top" wrapText="1"/>
      <protection locked="0"/>
    </xf>
    <xf numFmtId="14" fontId="30" fillId="0" borderId="51" xfId="0" applyNumberFormat="1" applyFont="1" applyBorder="1" applyAlignment="1" applyProtection="1">
      <alignment horizontal="center" vertical="top"/>
      <protection locked="0"/>
    </xf>
    <xf numFmtId="0" fontId="30" fillId="0" borderId="51" xfId="0" applyFont="1" applyBorder="1" applyAlignment="1" applyProtection="1">
      <alignment horizontal="center" vertical="top"/>
      <protection locked="0"/>
    </xf>
    <xf numFmtId="0" fontId="30" fillId="0" borderId="50" xfId="0" applyFont="1" applyBorder="1" applyAlignment="1" applyProtection="1">
      <alignment horizontal="center" vertical="center" textRotation="90"/>
      <protection locked="0"/>
    </xf>
    <xf numFmtId="0" fontId="31" fillId="0" borderId="51" xfId="0" applyFont="1" applyBorder="1" applyAlignment="1" applyProtection="1">
      <alignment horizontal="center" vertical="top" wrapText="1"/>
      <protection locked="0"/>
    </xf>
    <xf numFmtId="0" fontId="31" fillId="0" borderId="51" xfId="0" applyFont="1" applyBorder="1" applyAlignment="1" applyProtection="1">
      <alignment horizontal="center" vertical="top"/>
      <protection locked="0"/>
    </xf>
    <xf numFmtId="0" fontId="30" fillId="0" borderId="49" xfId="0" applyFont="1" applyBorder="1" applyAlignment="1" applyProtection="1">
      <alignment horizontal="center" vertical="top" wrapText="1"/>
      <protection locked="0"/>
    </xf>
    <xf numFmtId="0" fontId="31" fillId="0" borderId="51" xfId="0" applyFont="1" applyBorder="1" applyAlignment="1" applyProtection="1">
      <alignment horizontal="justify" vertical="top"/>
      <protection locked="0"/>
    </xf>
    <xf numFmtId="0" fontId="31" fillId="0" borderId="51" xfId="0" applyFont="1" applyBorder="1" applyAlignment="1" applyProtection="1">
      <alignment horizontal="center" vertical="center" wrapText="1"/>
      <protection locked="0"/>
    </xf>
    <xf numFmtId="14" fontId="30" fillId="0" borderId="51" xfId="0" applyNumberFormat="1" applyFont="1" applyBorder="1" applyAlignment="1" applyProtection="1">
      <alignment horizontal="center" vertical="center"/>
      <protection locked="0"/>
    </xf>
    <xf numFmtId="0" fontId="27" fillId="0" borderId="51" xfId="0" applyFont="1" applyBorder="1" applyAlignment="1" applyProtection="1">
      <alignment horizontal="justify" vertical="top" wrapText="1"/>
      <protection locked="0"/>
    </xf>
    <xf numFmtId="14" fontId="31" fillId="0" borderId="51" xfId="0" applyNumberFormat="1" applyFont="1" applyBorder="1" applyAlignment="1" applyProtection="1">
      <alignment horizontal="center" vertical="top"/>
      <protection locked="0"/>
    </xf>
    <xf numFmtId="0" fontId="31" fillId="0" borderId="49" xfId="0" applyFont="1" applyBorder="1" applyAlignment="1" applyProtection="1">
      <alignment horizontal="center" vertical="top" wrapText="1"/>
      <protection locked="0"/>
    </xf>
    <xf numFmtId="0" fontId="34" fillId="0" borderId="49" xfId="0" applyFont="1" applyBorder="1" applyAlignment="1" applyProtection="1">
      <alignment horizontal="center" vertical="top" wrapText="1"/>
      <protection locked="0"/>
    </xf>
    <xf numFmtId="0" fontId="31" fillId="0" borderId="77" xfId="0" applyFont="1" applyBorder="1" applyAlignment="1">
      <alignment horizontal="center" vertical="top" wrapText="1"/>
    </xf>
    <xf numFmtId="0" fontId="43" fillId="0" borderId="59" xfId="7" applyFont="1" applyBorder="1" applyAlignment="1" applyProtection="1">
      <alignment horizontal="left" vertical="top" wrapText="1"/>
      <protection locked="0"/>
    </xf>
    <xf numFmtId="0" fontId="43" fillId="0" borderId="60" xfId="7" applyFont="1" applyBorder="1" applyAlignment="1" applyProtection="1">
      <alignment horizontal="left" vertical="top" wrapText="1"/>
      <protection locked="0"/>
    </xf>
    <xf numFmtId="0" fontId="43" fillId="0" borderId="65" xfId="7" applyFont="1" applyBorder="1" applyAlignment="1" applyProtection="1">
      <alignment horizontal="left" vertical="top" wrapText="1"/>
      <protection locked="0"/>
    </xf>
    <xf numFmtId="0" fontId="27" fillId="16" borderId="37" xfId="7" applyFont="1" applyFill="1"/>
    <xf numFmtId="0" fontId="31" fillId="6" borderId="37" xfId="0" applyFont="1" applyFill="1" applyBorder="1"/>
    <xf numFmtId="0" fontId="76" fillId="0" borderId="85" xfId="10" applyFont="1" applyBorder="1" applyAlignment="1" applyProtection="1">
      <alignment horizontal="justify" vertical="center"/>
      <protection locked="0"/>
    </xf>
    <xf numFmtId="0" fontId="28" fillId="0" borderId="85" xfId="10" applyFont="1" applyBorder="1" applyAlignment="1" applyProtection="1">
      <alignment horizontal="justify" vertical="center"/>
      <protection locked="0"/>
    </xf>
    <xf numFmtId="0" fontId="31" fillId="0" borderId="37" xfId="7" applyFont="1" applyAlignment="1">
      <alignment horizontal="center" vertical="center" wrapText="1"/>
    </xf>
    <xf numFmtId="0" fontId="4" fillId="0" borderId="37" xfId="7"/>
    <xf numFmtId="0" fontId="31" fillId="0" borderId="74" xfId="7" applyFont="1" applyBorder="1" applyAlignment="1">
      <alignment horizontal="center" vertical="center" wrapText="1"/>
    </xf>
    <xf numFmtId="0" fontId="31" fillId="0" borderId="67" xfId="7" applyFont="1" applyBorder="1" applyAlignment="1">
      <alignment horizontal="center" vertical="center" wrapText="1"/>
    </xf>
    <xf numFmtId="0" fontId="31" fillId="0" borderId="76" xfId="7" applyFont="1" applyBorder="1" applyAlignment="1">
      <alignment horizontal="center" vertical="center" wrapText="1"/>
    </xf>
    <xf numFmtId="165" fontId="31" fillId="0" borderId="67" xfId="7" applyNumberFormat="1" applyFont="1" applyBorder="1" applyAlignment="1">
      <alignment horizontal="center" vertical="center" wrapText="1"/>
    </xf>
    <xf numFmtId="0" fontId="31" fillId="6" borderId="37" xfId="7" applyFont="1" applyFill="1"/>
    <xf numFmtId="0" fontId="31" fillId="6" borderId="37" xfId="7" applyFont="1" applyFill="1" applyAlignment="1">
      <alignment horizontal="center" vertical="center"/>
    </xf>
    <xf numFmtId="0" fontId="31" fillId="6" borderId="37" xfId="7" applyFont="1" applyFill="1" applyAlignment="1">
      <alignment horizontal="left" vertical="center"/>
    </xf>
    <xf numFmtId="0" fontId="31" fillId="6" borderId="37" xfId="7" applyFont="1" applyFill="1" applyAlignment="1">
      <alignment horizontal="center"/>
    </xf>
    <xf numFmtId="0" fontId="31" fillId="6" borderId="77" xfId="7" applyFont="1" applyFill="1" applyBorder="1" applyAlignment="1">
      <alignment horizontal="left" vertical="top" wrapText="1"/>
    </xf>
    <xf numFmtId="0" fontId="30" fillId="0" borderId="77" xfId="7" applyFont="1" applyBorder="1" applyAlignment="1">
      <alignment vertical="top" wrapText="1"/>
    </xf>
    <xf numFmtId="0" fontId="30" fillId="0" borderId="79" xfId="7" applyFont="1" applyBorder="1" applyAlignment="1">
      <alignment vertical="top" wrapText="1"/>
    </xf>
    <xf numFmtId="0" fontId="14" fillId="0" borderId="77" xfId="7" applyFont="1" applyBorder="1" applyAlignment="1">
      <alignment horizontal="left" vertical="top" wrapText="1"/>
    </xf>
    <xf numFmtId="0" fontId="30" fillId="0" borderId="80" xfId="7" applyFont="1" applyBorder="1" applyAlignment="1">
      <alignment vertical="top" wrapText="1"/>
    </xf>
    <xf numFmtId="0" fontId="31" fillId="0" borderId="74" xfId="7" applyFont="1" applyBorder="1" applyAlignment="1">
      <alignment vertical="center"/>
    </xf>
    <xf numFmtId="0" fontId="30" fillId="0" borderId="74" xfId="7" applyFont="1" applyBorder="1" applyAlignment="1">
      <alignment vertical="top" wrapText="1"/>
    </xf>
    <xf numFmtId="9" fontId="30" fillId="0" borderId="74" xfId="7" applyNumberFormat="1" applyFont="1" applyBorder="1" applyAlignment="1">
      <alignment vertical="top" wrapText="1"/>
    </xf>
    <xf numFmtId="0" fontId="27" fillId="0" borderId="77" xfId="7" applyFont="1" applyBorder="1" applyAlignment="1">
      <alignment horizontal="left" vertical="top"/>
    </xf>
    <xf numFmtId="0" fontId="31" fillId="0" borderId="76" xfId="7" applyFont="1" applyBorder="1" applyAlignment="1">
      <alignment vertical="center"/>
    </xf>
    <xf numFmtId="9" fontId="30" fillId="0" borderId="76" xfId="7" applyNumberFormat="1" applyFont="1" applyBorder="1" applyAlignment="1">
      <alignment vertical="top" wrapText="1"/>
    </xf>
    <xf numFmtId="9" fontId="31" fillId="0" borderId="73" xfId="7" applyNumberFormat="1" applyFont="1" applyBorder="1" applyAlignment="1">
      <alignment vertical="top" wrapText="1"/>
    </xf>
    <xf numFmtId="0" fontId="32" fillId="0" borderId="73" xfId="7" applyFont="1" applyBorder="1" applyAlignment="1">
      <alignment vertical="top"/>
    </xf>
    <xf numFmtId="0" fontId="31" fillId="0" borderId="74" xfId="7" applyFont="1" applyBorder="1" applyAlignment="1">
      <alignment vertical="top" wrapText="1"/>
    </xf>
    <xf numFmtId="0" fontId="31" fillId="0" borderId="75" xfId="7" applyFont="1" applyBorder="1" applyAlignment="1">
      <alignment vertical="top" wrapText="1"/>
    </xf>
    <xf numFmtId="0" fontId="31" fillId="0" borderId="77" xfId="7" applyFont="1" applyBorder="1" applyAlignment="1">
      <alignment vertical="top" wrapText="1"/>
    </xf>
    <xf numFmtId="0" fontId="31" fillId="0" borderId="80" xfId="7" applyFont="1" applyBorder="1" applyAlignment="1">
      <alignment vertical="top" wrapText="1"/>
    </xf>
    <xf numFmtId="0" fontId="31" fillId="0" borderId="74" xfId="7" applyFont="1" applyBorder="1" applyAlignment="1">
      <alignment vertical="top"/>
    </xf>
    <xf numFmtId="0" fontId="32" fillId="0" borderId="74" xfId="7" applyFont="1" applyBorder="1" applyAlignment="1">
      <alignment vertical="top" wrapText="1"/>
    </xf>
    <xf numFmtId="9" fontId="31" fillId="0" borderId="74" xfId="7" applyNumberFormat="1" applyFont="1" applyBorder="1" applyAlignment="1">
      <alignment vertical="top" wrapText="1"/>
    </xf>
    <xf numFmtId="0" fontId="32" fillId="0" borderId="74" xfId="7" applyFont="1" applyBorder="1" applyAlignment="1">
      <alignment vertical="top"/>
    </xf>
    <xf numFmtId="0" fontId="31" fillId="0" borderId="76" xfId="7" applyFont="1" applyBorder="1" applyAlignment="1">
      <alignment vertical="top" wrapText="1"/>
    </xf>
    <xf numFmtId="0" fontId="31" fillId="0" borderId="70" xfId="7" applyFont="1" applyBorder="1" applyAlignment="1">
      <alignment vertical="top" wrapText="1"/>
    </xf>
    <xf numFmtId="0" fontId="30" fillId="0" borderId="76" xfId="7" applyFont="1" applyBorder="1" applyAlignment="1">
      <alignment vertical="top" wrapText="1"/>
    </xf>
    <xf numFmtId="0" fontId="31" fillId="0" borderId="72" xfId="7" applyFont="1" applyBorder="1" applyAlignment="1">
      <alignment vertical="top" wrapText="1"/>
    </xf>
    <xf numFmtId="0" fontId="31" fillId="0" borderId="76" xfId="7" applyFont="1" applyBorder="1" applyAlignment="1">
      <alignment vertical="top"/>
    </xf>
    <xf numFmtId="0" fontId="32" fillId="0" borderId="76" xfId="7" applyFont="1" applyBorder="1" applyAlignment="1">
      <alignment vertical="top" wrapText="1"/>
    </xf>
    <xf numFmtId="9" fontId="31" fillId="0" borderId="76" xfId="7" applyNumberFormat="1" applyFont="1" applyBorder="1" applyAlignment="1">
      <alignment vertical="top" wrapText="1"/>
    </xf>
    <xf numFmtId="0" fontId="32" fillId="0" borderId="76" xfId="7" applyFont="1" applyBorder="1" applyAlignment="1">
      <alignment vertical="top"/>
    </xf>
    <xf numFmtId="0" fontId="74" fillId="8" borderId="37" xfId="7" applyFont="1" applyFill="1" applyAlignment="1">
      <alignment horizontal="center" vertical="center"/>
    </xf>
    <xf numFmtId="0" fontId="32" fillId="8" borderId="37" xfId="7" applyFont="1" applyFill="1" applyAlignment="1">
      <alignment horizontal="center" vertical="center" wrapText="1"/>
    </xf>
    <xf numFmtId="0" fontId="32" fillId="8" borderId="38" xfId="7" applyFont="1" applyFill="1" applyBorder="1" applyAlignment="1">
      <alignment horizontal="center" vertical="center" wrapText="1"/>
    </xf>
    <xf numFmtId="0" fontId="31" fillId="0" borderId="51" xfId="7" applyFont="1" applyBorder="1" applyAlignment="1" applyProtection="1">
      <alignment horizontal="justify" vertical="center" wrapText="1"/>
      <protection locked="0"/>
    </xf>
    <xf numFmtId="14" fontId="30" fillId="0" borderId="38" xfId="7" applyNumberFormat="1" applyFont="1" applyBorder="1" applyAlignment="1" applyProtection="1">
      <alignment horizontal="center" vertical="center" wrapText="1"/>
      <protection locked="0"/>
    </xf>
    <xf numFmtId="0" fontId="30" fillId="0" borderId="49" xfId="7" applyFont="1" applyBorder="1" applyAlignment="1" applyProtection="1">
      <alignment horizontal="center" vertical="center" wrapText="1"/>
      <protection locked="0"/>
    </xf>
    <xf numFmtId="0" fontId="31" fillId="0" borderId="49" xfId="7" applyFont="1" applyBorder="1" applyAlignment="1" applyProtection="1">
      <alignment horizontal="center" vertical="center" wrapText="1"/>
      <protection locked="0"/>
    </xf>
    <xf numFmtId="0" fontId="30" fillId="9" borderId="51" xfId="7" applyFont="1" applyFill="1" applyBorder="1" applyAlignment="1" applyProtection="1">
      <alignment horizontal="center" vertical="top" wrapText="1"/>
      <protection locked="0"/>
    </xf>
    <xf numFmtId="0" fontId="30" fillId="9" borderId="49" xfId="7" applyFont="1" applyFill="1" applyBorder="1" applyAlignment="1" applyProtection="1">
      <alignment horizontal="left" vertical="top" wrapText="1"/>
      <protection locked="0"/>
    </xf>
    <xf numFmtId="0" fontId="27" fillId="10" borderId="51" xfId="7" applyFont="1" applyFill="1" applyBorder="1" applyAlignment="1" applyProtection="1">
      <alignment horizontal="justify" vertical="top" wrapText="1"/>
      <protection locked="0"/>
    </xf>
    <xf numFmtId="14" fontId="31" fillId="0" borderId="52" xfId="7" applyNumberFormat="1" applyFont="1" applyBorder="1" applyAlignment="1" applyProtection="1">
      <alignment horizontal="center" vertical="top"/>
      <protection locked="0"/>
    </xf>
    <xf numFmtId="0" fontId="31" fillId="9" borderId="97" xfId="7" applyFont="1" applyFill="1" applyBorder="1"/>
    <xf numFmtId="0" fontId="31" fillId="9" borderId="98" xfId="7" applyFont="1" applyFill="1" applyBorder="1"/>
    <xf numFmtId="0" fontId="31" fillId="9" borderId="99" xfId="7" applyFont="1" applyFill="1" applyBorder="1"/>
    <xf numFmtId="0" fontId="31" fillId="9" borderId="100" xfId="7" applyFont="1" applyFill="1" applyBorder="1"/>
    <xf numFmtId="0" fontId="31" fillId="8" borderId="98" xfId="7" applyFont="1" applyFill="1" applyBorder="1"/>
    <xf numFmtId="0" fontId="31" fillId="8" borderId="37" xfId="7" applyFont="1" applyFill="1"/>
    <xf numFmtId="0" fontId="30" fillId="0" borderId="101" xfId="7" applyFont="1" applyBorder="1" applyAlignment="1" applyProtection="1">
      <alignment vertical="top" wrapText="1"/>
      <protection locked="0"/>
    </xf>
    <xf numFmtId="0" fontId="30" fillId="0" borderId="50" xfId="7" applyFont="1" applyBorder="1" applyAlignment="1" applyProtection="1">
      <alignment vertical="top" wrapText="1"/>
      <protection locked="0"/>
    </xf>
    <xf numFmtId="14" fontId="30" fillId="0" borderId="102" xfId="7" applyNumberFormat="1" applyFont="1" applyBorder="1" applyAlignment="1" applyProtection="1">
      <alignment vertical="top" wrapText="1"/>
      <protection locked="0"/>
    </xf>
    <xf numFmtId="14" fontId="30" fillId="0" borderId="103" xfId="7" applyNumberFormat="1" applyFont="1" applyBorder="1" applyAlignment="1" applyProtection="1">
      <alignment vertical="top" wrapText="1"/>
      <protection locked="0"/>
    </xf>
    <xf numFmtId="0" fontId="31" fillId="9" borderId="104" xfId="7" applyFont="1" applyFill="1" applyBorder="1" applyAlignment="1">
      <alignment vertical="center" wrapText="1"/>
    </xf>
    <xf numFmtId="0" fontId="30" fillId="0" borderId="53" xfId="7" applyFont="1" applyBorder="1" applyAlignment="1" applyProtection="1">
      <alignment vertical="top" wrapText="1"/>
      <protection locked="0"/>
    </xf>
    <xf numFmtId="0" fontId="30" fillId="0" borderId="103" xfId="7" applyFont="1" applyBorder="1" applyAlignment="1" applyProtection="1">
      <alignment vertical="top" wrapText="1"/>
      <protection locked="0"/>
    </xf>
    <xf numFmtId="0" fontId="31" fillId="10" borderId="61" xfId="7" applyFont="1" applyFill="1" applyBorder="1" applyAlignment="1" applyProtection="1">
      <alignment horizontal="center" vertical="top" wrapText="1"/>
      <protection locked="0"/>
    </xf>
    <xf numFmtId="0" fontId="31" fillId="0" borderId="61" xfId="7" applyFont="1" applyBorder="1" applyAlignment="1" applyProtection="1">
      <alignment horizontal="center" vertical="top" wrapText="1"/>
      <protection locked="0"/>
    </xf>
    <xf numFmtId="0" fontId="30" fillId="0" borderId="52" xfId="7" applyFont="1" applyBorder="1" applyAlignment="1" applyProtection="1">
      <alignment vertical="top" wrapText="1"/>
      <protection locked="0"/>
    </xf>
    <xf numFmtId="0" fontId="31" fillId="0" borderId="37" xfId="7" applyFont="1" applyAlignment="1">
      <alignment vertical="center" wrapText="1"/>
    </xf>
    <xf numFmtId="0" fontId="14" fillId="0" borderId="105" xfId="7" applyFont="1" applyBorder="1" applyAlignment="1">
      <alignment vertical="center" wrapText="1"/>
    </xf>
    <xf numFmtId="0" fontId="35" fillId="0" borderId="60" xfId="7" applyFont="1" applyBorder="1" applyAlignment="1" applyProtection="1">
      <alignment vertical="top" wrapText="1"/>
      <protection locked="0"/>
    </xf>
    <xf numFmtId="0" fontId="32" fillId="9" borderId="38" xfId="7" applyFont="1" applyFill="1" applyBorder="1" applyAlignment="1">
      <alignment horizontal="center" vertical="center"/>
    </xf>
    <xf numFmtId="0" fontId="30" fillId="9" borderId="51" xfId="7" applyFont="1" applyFill="1" applyBorder="1" applyAlignment="1" applyProtection="1">
      <alignment horizontal="center" vertical="center" wrapText="1"/>
      <protection locked="0"/>
    </xf>
    <xf numFmtId="0" fontId="34" fillId="9" borderId="38" xfId="7" applyFont="1" applyFill="1" applyBorder="1" applyAlignment="1">
      <alignment vertical="center" wrapText="1"/>
    </xf>
    <xf numFmtId="0" fontId="31" fillId="9" borderId="38" xfId="7" applyFont="1" applyFill="1" applyBorder="1" applyAlignment="1">
      <alignment vertical="center" wrapText="1"/>
    </xf>
    <xf numFmtId="0" fontId="30" fillId="9" borderId="50" xfId="7" applyFont="1" applyFill="1" applyBorder="1" applyAlignment="1" applyProtection="1">
      <alignment horizontal="center" vertical="center" wrapText="1"/>
      <protection locked="0"/>
    </xf>
    <xf numFmtId="0" fontId="30" fillId="9" borderId="49" xfId="7" applyFont="1" applyFill="1" applyBorder="1" applyAlignment="1" applyProtection="1">
      <alignment horizontal="center" vertical="top" wrapText="1"/>
      <protection locked="0"/>
    </xf>
    <xf numFmtId="0" fontId="30" fillId="9" borderId="51" xfId="7" applyFont="1" applyFill="1" applyBorder="1" applyAlignment="1" applyProtection="1">
      <alignment horizontal="justify" vertical="top" wrapText="1"/>
      <protection locked="0"/>
    </xf>
    <xf numFmtId="0" fontId="31" fillId="0" borderId="38" xfId="7" applyFont="1" applyBorder="1" applyAlignment="1">
      <alignment vertical="center" wrapText="1"/>
    </xf>
    <xf numFmtId="0" fontId="31" fillId="0" borderId="50" xfId="7" applyFont="1" applyBorder="1" applyAlignment="1" applyProtection="1">
      <alignment horizontal="left" vertical="top" wrapText="1"/>
      <protection locked="0"/>
    </xf>
    <xf numFmtId="14" fontId="31" fillId="0" borderId="37" xfId="7" applyNumberFormat="1" applyFont="1"/>
    <xf numFmtId="0" fontId="31" fillId="0" borderId="38" xfId="7" applyFont="1" applyBorder="1" applyAlignment="1" applyProtection="1">
      <alignment vertical="center" wrapText="1"/>
      <protection locked="0"/>
    </xf>
    <xf numFmtId="0" fontId="39" fillId="8" borderId="37" xfId="7" applyFont="1" applyFill="1" applyAlignment="1">
      <alignment horizontal="center" vertical="center"/>
    </xf>
    <xf numFmtId="0" fontId="40" fillId="9" borderId="37" xfId="7" applyFont="1" applyFill="1"/>
    <xf numFmtId="0" fontId="40" fillId="0" borderId="37" xfId="7" applyFont="1"/>
    <xf numFmtId="0" fontId="40" fillId="9" borderId="37" xfId="7" applyFont="1" applyFill="1" applyAlignment="1">
      <alignment horizontal="center" vertical="center"/>
    </xf>
    <xf numFmtId="0" fontId="40" fillId="9" borderId="37" xfId="7" applyFont="1" applyFill="1" applyAlignment="1">
      <alignment horizontal="left" vertical="center"/>
    </xf>
    <xf numFmtId="0" fontId="40" fillId="9" borderId="37" xfId="7" applyFont="1" applyFill="1" applyAlignment="1">
      <alignment horizontal="center"/>
    </xf>
    <xf numFmtId="0" fontId="40" fillId="9" borderId="37" xfId="7" applyFont="1" applyFill="1" applyAlignment="1" applyProtection="1">
      <alignment horizontal="center" vertical="center"/>
      <protection locked="0"/>
    </xf>
    <xf numFmtId="0" fontId="40" fillId="9" borderId="37" xfId="7" applyFont="1" applyFill="1" applyAlignment="1" applyProtection="1">
      <alignment horizontal="center" vertical="center" wrapText="1"/>
      <protection locked="0"/>
    </xf>
    <xf numFmtId="0" fontId="40" fillId="18" borderId="110" xfId="7" applyFont="1" applyFill="1" applyBorder="1" applyAlignment="1">
      <alignment horizontal="left" vertical="top" wrapText="1"/>
    </xf>
    <xf numFmtId="0" fontId="40" fillId="0" borderId="37" xfId="7" applyFont="1" applyAlignment="1">
      <alignment horizontal="left" vertical="top"/>
    </xf>
    <xf numFmtId="0" fontId="39" fillId="18" borderId="110" xfId="7" applyFont="1" applyFill="1" applyBorder="1" applyAlignment="1">
      <alignment horizontal="left" vertical="top" wrapText="1"/>
    </xf>
    <xf numFmtId="0" fontId="39" fillId="0" borderId="37" xfId="7" applyFont="1" applyAlignment="1">
      <alignment horizontal="left" vertical="top"/>
    </xf>
    <xf numFmtId="14" fontId="30" fillId="10" borderId="51" xfId="7" applyNumberFormat="1" applyFont="1" applyFill="1" applyBorder="1" applyAlignment="1" applyProtection="1">
      <alignment horizontal="center" vertical="top" wrapText="1"/>
      <protection locked="0"/>
    </xf>
    <xf numFmtId="0" fontId="32" fillId="0" borderId="51" xfId="7" applyFont="1" applyBorder="1" applyAlignment="1" applyProtection="1">
      <alignment horizontal="center" vertical="top" wrapText="1"/>
      <protection locked="0"/>
    </xf>
    <xf numFmtId="0" fontId="14" fillId="9" borderId="38" xfId="7" applyFont="1" applyFill="1" applyBorder="1" applyAlignment="1">
      <alignment vertical="center" wrapText="1"/>
    </xf>
    <xf numFmtId="0" fontId="85" fillId="9" borderId="38" xfId="7" applyFont="1" applyFill="1" applyBorder="1" applyAlignment="1">
      <alignment vertical="center" wrapText="1"/>
    </xf>
    <xf numFmtId="0" fontId="27" fillId="0" borderId="53" xfId="7" applyFont="1" applyBorder="1" applyAlignment="1" applyProtection="1">
      <alignment vertical="center" wrapText="1"/>
      <protection locked="0"/>
    </xf>
    <xf numFmtId="0" fontId="14" fillId="9" borderId="38" xfId="7" applyFont="1" applyFill="1" applyBorder="1"/>
    <xf numFmtId="0" fontId="46" fillId="0" borderId="49" xfId="7" applyFont="1" applyBorder="1" applyAlignment="1" applyProtection="1">
      <alignment horizontal="center" vertical="top" wrapText="1"/>
      <protection locked="0"/>
    </xf>
    <xf numFmtId="0" fontId="14" fillId="9" borderId="38" xfId="7" applyFont="1" applyFill="1" applyBorder="1" applyAlignment="1">
      <alignment wrapText="1"/>
    </xf>
    <xf numFmtId="0" fontId="27" fillId="0" borderId="49" xfId="7" applyFont="1" applyBorder="1" applyAlignment="1" applyProtection="1">
      <alignment horizontal="center" vertical="top" wrapText="1"/>
      <protection locked="0"/>
    </xf>
    <xf numFmtId="0" fontId="87" fillId="0" borderId="41" xfId="7" applyFont="1" applyBorder="1" applyAlignment="1" applyProtection="1">
      <alignment vertical="center" wrapText="1"/>
      <protection locked="0"/>
    </xf>
    <xf numFmtId="14" fontId="31" fillId="0" borderId="38" xfId="7" applyNumberFormat="1" applyFont="1" applyBorder="1" applyAlignment="1" applyProtection="1">
      <alignment vertical="center" wrapText="1"/>
      <protection locked="0"/>
    </xf>
    <xf numFmtId="0" fontId="31" fillId="0" borderId="38" xfId="7" applyFont="1" applyBorder="1" applyAlignment="1" applyProtection="1">
      <alignment vertical="top" wrapText="1"/>
      <protection locked="0"/>
    </xf>
    <xf numFmtId="0" fontId="31" fillId="0" borderId="38" xfId="7" applyFont="1" applyBorder="1" applyAlignment="1" applyProtection="1">
      <alignment vertical="top"/>
      <protection locked="0"/>
    </xf>
    <xf numFmtId="0" fontId="14" fillId="9" borderId="38" xfId="7" applyFont="1" applyFill="1" applyBorder="1" applyAlignment="1">
      <alignment horizontal="left" vertical="center" wrapText="1"/>
    </xf>
    <xf numFmtId="0" fontId="87" fillId="0" borderId="54" xfId="7" applyFont="1" applyBorder="1" applyAlignment="1" applyProtection="1">
      <alignment vertical="center" wrapText="1"/>
      <protection locked="0"/>
    </xf>
    <xf numFmtId="0" fontId="30" fillId="0" borderId="47" xfId="7" applyFont="1" applyBorder="1" applyAlignment="1" applyProtection="1">
      <alignment horizontal="center" vertical="top" textRotation="90"/>
      <protection locked="0"/>
    </xf>
    <xf numFmtId="164" fontId="31" fillId="0" borderId="38" xfId="8" applyNumberFormat="1" applyFont="1" applyBorder="1" applyAlignment="1">
      <alignment horizontal="center" vertical="top"/>
    </xf>
    <xf numFmtId="0" fontId="37" fillId="0" borderId="38" xfId="7" applyFont="1" applyBorder="1" applyAlignment="1" applyProtection="1">
      <alignment horizontal="center" vertical="top" textRotation="90" wrapText="1"/>
      <protection hidden="1"/>
    </xf>
    <xf numFmtId="9" fontId="30" fillId="0" borderId="38" xfId="7" applyNumberFormat="1" applyFont="1" applyBorder="1" applyAlignment="1" applyProtection="1">
      <alignment horizontal="center" vertical="top"/>
      <protection hidden="1"/>
    </xf>
    <xf numFmtId="0" fontId="37" fillId="0" borderId="38" xfId="7" applyFont="1" applyBorder="1" applyAlignment="1" applyProtection="1">
      <alignment horizontal="center" vertical="top" textRotation="90"/>
      <protection hidden="1"/>
    </xf>
    <xf numFmtId="0" fontId="30" fillId="0" borderId="38" xfId="7" applyFont="1" applyBorder="1" applyAlignment="1" applyProtection="1">
      <alignment horizontal="center" vertical="top" textRotation="90"/>
      <protection locked="0"/>
    </xf>
    <xf numFmtId="0" fontId="27" fillId="0" borderId="38" xfId="7" applyFont="1" applyBorder="1" applyAlignment="1" applyProtection="1">
      <alignment vertical="top" wrapText="1"/>
      <protection locked="0"/>
    </xf>
    <xf numFmtId="0" fontId="27" fillId="0" borderId="54" xfId="7" applyFont="1" applyBorder="1" applyAlignment="1">
      <alignment horizontal="center" vertical="center"/>
    </xf>
    <xf numFmtId="0" fontId="27" fillId="0" borderId="37" xfId="7" applyFont="1" applyAlignment="1" applyProtection="1">
      <alignment horizontal="center" vertical="center" wrapText="1"/>
      <protection locked="0"/>
    </xf>
    <xf numFmtId="0" fontId="27" fillId="0" borderId="37" xfId="7" applyFont="1" applyAlignment="1" applyProtection="1">
      <alignment horizontal="center" vertical="center"/>
      <protection locked="0"/>
    </xf>
    <xf numFmtId="0" fontId="26" fillId="0" borderId="37" xfId="7" applyFont="1" applyAlignment="1" applyProtection="1">
      <alignment horizontal="center" vertical="center" wrapText="1"/>
      <protection hidden="1"/>
    </xf>
    <xf numFmtId="9" fontId="27" fillId="0" borderId="37" xfId="7" applyNumberFormat="1" applyFont="1" applyAlignment="1" applyProtection="1">
      <alignment horizontal="center" vertical="center" wrapText="1"/>
      <protection hidden="1"/>
    </xf>
    <xf numFmtId="9" fontId="27" fillId="0" borderId="37" xfId="7" applyNumberFormat="1" applyFont="1" applyAlignment="1" applyProtection="1">
      <alignment horizontal="center" vertical="center" wrapText="1"/>
      <protection locked="0"/>
    </xf>
    <xf numFmtId="0" fontId="26" fillId="0" borderId="37" xfId="7" applyFont="1" applyAlignment="1" applyProtection="1">
      <alignment horizontal="center" vertical="center"/>
      <protection hidden="1"/>
    </xf>
    <xf numFmtId="0" fontId="27" fillId="0" borderId="37" xfId="7" applyFont="1" applyAlignment="1" applyProtection="1">
      <alignment horizontal="justify" vertical="center"/>
      <protection locked="0"/>
    </xf>
    <xf numFmtId="0" fontId="27" fillId="0" borderId="37" xfId="7" applyFont="1" applyAlignment="1" applyProtection="1">
      <alignment horizontal="center" vertical="center"/>
      <protection hidden="1"/>
    </xf>
    <xf numFmtId="0" fontId="27" fillId="0" borderId="37" xfId="7" applyFont="1" applyAlignment="1" applyProtection="1">
      <alignment horizontal="center" vertical="center" textRotation="90"/>
      <protection locked="0"/>
    </xf>
    <xf numFmtId="9" fontId="27" fillId="0" borderId="37" xfId="7" applyNumberFormat="1" applyFont="1" applyAlignment="1" applyProtection="1">
      <alignment horizontal="center" vertical="center"/>
      <protection hidden="1"/>
    </xf>
    <xf numFmtId="164" fontId="27" fillId="0" borderId="42" xfId="8" applyNumberFormat="1" applyFont="1" applyFill="1" applyBorder="1" applyAlignment="1">
      <alignment horizontal="center" vertical="top"/>
    </xf>
    <xf numFmtId="0" fontId="26" fillId="0" borderId="42" xfId="7" applyFont="1" applyBorder="1" applyAlignment="1" applyProtection="1">
      <alignment horizontal="center" vertical="top" textRotation="90" wrapText="1"/>
      <protection hidden="1"/>
    </xf>
    <xf numFmtId="9" fontId="27" fillId="0" borderId="42" xfId="7" applyNumberFormat="1" applyFont="1" applyBorder="1" applyAlignment="1" applyProtection="1">
      <alignment horizontal="center" vertical="top"/>
      <protection hidden="1"/>
    </xf>
    <xf numFmtId="0" fontId="26" fillId="0" borderId="42" xfId="7" applyFont="1" applyBorder="1" applyAlignment="1" applyProtection="1">
      <alignment horizontal="center" vertical="top" textRotation="90"/>
      <protection hidden="1"/>
    </xf>
    <xf numFmtId="14" fontId="27" fillId="0" borderId="37" xfId="7" applyNumberFormat="1" applyFont="1" applyAlignment="1" applyProtection="1">
      <alignment horizontal="center" vertical="center" wrapText="1"/>
      <protection locked="0"/>
    </xf>
    <xf numFmtId="14" fontId="27" fillId="0" borderId="37" xfId="7" applyNumberFormat="1" applyFont="1" applyAlignment="1" applyProtection="1">
      <alignment horizontal="center" vertical="center"/>
      <protection locked="0"/>
    </xf>
    <xf numFmtId="0" fontId="31" fillId="9" borderId="37" xfId="12" applyFont="1" applyFill="1"/>
    <xf numFmtId="0" fontId="31" fillId="0" borderId="37" xfId="12" applyFont="1"/>
    <xf numFmtId="0" fontId="31" fillId="9" borderId="37" xfId="12" applyFont="1" applyFill="1" applyAlignment="1">
      <alignment horizontal="center" vertical="center"/>
    </xf>
    <xf numFmtId="0" fontId="31" fillId="9" borderId="37" xfId="12" applyFont="1" applyFill="1" applyAlignment="1">
      <alignment horizontal="left" vertical="center"/>
    </xf>
    <xf numFmtId="0" fontId="31" fillId="9" borderId="37" xfId="12" applyFont="1" applyFill="1" applyAlignment="1">
      <alignment horizontal="center"/>
    </xf>
    <xf numFmtId="0" fontId="32" fillId="8" borderId="53" xfId="12" applyFont="1" applyFill="1" applyBorder="1" applyAlignment="1">
      <alignment horizontal="center" vertical="center"/>
    </xf>
    <xf numFmtId="0" fontId="32" fillId="8" borderId="51" xfId="12" applyFont="1" applyFill="1" applyBorder="1" applyAlignment="1">
      <alignment horizontal="center" vertical="center" textRotation="90"/>
    </xf>
    <xf numFmtId="0" fontId="32" fillId="9" borderId="37" xfId="12" applyFont="1" applyFill="1" applyAlignment="1">
      <alignment horizontal="center" vertical="center"/>
    </xf>
    <xf numFmtId="0" fontId="32" fillId="8" borderId="37" xfId="12" applyFont="1" applyFill="1" applyAlignment="1">
      <alignment horizontal="center" vertical="center"/>
    </xf>
    <xf numFmtId="0" fontId="31" fillId="9" borderId="49" xfId="12" applyFont="1" applyFill="1" applyBorder="1" applyAlignment="1">
      <alignment horizontal="justify" vertical="top" wrapText="1"/>
    </xf>
    <xf numFmtId="0" fontId="35" fillId="0" borderId="49" xfId="12" applyFont="1" applyBorder="1" applyAlignment="1" applyProtection="1">
      <alignment horizontal="justify" vertical="top" wrapText="1"/>
      <protection locked="0"/>
    </xf>
    <xf numFmtId="0" fontId="31" fillId="0" borderId="51" xfId="12" applyFont="1" applyBorder="1" applyAlignment="1">
      <alignment horizontal="center" vertical="top"/>
    </xf>
    <xf numFmtId="0" fontId="31" fillId="0" borderId="51" xfId="12" applyFont="1" applyBorder="1" applyAlignment="1" applyProtection="1">
      <alignment horizontal="justify" vertical="top" wrapText="1"/>
      <protection locked="0"/>
    </xf>
    <xf numFmtId="0" fontId="31" fillId="0" borderId="51" xfId="12" applyFont="1" applyBorder="1" applyAlignment="1" applyProtection="1">
      <alignment horizontal="center" vertical="top"/>
      <protection hidden="1"/>
    </xf>
    <xf numFmtId="0" fontId="30" fillId="0" borderId="51" xfId="12" applyFont="1" applyBorder="1" applyAlignment="1" applyProtection="1">
      <alignment horizontal="center" vertical="top" textRotation="90"/>
      <protection locked="0"/>
    </xf>
    <xf numFmtId="9" fontId="30" fillId="0" borderId="51" xfId="12" applyNumberFormat="1" applyFont="1" applyBorder="1" applyAlignment="1" applyProtection="1">
      <alignment horizontal="center" vertical="top"/>
      <protection hidden="1"/>
    </xf>
    <xf numFmtId="0" fontId="37" fillId="0" borderId="51" xfId="12" applyFont="1" applyBorder="1" applyAlignment="1" applyProtection="1">
      <alignment horizontal="center" vertical="top" textRotation="90" wrapText="1"/>
      <protection hidden="1"/>
    </xf>
    <xf numFmtId="9" fontId="30" fillId="0" borderId="50" xfId="12" applyNumberFormat="1" applyFont="1" applyBorder="1" applyAlignment="1" applyProtection="1">
      <alignment horizontal="center" vertical="top"/>
      <protection hidden="1"/>
    </xf>
    <xf numFmtId="0" fontId="30" fillId="0" borderId="50" xfId="12" applyFont="1" applyBorder="1" applyAlignment="1" applyProtection="1">
      <alignment horizontal="justify" vertical="top" textRotation="90" wrapText="1"/>
      <protection locked="0"/>
    </xf>
    <xf numFmtId="0" fontId="30" fillId="0" borderId="51" xfId="12" applyFont="1" applyBorder="1" applyAlignment="1" applyProtection="1">
      <alignment horizontal="justify" vertical="top" wrapText="1"/>
      <protection locked="0"/>
    </xf>
    <xf numFmtId="14" fontId="30" fillId="0" borderId="51" xfId="12" applyNumberFormat="1" applyFont="1" applyBorder="1" applyAlignment="1" applyProtection="1">
      <alignment horizontal="left" vertical="top" wrapText="1"/>
      <protection locked="0"/>
    </xf>
    <xf numFmtId="14" fontId="30" fillId="0" borderId="51" xfId="12" applyNumberFormat="1" applyFont="1" applyBorder="1" applyAlignment="1" applyProtection="1">
      <alignment horizontal="justify" vertical="top" wrapText="1"/>
      <protection locked="0"/>
    </xf>
    <xf numFmtId="0" fontId="16" fillId="0" borderId="37" xfId="12" applyFont="1" applyAlignment="1">
      <alignment horizontal="justify" vertical="top" wrapText="1"/>
    </xf>
    <xf numFmtId="0" fontId="30" fillId="0" borderId="51" xfId="12" applyFont="1" applyBorder="1" applyAlignment="1" applyProtection="1">
      <alignment horizontal="center" vertical="top"/>
      <protection locked="0"/>
    </xf>
    <xf numFmtId="0" fontId="31" fillId="9" borderId="37" xfId="12" applyFont="1" applyFill="1" applyAlignment="1">
      <alignment vertical="center"/>
    </xf>
    <xf numFmtId="0" fontId="31" fillId="0" borderId="37" xfId="12" applyFont="1" applyAlignment="1">
      <alignment vertical="center"/>
    </xf>
    <xf numFmtId="0" fontId="31" fillId="9" borderId="49" xfId="12" applyFont="1" applyFill="1" applyBorder="1" applyAlignment="1">
      <alignment vertical="center" wrapText="1"/>
    </xf>
    <xf numFmtId="0" fontId="27" fillId="0" borderId="51" xfId="12" applyFont="1" applyBorder="1" applyAlignment="1" applyProtection="1">
      <alignment horizontal="justify" vertical="top" wrapText="1"/>
      <protection locked="0"/>
    </xf>
    <xf numFmtId="0" fontId="4" fillId="0" borderId="53" xfId="12" applyBorder="1" applyAlignment="1">
      <alignment horizontal="justify" vertical="top" textRotation="90" wrapText="1"/>
    </xf>
    <xf numFmtId="14" fontId="31" fillId="0" borderId="51" xfId="12" applyNumberFormat="1" applyFont="1" applyBorder="1" applyAlignment="1" applyProtection="1">
      <alignment horizontal="justify" vertical="top" wrapText="1"/>
      <protection locked="0"/>
    </xf>
    <xf numFmtId="0" fontId="80" fillId="0" borderId="37" xfId="13" applyFont="1" applyAlignment="1">
      <alignment horizontal="left" vertical="top" wrapText="1"/>
    </xf>
    <xf numFmtId="0" fontId="38" fillId="9" borderId="37" xfId="12" applyFont="1" applyFill="1" applyAlignment="1">
      <alignment vertical="center"/>
    </xf>
    <xf numFmtId="0" fontId="31" fillId="0" borderId="49" xfId="12" applyFont="1" applyBorder="1" applyAlignment="1" applyProtection="1">
      <alignment horizontal="justify" vertical="top" wrapText="1"/>
      <protection locked="0"/>
    </xf>
    <xf numFmtId="0" fontId="31" fillId="0" borderId="51" xfId="12" applyFont="1" applyBorder="1" applyAlignment="1" applyProtection="1">
      <alignment horizontal="justify" vertical="top"/>
      <protection locked="0"/>
    </xf>
    <xf numFmtId="0" fontId="32" fillId="0" borderId="51" xfId="12" applyFont="1" applyBorder="1" applyAlignment="1" applyProtection="1">
      <alignment vertical="top" wrapText="1"/>
      <protection locked="0"/>
    </xf>
    <xf numFmtId="0" fontId="54" fillId="9" borderId="37" xfId="12" applyFont="1" applyFill="1" applyAlignment="1">
      <alignment horizontal="center" vertical="center"/>
    </xf>
    <xf numFmtId="0" fontId="4" fillId="0" borderId="52" xfId="12" applyBorder="1" applyAlignment="1">
      <alignment horizontal="justify" vertical="top" textRotation="90" wrapText="1"/>
    </xf>
    <xf numFmtId="0" fontId="31" fillId="0" borderId="51" xfId="12" applyFont="1" applyBorder="1" applyAlignment="1" applyProtection="1">
      <alignment vertical="top" wrapText="1"/>
      <protection locked="0"/>
    </xf>
    <xf numFmtId="0" fontId="31" fillId="9" borderId="37" xfId="12" applyFont="1" applyFill="1" applyAlignment="1">
      <alignment horizontal="center" vertical="top" wrapText="1"/>
    </xf>
    <xf numFmtId="0" fontId="30" fillId="0" borderId="49" xfId="12" applyFont="1" applyBorder="1" applyAlignment="1" applyProtection="1">
      <alignment horizontal="center" vertical="top" wrapText="1"/>
      <protection locked="0"/>
    </xf>
    <xf numFmtId="0" fontId="37" fillId="0" borderId="51" xfId="12" applyFont="1" applyBorder="1" applyAlignment="1" applyProtection="1">
      <alignment horizontal="center" vertical="top" textRotation="90"/>
      <protection hidden="1"/>
    </xf>
    <xf numFmtId="0" fontId="30" fillId="0" borderId="50" xfId="12" applyFont="1" applyBorder="1" applyAlignment="1" applyProtection="1">
      <alignment horizontal="center" vertical="top" textRotation="90"/>
      <protection locked="0"/>
    </xf>
    <xf numFmtId="0" fontId="31" fillId="0" borderId="51" xfId="12" applyFont="1" applyBorder="1" applyAlignment="1" applyProtection="1">
      <alignment horizontal="center" vertical="top" wrapText="1"/>
      <protection locked="0"/>
    </xf>
    <xf numFmtId="0" fontId="31" fillId="0" borderId="51" xfId="12" applyFont="1" applyBorder="1" applyAlignment="1" applyProtection="1">
      <alignment horizontal="center" vertical="top"/>
      <protection locked="0"/>
    </xf>
    <xf numFmtId="14" fontId="31" fillId="0" borderId="51" xfId="12" applyNumberFormat="1" applyFont="1" applyBorder="1" applyAlignment="1" applyProtection="1">
      <alignment horizontal="center" vertical="top"/>
      <protection locked="0"/>
    </xf>
    <xf numFmtId="49" fontId="31" fillId="0" borderId="51" xfId="12" applyNumberFormat="1" applyFont="1" applyBorder="1" applyAlignment="1" applyProtection="1">
      <alignment horizontal="justify" vertical="top" wrapText="1"/>
      <protection locked="0"/>
    </xf>
    <xf numFmtId="0" fontId="16" fillId="0" borderId="37" xfId="12" applyFont="1" applyAlignment="1">
      <alignment horizontal="left" vertical="top" wrapText="1"/>
    </xf>
    <xf numFmtId="0" fontId="31" fillId="0" borderId="49" xfId="12" applyFont="1" applyBorder="1" applyAlignment="1" applyProtection="1">
      <alignment horizontal="center" vertical="top" wrapText="1"/>
      <protection locked="0"/>
    </xf>
    <xf numFmtId="0" fontId="27" fillId="9" borderId="37" xfId="14" applyFont="1" applyFill="1"/>
    <xf numFmtId="0" fontId="27" fillId="0" borderId="37" xfId="14" applyFont="1"/>
    <xf numFmtId="0" fontId="27" fillId="9" borderId="37" xfId="14" applyFont="1" applyFill="1" applyAlignment="1">
      <alignment horizontal="center" vertical="center"/>
    </xf>
    <xf numFmtId="0" fontId="27" fillId="9" borderId="37" xfId="14" applyFont="1" applyFill="1" applyAlignment="1">
      <alignment horizontal="left" vertical="center"/>
    </xf>
    <xf numFmtId="0" fontId="27" fillId="9" borderId="37" xfId="14" applyFont="1" applyFill="1" applyAlignment="1">
      <alignment horizontal="center"/>
    </xf>
    <xf numFmtId="0" fontId="26" fillId="8" borderId="53" xfId="14" applyFont="1" applyFill="1" applyBorder="1" applyAlignment="1">
      <alignment horizontal="center" vertical="center"/>
    </xf>
    <xf numFmtId="0" fontId="26" fillId="8" borderId="51" xfId="14" applyFont="1" applyFill="1" applyBorder="1" applyAlignment="1">
      <alignment horizontal="center" vertical="center" textRotation="90"/>
    </xf>
    <xf numFmtId="0" fontId="26" fillId="8" borderId="37" xfId="14" applyFont="1" applyFill="1" applyAlignment="1">
      <alignment horizontal="center" vertical="center"/>
    </xf>
    <xf numFmtId="0" fontId="27" fillId="0" borderId="49" xfId="14" applyFont="1" applyBorder="1" applyAlignment="1" applyProtection="1">
      <alignment horizontal="center" vertical="center" wrapText="1"/>
      <protection locked="0"/>
    </xf>
    <xf numFmtId="0" fontId="27" fillId="0" borderId="51" xfId="14" applyFont="1" applyBorder="1" applyAlignment="1">
      <alignment horizontal="center" vertical="center"/>
    </xf>
    <xf numFmtId="0" fontId="27" fillId="0" borderId="51" xfId="14" applyFont="1" applyBorder="1" applyAlignment="1" applyProtection="1">
      <alignment horizontal="justify" vertical="center" wrapText="1"/>
      <protection locked="0"/>
    </xf>
    <xf numFmtId="0" fontId="27" fillId="0" borderId="51" xfId="14" applyFont="1" applyBorder="1" applyAlignment="1" applyProtection="1">
      <alignment horizontal="center" vertical="center"/>
      <protection hidden="1"/>
    </xf>
    <xf numFmtId="0" fontId="27" fillId="0" borderId="51" xfId="14" applyFont="1" applyBorder="1" applyAlignment="1" applyProtection="1">
      <alignment horizontal="center" vertical="center" textRotation="90"/>
      <protection locked="0"/>
    </xf>
    <xf numFmtId="9" fontId="27" fillId="0" borderId="51" xfId="14" applyNumberFormat="1" applyFont="1" applyBorder="1" applyAlignment="1" applyProtection="1">
      <alignment horizontal="center" vertical="center"/>
      <protection hidden="1"/>
    </xf>
    <xf numFmtId="164" fontId="27" fillId="0" borderId="51" xfId="15" applyNumberFormat="1" applyFont="1" applyBorder="1" applyAlignment="1">
      <alignment horizontal="center" vertical="center"/>
    </xf>
    <xf numFmtId="0" fontId="26" fillId="0" borderId="51" xfId="14" applyFont="1" applyBorder="1" applyAlignment="1" applyProtection="1">
      <alignment horizontal="center" vertical="center" textRotation="90" wrapText="1"/>
      <protection hidden="1"/>
    </xf>
    <xf numFmtId="9" fontId="27" fillId="0" borderId="50" xfId="14" applyNumberFormat="1" applyFont="1" applyBorder="1" applyAlignment="1" applyProtection="1">
      <alignment horizontal="center" vertical="center"/>
      <protection hidden="1"/>
    </xf>
    <xf numFmtId="0" fontId="26" fillId="0" borderId="51" xfId="14" applyFont="1" applyBorder="1" applyAlignment="1" applyProtection="1">
      <alignment horizontal="center" vertical="center" textRotation="90"/>
      <protection hidden="1"/>
    </xf>
    <xf numFmtId="0" fontId="27" fillId="0" borderId="37" xfId="14" applyFont="1" applyAlignment="1">
      <alignment vertical="center"/>
    </xf>
    <xf numFmtId="0" fontId="27" fillId="0" borderId="51" xfId="14" applyFont="1" applyBorder="1" applyAlignment="1" applyProtection="1">
      <alignment horizontal="justify" vertical="center"/>
      <protection locked="0"/>
    </xf>
    <xf numFmtId="0" fontId="27" fillId="10" borderId="51" xfId="14" applyFont="1" applyFill="1" applyBorder="1" applyAlignment="1">
      <alignment horizontal="center" vertical="center"/>
    </xf>
    <xf numFmtId="0" fontId="27" fillId="10" borderId="51" xfId="14" applyFont="1" applyFill="1" applyBorder="1" applyAlignment="1" applyProtection="1">
      <alignment horizontal="justify" vertical="center" wrapText="1"/>
      <protection locked="0"/>
    </xf>
    <xf numFmtId="164" fontId="27" fillId="0" borderId="51" xfId="15" applyNumberFormat="1" applyFont="1" applyBorder="1" applyAlignment="1">
      <alignment horizontal="center" vertical="top"/>
    </xf>
    <xf numFmtId="0" fontId="26" fillId="0" borderId="51" xfId="14" applyFont="1" applyBorder="1" applyAlignment="1" applyProtection="1">
      <alignment horizontal="center" vertical="top" textRotation="90" wrapText="1"/>
      <protection hidden="1"/>
    </xf>
    <xf numFmtId="9" fontId="27" fillId="0" borderId="50" xfId="14" applyNumberFormat="1" applyFont="1" applyBorder="1" applyAlignment="1" applyProtection="1">
      <alignment horizontal="center" vertical="top"/>
      <protection hidden="1"/>
    </xf>
    <xf numFmtId="0" fontId="26" fillId="0" borderId="51" xfId="14" applyFont="1" applyBorder="1" applyAlignment="1" applyProtection="1">
      <alignment horizontal="center" vertical="top" textRotation="90"/>
      <protection hidden="1"/>
    </xf>
    <xf numFmtId="0" fontId="27" fillId="10" borderId="51" xfId="14" applyFont="1" applyFill="1" applyBorder="1" applyAlignment="1" applyProtection="1">
      <alignment horizontal="justify" vertical="center"/>
      <protection locked="0"/>
    </xf>
    <xf numFmtId="14" fontId="59" fillId="0" borderId="85" xfId="10" applyNumberFormat="1" applyFont="1" applyBorder="1" applyAlignment="1" applyProtection="1">
      <alignment horizontal="center" vertical="center" wrapText="1"/>
      <protection locked="0"/>
    </xf>
    <xf numFmtId="0" fontId="59" fillId="0" borderId="37" xfId="10" applyFont="1"/>
    <xf numFmtId="0" fontId="31" fillId="9" borderId="37" xfId="17" applyFont="1" applyFill="1"/>
    <xf numFmtId="0" fontId="31" fillId="0" borderId="37" xfId="17" applyFont="1"/>
    <xf numFmtId="0" fontId="31" fillId="9" borderId="37" xfId="17" applyFont="1" applyFill="1" applyAlignment="1">
      <alignment horizontal="center" vertical="center"/>
    </xf>
    <xf numFmtId="0" fontId="31" fillId="9" borderId="37" xfId="17" applyFont="1" applyFill="1" applyAlignment="1">
      <alignment horizontal="left" vertical="center"/>
    </xf>
    <xf numFmtId="0" fontId="31" fillId="9" borderId="37" xfId="17" applyFont="1" applyFill="1" applyAlignment="1">
      <alignment horizontal="center"/>
    </xf>
    <xf numFmtId="0" fontId="32" fillId="8" borderId="53" xfId="17" applyFont="1" applyFill="1" applyBorder="1" applyAlignment="1">
      <alignment horizontal="center" vertical="center"/>
    </xf>
    <xf numFmtId="0" fontId="32" fillId="8" borderId="51" xfId="17" applyFont="1" applyFill="1" applyBorder="1" applyAlignment="1">
      <alignment horizontal="center" vertical="center" textRotation="90"/>
    </xf>
    <xf numFmtId="0" fontId="32" fillId="8" borderId="37" xfId="17" applyFont="1" applyFill="1" applyAlignment="1">
      <alignment horizontal="center" vertical="center"/>
    </xf>
    <xf numFmtId="0" fontId="32" fillId="9" borderId="49" xfId="17" applyFont="1" applyFill="1" applyBorder="1" applyAlignment="1">
      <alignment horizontal="center" vertical="center" wrapText="1"/>
    </xf>
    <xf numFmtId="0" fontId="31" fillId="0" borderId="51" xfId="17" applyFont="1" applyBorder="1" applyAlignment="1" applyProtection="1">
      <alignment horizontal="justify" vertical="top" wrapText="1"/>
      <protection locked="0"/>
    </xf>
    <xf numFmtId="0" fontId="31" fillId="0" borderId="51" xfId="17" applyFont="1" applyBorder="1" applyAlignment="1" applyProtection="1">
      <alignment horizontal="center" vertical="top"/>
      <protection hidden="1"/>
    </xf>
    <xf numFmtId="0" fontId="30" fillId="0" borderId="51" xfId="17" applyFont="1" applyBorder="1" applyAlignment="1" applyProtection="1">
      <alignment horizontal="center" vertical="top" textRotation="90"/>
      <protection locked="0"/>
    </xf>
    <xf numFmtId="9" fontId="30" fillId="0" borderId="51" xfId="17" applyNumberFormat="1" applyFont="1" applyBorder="1" applyAlignment="1" applyProtection="1">
      <alignment horizontal="center" vertical="top"/>
      <protection hidden="1"/>
    </xf>
    <xf numFmtId="164" fontId="31" fillId="0" borderId="51" xfId="18" applyNumberFormat="1" applyFont="1" applyBorder="1" applyAlignment="1">
      <alignment horizontal="center" vertical="top"/>
    </xf>
    <xf numFmtId="0" fontId="37" fillId="0" borderId="51" xfId="17" applyFont="1" applyBorder="1" applyAlignment="1" applyProtection="1">
      <alignment horizontal="center" vertical="top" textRotation="90" wrapText="1"/>
      <protection hidden="1"/>
    </xf>
    <xf numFmtId="9" fontId="30" fillId="0" borderId="50" xfId="17" applyNumberFormat="1" applyFont="1" applyBorder="1" applyAlignment="1" applyProtection="1">
      <alignment horizontal="center" vertical="top"/>
      <protection hidden="1"/>
    </xf>
    <xf numFmtId="0" fontId="37" fillId="0" borderId="51" xfId="17" applyFont="1" applyBorder="1" applyAlignment="1" applyProtection="1">
      <alignment horizontal="center" vertical="top" textRotation="90"/>
      <protection hidden="1"/>
    </xf>
    <xf numFmtId="0" fontId="31" fillId="0" borderId="37" xfId="17" applyFont="1" applyAlignment="1">
      <alignment vertical="center"/>
    </xf>
    <xf numFmtId="0" fontId="31" fillId="0" borderId="51" xfId="17" applyFont="1" applyBorder="1" applyAlignment="1">
      <alignment horizontal="center" vertical="center"/>
    </xf>
    <xf numFmtId="0" fontId="31" fillId="6" borderId="37" xfId="19" applyFont="1" applyFill="1"/>
    <xf numFmtId="0" fontId="31" fillId="6" borderId="37" xfId="19" applyFont="1" applyFill="1" applyAlignment="1">
      <alignment horizontal="center" vertical="center"/>
    </xf>
    <xf numFmtId="0" fontId="31" fillId="6" borderId="37" xfId="19" applyFont="1" applyFill="1" applyAlignment="1">
      <alignment horizontal="left" vertical="center"/>
    </xf>
    <xf numFmtId="0" fontId="31" fillId="6" borderId="37" xfId="19" applyFont="1" applyFill="1" applyAlignment="1">
      <alignment horizontal="center"/>
    </xf>
    <xf numFmtId="0" fontId="32" fillId="7" borderId="74" xfId="19" applyFont="1" applyFill="1" applyBorder="1" applyAlignment="1">
      <alignment horizontal="center" vertical="center"/>
    </xf>
    <xf numFmtId="0" fontId="32" fillId="7" borderId="77" xfId="19" applyFont="1" applyFill="1" applyBorder="1" applyAlignment="1">
      <alignment horizontal="center" vertical="center" textRotation="90"/>
    </xf>
    <xf numFmtId="0" fontId="31" fillId="6" borderId="77" xfId="19" applyFont="1" applyFill="1" applyBorder="1" applyAlignment="1">
      <alignment vertical="center" wrapText="1"/>
    </xf>
    <xf numFmtId="0" fontId="31" fillId="0" borderId="77" xfId="19" applyFont="1" applyBorder="1" applyAlignment="1">
      <alignment horizontal="center" vertical="top"/>
    </xf>
    <xf numFmtId="0" fontId="31" fillId="0" borderId="77" xfId="19" applyFont="1" applyBorder="1" applyAlignment="1">
      <alignment horizontal="left" vertical="top" wrapText="1"/>
    </xf>
    <xf numFmtId="0" fontId="30" fillId="0" borderId="77" xfId="19" applyFont="1" applyBorder="1" applyAlignment="1">
      <alignment horizontal="center" vertical="top" textRotation="90"/>
    </xf>
    <xf numFmtId="9" fontId="30" fillId="0" borderId="77" xfId="19" applyNumberFormat="1" applyFont="1" applyBorder="1" applyAlignment="1">
      <alignment horizontal="center" vertical="top"/>
    </xf>
    <xf numFmtId="164" fontId="31" fillId="0" borderId="77" xfId="19" applyNumberFormat="1" applyFont="1" applyBorder="1" applyAlignment="1">
      <alignment horizontal="center" vertical="top"/>
    </xf>
    <xf numFmtId="0" fontId="37" fillId="0" borderId="77" xfId="19" applyFont="1" applyBorder="1" applyAlignment="1">
      <alignment horizontal="center" vertical="top" textRotation="90" wrapText="1"/>
    </xf>
    <xf numFmtId="9" fontId="30" fillId="0" borderId="73" xfId="19" applyNumberFormat="1" applyFont="1" applyBorder="1" applyAlignment="1">
      <alignment horizontal="center" vertical="top"/>
    </xf>
    <xf numFmtId="0" fontId="37" fillId="0" borderId="77" xfId="19" applyFont="1" applyBorder="1" applyAlignment="1">
      <alignment horizontal="center" vertical="top" textRotation="90"/>
    </xf>
    <xf numFmtId="0" fontId="30" fillId="0" borderId="73" xfId="19" applyFont="1" applyBorder="1" applyAlignment="1">
      <alignment horizontal="center" vertical="top" textRotation="90"/>
    </xf>
    <xf numFmtId="0" fontId="30" fillId="0" borderId="77" xfId="19" applyFont="1" applyBorder="1" applyAlignment="1">
      <alignment horizontal="center" vertical="top" wrapText="1"/>
    </xf>
    <xf numFmtId="165" fontId="30" fillId="0" borderId="77" xfId="19" applyNumberFormat="1" applyFont="1" applyBorder="1" applyAlignment="1">
      <alignment horizontal="center" vertical="top"/>
    </xf>
    <xf numFmtId="0" fontId="30" fillId="0" borderId="77" xfId="19" applyFont="1" applyBorder="1" applyAlignment="1">
      <alignment horizontal="center" vertical="top"/>
    </xf>
    <xf numFmtId="0" fontId="30" fillId="0" borderId="73" xfId="19" applyFont="1" applyBorder="1" applyAlignment="1">
      <alignment horizontal="center" vertical="center" textRotation="90"/>
    </xf>
    <xf numFmtId="0" fontId="31" fillId="0" borderId="77" xfId="19" applyFont="1" applyBorder="1" applyAlignment="1">
      <alignment horizontal="center" vertical="top" wrapText="1"/>
    </xf>
    <xf numFmtId="0" fontId="31" fillId="0" borderId="77" xfId="19" applyFont="1" applyBorder="1" applyAlignment="1">
      <alignment horizontal="left" vertical="top"/>
    </xf>
    <xf numFmtId="0" fontId="31" fillId="0" borderId="77" xfId="19" applyFont="1" applyBorder="1" applyAlignment="1">
      <alignment horizontal="center" vertical="center" wrapText="1"/>
    </xf>
    <xf numFmtId="165" fontId="30" fillId="0" borderId="77" xfId="19" applyNumberFormat="1" applyFont="1" applyBorder="1" applyAlignment="1">
      <alignment horizontal="center" vertical="center"/>
    </xf>
    <xf numFmtId="0" fontId="27" fillId="0" borderId="77" xfId="19" applyFont="1" applyBorder="1" applyAlignment="1">
      <alignment horizontal="left" vertical="top" wrapText="1"/>
    </xf>
    <xf numFmtId="165" fontId="31" fillId="0" borderId="77" xfId="19" applyNumberFormat="1" applyFont="1" applyBorder="1" applyAlignment="1">
      <alignment horizontal="center" vertical="top"/>
    </xf>
    <xf numFmtId="0" fontId="76" fillId="0" borderId="85" xfId="10" applyFont="1" applyBorder="1" applyAlignment="1" applyProtection="1">
      <alignment horizontal="justify" vertical="center" wrapText="1"/>
      <protection locked="0"/>
    </xf>
    <xf numFmtId="0" fontId="59" fillId="13" borderId="85" xfId="10" applyFont="1" applyFill="1" applyBorder="1" applyAlignment="1" applyProtection="1">
      <alignment vertical="center" wrapText="1"/>
      <protection locked="0"/>
    </xf>
    <xf numFmtId="14" fontId="59" fillId="0" borderId="87" xfId="10" applyNumberFormat="1" applyFont="1" applyBorder="1" applyAlignment="1" applyProtection="1">
      <alignment vertical="center" wrapText="1"/>
      <protection locked="0"/>
    </xf>
    <xf numFmtId="0" fontId="28" fillId="0" borderId="85" xfId="10" applyFont="1" applyBorder="1" applyAlignment="1" applyProtection="1">
      <alignment horizontal="justify" vertical="center" wrapText="1"/>
      <protection locked="0"/>
    </xf>
    <xf numFmtId="0" fontId="59" fillId="13" borderId="87" xfId="10" applyFont="1" applyFill="1" applyBorder="1" applyAlignment="1" applyProtection="1">
      <alignment vertical="center" wrapText="1"/>
      <protection locked="0"/>
    </xf>
    <xf numFmtId="14" fontId="58" fillId="0" borderId="87" xfId="10" applyNumberFormat="1" applyFont="1" applyBorder="1" applyAlignment="1" applyProtection="1">
      <alignment vertical="center" wrapText="1"/>
      <protection locked="0"/>
    </xf>
    <xf numFmtId="14" fontId="59" fillId="0" borderId="85" xfId="10" applyNumberFormat="1" applyFont="1" applyBorder="1" applyAlignment="1" applyProtection="1">
      <alignment horizontal="center" vertical="top" wrapText="1"/>
      <protection locked="0"/>
    </xf>
    <xf numFmtId="14" fontId="59" fillId="0" borderId="85" xfId="10" applyNumberFormat="1" applyFont="1" applyBorder="1" applyAlignment="1" applyProtection="1">
      <alignment horizontal="center" vertical="center"/>
      <protection locked="0"/>
    </xf>
    <xf numFmtId="0" fontId="59" fillId="0" borderId="85" xfId="10" applyFont="1" applyBorder="1" applyAlignment="1" applyProtection="1">
      <alignment vertical="top" wrapText="1"/>
      <protection locked="0"/>
    </xf>
    <xf numFmtId="0" fontId="28" fillId="0" borderId="87" xfId="10" applyFont="1" applyBorder="1" applyAlignment="1" applyProtection="1">
      <alignment vertical="center" wrapText="1"/>
      <protection locked="0"/>
    </xf>
    <xf numFmtId="0" fontId="28" fillId="0" borderId="86" xfId="10" applyFont="1" applyBorder="1" applyAlignment="1" applyProtection="1">
      <alignment vertical="center" wrapText="1"/>
      <protection locked="0"/>
    </xf>
    <xf numFmtId="0" fontId="34" fillId="0" borderId="73" xfId="17" applyFont="1" applyBorder="1" applyAlignment="1">
      <alignment horizontal="center" vertical="center" wrapText="1"/>
    </xf>
    <xf numFmtId="0" fontId="34" fillId="0" borderId="77" xfId="17" applyFont="1" applyBorder="1" applyAlignment="1">
      <alignment horizontal="center" vertical="center" wrapText="1"/>
    </xf>
    <xf numFmtId="0" fontId="34" fillId="0" borderId="77" xfId="17" applyFont="1" applyBorder="1" applyAlignment="1">
      <alignment horizontal="center" vertical="center" textRotation="90" wrapText="1"/>
    </xf>
    <xf numFmtId="9" fontId="34" fillId="0" borderId="77" xfId="17" applyNumberFormat="1" applyFont="1" applyBorder="1" applyAlignment="1">
      <alignment horizontal="center" vertical="center" wrapText="1"/>
    </xf>
    <xf numFmtId="164" fontId="34" fillId="0" borderId="77" xfId="17" applyNumberFormat="1" applyFont="1" applyBorder="1" applyAlignment="1">
      <alignment horizontal="center" vertical="center" wrapText="1"/>
    </xf>
    <xf numFmtId="0" fontId="35" fillId="0" borderId="51" xfId="17" applyFont="1" applyBorder="1" applyAlignment="1" applyProtection="1">
      <alignment horizontal="center" vertical="center"/>
      <protection locked="0"/>
    </xf>
    <xf numFmtId="0" fontId="34" fillId="6" borderId="77" xfId="17" applyFont="1" applyFill="1" applyBorder="1" applyAlignment="1">
      <alignment horizontal="center" vertical="center" wrapText="1"/>
    </xf>
    <xf numFmtId="165" fontId="34" fillId="0" borderId="77" xfId="17" applyNumberFormat="1" applyFont="1" applyBorder="1" applyAlignment="1">
      <alignment horizontal="center" vertical="center" wrapText="1"/>
    </xf>
    <xf numFmtId="0" fontId="34" fillId="0" borderId="67" xfId="17" applyFont="1" applyBorder="1" applyAlignment="1">
      <alignment horizontal="center" vertical="center" wrapText="1"/>
    </xf>
    <xf numFmtId="165" fontId="34" fillId="0" borderId="67" xfId="17" applyNumberFormat="1" applyFont="1" applyBorder="1" applyAlignment="1">
      <alignment horizontal="center" vertical="center" wrapText="1"/>
    </xf>
    <xf numFmtId="0" fontId="27" fillId="9" borderId="37" xfId="17" applyFont="1" applyFill="1"/>
    <xf numFmtId="0" fontId="27" fillId="9" borderId="37" xfId="17" applyFont="1" applyFill="1" applyAlignment="1">
      <alignment horizontal="center" vertical="center"/>
    </xf>
    <xf numFmtId="0" fontId="27" fillId="9" borderId="37" xfId="17" applyFont="1" applyFill="1" applyAlignment="1">
      <alignment horizontal="left" vertical="center"/>
    </xf>
    <xf numFmtId="0" fontId="27" fillId="9" borderId="37" xfId="17" applyFont="1" applyFill="1" applyAlignment="1">
      <alignment horizontal="center"/>
    </xf>
    <xf numFmtId="0" fontId="26" fillId="8" borderId="53" xfId="17" applyFont="1" applyFill="1" applyBorder="1" applyAlignment="1">
      <alignment horizontal="center" vertical="center"/>
    </xf>
    <xf numFmtId="0" fontId="26" fillId="8" borderId="51" xfId="17" applyFont="1" applyFill="1" applyBorder="1" applyAlignment="1">
      <alignment horizontal="center" vertical="center" textRotation="90"/>
    </xf>
    <xf numFmtId="0" fontId="27" fillId="0" borderId="49" xfId="17" applyFont="1" applyBorder="1" applyAlignment="1" applyProtection="1">
      <alignment horizontal="center" vertical="center" wrapText="1"/>
      <protection locked="0"/>
    </xf>
    <xf numFmtId="0" fontId="27" fillId="0" borderId="51" xfId="17" applyFont="1" applyBorder="1" applyAlignment="1">
      <alignment horizontal="center" vertical="center"/>
    </xf>
    <xf numFmtId="0" fontId="27" fillId="0" borderId="51" xfId="17" applyFont="1" applyBorder="1" applyAlignment="1" applyProtection="1">
      <alignment horizontal="center" vertical="center"/>
      <protection hidden="1"/>
    </xf>
    <xf numFmtId="0" fontId="27" fillId="0" borderId="51" xfId="17" applyFont="1" applyBorder="1" applyAlignment="1" applyProtection="1">
      <alignment horizontal="center" vertical="center" textRotation="90"/>
      <protection locked="0"/>
    </xf>
    <xf numFmtId="9" fontId="27" fillId="0" borderId="51" xfId="17" applyNumberFormat="1" applyFont="1" applyBorder="1" applyAlignment="1" applyProtection="1">
      <alignment horizontal="center" vertical="center"/>
      <protection hidden="1"/>
    </xf>
    <xf numFmtId="164" fontId="27" fillId="0" borderId="51" xfId="18" applyNumberFormat="1" applyFont="1" applyBorder="1" applyAlignment="1">
      <alignment horizontal="center" vertical="center"/>
    </xf>
    <xf numFmtId="0" fontId="26" fillId="0" borderId="51" xfId="17" applyFont="1" applyBorder="1" applyAlignment="1" applyProtection="1">
      <alignment horizontal="center" vertical="center" textRotation="90" wrapText="1"/>
      <protection hidden="1"/>
    </xf>
    <xf numFmtId="9" fontId="27" fillId="0" borderId="50" xfId="17" applyNumberFormat="1" applyFont="1" applyBorder="1" applyAlignment="1" applyProtection="1">
      <alignment horizontal="center" vertical="center"/>
      <protection hidden="1"/>
    </xf>
    <xf numFmtId="0" fontId="26" fillId="0" borderId="51" xfId="17" applyFont="1" applyBorder="1" applyAlignment="1" applyProtection="1">
      <alignment horizontal="center" vertical="center" textRotation="90"/>
      <protection hidden="1"/>
    </xf>
    <xf numFmtId="164" fontId="27" fillId="0" borderId="51" xfId="18" applyNumberFormat="1" applyFont="1" applyBorder="1" applyAlignment="1">
      <alignment horizontal="center" vertical="top"/>
    </xf>
    <xf numFmtId="0" fontId="26" fillId="0" borderId="51" xfId="17" applyFont="1" applyBorder="1" applyAlignment="1" applyProtection="1">
      <alignment horizontal="center" vertical="top" textRotation="90" wrapText="1"/>
      <protection hidden="1"/>
    </xf>
    <xf numFmtId="9" fontId="27" fillId="0" borderId="50" xfId="17" applyNumberFormat="1" applyFont="1" applyBorder="1" applyAlignment="1" applyProtection="1">
      <alignment horizontal="center" vertical="top"/>
      <protection hidden="1"/>
    </xf>
    <xf numFmtId="0" fontId="26" fillId="0" borderId="51" xfId="17" applyFont="1" applyBorder="1" applyAlignment="1" applyProtection="1">
      <alignment horizontal="center" vertical="top" textRotation="90"/>
      <protection hidden="1"/>
    </xf>
    <xf numFmtId="0" fontId="27" fillId="0" borderId="51" xfId="17" applyFont="1" applyBorder="1" applyAlignment="1" applyProtection="1">
      <alignment horizontal="justify" vertical="center" wrapText="1"/>
      <protection locked="0"/>
    </xf>
    <xf numFmtId="0" fontId="93" fillId="0" borderId="51" xfId="17" applyFont="1" applyBorder="1" applyAlignment="1" applyProtection="1">
      <alignment horizontal="justify" vertical="center" wrapText="1"/>
      <protection locked="0"/>
    </xf>
    <xf numFmtId="0" fontId="27" fillId="0" borderId="51" xfId="17" applyFont="1" applyBorder="1" applyAlignment="1" applyProtection="1">
      <alignment horizontal="justify" vertical="center"/>
      <protection locked="0"/>
    </xf>
    <xf numFmtId="0" fontId="90" fillId="0" borderId="37" xfId="19"/>
    <xf numFmtId="0" fontId="31" fillId="19" borderId="77" xfId="19" applyFont="1" applyFill="1" applyBorder="1" applyAlignment="1">
      <alignment horizontal="left" vertical="top" wrapText="1"/>
    </xf>
    <xf numFmtId="0" fontId="30" fillId="0" borderId="77" xfId="19" applyFont="1" applyBorder="1" applyAlignment="1">
      <alignment vertical="top" wrapText="1"/>
    </xf>
    <xf numFmtId="0" fontId="30" fillId="0" borderId="79" xfId="19" applyFont="1" applyBorder="1" applyAlignment="1">
      <alignment vertical="top" wrapText="1"/>
    </xf>
    <xf numFmtId="0" fontId="31" fillId="19" borderId="77" xfId="19" applyFont="1" applyFill="1" applyBorder="1" applyAlignment="1">
      <alignment vertical="center" wrapText="1"/>
    </xf>
    <xf numFmtId="0" fontId="30" fillId="0" borderId="80" xfId="19" applyFont="1" applyBorder="1" applyAlignment="1">
      <alignment vertical="top" wrapText="1"/>
    </xf>
    <xf numFmtId="0" fontId="31" fillId="0" borderId="74" xfId="19" applyFont="1" applyBorder="1" applyAlignment="1">
      <alignment vertical="center"/>
    </xf>
    <xf numFmtId="0" fontId="30" fillId="0" borderId="74" xfId="19" applyFont="1" applyBorder="1" applyAlignment="1">
      <alignment vertical="top" wrapText="1"/>
    </xf>
    <xf numFmtId="0" fontId="30" fillId="20" borderId="77" xfId="19" applyFont="1" applyFill="1" applyBorder="1" applyAlignment="1">
      <alignment horizontal="left" vertical="top" wrapText="1"/>
    </xf>
    <xf numFmtId="9" fontId="30" fillId="0" borderId="74" xfId="19" applyNumberFormat="1" applyFont="1" applyBorder="1" applyAlignment="1">
      <alignment vertical="top" wrapText="1"/>
    </xf>
    <xf numFmtId="0" fontId="30" fillId="21" borderId="77" xfId="19" applyFont="1" applyFill="1" applyBorder="1" applyAlignment="1">
      <alignment horizontal="left" vertical="top" wrapText="1"/>
    </xf>
    <xf numFmtId="165" fontId="31" fillId="0" borderId="77" xfId="19" applyNumberFormat="1" applyFont="1" applyBorder="1" applyAlignment="1">
      <alignment horizontal="center" vertical="center" wrapText="1"/>
    </xf>
    <xf numFmtId="0" fontId="31" fillId="0" borderId="76" xfId="19" applyFont="1" applyBorder="1" applyAlignment="1">
      <alignment vertical="center"/>
    </xf>
    <xf numFmtId="0" fontId="27" fillId="21" borderId="77" xfId="19" applyFont="1" applyFill="1" applyBorder="1" applyAlignment="1">
      <alignment horizontal="left" vertical="top" wrapText="1"/>
    </xf>
    <xf numFmtId="9" fontId="30" fillId="0" borderId="76" xfId="19" applyNumberFormat="1" applyFont="1" applyBorder="1" applyAlignment="1">
      <alignment vertical="top" wrapText="1"/>
    </xf>
    <xf numFmtId="0" fontId="31" fillId="21" borderId="77" xfId="19" applyFont="1" applyFill="1" applyBorder="1" applyAlignment="1">
      <alignment horizontal="left" vertical="top" wrapText="1"/>
    </xf>
    <xf numFmtId="9" fontId="31" fillId="0" borderId="73" xfId="19" applyNumberFormat="1" applyFont="1" applyBorder="1" applyAlignment="1">
      <alignment vertical="top" wrapText="1"/>
    </xf>
    <xf numFmtId="0" fontId="32" fillId="0" borderId="73" xfId="19" applyFont="1" applyBorder="1" applyAlignment="1">
      <alignment vertical="top"/>
    </xf>
    <xf numFmtId="0" fontId="31" fillId="0" borderId="74" xfId="19" applyFont="1" applyBorder="1" applyAlignment="1">
      <alignment vertical="top" wrapText="1"/>
    </xf>
    <xf numFmtId="0" fontId="31" fillId="0" borderId="75" xfId="19" applyFont="1" applyBorder="1" applyAlignment="1">
      <alignment vertical="top" wrapText="1"/>
    </xf>
    <xf numFmtId="0" fontId="31" fillId="0" borderId="77" xfId="19" applyFont="1" applyBorder="1" applyAlignment="1">
      <alignment vertical="top" wrapText="1"/>
    </xf>
    <xf numFmtId="0" fontId="31" fillId="0" borderId="80" xfId="19" applyFont="1" applyBorder="1" applyAlignment="1">
      <alignment vertical="top" wrapText="1"/>
    </xf>
    <xf numFmtId="0" fontId="31" fillId="0" borderId="74" xfId="19" applyFont="1" applyBorder="1" applyAlignment="1">
      <alignment vertical="top"/>
    </xf>
    <xf numFmtId="0" fontId="32" fillId="0" borderId="74" xfId="19" applyFont="1" applyBorder="1" applyAlignment="1">
      <alignment vertical="top" wrapText="1"/>
    </xf>
    <xf numFmtId="9" fontId="31" fillId="0" borderId="74" xfId="19" applyNumberFormat="1" applyFont="1" applyBorder="1" applyAlignment="1">
      <alignment vertical="top" wrapText="1"/>
    </xf>
    <xf numFmtId="0" fontId="32" fillId="0" borderId="74" xfId="19" applyFont="1" applyBorder="1" applyAlignment="1">
      <alignment vertical="top"/>
    </xf>
    <xf numFmtId="0" fontId="74" fillId="8" borderId="37" xfId="20" applyFont="1" applyFill="1" applyAlignment="1">
      <alignment horizontal="center" vertical="center"/>
    </xf>
    <xf numFmtId="0" fontId="31" fillId="9" borderId="37" xfId="20" applyFont="1" applyFill="1"/>
    <xf numFmtId="0" fontId="31" fillId="0" borderId="37" xfId="20" applyFont="1"/>
    <xf numFmtId="0" fontId="31" fillId="9" borderId="37" xfId="20" applyFont="1" applyFill="1" applyAlignment="1">
      <alignment horizontal="center" vertical="center"/>
    </xf>
    <xf numFmtId="0" fontId="31" fillId="9" borderId="37" xfId="20" applyFont="1" applyFill="1" applyAlignment="1">
      <alignment horizontal="left" vertical="center"/>
    </xf>
    <xf numFmtId="0" fontId="31" fillId="9" borderId="37" xfId="20" applyFont="1" applyFill="1" applyAlignment="1">
      <alignment horizontal="center"/>
    </xf>
    <xf numFmtId="0" fontId="30" fillId="9" borderId="37" xfId="20" applyFont="1" applyFill="1" applyAlignment="1" applyProtection="1">
      <alignment horizontal="left" vertical="center"/>
      <protection locked="0"/>
    </xf>
    <xf numFmtId="0" fontId="30" fillId="9" borderId="37" xfId="20" applyFont="1" applyFill="1" applyAlignment="1" applyProtection="1">
      <alignment horizontal="left" vertical="center" wrapText="1"/>
      <protection locked="0"/>
    </xf>
    <xf numFmtId="0" fontId="32" fillId="8" borderId="37" xfId="20" applyFont="1" applyFill="1" applyAlignment="1">
      <alignment horizontal="center" vertical="center"/>
    </xf>
    <xf numFmtId="0" fontId="32" fillId="8" borderId="53" xfId="20" applyFont="1" applyFill="1" applyBorder="1" applyAlignment="1">
      <alignment horizontal="center" vertical="center"/>
    </xf>
    <xf numFmtId="0" fontId="32" fillId="8" borderId="37" xfId="20" applyFont="1" applyFill="1" applyAlignment="1">
      <alignment horizontal="center" vertical="center" wrapText="1"/>
    </xf>
    <xf numFmtId="0" fontId="32" fillId="8" borderId="51" xfId="20" applyFont="1" applyFill="1" applyBorder="1" applyAlignment="1">
      <alignment horizontal="center" vertical="center" textRotation="90"/>
    </xf>
    <xf numFmtId="0" fontId="32" fillId="8" borderId="38" xfId="20" applyFont="1" applyFill="1" applyBorder="1" applyAlignment="1">
      <alignment horizontal="center" vertical="center" wrapText="1"/>
    </xf>
    <xf numFmtId="0" fontId="31" fillId="0" borderId="51" xfId="20" applyFont="1" applyBorder="1" applyAlignment="1">
      <alignment horizontal="center" vertical="top"/>
    </xf>
    <xf numFmtId="0" fontId="31" fillId="0" borderId="51" xfId="20" applyFont="1" applyBorder="1" applyAlignment="1" applyProtection="1">
      <alignment horizontal="justify" vertical="center" wrapText="1"/>
      <protection locked="0"/>
    </xf>
    <xf numFmtId="0" fontId="31" fillId="0" borderId="51" xfId="20" applyFont="1" applyBorder="1" applyAlignment="1" applyProtection="1">
      <alignment horizontal="center" vertical="top"/>
      <protection hidden="1"/>
    </xf>
    <xf numFmtId="0" fontId="30" fillId="0" borderId="51" xfId="20" applyFont="1" applyBorder="1" applyAlignment="1" applyProtection="1">
      <alignment horizontal="center" vertical="top" textRotation="90"/>
      <protection locked="0"/>
    </xf>
    <xf numFmtId="9" fontId="30" fillId="0" borderId="51" xfId="20" applyNumberFormat="1" applyFont="1" applyBorder="1" applyAlignment="1" applyProtection="1">
      <alignment horizontal="center" vertical="top"/>
      <protection hidden="1"/>
    </xf>
    <xf numFmtId="164" fontId="31" fillId="0" borderId="51" xfId="21" applyNumberFormat="1" applyFont="1" applyBorder="1" applyAlignment="1">
      <alignment horizontal="center" vertical="top"/>
    </xf>
    <xf numFmtId="0" fontId="37" fillId="0" borderId="51" xfId="20" applyFont="1" applyBorder="1" applyAlignment="1" applyProtection="1">
      <alignment horizontal="center" vertical="top" textRotation="90" wrapText="1"/>
      <protection hidden="1"/>
    </xf>
    <xf numFmtId="9" fontId="30" fillId="0" borderId="50" xfId="20" applyNumberFormat="1" applyFont="1" applyBorder="1" applyAlignment="1" applyProtection="1">
      <alignment horizontal="center" vertical="top"/>
      <protection hidden="1"/>
    </xf>
    <xf numFmtId="0" fontId="37" fillId="0" borderId="51" xfId="20" applyFont="1" applyBorder="1" applyAlignment="1" applyProtection="1">
      <alignment horizontal="center" vertical="top" textRotation="90"/>
      <protection hidden="1"/>
    </xf>
    <xf numFmtId="0" fontId="30" fillId="0" borderId="38" xfId="20" applyFont="1" applyBorder="1" applyAlignment="1" applyProtection="1">
      <alignment horizontal="center" vertical="center" wrapText="1"/>
      <protection locked="0"/>
    </xf>
    <xf numFmtId="14" fontId="30" fillId="0" borderId="38" xfId="20" applyNumberFormat="1" applyFont="1" applyBorder="1" applyAlignment="1" applyProtection="1">
      <alignment horizontal="center" vertical="center" wrapText="1"/>
      <protection locked="0"/>
    </xf>
    <xf numFmtId="0" fontId="31" fillId="0" borderId="37" xfId="20" applyFont="1" applyAlignment="1">
      <alignment vertical="center"/>
    </xf>
    <xf numFmtId="0" fontId="31" fillId="0" borderId="38" xfId="20" applyFont="1" applyBorder="1" applyAlignment="1" applyProtection="1">
      <alignment horizontal="center" vertical="center" wrapText="1"/>
      <protection locked="0"/>
    </xf>
    <xf numFmtId="0" fontId="30" fillId="0" borderId="49" xfId="20" applyFont="1" applyBorder="1" applyAlignment="1" applyProtection="1">
      <alignment horizontal="center" vertical="center" wrapText="1"/>
      <protection locked="0"/>
    </xf>
    <xf numFmtId="0" fontId="31" fillId="0" borderId="49" xfId="20" applyFont="1" applyBorder="1" applyAlignment="1" applyProtection="1">
      <alignment horizontal="center" vertical="center" wrapText="1"/>
      <protection locked="0"/>
    </xf>
    <xf numFmtId="0" fontId="31" fillId="0" borderId="51" xfId="20" applyFont="1" applyBorder="1" applyAlignment="1" applyProtection="1">
      <alignment horizontal="justify" vertical="top" wrapText="1"/>
      <protection locked="0"/>
    </xf>
    <xf numFmtId="0" fontId="30" fillId="0" borderId="50" xfId="20" applyFont="1" applyBorder="1" applyAlignment="1" applyProtection="1">
      <alignment horizontal="center" vertical="top" textRotation="90"/>
      <protection locked="0"/>
    </xf>
    <xf numFmtId="0" fontId="31" fillId="0" borderId="38" xfId="20" applyFont="1" applyBorder="1" applyAlignment="1" applyProtection="1">
      <alignment horizontal="center" vertical="center"/>
      <protection locked="0"/>
    </xf>
    <xf numFmtId="0" fontId="31" fillId="0" borderId="49" xfId="20" applyFont="1" applyBorder="1" applyAlignment="1" applyProtection="1">
      <alignment horizontal="center" vertical="top" wrapText="1"/>
      <protection locked="0"/>
    </xf>
    <xf numFmtId="0" fontId="27" fillId="0" borderId="51" xfId="20" applyFont="1" applyBorder="1" applyAlignment="1" applyProtection="1">
      <alignment horizontal="justify" vertical="top" wrapText="1"/>
      <protection locked="0"/>
    </xf>
    <xf numFmtId="0" fontId="31" fillId="0" borderId="51" xfId="20" applyFont="1" applyBorder="1" applyAlignment="1" applyProtection="1">
      <alignment horizontal="center" vertical="top" wrapText="1"/>
      <protection locked="0"/>
    </xf>
    <xf numFmtId="0" fontId="31" fillId="0" borderId="51" xfId="20" applyFont="1" applyBorder="1" applyAlignment="1" applyProtection="1">
      <alignment horizontal="center" vertical="top"/>
      <protection locked="0"/>
    </xf>
    <xf numFmtId="14" fontId="31" fillId="0" borderId="51" xfId="20" applyNumberFormat="1" applyFont="1" applyBorder="1" applyAlignment="1" applyProtection="1">
      <alignment horizontal="center" vertical="top"/>
      <protection locked="0"/>
    </xf>
    <xf numFmtId="0" fontId="31" fillId="0" borderId="37" xfId="20" applyFont="1" applyAlignment="1" applyProtection="1">
      <alignment horizontal="center" vertical="top"/>
      <protection locked="0"/>
    </xf>
    <xf numFmtId="0" fontId="31" fillId="0" borderId="51" xfId="20" applyFont="1" applyBorder="1" applyAlignment="1">
      <alignment horizontal="center" vertical="center"/>
    </xf>
    <xf numFmtId="0" fontId="31" fillId="0" borderId="37" xfId="20" applyFont="1" applyAlignment="1">
      <alignment horizontal="left" vertical="center" wrapText="1"/>
    </xf>
    <xf numFmtId="0" fontId="30" fillId="9" borderId="51" xfId="20" applyFont="1" applyFill="1" applyBorder="1" applyAlignment="1" applyProtection="1">
      <alignment horizontal="center" vertical="top" wrapText="1"/>
      <protection locked="0"/>
    </xf>
    <xf numFmtId="0" fontId="30" fillId="0" borderId="51" xfId="20" applyFont="1" applyBorder="1" applyAlignment="1" applyProtection="1">
      <alignment horizontal="center" vertical="top"/>
      <protection locked="0"/>
    </xf>
    <xf numFmtId="0" fontId="32" fillId="0" borderId="51" xfId="20" applyFont="1" applyBorder="1" applyAlignment="1" applyProtection="1">
      <alignment horizontal="center" vertical="top" textRotation="90" wrapText="1"/>
      <protection hidden="1"/>
    </xf>
    <xf numFmtId="9" fontId="31" fillId="0" borderId="50" xfId="20" applyNumberFormat="1" applyFont="1" applyBorder="1" applyAlignment="1" applyProtection="1">
      <alignment horizontal="center" vertical="top"/>
      <protection hidden="1"/>
    </xf>
    <xf numFmtId="0" fontId="32" fillId="9" borderId="49" xfId="20" applyFont="1" applyFill="1" applyBorder="1" applyAlignment="1">
      <alignment vertical="center" wrapText="1"/>
    </xf>
    <xf numFmtId="0" fontId="31" fillId="0" borderId="51" xfId="20" applyFont="1" applyBorder="1" applyAlignment="1" applyProtection="1">
      <alignment horizontal="justify" vertical="top"/>
      <protection locked="0"/>
    </xf>
    <xf numFmtId="0" fontId="27" fillId="9" borderId="51" xfId="20" applyFont="1" applyFill="1" applyBorder="1" applyAlignment="1" applyProtection="1">
      <alignment horizontal="justify" vertical="top" wrapText="1"/>
      <protection locked="0"/>
    </xf>
    <xf numFmtId="0" fontId="30" fillId="0" borderId="51" xfId="20" applyFont="1" applyBorder="1" applyAlignment="1" applyProtection="1">
      <alignment horizontal="center" vertical="top" wrapText="1"/>
      <protection locked="0"/>
    </xf>
    <xf numFmtId="14" fontId="31" fillId="0" borderId="51" xfId="20" applyNumberFormat="1" applyFont="1" applyBorder="1" applyAlignment="1" applyProtection="1">
      <alignment horizontal="center" vertical="top" wrapText="1"/>
      <protection locked="0"/>
    </xf>
    <xf numFmtId="0" fontId="30" fillId="0" borderId="49" xfId="20" applyFont="1" applyBorder="1" applyAlignment="1" applyProtection="1">
      <alignment horizontal="center" vertical="top" wrapText="1"/>
      <protection locked="0"/>
    </xf>
    <xf numFmtId="0" fontId="32" fillId="8" borderId="41" xfId="20" applyFont="1" applyFill="1" applyBorder="1" applyAlignment="1">
      <alignment vertical="center"/>
    </xf>
    <xf numFmtId="0" fontId="32" fillId="8" borderId="128" xfId="20" applyFont="1" applyFill="1" applyBorder="1" applyAlignment="1">
      <alignment vertical="center"/>
    </xf>
    <xf numFmtId="0" fontId="30" fillId="9" borderId="49" xfId="20" applyFont="1" applyFill="1" applyBorder="1" applyAlignment="1">
      <alignment vertical="center" wrapText="1"/>
    </xf>
    <xf numFmtId="0" fontId="37" fillId="0" borderId="51" xfId="20" applyFont="1" applyBorder="1" applyAlignment="1" applyProtection="1">
      <alignment horizontal="center" vertical="center" textRotation="90" wrapText="1"/>
      <protection hidden="1"/>
    </xf>
    <xf numFmtId="0" fontId="37" fillId="0" borderId="51" xfId="20" applyFont="1" applyBorder="1" applyAlignment="1" applyProtection="1">
      <alignment horizontal="center" vertical="center" textRotation="90"/>
      <protection hidden="1"/>
    </xf>
    <xf numFmtId="0" fontId="31" fillId="0" borderId="50" xfId="0" applyFont="1" applyBorder="1" applyAlignment="1">
      <alignment horizontal="center" vertical="center"/>
    </xf>
    <xf numFmtId="0" fontId="35" fillId="0" borderId="49" xfId="0" applyFont="1" applyBorder="1" applyAlignment="1" applyProtection="1">
      <alignment horizontal="center" vertical="top" wrapText="1"/>
      <protection locked="0"/>
    </xf>
    <xf numFmtId="0" fontId="35" fillId="0" borderId="59" xfId="0" applyFont="1" applyBorder="1" applyAlignment="1" applyProtection="1">
      <alignment horizontal="center" vertical="top" wrapText="1"/>
      <protection locked="0"/>
    </xf>
    <xf numFmtId="0" fontId="35" fillId="0" borderId="60" xfId="0" applyFont="1" applyBorder="1" applyAlignment="1" applyProtection="1">
      <alignment horizontal="center" vertical="top" wrapText="1"/>
      <protection locked="0"/>
    </xf>
    <xf numFmtId="0" fontId="31" fillId="6" borderId="37" xfId="0" applyFont="1" applyFill="1" applyBorder="1" applyAlignment="1">
      <alignment horizontal="center" vertical="center"/>
    </xf>
    <xf numFmtId="0" fontId="31" fillId="6" borderId="37" xfId="0" applyFont="1" applyFill="1" applyBorder="1" applyAlignment="1">
      <alignment horizontal="left" vertical="center"/>
    </xf>
    <xf numFmtId="0" fontId="31" fillId="6" borderId="37" xfId="0" applyFont="1" applyFill="1" applyBorder="1" applyAlignment="1">
      <alignment horizontal="center"/>
    </xf>
    <xf numFmtId="0" fontId="32" fillId="7" borderId="74" xfId="0" applyFont="1" applyFill="1" applyBorder="1" applyAlignment="1">
      <alignment horizontal="center" vertical="center"/>
    </xf>
    <xf numFmtId="0" fontId="32" fillId="7" borderId="77" xfId="0" applyFont="1" applyFill="1" applyBorder="1" applyAlignment="1">
      <alignment horizontal="center" vertical="center" textRotation="90"/>
    </xf>
    <xf numFmtId="0" fontId="74" fillId="8" borderId="0" xfId="0" applyFont="1" applyFill="1" applyAlignment="1">
      <alignment horizontal="center" vertical="center"/>
    </xf>
    <xf numFmtId="0" fontId="31" fillId="9" borderId="0" xfId="0" applyFont="1" applyFill="1"/>
    <xf numFmtId="0" fontId="31" fillId="9" borderId="97" xfId="0" applyFont="1" applyFill="1" applyBorder="1"/>
    <xf numFmtId="0" fontId="31" fillId="9" borderId="98" xfId="0" applyFont="1" applyFill="1" applyBorder="1"/>
    <xf numFmtId="0" fontId="31" fillId="9" borderId="0" xfId="0" applyFont="1" applyFill="1" applyAlignment="1">
      <alignment horizontal="center" vertical="center"/>
    </xf>
    <xf numFmtId="0" fontId="31" fillId="9" borderId="0" xfId="0" applyFont="1" applyFill="1" applyAlignment="1">
      <alignment horizontal="left" vertical="center"/>
    </xf>
    <xf numFmtId="0" fontId="31" fillId="9" borderId="0" xfId="0" applyFont="1" applyFill="1" applyAlignment="1">
      <alignment horizontal="center"/>
    </xf>
    <xf numFmtId="0" fontId="31" fillId="9" borderId="99" xfId="0" applyFont="1" applyFill="1" applyBorder="1"/>
    <xf numFmtId="0" fontId="30" fillId="9" borderId="0" xfId="0" applyFont="1" applyFill="1" applyAlignment="1" applyProtection="1">
      <alignment horizontal="left" vertical="center"/>
      <protection locked="0"/>
    </xf>
    <xf numFmtId="0" fontId="30" fillId="9" borderId="118" xfId="0" applyFont="1" applyFill="1" applyBorder="1" applyAlignment="1" applyProtection="1">
      <alignment horizontal="left" vertical="center" wrapText="1"/>
      <protection locked="0"/>
    </xf>
    <xf numFmtId="0" fontId="31" fillId="9" borderId="100" xfId="0" applyFont="1" applyFill="1" applyBorder="1"/>
    <xf numFmtId="0" fontId="32" fillId="8" borderId="0" xfId="0" applyFont="1" applyFill="1" applyAlignment="1">
      <alignment horizontal="center" vertical="center"/>
    </xf>
    <xf numFmtId="0" fontId="31" fillId="8" borderId="98" xfId="0" applyFont="1" applyFill="1" applyBorder="1"/>
    <xf numFmtId="0" fontId="31" fillId="8" borderId="0" xfId="0" applyFont="1" applyFill="1"/>
    <xf numFmtId="0" fontId="31" fillId="15" borderId="0" xfId="0" applyFont="1" applyFill="1"/>
    <xf numFmtId="0" fontId="32" fillId="15" borderId="0" xfId="0" applyFont="1" applyFill="1" applyAlignment="1">
      <alignment horizontal="center" vertical="center"/>
    </xf>
    <xf numFmtId="0" fontId="31" fillId="0" borderId="50" xfId="0" applyFont="1" applyBorder="1" applyAlignment="1" applyProtection="1">
      <alignment horizontal="center" vertical="center" wrapText="1"/>
      <protection locked="0"/>
    </xf>
    <xf numFmtId="0" fontId="31" fillId="0" borderId="51" xfId="0" applyFont="1" applyBorder="1" applyAlignment="1">
      <alignment horizontal="center" vertical="center"/>
    </xf>
    <xf numFmtId="0" fontId="27" fillId="0" borderId="51" xfId="0" applyFont="1" applyBorder="1" applyAlignment="1" applyProtection="1">
      <alignment horizontal="justify" vertical="center" wrapText="1"/>
      <protection locked="0"/>
    </xf>
    <xf numFmtId="0" fontId="31" fillId="0" borderId="51" xfId="0" applyFont="1" applyBorder="1" applyAlignment="1" applyProtection="1">
      <alignment horizontal="center" vertical="center"/>
      <protection hidden="1"/>
    </xf>
    <xf numFmtId="0" fontId="30" fillId="0" borderId="51" xfId="0" applyFont="1" applyBorder="1" applyAlignment="1" applyProtection="1">
      <alignment horizontal="center" vertical="center" textRotation="90"/>
      <protection locked="0"/>
    </xf>
    <xf numFmtId="9" fontId="30" fillId="0" borderId="51" xfId="0" applyNumberFormat="1" applyFont="1" applyBorder="1" applyAlignment="1" applyProtection="1">
      <alignment horizontal="center" vertical="center"/>
      <protection hidden="1"/>
    </xf>
    <xf numFmtId="164" fontId="31" fillId="0" borderId="51" xfId="16" applyNumberFormat="1" applyFont="1" applyBorder="1" applyAlignment="1">
      <alignment horizontal="center" vertical="center"/>
    </xf>
    <xf numFmtId="0" fontId="37" fillId="0" borderId="51" xfId="0" applyFont="1" applyBorder="1" applyAlignment="1" applyProtection="1">
      <alignment horizontal="center" vertical="center" textRotation="90" wrapText="1"/>
      <protection hidden="1"/>
    </xf>
    <xf numFmtId="9" fontId="30" fillId="0" borderId="50" xfId="0" applyNumberFormat="1" applyFont="1" applyBorder="1" applyAlignment="1" applyProtection="1">
      <alignment horizontal="center" vertical="center"/>
      <protection hidden="1"/>
    </xf>
    <xf numFmtId="0" fontId="37" fillId="0" borderId="51" xfId="0" applyFont="1" applyBorder="1" applyAlignment="1" applyProtection="1">
      <alignment horizontal="center" vertical="center" textRotation="90"/>
      <protection hidden="1"/>
    </xf>
    <xf numFmtId="0" fontId="30" fillId="0" borderId="101" xfId="0" applyFont="1" applyBorder="1" applyAlignment="1" applyProtection="1">
      <alignment vertical="center" wrapText="1"/>
      <protection locked="0"/>
    </xf>
    <xf numFmtId="0" fontId="30" fillId="0" borderId="50" xfId="0" applyFont="1" applyBorder="1" applyAlignment="1" applyProtection="1">
      <alignment vertical="center" wrapText="1"/>
      <protection locked="0"/>
    </xf>
    <xf numFmtId="14" fontId="30" fillId="0" borderId="102" xfId="0" applyNumberFormat="1" applyFont="1" applyBorder="1" applyAlignment="1" applyProtection="1">
      <alignment horizontal="center" vertical="center" wrapText="1"/>
      <protection locked="0"/>
    </xf>
    <xf numFmtId="14" fontId="30" fillId="0" borderId="103" xfId="0" applyNumberFormat="1" applyFont="1" applyBorder="1" applyAlignment="1" applyProtection="1">
      <alignment horizontal="center" vertical="center" wrapText="1"/>
      <protection locked="0"/>
    </xf>
    <xf numFmtId="0" fontId="31" fillId="0" borderId="43" xfId="0" applyFont="1" applyBorder="1" applyAlignment="1" applyProtection="1">
      <alignment horizontal="center" vertical="center" wrapText="1"/>
      <protection locked="0"/>
    </xf>
    <xf numFmtId="0" fontId="30" fillId="0" borderId="51" xfId="0" applyFont="1" applyBorder="1" applyAlignment="1" applyProtection="1">
      <alignment horizontal="center" vertical="center"/>
      <protection locked="0"/>
    </xf>
    <xf numFmtId="0" fontId="31" fillId="9" borderId="104" xfId="0" applyFont="1" applyFill="1" applyBorder="1" applyAlignment="1">
      <alignment vertical="center" wrapText="1"/>
    </xf>
    <xf numFmtId="0" fontId="31" fillId="0" borderId="53" xfId="0" applyFont="1" applyBorder="1" applyAlignment="1" applyProtection="1">
      <alignment horizontal="left" vertical="center" wrapText="1"/>
      <protection locked="0"/>
    </xf>
    <xf numFmtId="0" fontId="31" fillId="0" borderId="61" xfId="0" applyFont="1" applyBorder="1" applyAlignment="1" applyProtection="1">
      <alignment horizontal="center" vertical="center" wrapText="1"/>
      <protection locked="0"/>
    </xf>
    <xf numFmtId="0" fontId="31" fillId="0" borderId="53" xfId="0" applyFont="1" applyBorder="1" applyAlignment="1" applyProtection="1">
      <alignment horizontal="left" vertical="top" wrapText="1"/>
      <protection locked="0"/>
    </xf>
    <xf numFmtId="0" fontId="31" fillId="0" borderId="0" xfId="0" applyFont="1" applyAlignment="1">
      <alignment vertical="center" wrapText="1"/>
    </xf>
    <xf numFmtId="0" fontId="30" fillId="0" borderId="50" xfId="0" applyFont="1" applyBorder="1" applyAlignment="1" applyProtection="1">
      <alignment horizontal="center" vertical="center" wrapText="1"/>
      <protection locked="0"/>
    </xf>
    <xf numFmtId="0" fontId="35" fillId="0" borderId="59" xfId="0" applyFont="1" applyBorder="1" applyAlignment="1" applyProtection="1">
      <alignment horizontal="center" vertical="center" wrapText="1"/>
      <protection locked="0"/>
    </xf>
    <xf numFmtId="0" fontId="30" fillId="0" borderId="50" xfId="0" applyFont="1" applyBorder="1" applyAlignment="1" applyProtection="1">
      <alignment horizontal="center" vertical="center"/>
      <protection locked="0"/>
    </xf>
    <xf numFmtId="0" fontId="37" fillId="0" borderId="50" xfId="0" applyFont="1" applyBorder="1" applyAlignment="1" applyProtection="1">
      <alignment horizontal="center" vertical="center" wrapText="1"/>
      <protection hidden="1"/>
    </xf>
    <xf numFmtId="0" fontId="37" fillId="0" borderId="50" xfId="0" applyFont="1" applyBorder="1" applyAlignment="1" applyProtection="1">
      <alignment horizontal="center" vertical="center"/>
      <protection hidden="1"/>
    </xf>
    <xf numFmtId="9" fontId="30" fillId="0" borderId="50" xfId="0" applyNumberFormat="1" applyFont="1" applyBorder="1" applyAlignment="1" applyProtection="1">
      <alignment horizontal="center" vertical="center" wrapText="1"/>
      <protection locked="0"/>
    </xf>
    <xf numFmtId="9" fontId="30" fillId="0" borderId="50" xfId="0" applyNumberFormat="1" applyFont="1" applyBorder="1" applyAlignment="1" applyProtection="1">
      <alignment horizontal="center" vertical="center" wrapText="1"/>
      <protection hidden="1"/>
    </xf>
    <xf numFmtId="0" fontId="31" fillId="9" borderId="0" xfId="0" applyFont="1" applyFill="1" applyAlignment="1">
      <alignment wrapText="1"/>
    </xf>
    <xf numFmtId="164" fontId="31" fillId="0" borderId="51" xfId="16" applyNumberFormat="1" applyFont="1" applyBorder="1" applyAlignment="1">
      <alignment horizontal="center" vertical="top"/>
    </xf>
    <xf numFmtId="0" fontId="30" fillId="0" borderId="51" xfId="0" applyFont="1" applyBorder="1" applyAlignment="1" applyProtection="1">
      <alignment horizontal="left" vertical="center" wrapText="1"/>
      <protection locked="0"/>
    </xf>
    <xf numFmtId="14" fontId="30" fillId="0" borderId="51" xfId="0" applyNumberFormat="1" applyFont="1" applyBorder="1" applyAlignment="1" applyProtection="1">
      <alignment horizontal="center" vertical="top" wrapText="1"/>
      <protection locked="0"/>
    </xf>
    <xf numFmtId="0" fontId="31" fillId="0" borderId="51" xfId="0" applyFont="1" applyBorder="1" applyAlignment="1" applyProtection="1">
      <alignment horizontal="left" vertical="top" wrapText="1"/>
      <protection locked="0"/>
    </xf>
    <xf numFmtId="14" fontId="31" fillId="0" borderId="51" xfId="0" applyNumberFormat="1" applyFont="1" applyBorder="1" applyAlignment="1" applyProtection="1">
      <alignment horizontal="center" vertical="top" wrapText="1"/>
      <protection locked="0"/>
    </xf>
    <xf numFmtId="0" fontId="30" fillId="0" borderId="49" xfId="0" applyFont="1" applyBorder="1" applyAlignment="1" applyProtection="1">
      <alignment horizontal="left" vertical="top" wrapText="1"/>
      <protection locked="0"/>
    </xf>
    <xf numFmtId="0" fontId="27" fillId="0" borderId="51" xfId="0" applyFont="1" applyBorder="1" applyAlignment="1" applyProtection="1">
      <alignment horizontal="justify" vertical="top"/>
      <protection locked="0"/>
    </xf>
    <xf numFmtId="0" fontId="31" fillId="0" borderId="0" xfId="0" applyFont="1" applyAlignment="1">
      <alignment horizontal="justify" vertical="center"/>
    </xf>
    <xf numFmtId="0" fontId="32" fillId="8" borderId="47" xfId="0" applyFont="1" applyFill="1" applyBorder="1" applyAlignment="1">
      <alignment vertical="center"/>
    </xf>
    <xf numFmtId="0" fontId="32" fillId="8" borderId="48" xfId="0" applyFont="1" applyFill="1" applyBorder="1" applyAlignment="1">
      <alignment vertical="center"/>
    </xf>
    <xf numFmtId="0" fontId="32" fillId="8" borderId="45" xfId="0" applyFont="1" applyFill="1" applyBorder="1" applyAlignment="1">
      <alignment vertical="center"/>
    </xf>
    <xf numFmtId="0" fontId="32" fillId="8" borderId="46" xfId="0" applyFont="1" applyFill="1" applyBorder="1" applyAlignment="1">
      <alignment vertical="center"/>
    </xf>
    <xf numFmtId="0" fontId="32" fillId="8" borderId="44" xfId="0" applyFont="1" applyFill="1" applyBorder="1" applyAlignment="1">
      <alignment vertical="center"/>
    </xf>
    <xf numFmtId="0" fontId="32" fillId="9" borderId="38" xfId="0" applyFont="1" applyFill="1" applyBorder="1" applyAlignment="1">
      <alignment horizontal="center" vertical="center"/>
    </xf>
    <xf numFmtId="0" fontId="30" fillId="9" borderId="49" xfId="0" applyFont="1" applyFill="1" applyBorder="1" applyAlignment="1">
      <alignment vertical="center" wrapText="1"/>
    </xf>
    <xf numFmtId="0" fontId="30" fillId="0" borderId="51" xfId="0" applyFont="1" applyBorder="1" applyAlignment="1" applyProtection="1">
      <alignment horizontal="justify" vertical="top" wrapText="1"/>
      <protection locked="0"/>
    </xf>
    <xf numFmtId="0" fontId="30" fillId="9" borderId="51" xfId="0" applyFont="1" applyFill="1" applyBorder="1" applyAlignment="1" applyProtection="1">
      <alignment horizontal="center" vertical="center" wrapText="1"/>
      <protection locked="0"/>
    </xf>
    <xf numFmtId="0" fontId="30" fillId="0" borderId="51" xfId="0" applyFont="1" applyBorder="1" applyAlignment="1" applyProtection="1">
      <alignment horizontal="center" vertical="center" wrapText="1"/>
      <protection locked="0"/>
    </xf>
    <xf numFmtId="0" fontId="30" fillId="0" borderId="47" xfId="0" applyFont="1" applyBorder="1" applyAlignment="1" applyProtection="1">
      <alignment horizontal="center" vertical="center"/>
      <protection locked="0"/>
    </xf>
    <xf numFmtId="0" fontId="34" fillId="9" borderId="38" xfId="0" applyFont="1" applyFill="1" applyBorder="1" applyAlignment="1">
      <alignment vertical="center" wrapText="1"/>
    </xf>
    <xf numFmtId="0" fontId="31" fillId="9" borderId="38" xfId="0" applyFont="1" applyFill="1" applyBorder="1" applyAlignment="1">
      <alignment vertical="center" wrapText="1"/>
    </xf>
    <xf numFmtId="0" fontId="30" fillId="9" borderId="50" xfId="0" applyFont="1" applyFill="1" applyBorder="1" applyAlignment="1" applyProtection="1">
      <alignment horizontal="center" vertical="center" wrapText="1"/>
      <protection locked="0"/>
    </xf>
    <xf numFmtId="14" fontId="30" fillId="0" borderId="50" xfId="0" applyNumberFormat="1" applyFont="1" applyBorder="1" applyAlignment="1" applyProtection="1">
      <alignment horizontal="center" vertical="center"/>
      <protection locked="0"/>
    </xf>
    <xf numFmtId="0" fontId="30" fillId="0" borderId="41" xfId="0" applyFont="1" applyBorder="1" applyAlignment="1" applyProtection="1">
      <alignment horizontal="center" vertical="center"/>
      <protection locked="0"/>
    </xf>
    <xf numFmtId="0" fontId="30" fillId="0" borderId="51" xfId="0" applyFont="1" applyBorder="1" applyAlignment="1" applyProtection="1">
      <alignment horizontal="justify" vertical="top"/>
      <protection locked="0"/>
    </xf>
    <xf numFmtId="14" fontId="31" fillId="0" borderId="51" xfId="0" applyNumberFormat="1" applyFont="1" applyBorder="1" applyAlignment="1" applyProtection="1">
      <alignment horizontal="center" vertical="center"/>
      <protection locked="0"/>
    </xf>
    <xf numFmtId="0" fontId="31" fillId="0" borderId="47" xfId="0" applyFont="1" applyBorder="1" applyAlignment="1" applyProtection="1">
      <alignment horizontal="center" vertical="center"/>
      <protection locked="0"/>
    </xf>
    <xf numFmtId="0" fontId="30" fillId="9" borderId="49" xfId="0" applyFont="1" applyFill="1" applyBorder="1" applyAlignment="1" applyProtection="1">
      <alignment horizontal="center" vertical="top" wrapText="1"/>
      <protection locked="0"/>
    </xf>
    <xf numFmtId="0" fontId="30" fillId="9" borderId="51" xfId="0" applyFont="1" applyFill="1" applyBorder="1" applyAlignment="1" applyProtection="1">
      <alignment horizontal="justify" vertical="top" wrapText="1"/>
      <protection locked="0"/>
    </xf>
    <xf numFmtId="0" fontId="31" fillId="0" borderId="50" xfId="0" applyFont="1" applyBorder="1" applyAlignment="1" applyProtection="1">
      <alignment horizontal="center" vertical="top" textRotation="90"/>
      <protection locked="0"/>
    </xf>
    <xf numFmtId="0" fontId="31" fillId="0" borderId="38" xfId="0" applyFont="1" applyBorder="1" applyAlignment="1">
      <alignment vertical="center" wrapText="1"/>
    </xf>
    <xf numFmtId="0" fontId="30" fillId="9" borderId="49" xfId="0" applyFont="1" applyFill="1" applyBorder="1" applyAlignment="1" applyProtection="1">
      <alignment horizontal="left" vertical="top" wrapText="1"/>
      <protection locked="0"/>
    </xf>
    <xf numFmtId="0" fontId="30" fillId="9" borderId="49" xfId="0" applyFont="1" applyFill="1" applyBorder="1" applyAlignment="1">
      <alignment horizontal="left" vertical="center" wrapText="1"/>
    </xf>
    <xf numFmtId="14" fontId="31" fillId="0" borderId="0" xfId="0" applyNumberFormat="1" applyFont="1" applyAlignment="1">
      <alignment horizontal="center" vertical="center"/>
    </xf>
    <xf numFmtId="0" fontId="31" fillId="0" borderId="50" xfId="0" applyFont="1" applyBorder="1" applyAlignment="1" applyProtection="1">
      <alignment horizontal="center" vertical="center" textRotation="90"/>
      <protection locked="0"/>
    </xf>
    <xf numFmtId="14" fontId="31" fillId="0" borderId="51" xfId="0" applyNumberFormat="1" applyFont="1" applyBorder="1" applyAlignment="1" applyProtection="1">
      <alignment horizontal="center" vertical="center" wrapText="1"/>
      <protection locked="0"/>
    </xf>
    <xf numFmtId="0" fontId="31" fillId="0" borderId="51" xfId="0" applyFont="1" applyBorder="1" applyAlignment="1" applyProtection="1">
      <alignment horizontal="center" vertical="center"/>
      <protection locked="0"/>
    </xf>
    <xf numFmtId="0" fontId="34" fillId="0" borderId="50" xfId="0" applyFont="1" applyBorder="1" applyAlignment="1" applyProtection="1">
      <alignment horizontal="center" vertical="center" wrapText="1"/>
      <protection locked="0"/>
    </xf>
    <xf numFmtId="0" fontId="31" fillId="0" borderId="50" xfId="0" applyFont="1" applyBorder="1" applyAlignment="1" applyProtection="1">
      <alignment horizontal="center" vertical="center"/>
      <protection locked="0"/>
    </xf>
    <xf numFmtId="9" fontId="31" fillId="0" borderId="50" xfId="0" applyNumberFormat="1" applyFont="1" applyBorder="1" applyAlignment="1" applyProtection="1">
      <alignment horizontal="center" vertical="center" wrapText="1"/>
      <protection hidden="1"/>
    </xf>
    <xf numFmtId="9" fontId="31" fillId="0" borderId="50" xfId="0" applyNumberFormat="1" applyFont="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hidden="1"/>
    </xf>
    <xf numFmtId="0" fontId="32" fillId="0" borderId="50" xfId="0" applyFont="1" applyBorder="1" applyAlignment="1" applyProtection="1">
      <alignment horizontal="center" vertical="center"/>
      <protection hidden="1"/>
    </xf>
    <xf numFmtId="0" fontId="31" fillId="0" borderId="51" xfId="0" applyFont="1" applyBorder="1" applyAlignment="1" applyProtection="1">
      <alignment horizontal="center" vertical="center" textRotation="90"/>
      <protection locked="0"/>
    </xf>
    <xf numFmtId="9" fontId="31" fillId="0" borderId="51" xfId="0" applyNumberFormat="1" applyFont="1" applyBorder="1" applyAlignment="1" applyProtection="1">
      <alignment horizontal="center" vertical="center"/>
      <protection hidden="1"/>
    </xf>
    <xf numFmtId="0" fontId="32" fillId="0" borderId="51" xfId="0" applyFont="1" applyBorder="1" applyAlignment="1" applyProtection="1">
      <alignment horizontal="center" vertical="center" textRotation="90" wrapText="1"/>
      <protection hidden="1"/>
    </xf>
    <xf numFmtId="9" fontId="31" fillId="0" borderId="50" xfId="0" applyNumberFormat="1" applyFont="1" applyBorder="1" applyAlignment="1" applyProtection="1">
      <alignment horizontal="center" vertical="center"/>
      <protection hidden="1"/>
    </xf>
    <xf numFmtId="0" fontId="32" fillId="0" borderId="51" xfId="0" applyFont="1" applyBorder="1" applyAlignment="1" applyProtection="1">
      <alignment horizontal="center" vertical="center" textRotation="90"/>
      <protection hidden="1"/>
    </xf>
    <xf numFmtId="0" fontId="30" fillId="0" borderId="41" xfId="0" applyFont="1" applyBorder="1" applyAlignment="1" applyProtection="1">
      <alignment horizontal="center" vertical="center" wrapText="1"/>
      <protection locked="0"/>
    </xf>
    <xf numFmtId="0" fontId="35" fillId="0" borderId="59" xfId="0" applyFont="1" applyBorder="1" applyAlignment="1" applyProtection="1">
      <alignment horizontal="left" vertical="center" wrapText="1"/>
      <protection locked="0"/>
    </xf>
    <xf numFmtId="0" fontId="35" fillId="0" borderId="59" xfId="0" applyFont="1" applyBorder="1" applyAlignment="1" applyProtection="1">
      <alignment vertical="center" wrapText="1"/>
      <protection locked="0"/>
    </xf>
    <xf numFmtId="0" fontId="30" fillId="0" borderId="43" xfId="0" applyFont="1" applyBorder="1" applyAlignment="1" applyProtection="1">
      <alignment vertical="center" wrapText="1"/>
      <protection locked="0"/>
    </xf>
    <xf numFmtId="0" fontId="31" fillId="0" borderId="51" xfId="0" applyFont="1" applyBorder="1" applyAlignment="1" applyProtection="1">
      <alignment horizontal="justify" vertical="center" wrapText="1"/>
      <protection locked="0"/>
    </xf>
    <xf numFmtId="14" fontId="30" fillId="0" borderId="51" xfId="0" quotePrefix="1" applyNumberFormat="1" applyFont="1" applyBorder="1" applyAlignment="1" applyProtection="1">
      <alignment horizontal="center" vertical="center" wrapText="1"/>
      <protection locked="0"/>
    </xf>
    <xf numFmtId="0" fontId="31" fillId="0" borderId="50" xfId="0" applyFont="1" applyBorder="1" applyAlignment="1" applyProtection="1">
      <alignment horizontal="left" vertical="center" wrapText="1"/>
      <protection locked="0"/>
    </xf>
    <xf numFmtId="0" fontId="31" fillId="0" borderId="49" xfId="0" applyFont="1" applyBorder="1" applyAlignment="1" applyProtection="1">
      <alignment horizontal="center" vertical="center" wrapText="1"/>
      <protection locked="0"/>
    </xf>
    <xf numFmtId="0" fontId="34" fillId="0" borderId="49" xfId="0" applyFont="1" applyBorder="1" applyAlignment="1" applyProtection="1">
      <alignment horizontal="center" vertical="center" wrapText="1"/>
      <protection locked="0"/>
    </xf>
    <xf numFmtId="0" fontId="34" fillId="0" borderId="59" xfId="0" applyFont="1" applyBorder="1" applyAlignment="1" applyProtection="1">
      <alignment horizontal="center" vertical="center" wrapText="1"/>
      <protection locked="0"/>
    </xf>
    <xf numFmtId="0" fontId="34" fillId="0" borderId="51" xfId="0" applyFont="1" applyBorder="1" applyAlignment="1" applyProtection="1">
      <alignment horizontal="justify" vertical="center" wrapText="1"/>
      <protection locked="0"/>
    </xf>
    <xf numFmtId="0" fontId="31" fillId="0" borderId="51" xfId="0" applyFont="1" applyBorder="1" applyAlignment="1" applyProtection="1">
      <alignment horizontal="left" vertical="center" wrapText="1"/>
      <protection locked="0"/>
    </xf>
    <xf numFmtId="14" fontId="30" fillId="0" borderId="51" xfId="0" applyNumberFormat="1" applyFont="1" applyBorder="1" applyAlignment="1" applyProtection="1">
      <alignment horizontal="center" vertical="center" wrapText="1"/>
      <protection locked="0"/>
    </xf>
    <xf numFmtId="0" fontId="34" fillId="0" borderId="53" xfId="0" applyFont="1" applyBorder="1" applyAlignment="1" applyProtection="1">
      <alignment horizontal="center" vertical="center" wrapText="1"/>
      <protection locked="0"/>
    </xf>
    <xf numFmtId="0" fontId="31" fillId="0" borderId="51" xfId="0" applyFont="1" applyBorder="1" applyAlignment="1" applyProtection="1">
      <alignment horizontal="justify" vertical="center"/>
      <protection locked="0"/>
    </xf>
    <xf numFmtId="0" fontId="34" fillId="0" borderId="52" xfId="0" applyFont="1" applyBorder="1" applyAlignment="1" applyProtection="1">
      <alignment horizontal="center" vertical="center" wrapText="1"/>
      <protection locked="0"/>
    </xf>
    <xf numFmtId="0" fontId="32" fillId="9" borderId="49" xfId="0" applyFont="1" applyFill="1" applyBorder="1" applyAlignment="1">
      <alignment vertical="center" wrapText="1"/>
    </xf>
    <xf numFmtId="0" fontId="32" fillId="0" borderId="49" xfId="0" applyFont="1" applyBorder="1" applyAlignment="1">
      <alignment vertical="center" wrapText="1"/>
    </xf>
    <xf numFmtId="0" fontId="32" fillId="9" borderId="49" xfId="0" applyFont="1" applyFill="1" applyBorder="1" applyAlignment="1">
      <alignment horizontal="center" vertical="center" wrapText="1"/>
    </xf>
    <xf numFmtId="0" fontId="31" fillId="0" borderId="38" xfId="0" applyFont="1" applyBorder="1" applyAlignment="1" applyProtection="1">
      <alignment horizontal="center" vertical="center" wrapText="1"/>
      <protection locked="0"/>
    </xf>
    <xf numFmtId="0" fontId="27" fillId="0" borderId="51" xfId="0" applyFont="1" applyBorder="1" applyAlignment="1" applyProtection="1">
      <alignment horizontal="center" vertical="center" wrapText="1"/>
      <protection locked="0"/>
    </xf>
    <xf numFmtId="0" fontId="39" fillId="8" borderId="0" xfId="0" applyFont="1" applyFill="1" applyAlignment="1">
      <alignment horizontal="center" vertical="center"/>
    </xf>
    <xf numFmtId="0" fontId="40" fillId="9" borderId="0" xfId="0" applyFont="1" applyFill="1"/>
    <xf numFmtId="0" fontId="40" fillId="9" borderId="0" xfId="0" applyFont="1" applyFill="1" applyAlignment="1">
      <alignment horizontal="center" vertical="center"/>
    </xf>
    <xf numFmtId="0" fontId="40" fillId="9" borderId="0" xfId="0" applyFont="1" applyFill="1" applyAlignment="1">
      <alignment horizontal="left" vertical="center"/>
    </xf>
    <xf numFmtId="0" fontId="40" fillId="9" borderId="0" xfId="0" applyFont="1" applyFill="1" applyAlignment="1">
      <alignment horizontal="center"/>
    </xf>
    <xf numFmtId="0" fontId="40" fillId="9" borderId="0" xfId="0" applyFont="1" applyFill="1" applyAlignment="1" applyProtection="1">
      <alignment horizontal="center" vertical="center"/>
      <protection locked="0"/>
    </xf>
    <xf numFmtId="0" fontId="40" fillId="9" borderId="0" xfId="0" applyFont="1" applyFill="1" applyAlignment="1" applyProtection="1">
      <alignment horizontal="center" vertical="center" wrapText="1"/>
      <protection locked="0"/>
    </xf>
    <xf numFmtId="0" fontId="39" fillId="8" borderId="53" xfId="0" applyFont="1" applyFill="1" applyBorder="1" applyAlignment="1">
      <alignment horizontal="center" vertical="center"/>
    </xf>
    <xf numFmtId="0" fontId="39" fillId="8" borderId="53" xfId="0" applyFont="1" applyFill="1" applyBorder="1" applyAlignment="1">
      <alignment horizontal="center" vertical="center" wrapText="1"/>
    </xf>
    <xf numFmtId="0" fontId="39" fillId="8" borderId="51" xfId="0" applyFont="1" applyFill="1" applyBorder="1" applyAlignment="1">
      <alignment horizontal="center" vertical="center" textRotation="90"/>
    </xf>
    <xf numFmtId="0" fontId="40" fillId="0" borderId="50" xfId="0" applyFont="1" applyBorder="1" applyAlignment="1">
      <alignment horizontal="left" vertical="top"/>
    </xf>
    <xf numFmtId="0" fontId="40" fillId="0" borderId="51" xfId="0" applyFont="1" applyBorder="1" applyAlignment="1">
      <alignment horizontal="left" vertical="top"/>
    </xf>
    <xf numFmtId="0" fontId="40" fillId="0" borderId="51" xfId="0" applyFont="1" applyBorder="1" applyAlignment="1" applyProtection="1">
      <alignment horizontal="left" vertical="top" wrapText="1"/>
      <protection locked="0"/>
    </xf>
    <xf numFmtId="14" fontId="40" fillId="0" borderId="51" xfId="0" applyNumberFormat="1" applyFont="1" applyBorder="1" applyAlignment="1" applyProtection="1">
      <alignment horizontal="left" vertical="top" wrapText="1"/>
      <protection locked="0"/>
    </xf>
    <xf numFmtId="14" fontId="40" fillId="0" borderId="51" xfId="0" applyNumberFormat="1" applyFont="1" applyBorder="1" applyAlignment="1" applyProtection="1">
      <alignment horizontal="left" vertical="top"/>
      <protection locked="0"/>
    </xf>
    <xf numFmtId="0" fontId="40" fillId="0" borderId="47" xfId="0" applyFont="1" applyBorder="1" applyAlignment="1" applyProtection="1">
      <alignment horizontal="left" vertical="top"/>
      <protection locked="0"/>
    </xf>
    <xf numFmtId="0" fontId="40" fillId="18" borderId="110" xfId="0" applyFont="1" applyFill="1" applyBorder="1" applyAlignment="1">
      <alignment horizontal="left" vertical="top" wrapText="1"/>
    </xf>
    <xf numFmtId="0" fontId="39" fillId="18" borderId="110" xfId="0" applyFont="1" applyFill="1" applyBorder="1" applyAlignment="1">
      <alignment horizontal="left" vertical="top" wrapText="1"/>
    </xf>
    <xf numFmtId="0" fontId="40" fillId="0" borderId="0" xfId="0" applyFont="1" applyAlignment="1">
      <alignment horizontal="left" vertical="top"/>
    </xf>
    <xf numFmtId="0" fontId="40" fillId="0" borderId="50" xfId="0" applyFont="1" applyBorder="1" applyAlignment="1">
      <alignment horizontal="center" vertical="center"/>
    </xf>
    <xf numFmtId="0" fontId="40" fillId="0" borderId="50" xfId="0" applyFont="1" applyBorder="1" applyAlignment="1" applyProtection="1">
      <alignment horizontal="center" vertical="center" textRotation="90"/>
      <protection locked="0"/>
    </xf>
    <xf numFmtId="9" fontId="40" fillId="0" borderId="50" xfId="0" applyNumberFormat="1" applyFont="1" applyBorder="1" applyAlignment="1" applyProtection="1">
      <alignment horizontal="center" vertical="center"/>
      <protection hidden="1"/>
    </xf>
    <xf numFmtId="0" fontId="40" fillId="0" borderId="50" xfId="0" applyFont="1" applyBorder="1" applyAlignment="1" applyProtection="1">
      <alignment horizontal="center" vertical="center" wrapText="1"/>
      <protection locked="0"/>
    </xf>
    <xf numFmtId="0" fontId="41" fillId="0" borderId="50" xfId="0" applyFont="1" applyBorder="1" applyAlignment="1" applyProtection="1">
      <alignment horizontal="center" vertical="center" wrapText="1"/>
      <protection locked="0"/>
    </xf>
    <xf numFmtId="0" fontId="42" fillId="0" borderId="41" xfId="0" applyFont="1" applyBorder="1" applyAlignment="1" applyProtection="1">
      <alignment horizontal="center" vertical="center" wrapText="1"/>
      <protection locked="0"/>
    </xf>
    <xf numFmtId="0" fontId="39" fillId="9" borderId="49" xfId="0" applyFont="1" applyFill="1" applyBorder="1" applyAlignment="1">
      <alignment horizontal="center" vertical="center" wrapText="1"/>
    </xf>
    <xf numFmtId="0" fontId="43" fillId="0" borderId="49" xfId="0" applyFont="1" applyBorder="1" applyAlignment="1" applyProtection="1">
      <alignment horizontal="center" vertical="center" wrapText="1"/>
      <protection locked="0"/>
    </xf>
    <xf numFmtId="0" fontId="46" fillId="0" borderId="49" xfId="0" applyFont="1" applyBorder="1" applyAlignment="1" applyProtection="1">
      <alignment horizontal="center" vertical="center" wrapText="1"/>
      <protection locked="0"/>
    </xf>
    <xf numFmtId="0" fontId="40" fillId="0" borderId="43" xfId="0" applyFont="1" applyBorder="1" applyAlignment="1" applyProtection="1">
      <alignment horizontal="center" vertical="center" wrapText="1"/>
      <protection locked="0"/>
    </xf>
    <xf numFmtId="0" fontId="40" fillId="0" borderId="50" xfId="0" applyFont="1" applyBorder="1" applyAlignment="1" applyProtection="1">
      <alignment horizontal="center" vertical="center"/>
      <protection locked="0"/>
    </xf>
    <xf numFmtId="0" fontId="39" fillId="0" borderId="50" xfId="0" applyFont="1" applyBorder="1" applyAlignment="1" applyProtection="1">
      <alignment horizontal="center" vertical="center" wrapText="1"/>
      <protection hidden="1"/>
    </xf>
    <xf numFmtId="9" fontId="40" fillId="0" borderId="50" xfId="0" applyNumberFormat="1" applyFont="1" applyBorder="1" applyAlignment="1" applyProtection="1">
      <alignment horizontal="center" vertical="center" wrapText="1"/>
      <protection hidden="1"/>
    </xf>
    <xf numFmtId="9" fontId="40" fillId="0" borderId="50" xfId="0" applyNumberFormat="1" applyFont="1" applyBorder="1" applyAlignment="1" applyProtection="1">
      <alignment horizontal="center" vertical="center" wrapText="1"/>
      <protection locked="0"/>
    </xf>
    <xf numFmtId="0" fontId="39" fillId="0" borderId="50" xfId="0" applyFont="1" applyBorder="1" applyAlignment="1" applyProtection="1">
      <alignment horizontal="center" vertical="center"/>
      <protection hidden="1"/>
    </xf>
    <xf numFmtId="0" fontId="40" fillId="0" borderId="51" xfId="0" applyFont="1" applyBorder="1" applyAlignment="1">
      <alignment horizontal="center" vertical="center"/>
    </xf>
    <xf numFmtId="0" fontId="39" fillId="0" borderId="51" xfId="0" applyFont="1" applyBorder="1" applyAlignment="1" applyProtection="1">
      <alignment horizontal="center" vertical="center" wrapText="1"/>
      <protection locked="0"/>
    </xf>
    <xf numFmtId="0" fontId="40" fillId="0" borderId="51" xfId="0" applyFont="1" applyBorder="1" applyAlignment="1" applyProtection="1">
      <alignment horizontal="center" vertical="center"/>
      <protection hidden="1"/>
    </xf>
    <xf numFmtId="0" fontId="40" fillId="0" borderId="51" xfId="0" applyFont="1" applyBorder="1" applyAlignment="1" applyProtection="1">
      <alignment horizontal="center" vertical="center" textRotation="90"/>
      <protection locked="0"/>
    </xf>
    <xf numFmtId="9" fontId="40" fillId="0" borderId="51" xfId="0" applyNumberFormat="1" applyFont="1" applyBorder="1" applyAlignment="1" applyProtection="1">
      <alignment horizontal="center" vertical="center"/>
      <protection hidden="1"/>
    </xf>
    <xf numFmtId="164" fontId="40" fillId="0" borderId="51" xfId="16" applyNumberFormat="1" applyFont="1" applyBorder="1" applyAlignment="1">
      <alignment horizontal="center" vertical="center"/>
    </xf>
    <xf numFmtId="0" fontId="39" fillId="0" borderId="51" xfId="0" applyFont="1" applyBorder="1" applyAlignment="1" applyProtection="1">
      <alignment horizontal="center" vertical="center" textRotation="90" wrapText="1"/>
      <protection hidden="1"/>
    </xf>
    <xf numFmtId="0" fontId="39" fillId="0" borderId="51" xfId="0" applyFont="1" applyBorder="1" applyAlignment="1" applyProtection="1">
      <alignment horizontal="center" vertical="center" textRotation="90"/>
      <protection hidden="1"/>
    </xf>
    <xf numFmtId="0" fontId="40" fillId="0" borderId="51" xfId="0" applyFont="1" applyBorder="1" applyAlignment="1" applyProtection="1">
      <alignment horizontal="center" vertical="center" wrapText="1"/>
      <protection locked="0"/>
    </xf>
    <xf numFmtId="0" fontId="49" fillId="0" borderId="50" xfId="0" applyFont="1" applyBorder="1" applyAlignment="1" applyProtection="1">
      <alignment horizontal="center" vertical="center" wrapText="1"/>
      <protection locked="0"/>
    </xf>
    <xf numFmtId="0" fontId="40" fillId="0" borderId="41" xfId="0" applyFont="1" applyBorder="1" applyAlignment="1" applyProtection="1">
      <alignment horizontal="center" vertical="center" wrapText="1"/>
      <protection locked="0"/>
    </xf>
    <xf numFmtId="0" fontId="39" fillId="0" borderId="49" xfId="0" applyFont="1" applyBorder="1" applyAlignment="1" applyProtection="1">
      <alignment horizontal="center" vertical="center" wrapText="1"/>
      <protection locked="0"/>
    </xf>
    <xf numFmtId="0" fontId="39" fillId="0" borderId="51" xfId="0" applyFont="1" applyBorder="1" applyAlignment="1">
      <alignment horizontal="center" vertical="center"/>
    </xf>
    <xf numFmtId="0" fontId="39" fillId="0" borderId="51" xfId="0" applyFont="1" applyBorder="1" applyAlignment="1" applyProtection="1">
      <alignment horizontal="center" vertical="center"/>
      <protection hidden="1"/>
    </xf>
    <xf numFmtId="0" fontId="39" fillId="0" borderId="51" xfId="0" applyFont="1" applyBorder="1" applyAlignment="1" applyProtection="1">
      <alignment horizontal="center" vertical="center" textRotation="90"/>
      <protection locked="0"/>
    </xf>
    <xf numFmtId="9" fontId="39" fillId="0" borderId="51" xfId="0" applyNumberFormat="1" applyFont="1" applyBorder="1" applyAlignment="1" applyProtection="1">
      <alignment horizontal="center" vertical="center"/>
      <protection hidden="1"/>
    </xf>
    <xf numFmtId="0" fontId="39" fillId="9" borderId="51" xfId="0" applyFont="1" applyFill="1" applyBorder="1" applyAlignment="1" applyProtection="1">
      <alignment horizontal="center" vertical="center" textRotation="90"/>
      <protection locked="0"/>
    </xf>
    <xf numFmtId="164" fontId="39" fillId="0" borderId="51" xfId="16" applyNumberFormat="1" applyFont="1" applyBorder="1" applyAlignment="1">
      <alignment horizontal="center" vertical="center"/>
    </xf>
    <xf numFmtId="9" fontId="39" fillId="0" borderId="50" xfId="0" applyNumberFormat="1" applyFont="1" applyBorder="1" applyAlignment="1" applyProtection="1">
      <alignment horizontal="center" vertical="center"/>
      <protection hidden="1"/>
    </xf>
    <xf numFmtId="0" fontId="39" fillId="0" borderId="50" xfId="0" applyFont="1" applyBorder="1" applyAlignment="1" applyProtection="1">
      <alignment horizontal="center" vertical="center" textRotation="90"/>
      <protection locked="0"/>
    </xf>
    <xf numFmtId="0" fontId="43" fillId="0" borderId="59" xfId="0" applyFont="1" applyBorder="1" applyAlignment="1" applyProtection="1">
      <alignment horizontal="center" vertical="center" wrapText="1"/>
      <protection locked="0"/>
    </xf>
    <xf numFmtId="0" fontId="43" fillId="0" borderId="60" xfId="0" applyFont="1" applyBorder="1" applyAlignment="1" applyProtection="1">
      <alignment horizontal="center" vertical="center" wrapText="1"/>
      <protection locked="0"/>
    </xf>
    <xf numFmtId="0" fontId="43" fillId="0" borderId="65" xfId="0" applyFont="1" applyBorder="1" applyAlignment="1" applyProtection="1">
      <alignment horizontal="center" vertical="center" wrapText="1"/>
      <protection locked="0"/>
    </xf>
    <xf numFmtId="0" fontId="30" fillId="0" borderId="73" xfId="0" applyFont="1" applyBorder="1" applyAlignment="1">
      <alignment horizontal="center" vertical="top" textRotation="90"/>
    </xf>
    <xf numFmtId="9" fontId="30" fillId="0" borderId="73" xfId="0" applyNumberFormat="1" applyFont="1" applyBorder="1" applyAlignment="1">
      <alignment horizontal="center" vertical="top"/>
    </xf>
    <xf numFmtId="9" fontId="31" fillId="0" borderId="53" xfId="0" applyNumberFormat="1" applyFont="1" applyBorder="1" applyAlignment="1" applyProtection="1">
      <alignment horizontal="center" vertical="center" wrapText="1"/>
      <protection hidden="1"/>
    </xf>
    <xf numFmtId="0" fontId="94" fillId="18" borderId="111" xfId="0" applyFont="1" applyFill="1" applyBorder="1" applyAlignment="1">
      <alignment horizontal="left" vertical="top" wrapText="1"/>
    </xf>
    <xf numFmtId="164" fontId="31" fillId="0" borderId="50" xfId="16" applyNumberFormat="1" applyFont="1" applyBorder="1" applyAlignment="1">
      <alignment horizontal="center" vertical="top"/>
    </xf>
    <xf numFmtId="0" fontId="37" fillId="0" borderId="50" xfId="0" applyFont="1" applyBorder="1" applyAlignment="1" applyProtection="1">
      <alignment horizontal="center" vertical="top" textRotation="90" wrapText="1"/>
      <protection hidden="1"/>
    </xf>
    <xf numFmtId="0" fontId="37" fillId="0" borderId="50" xfId="0" applyFont="1" applyBorder="1" applyAlignment="1" applyProtection="1">
      <alignment horizontal="center" vertical="top" textRotation="90"/>
      <protection hidden="1"/>
    </xf>
    <xf numFmtId="0" fontId="31" fillId="0" borderId="77" xfId="0" applyFont="1" applyBorder="1" applyAlignment="1">
      <alignment horizontal="center" vertical="top"/>
    </xf>
    <xf numFmtId="0" fontId="31" fillId="0" borderId="77" xfId="0" applyFont="1" applyBorder="1" applyAlignment="1">
      <alignment horizontal="left" vertical="top" wrapText="1"/>
    </xf>
    <xf numFmtId="0" fontId="30" fillId="0" borderId="77" xfId="0" applyFont="1" applyBorder="1" applyAlignment="1">
      <alignment horizontal="center" vertical="top" textRotation="90"/>
    </xf>
    <xf numFmtId="9" fontId="30" fillId="0" borderId="77" xfId="0" applyNumberFormat="1" applyFont="1" applyBorder="1" applyAlignment="1">
      <alignment horizontal="center" vertical="top"/>
    </xf>
    <xf numFmtId="164" fontId="31" fillId="0" borderId="77" xfId="0" applyNumberFormat="1" applyFont="1" applyBorder="1" applyAlignment="1">
      <alignment horizontal="center" vertical="top"/>
    </xf>
    <xf numFmtId="0" fontId="37" fillId="0" borderId="77" xfId="0" applyFont="1" applyBorder="1" applyAlignment="1">
      <alignment horizontal="center" vertical="top" textRotation="90" wrapText="1"/>
    </xf>
    <xf numFmtId="0" fontId="37" fillId="0" borderId="77" xfId="0" applyFont="1" applyBorder="1" applyAlignment="1">
      <alignment horizontal="center" vertical="top" textRotation="90"/>
    </xf>
    <xf numFmtId="0" fontId="30" fillId="0" borderId="77" xfId="0" applyFont="1" applyBorder="1" applyAlignment="1">
      <alignment horizontal="center" vertical="top" wrapText="1"/>
    </xf>
    <xf numFmtId="0" fontId="30" fillId="0" borderId="77" xfId="0" applyFont="1" applyBorder="1" applyAlignment="1">
      <alignment horizontal="center" vertical="top"/>
    </xf>
    <xf numFmtId="0" fontId="27" fillId="0" borderId="77" xfId="0" applyFont="1" applyBorder="1" applyAlignment="1">
      <alignment horizontal="left" vertical="top" wrapText="1"/>
    </xf>
    <xf numFmtId="165" fontId="31" fillId="0" borderId="77" xfId="0" applyNumberFormat="1" applyFont="1" applyBorder="1" applyAlignment="1">
      <alignment horizontal="center" vertical="top"/>
    </xf>
    <xf numFmtId="0" fontId="32" fillId="6" borderId="77" xfId="0" applyFont="1" applyFill="1" applyBorder="1" applyAlignment="1">
      <alignment horizontal="center" vertical="center" wrapText="1"/>
    </xf>
    <xf numFmtId="0" fontId="32" fillId="0" borderId="77" xfId="0" applyFont="1" applyBorder="1" applyAlignment="1">
      <alignment horizontal="center" vertical="center" wrapText="1"/>
    </xf>
    <xf numFmtId="165" fontId="30" fillId="0" borderId="77" xfId="0" applyNumberFormat="1" applyFont="1" applyBorder="1" applyAlignment="1">
      <alignment horizontal="center" vertical="center" wrapText="1"/>
    </xf>
    <xf numFmtId="0" fontId="30" fillId="0" borderId="77" xfId="0" applyFont="1" applyBorder="1" applyAlignment="1">
      <alignment horizontal="center" vertical="center" wrapText="1"/>
    </xf>
    <xf numFmtId="0" fontId="31" fillId="0" borderId="77" xfId="0" applyFont="1" applyBorder="1" applyAlignment="1">
      <alignment horizontal="center" vertical="center" wrapText="1"/>
    </xf>
    <xf numFmtId="165" fontId="30" fillId="3" borderId="77" xfId="0" applyNumberFormat="1" applyFont="1" applyFill="1" applyBorder="1" applyAlignment="1">
      <alignment horizontal="center" vertical="center" wrapText="1"/>
    </xf>
    <xf numFmtId="0" fontId="31" fillId="0" borderId="77" xfId="0" applyFont="1" applyBorder="1" applyAlignment="1">
      <alignment horizontal="center" vertical="center"/>
    </xf>
    <xf numFmtId="0" fontId="38" fillId="0" borderId="51" xfId="0" applyFont="1" applyBorder="1" applyAlignment="1" applyProtection="1">
      <alignment horizontal="center" vertical="center"/>
      <protection hidden="1"/>
    </xf>
    <xf numFmtId="164" fontId="31" fillId="0" borderId="51" xfId="16" applyNumberFormat="1" applyFont="1" applyFill="1" applyBorder="1" applyAlignment="1">
      <alignment horizontal="center" vertical="center"/>
    </xf>
    <xf numFmtId="0" fontId="28" fillId="0" borderId="50" xfId="0" applyFont="1" applyBorder="1" applyAlignment="1" applyProtection="1">
      <alignment horizontal="center" vertical="center" wrapText="1"/>
      <protection locked="0"/>
    </xf>
    <xf numFmtId="0" fontId="27" fillId="0" borderId="50" xfId="0" applyFont="1" applyBorder="1" applyAlignment="1" applyProtection="1">
      <alignment vertical="center" wrapText="1"/>
      <protection locked="0"/>
    </xf>
    <xf numFmtId="0" fontId="96" fillId="0" borderId="50" xfId="0" applyFont="1" applyBorder="1" applyAlignment="1" applyProtection="1">
      <alignment vertical="center" wrapText="1"/>
      <protection locked="0"/>
    </xf>
    <xf numFmtId="0" fontId="31" fillId="0" borderId="50" xfId="0" applyFont="1" applyBorder="1" applyAlignment="1" applyProtection="1">
      <alignment vertical="center" textRotation="90"/>
      <protection locked="0"/>
    </xf>
    <xf numFmtId="0" fontId="32" fillId="0" borderId="50" xfId="0" applyFont="1" applyBorder="1" applyAlignment="1" applyProtection="1">
      <alignment vertical="center" textRotation="90" wrapText="1"/>
      <protection hidden="1"/>
    </xf>
    <xf numFmtId="9" fontId="31" fillId="0" borderId="50" xfId="0" applyNumberFormat="1" applyFont="1" applyBorder="1" applyAlignment="1" applyProtection="1">
      <alignment vertical="center"/>
      <protection hidden="1"/>
    </xf>
    <xf numFmtId="0" fontId="32" fillId="0" borderId="50" xfId="0" applyFont="1" applyBorder="1" applyAlignment="1" applyProtection="1">
      <alignment vertical="center" textRotation="90"/>
      <protection hidden="1"/>
    </xf>
    <xf numFmtId="0" fontId="27" fillId="0" borderId="52" xfId="0" applyFont="1" applyBorder="1" applyAlignment="1" applyProtection="1">
      <alignment vertical="center" wrapText="1"/>
      <protection locked="0"/>
    </xf>
    <xf numFmtId="0" fontId="32" fillId="8" borderId="53" xfId="0" applyFont="1" applyFill="1" applyBorder="1" applyAlignment="1">
      <alignment horizontal="center" vertical="center" wrapText="1"/>
    </xf>
    <xf numFmtId="0" fontId="27" fillId="0" borderId="50" xfId="0" applyFont="1" applyBorder="1" applyAlignment="1" applyProtection="1">
      <alignment horizontal="center" vertical="center" wrapText="1"/>
      <protection locked="0"/>
    </xf>
    <xf numFmtId="0" fontId="35" fillId="0" borderId="50" xfId="0" applyFont="1" applyBorder="1" applyAlignment="1" applyProtection="1">
      <alignment horizontal="center" vertical="center" wrapText="1"/>
      <protection locked="0"/>
    </xf>
    <xf numFmtId="9" fontId="30" fillId="0" borderId="53" xfId="0" applyNumberFormat="1" applyFont="1" applyBorder="1" applyAlignment="1" applyProtection="1">
      <alignment horizontal="center" vertical="center" wrapText="1"/>
      <protection hidden="1"/>
    </xf>
    <xf numFmtId="0" fontId="30" fillId="0" borderId="73" xfId="0" applyFont="1" applyBorder="1" applyAlignment="1">
      <alignment horizontal="center" vertical="center" wrapText="1"/>
    </xf>
    <xf numFmtId="0" fontId="35" fillId="0" borderId="60" xfId="0" applyFont="1" applyBorder="1" applyAlignment="1" applyProtection="1">
      <alignment horizontal="center" vertical="center" wrapText="1"/>
      <protection locked="0"/>
    </xf>
    <xf numFmtId="0" fontId="30" fillId="0" borderId="56" xfId="0" applyFont="1" applyBorder="1" applyAlignment="1" applyProtection="1">
      <alignment horizontal="center" vertical="center" wrapText="1"/>
      <protection locked="0"/>
    </xf>
    <xf numFmtId="0" fontId="27" fillId="0" borderId="37" xfId="7" applyFont="1" applyAlignment="1">
      <alignment horizontal="center" vertical="center" wrapText="1"/>
    </xf>
    <xf numFmtId="9" fontId="27" fillId="0" borderId="37" xfId="16" applyFont="1" applyBorder="1" applyAlignment="1">
      <alignment horizontal="center" vertical="center"/>
    </xf>
    <xf numFmtId="9" fontId="27" fillId="0" borderId="37" xfId="16" applyFont="1" applyBorder="1" applyAlignment="1">
      <alignment horizontal="center" vertical="center" wrapText="1"/>
    </xf>
    <xf numFmtId="0" fontId="30" fillId="9" borderId="49" xfId="0" applyFont="1" applyFill="1" applyBorder="1" applyAlignment="1" applyProtection="1">
      <alignment horizontal="center" vertical="center" wrapText="1"/>
      <protection locked="0"/>
    </xf>
    <xf numFmtId="0" fontId="27" fillId="0" borderId="51" xfId="0" applyFont="1" applyBorder="1" applyAlignment="1" applyProtection="1">
      <alignment horizontal="center" vertical="top" wrapText="1"/>
      <protection locked="0"/>
    </xf>
    <xf numFmtId="0" fontId="30" fillId="0" borderId="47" xfId="0" applyFont="1" applyBorder="1" applyAlignment="1" applyProtection="1">
      <alignment horizontal="center" vertical="top"/>
      <protection locked="0"/>
    </xf>
    <xf numFmtId="0" fontId="14" fillId="9" borderId="38" xfId="0" applyFont="1" applyFill="1" applyBorder="1" applyAlignment="1">
      <alignment vertical="center" wrapText="1"/>
    </xf>
    <xf numFmtId="0" fontId="85" fillId="9" borderId="38" xfId="0" applyFont="1" applyFill="1" applyBorder="1" applyAlignment="1">
      <alignment vertical="center" wrapText="1"/>
    </xf>
    <xf numFmtId="0" fontId="27" fillId="0" borderId="53" xfId="0" applyFont="1" applyBorder="1" applyAlignment="1" applyProtection="1">
      <alignment vertical="center" wrapText="1"/>
      <protection locked="0"/>
    </xf>
    <xf numFmtId="0" fontId="31" fillId="0" borderId="47" xfId="0" applyFont="1" applyBorder="1" applyAlignment="1" applyProtection="1">
      <alignment horizontal="center" vertical="top"/>
      <protection locked="0"/>
    </xf>
    <xf numFmtId="0" fontId="14" fillId="9" borderId="38" xfId="0" applyFont="1" applyFill="1" applyBorder="1"/>
    <xf numFmtId="0" fontId="46" fillId="0" borderId="49" xfId="0" applyFont="1" applyBorder="1" applyAlignment="1" applyProtection="1">
      <alignment horizontal="center" vertical="top" wrapText="1"/>
      <protection locked="0"/>
    </xf>
    <xf numFmtId="0" fontId="14" fillId="9" borderId="38" xfId="0" applyFont="1" applyFill="1" applyBorder="1" applyAlignment="1">
      <alignment wrapText="1"/>
    </xf>
    <xf numFmtId="0" fontId="27" fillId="0" borderId="49" xfId="0" applyFont="1" applyBorder="1" applyAlignment="1" applyProtection="1">
      <alignment horizontal="center" vertical="top" wrapText="1"/>
      <protection locked="0"/>
    </xf>
    <xf numFmtId="0" fontId="87" fillId="0" borderId="41"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14" fontId="31" fillId="0" borderId="38" xfId="0" applyNumberFormat="1" applyFont="1" applyBorder="1" applyAlignment="1" applyProtection="1">
      <alignment vertical="center" wrapText="1"/>
      <protection locked="0"/>
    </xf>
    <xf numFmtId="0" fontId="31" fillId="0" borderId="38" xfId="0" applyFont="1" applyBorder="1" applyAlignment="1" applyProtection="1">
      <alignment vertical="top" wrapText="1"/>
      <protection locked="0"/>
    </xf>
    <xf numFmtId="0" fontId="31" fillId="0" borderId="38" xfId="0" applyFont="1" applyBorder="1" applyAlignment="1" applyProtection="1">
      <alignment vertical="top"/>
      <protection locked="0"/>
    </xf>
    <xf numFmtId="0" fontId="14" fillId="9" borderId="38" xfId="0" applyFont="1" applyFill="1" applyBorder="1" applyAlignment="1">
      <alignment horizontal="left" vertical="center" wrapText="1"/>
    </xf>
    <xf numFmtId="0" fontId="87" fillId="0" borderId="54" xfId="0" applyFont="1" applyBorder="1" applyAlignment="1" applyProtection="1">
      <alignment vertical="center" wrapText="1"/>
      <protection locked="0"/>
    </xf>
    <xf numFmtId="0" fontId="30" fillId="0" borderId="47" xfId="0" applyFont="1" applyBorder="1" applyAlignment="1" applyProtection="1">
      <alignment horizontal="center" vertical="top" textRotation="90"/>
      <protection locked="0"/>
    </xf>
    <xf numFmtId="164" fontId="31" fillId="0" borderId="38" xfId="16" applyNumberFormat="1" applyFont="1" applyBorder="1" applyAlignment="1">
      <alignment horizontal="center" vertical="top"/>
    </xf>
    <xf numFmtId="0" fontId="37" fillId="0" borderId="38" xfId="0" applyFont="1" applyBorder="1" applyAlignment="1" applyProtection="1">
      <alignment horizontal="center" vertical="top" textRotation="90" wrapText="1"/>
      <protection hidden="1"/>
    </xf>
    <xf numFmtId="9" fontId="30" fillId="0" borderId="38" xfId="0" applyNumberFormat="1" applyFont="1" applyBorder="1" applyAlignment="1" applyProtection="1">
      <alignment horizontal="center" vertical="top"/>
      <protection hidden="1"/>
    </xf>
    <xf numFmtId="0" fontId="37" fillId="0" borderId="38" xfId="0" applyFont="1" applyBorder="1" applyAlignment="1" applyProtection="1">
      <alignment horizontal="center" vertical="top" textRotation="90"/>
      <protection hidden="1"/>
    </xf>
    <xf numFmtId="0" fontId="30" fillId="0" borderId="38" xfId="0" applyFont="1" applyBorder="1" applyAlignment="1" applyProtection="1">
      <alignment horizontal="center" vertical="top" textRotation="90"/>
      <protection locked="0"/>
    </xf>
    <xf numFmtId="0" fontId="27" fillId="0" borderId="38" xfId="0" applyFont="1" applyBorder="1" applyAlignment="1" applyProtection="1">
      <alignment vertical="top" wrapText="1"/>
      <protection locked="0"/>
    </xf>
    <xf numFmtId="0" fontId="30" fillId="0" borderId="51" xfId="0" applyFont="1" applyBorder="1" applyAlignment="1" applyProtection="1">
      <alignment horizontal="left" vertical="top" wrapText="1"/>
      <protection locked="0"/>
    </xf>
    <xf numFmtId="0" fontId="30" fillId="9" borderId="49" xfId="0" applyFont="1" applyFill="1" applyBorder="1" applyAlignment="1">
      <alignment horizontal="center" vertical="center" wrapText="1"/>
    </xf>
    <xf numFmtId="0" fontId="31" fillId="6" borderId="77" xfId="0" applyFont="1" applyFill="1" applyBorder="1" applyAlignment="1">
      <alignment vertical="center" wrapText="1"/>
    </xf>
    <xf numFmtId="0" fontId="31" fillId="0" borderId="77" xfId="0" applyFont="1" applyBorder="1" applyAlignment="1">
      <alignment horizontal="left" vertical="center" wrapText="1"/>
    </xf>
    <xf numFmtId="0" fontId="30" fillId="0" borderId="77" xfId="0" applyFont="1" applyBorder="1" applyAlignment="1">
      <alignment horizontal="center" vertical="center" textRotation="90"/>
    </xf>
    <xf numFmtId="9" fontId="30" fillId="0" borderId="77" xfId="0" applyNumberFormat="1" applyFont="1" applyBorder="1" applyAlignment="1">
      <alignment horizontal="center" vertical="center"/>
    </xf>
    <xf numFmtId="164" fontId="31" fillId="0" borderId="77" xfId="0" applyNumberFormat="1" applyFont="1" applyBorder="1" applyAlignment="1">
      <alignment horizontal="center" vertical="center"/>
    </xf>
    <xf numFmtId="0" fontId="37" fillId="0" borderId="77" xfId="0" applyFont="1" applyBorder="1" applyAlignment="1">
      <alignment horizontal="center" vertical="center" textRotation="90" wrapText="1"/>
    </xf>
    <xf numFmtId="9" fontId="30" fillId="0" borderId="73" xfId="0" applyNumberFormat="1" applyFont="1" applyBorder="1" applyAlignment="1">
      <alignment horizontal="center" vertical="center"/>
    </xf>
    <xf numFmtId="0" fontId="37" fillId="0" borderId="77" xfId="0" applyFont="1" applyBorder="1" applyAlignment="1">
      <alignment horizontal="center" vertical="center" textRotation="90"/>
    </xf>
    <xf numFmtId="0" fontId="30" fillId="0" borderId="73" xfId="0" applyFont="1" applyBorder="1" applyAlignment="1">
      <alignment horizontal="center" vertical="center" textRotation="90"/>
    </xf>
    <xf numFmtId="165" fontId="30" fillId="0" borderId="77" xfId="0" applyNumberFormat="1" applyFont="1" applyBorder="1" applyAlignment="1">
      <alignment horizontal="center" vertical="center"/>
    </xf>
    <xf numFmtId="0" fontId="31" fillId="0" borderId="73" xfId="0" applyFont="1" applyBorder="1" applyAlignment="1">
      <alignment horizontal="center" vertical="center" wrapText="1"/>
    </xf>
    <xf numFmtId="0" fontId="31" fillId="0" borderId="76" xfId="0" applyFont="1" applyBorder="1" applyAlignment="1">
      <alignment horizontal="center" vertical="center" wrapText="1"/>
    </xf>
    <xf numFmtId="0" fontId="31" fillId="9" borderId="37" xfId="1" applyFont="1" applyFill="1" applyAlignment="1">
      <alignment horizontal="center" vertical="center"/>
    </xf>
    <xf numFmtId="0" fontId="32" fillId="8" borderId="53" xfId="1" applyFont="1" applyFill="1" applyBorder="1" applyAlignment="1">
      <alignment horizontal="center" vertical="center"/>
    </xf>
    <xf numFmtId="0" fontId="32" fillId="8" borderId="51" xfId="1" applyFont="1" applyFill="1" applyBorder="1" applyAlignment="1">
      <alignment horizontal="center" vertical="center" textRotation="90"/>
    </xf>
    <xf numFmtId="0" fontId="31" fillId="0" borderId="50" xfId="1" applyFont="1" applyBorder="1" applyAlignment="1">
      <alignment horizontal="center" vertical="center"/>
    </xf>
    <xf numFmtId="0" fontId="31" fillId="9" borderId="49" xfId="1" applyFont="1" applyFill="1" applyBorder="1" applyAlignment="1">
      <alignment horizontal="center" vertical="center" wrapText="1"/>
    </xf>
    <xf numFmtId="0" fontId="35" fillId="0" borderId="49" xfId="1" applyFont="1" applyBorder="1" applyAlignment="1" applyProtection="1">
      <alignment horizontal="center" vertical="center" wrapText="1"/>
      <protection locked="0"/>
    </xf>
    <xf numFmtId="0" fontId="31" fillId="0" borderId="51" xfId="1" applyFont="1" applyBorder="1" applyAlignment="1">
      <alignment horizontal="center" vertical="center"/>
    </xf>
    <xf numFmtId="0" fontId="31" fillId="0" borderId="51" xfId="1" applyFont="1" applyBorder="1" applyAlignment="1" applyProtection="1">
      <alignment horizontal="center" vertical="center" wrapText="1"/>
      <protection locked="0"/>
    </xf>
    <xf numFmtId="0" fontId="31" fillId="0" borderId="51" xfId="1" applyFont="1" applyBorder="1" applyAlignment="1" applyProtection="1">
      <alignment horizontal="center" vertical="center"/>
      <protection hidden="1"/>
    </xf>
    <xf numFmtId="0" fontId="30" fillId="0" borderId="51" xfId="1" applyFont="1" applyBorder="1" applyAlignment="1" applyProtection="1">
      <alignment horizontal="center" vertical="center" textRotation="90"/>
      <protection locked="0"/>
    </xf>
    <xf numFmtId="9" fontId="30" fillId="0" borderId="51" xfId="1" applyNumberFormat="1" applyFont="1" applyBorder="1" applyAlignment="1" applyProtection="1">
      <alignment horizontal="center" vertical="center"/>
      <protection hidden="1"/>
    </xf>
    <xf numFmtId="164" fontId="31" fillId="0" borderId="51" xfId="8" applyNumberFormat="1" applyFont="1" applyBorder="1" applyAlignment="1">
      <alignment horizontal="center" vertical="center"/>
    </xf>
    <xf numFmtId="0" fontId="37" fillId="0" borderId="51" xfId="1" applyFont="1" applyBorder="1" applyAlignment="1" applyProtection="1">
      <alignment horizontal="center" vertical="center" textRotation="90" wrapText="1"/>
      <protection hidden="1"/>
    </xf>
    <xf numFmtId="9" fontId="30" fillId="0" borderId="50" xfId="1" applyNumberFormat="1" applyFont="1" applyBorder="1" applyAlignment="1" applyProtection="1">
      <alignment horizontal="center" vertical="center"/>
      <protection hidden="1"/>
    </xf>
    <xf numFmtId="0" fontId="30" fillId="0" borderId="50" xfId="1" applyFont="1" applyBorder="1" applyAlignment="1" applyProtection="1">
      <alignment horizontal="center" vertical="center" textRotation="90" wrapText="1"/>
      <protection locked="0"/>
    </xf>
    <xf numFmtId="0" fontId="30" fillId="0" borderId="51" xfId="1" applyFont="1" applyBorder="1" applyAlignment="1" applyProtection="1">
      <alignment horizontal="center" vertical="center" wrapText="1"/>
      <protection locked="0"/>
    </xf>
    <xf numFmtId="14" fontId="30" fillId="0" borderId="51" xfId="1" applyNumberFormat="1" applyFont="1" applyBorder="1" applyAlignment="1" applyProtection="1">
      <alignment horizontal="center" vertical="center" wrapText="1"/>
      <protection locked="0"/>
    </xf>
    <xf numFmtId="0" fontId="16" fillId="0" borderId="0" xfId="0" applyFont="1" applyAlignment="1">
      <alignment horizontal="center" vertical="center" wrapText="1"/>
    </xf>
    <xf numFmtId="0" fontId="27" fillId="0" borderId="51" xfId="1" applyFont="1" applyBorder="1" applyAlignment="1" applyProtection="1">
      <alignment horizontal="center" vertical="center" wrapText="1"/>
      <protection locked="0"/>
    </xf>
    <xf numFmtId="14" fontId="31" fillId="0" borderId="51" xfId="1" applyNumberFormat="1" applyFont="1" applyBorder="1" applyAlignment="1" applyProtection="1">
      <alignment horizontal="center" vertical="center" wrapText="1"/>
      <protection locked="0"/>
    </xf>
    <xf numFmtId="0" fontId="80" fillId="0" borderId="37" xfId="13" applyFont="1" applyAlignment="1">
      <alignment horizontal="center" vertical="center" wrapText="1"/>
    </xf>
    <xf numFmtId="0" fontId="31" fillId="0" borderId="49" xfId="1" applyFont="1" applyBorder="1" applyAlignment="1" applyProtection="1">
      <alignment horizontal="center" vertical="center" wrapText="1"/>
      <protection locked="0"/>
    </xf>
    <xf numFmtId="0" fontId="31" fillId="0" borderId="51" xfId="1" applyFont="1" applyBorder="1" applyAlignment="1" applyProtection="1">
      <alignment horizontal="center" vertical="center"/>
      <protection locked="0"/>
    </xf>
    <xf numFmtId="0" fontId="30" fillId="0" borderId="49" xfId="1" applyFont="1" applyBorder="1" applyAlignment="1" applyProtection="1">
      <alignment horizontal="center" vertical="center" wrapText="1"/>
      <protection locked="0"/>
    </xf>
    <xf numFmtId="0" fontId="31" fillId="0" borderId="50" xfId="1" applyFont="1" applyBorder="1" applyAlignment="1" applyProtection="1">
      <alignment horizontal="center" vertical="center" wrapText="1"/>
      <protection locked="0"/>
    </xf>
    <xf numFmtId="0" fontId="31" fillId="0" borderId="41" xfId="1" applyFont="1" applyBorder="1" applyAlignment="1" applyProtection="1">
      <alignment horizontal="center" vertical="center" wrapText="1"/>
      <protection locked="0"/>
    </xf>
    <xf numFmtId="0" fontId="31" fillId="0" borderId="59" xfId="1" applyFont="1" applyBorder="1" applyAlignment="1" applyProtection="1">
      <alignment horizontal="center" vertical="center" wrapText="1"/>
      <protection locked="0"/>
    </xf>
    <xf numFmtId="0" fontId="34" fillId="0" borderId="49" xfId="1" applyFont="1" applyBorder="1" applyAlignment="1" applyProtection="1">
      <alignment horizontal="center" vertical="center" wrapText="1"/>
      <protection locked="0"/>
    </xf>
    <xf numFmtId="0" fontId="34" fillId="0" borderId="59" xfId="1" applyFont="1" applyBorder="1" applyAlignment="1" applyProtection="1">
      <alignment horizontal="center" vertical="center" wrapText="1"/>
      <protection locked="0"/>
    </xf>
    <xf numFmtId="0" fontId="31" fillId="0" borderId="43" xfId="1" applyFont="1" applyBorder="1" applyAlignment="1" applyProtection="1">
      <alignment horizontal="center" vertical="center" wrapText="1"/>
      <protection locked="0"/>
    </xf>
    <xf numFmtId="0" fontId="31" fillId="0" borderId="50" xfId="1" applyFont="1" applyBorder="1" applyAlignment="1" applyProtection="1">
      <alignment horizontal="center" vertical="center"/>
      <protection locked="0"/>
    </xf>
    <xf numFmtId="0" fontId="32" fillId="0" borderId="50" xfId="1" applyFont="1" applyBorder="1" applyAlignment="1" applyProtection="1">
      <alignment horizontal="center" vertical="center" wrapText="1"/>
      <protection hidden="1"/>
    </xf>
    <xf numFmtId="9" fontId="31" fillId="0" borderId="50" xfId="1" applyNumberFormat="1" applyFont="1" applyBorder="1" applyAlignment="1" applyProtection="1">
      <alignment horizontal="center" vertical="center" wrapText="1"/>
      <protection hidden="1"/>
    </xf>
    <xf numFmtId="9" fontId="31" fillId="0" borderId="50" xfId="1" applyNumberFormat="1" applyFont="1" applyBorder="1" applyAlignment="1" applyProtection="1">
      <alignment horizontal="center" vertical="center" wrapText="1"/>
      <protection locked="0"/>
    </xf>
    <xf numFmtId="0" fontId="32" fillId="0" borderId="50" xfId="1" applyFont="1" applyBorder="1" applyAlignment="1" applyProtection="1">
      <alignment horizontal="center" vertical="center"/>
      <protection hidden="1"/>
    </xf>
    <xf numFmtId="0" fontId="27" fillId="0" borderId="50" xfId="1" applyFont="1" applyBorder="1" applyAlignment="1" applyProtection="1">
      <alignment horizontal="center" vertical="center" wrapText="1"/>
      <protection locked="0"/>
    </xf>
    <xf numFmtId="0" fontId="32" fillId="9" borderId="37" xfId="17" applyFont="1" applyFill="1" applyAlignment="1">
      <alignment horizontal="center" vertical="center" wrapText="1"/>
    </xf>
    <xf numFmtId="0" fontId="31" fillId="0" borderId="37" xfId="17" applyFont="1" applyAlignment="1">
      <alignment horizontal="center" vertical="center"/>
    </xf>
    <xf numFmtId="0" fontId="31" fillId="0" borderId="37" xfId="17" applyFont="1" applyAlignment="1" applyProtection="1">
      <alignment horizontal="justify" vertical="top" wrapText="1"/>
      <protection locked="0"/>
    </xf>
    <xf numFmtId="0" fontId="31" fillId="0" borderId="37" xfId="17" applyFont="1" applyAlignment="1" applyProtection="1">
      <alignment horizontal="center" vertical="top"/>
      <protection hidden="1"/>
    </xf>
    <xf numFmtId="0" fontId="30" fillId="0" borderId="37" xfId="17" applyFont="1" applyAlignment="1" applyProtection="1">
      <alignment horizontal="center" vertical="top" textRotation="90"/>
      <protection locked="0"/>
    </xf>
    <xf numFmtId="9" fontId="30" fillId="0" borderId="37" xfId="17" applyNumberFormat="1" applyFont="1" applyAlignment="1" applyProtection="1">
      <alignment horizontal="center" vertical="top"/>
      <protection hidden="1"/>
    </xf>
    <xf numFmtId="164" fontId="31" fillId="0" borderId="37" xfId="18" applyNumberFormat="1" applyFont="1" applyBorder="1" applyAlignment="1">
      <alignment horizontal="center" vertical="top"/>
    </xf>
    <xf numFmtId="0" fontId="37" fillId="0" borderId="37" xfId="17" applyFont="1" applyAlignment="1" applyProtection="1">
      <alignment horizontal="center" vertical="top" textRotation="90" wrapText="1"/>
      <protection hidden="1"/>
    </xf>
    <xf numFmtId="0" fontId="37" fillId="0" borderId="37" xfId="17" applyFont="1" applyAlignment="1" applyProtection="1">
      <alignment horizontal="center" vertical="top" textRotation="90"/>
      <protection hidden="1"/>
    </xf>
    <xf numFmtId="0" fontId="30" fillId="0" borderId="37" xfId="17" applyFont="1" applyAlignment="1" applyProtection="1">
      <alignment horizontal="center" vertical="center" textRotation="90"/>
      <protection locked="0"/>
    </xf>
    <xf numFmtId="0" fontId="35" fillId="0" borderId="37" xfId="17" applyFont="1" applyAlignment="1" applyProtection="1">
      <alignment horizontal="center" vertical="center" wrapText="1"/>
      <protection locked="0"/>
    </xf>
    <xf numFmtId="14" fontId="35" fillId="0" borderId="37" xfId="17" applyNumberFormat="1" applyFont="1" applyAlignment="1" applyProtection="1">
      <alignment horizontal="center" vertical="center"/>
      <protection locked="0"/>
    </xf>
    <xf numFmtId="0" fontId="35" fillId="0" borderId="37" xfId="17" applyFont="1" applyAlignment="1" applyProtection="1">
      <alignment horizontal="center" vertical="center"/>
      <protection locked="0"/>
    </xf>
    <xf numFmtId="0" fontId="32" fillId="22" borderId="49" xfId="0" applyFont="1" applyFill="1" applyBorder="1" applyAlignment="1">
      <alignment horizontal="center" vertical="center" wrapText="1"/>
    </xf>
    <xf numFmtId="0" fontId="31" fillId="9" borderId="38" xfId="0" applyFont="1" applyFill="1" applyBorder="1" applyAlignment="1">
      <alignment horizontal="center" vertical="center" wrapText="1"/>
    </xf>
    <xf numFmtId="0" fontId="32" fillId="23" borderId="49" xfId="0" applyFont="1" applyFill="1" applyBorder="1" applyAlignment="1">
      <alignment horizontal="center" vertical="center" wrapText="1"/>
    </xf>
    <xf numFmtId="0" fontId="31" fillId="9" borderId="38" xfId="0" applyFont="1" applyFill="1" applyBorder="1" applyAlignment="1">
      <alignment horizontal="center" vertical="center"/>
    </xf>
    <xf numFmtId="0" fontId="59" fillId="13" borderId="0" xfId="0" applyFont="1" applyFill="1"/>
    <xf numFmtId="0" fontId="59" fillId="13" borderId="0" xfId="0" applyFont="1" applyFill="1" applyAlignment="1">
      <alignment horizontal="center" vertical="center"/>
    </xf>
    <xf numFmtId="0" fontId="59" fillId="13" borderId="0" xfId="0" applyFont="1" applyFill="1" applyAlignment="1">
      <alignment horizontal="left" vertical="center"/>
    </xf>
    <xf numFmtId="0" fontId="59" fillId="13" borderId="0" xfId="0" applyFont="1" applyFill="1" applyAlignment="1">
      <alignment horizontal="center"/>
    </xf>
    <xf numFmtId="0" fontId="60" fillId="12" borderId="88" xfId="0" applyFont="1" applyFill="1" applyBorder="1" applyAlignment="1">
      <alignment horizontal="center" vertical="center"/>
    </xf>
    <xf numFmtId="0" fontId="60" fillId="12" borderId="85" xfId="0" applyFont="1" applyFill="1" applyBorder="1" applyAlignment="1">
      <alignment horizontal="center" vertical="center" textRotation="90"/>
    </xf>
    <xf numFmtId="0" fontId="59" fillId="0" borderId="85" xfId="0" applyFont="1" applyBorder="1" applyAlignment="1">
      <alignment horizontal="center" vertical="center"/>
    </xf>
    <xf numFmtId="0" fontId="58" fillId="13" borderId="85" xfId="0" applyFont="1" applyFill="1" applyBorder="1" applyAlignment="1" applyProtection="1">
      <alignment horizontal="center" vertical="center" wrapText="1"/>
      <protection locked="0"/>
    </xf>
    <xf numFmtId="0" fontId="59" fillId="0" borderId="85" xfId="0" applyFont="1" applyBorder="1" applyAlignment="1" applyProtection="1">
      <alignment horizontal="center" vertical="center"/>
      <protection hidden="1"/>
    </xf>
    <xf numFmtId="0" fontId="58" fillId="0" borderId="85" xfId="0" applyFont="1" applyBorder="1" applyAlignment="1" applyProtection="1">
      <alignment horizontal="center" vertical="center" textRotation="90"/>
      <protection locked="0"/>
    </xf>
    <xf numFmtId="9" fontId="58" fillId="0" borderId="85" xfId="0" applyNumberFormat="1" applyFont="1" applyBorder="1" applyAlignment="1" applyProtection="1">
      <alignment horizontal="center" vertical="center"/>
      <protection hidden="1"/>
    </xf>
    <xf numFmtId="0" fontId="59" fillId="0" borderId="85" xfId="0" applyFont="1" applyBorder="1" applyAlignment="1" applyProtection="1">
      <alignment horizontal="center" vertical="center" wrapText="1"/>
      <protection locked="0"/>
    </xf>
    <xf numFmtId="14" fontId="58" fillId="0" borderId="87" xfId="0" applyNumberFormat="1" applyFont="1" applyBorder="1" applyAlignment="1" applyProtection="1">
      <alignment horizontal="center" vertical="center" wrapText="1"/>
      <protection locked="0"/>
    </xf>
    <xf numFmtId="14" fontId="59" fillId="0" borderId="85" xfId="0" applyNumberFormat="1" applyFont="1" applyBorder="1" applyAlignment="1" applyProtection="1">
      <alignment horizontal="center" vertical="center" wrapText="1"/>
      <protection locked="0"/>
    </xf>
    <xf numFmtId="14" fontId="59" fillId="0" borderId="85" xfId="0" applyNumberFormat="1" applyFont="1" applyBorder="1" applyAlignment="1" applyProtection="1">
      <alignment horizontal="center" vertical="center"/>
      <protection locked="0"/>
    </xf>
    <xf numFmtId="0" fontId="59" fillId="13" borderId="85" xfId="0" applyFont="1" applyFill="1" applyBorder="1" applyAlignment="1">
      <alignment horizontal="center" vertical="center" wrapText="1"/>
    </xf>
    <xf numFmtId="0" fontId="34" fillId="0" borderId="85" xfId="0" applyFont="1" applyBorder="1" applyAlignment="1" applyProtection="1">
      <alignment horizontal="center" vertical="center" wrapText="1"/>
      <protection locked="0"/>
    </xf>
    <xf numFmtId="0" fontId="63" fillId="0" borderId="85" xfId="0" applyFont="1" applyBorder="1" applyAlignment="1" applyProtection="1">
      <alignment horizontal="center" vertical="center" textRotation="90" wrapText="1"/>
      <protection hidden="1"/>
    </xf>
    <xf numFmtId="9" fontId="58" fillId="0" borderId="87" xfId="0" applyNumberFormat="1" applyFont="1" applyBorder="1" applyAlignment="1" applyProtection="1">
      <alignment horizontal="center" vertical="center"/>
      <protection hidden="1"/>
    </xf>
    <xf numFmtId="0" fontId="63" fillId="0" borderId="85" xfId="0" applyFont="1" applyBorder="1" applyAlignment="1" applyProtection="1">
      <alignment horizontal="center" vertical="center" textRotation="90"/>
      <protection hidden="1"/>
    </xf>
    <xf numFmtId="14" fontId="59" fillId="0" borderId="87" xfId="0" applyNumberFormat="1" applyFont="1" applyBorder="1" applyAlignment="1" applyProtection="1">
      <alignment horizontal="center" vertical="center" wrapText="1"/>
      <protection locked="0"/>
    </xf>
    <xf numFmtId="0" fontId="59" fillId="0" borderId="85" xfId="0" applyFont="1" applyBorder="1" applyAlignment="1" applyProtection="1">
      <alignment horizontal="center" vertical="center"/>
      <protection locked="0"/>
    </xf>
    <xf numFmtId="0" fontId="59" fillId="13" borderId="85" xfId="0" applyFont="1" applyFill="1" applyBorder="1" applyAlignment="1" applyProtection="1">
      <alignment horizontal="center" vertical="center" wrapText="1"/>
      <protection locked="0"/>
    </xf>
    <xf numFmtId="14" fontId="30" fillId="0" borderId="50" xfId="0" applyNumberFormat="1" applyFont="1" applyBorder="1" applyAlignment="1" applyProtection="1">
      <alignment horizontal="center" vertical="center" wrapText="1"/>
      <protection locked="0"/>
    </xf>
    <xf numFmtId="0" fontId="30" fillId="0" borderId="140" xfId="0" applyFont="1" applyBorder="1" applyAlignment="1" applyProtection="1">
      <alignment horizontal="center" vertical="center"/>
      <protection locked="0"/>
    </xf>
    <xf numFmtId="0" fontId="31" fillId="0" borderId="140" xfId="0" applyFont="1" applyBorder="1" applyAlignment="1" applyProtection="1">
      <alignment horizontal="center" vertical="center"/>
      <protection locked="0"/>
    </xf>
    <xf numFmtId="14" fontId="31" fillId="0" borderId="47" xfId="0" applyNumberFormat="1" applyFont="1" applyBorder="1" applyAlignment="1" applyProtection="1">
      <alignment horizontal="center" vertical="center"/>
      <protection locked="0"/>
    </xf>
    <xf numFmtId="0" fontId="31" fillId="0" borderId="61" xfId="0" applyFont="1" applyBorder="1" applyAlignment="1">
      <alignment horizontal="center" vertical="center"/>
    </xf>
    <xf numFmtId="0" fontId="31" fillId="9" borderId="49" xfId="0" applyFont="1" applyFill="1" applyBorder="1" applyAlignment="1">
      <alignment horizontal="center" vertical="center" wrapText="1"/>
    </xf>
    <xf numFmtId="0" fontId="30" fillId="0" borderId="49" xfId="0" applyFont="1" applyBorder="1" applyAlignment="1" applyProtection="1">
      <alignment horizontal="center" vertical="center" wrapText="1"/>
      <protection locked="0"/>
    </xf>
    <xf numFmtId="0" fontId="74" fillId="10" borderId="0" xfId="0" applyFont="1" applyFill="1" applyAlignment="1">
      <alignment horizontal="center" vertical="center"/>
    </xf>
    <xf numFmtId="0" fontId="31" fillId="10" borderId="0" xfId="0" applyFont="1" applyFill="1"/>
    <xf numFmtId="0" fontId="30" fillId="10" borderId="0" xfId="0" applyFont="1" applyFill="1" applyAlignment="1" applyProtection="1">
      <alignment horizontal="center" vertical="center"/>
      <protection locked="0"/>
    </xf>
    <xf numFmtId="0" fontId="30" fillId="10" borderId="0" xfId="0" applyFont="1" applyFill="1" applyAlignment="1" applyProtection="1">
      <alignment horizontal="center" vertical="center" wrapText="1"/>
      <protection locked="0"/>
    </xf>
    <xf numFmtId="0" fontId="34" fillId="9" borderId="49" xfId="0" applyFont="1" applyFill="1" applyBorder="1" applyAlignment="1">
      <alignment horizontal="center" vertical="center" wrapText="1"/>
    </xf>
    <xf numFmtId="0" fontId="34" fillId="0" borderId="49" xfId="0" applyFont="1" applyBorder="1" applyAlignment="1">
      <alignment horizontal="center" vertical="center" wrapText="1"/>
    </xf>
    <xf numFmtId="0" fontId="31" fillId="9" borderId="0" xfId="0" applyFont="1" applyFill="1" applyAlignment="1">
      <alignment horizontal="left" vertical="top"/>
    </xf>
    <xf numFmtId="0" fontId="31" fillId="9" borderId="0" xfId="0" applyFont="1" applyFill="1" applyAlignment="1">
      <alignment horizontal="left"/>
    </xf>
    <xf numFmtId="0" fontId="31" fillId="9" borderId="0" xfId="0" applyFont="1" applyFill="1" applyAlignment="1">
      <alignment textRotation="180"/>
    </xf>
    <xf numFmtId="0" fontId="32" fillId="8" borderId="53" xfId="0" applyFont="1" applyFill="1" applyBorder="1" applyAlignment="1">
      <alignment horizontal="center" vertical="center" textRotation="180"/>
    </xf>
    <xf numFmtId="0" fontId="27" fillId="0" borderId="50" xfId="0" applyFont="1" applyBorder="1" applyAlignment="1">
      <alignment horizontal="center" vertical="center"/>
    </xf>
    <xf numFmtId="9" fontId="27" fillId="0" borderId="50" xfId="0" applyNumberFormat="1" applyFont="1" applyBorder="1" applyAlignment="1" applyProtection="1">
      <alignment horizontal="center" vertical="center" wrapText="1"/>
      <protection hidden="1"/>
    </xf>
    <xf numFmtId="0" fontId="27" fillId="0" borderId="51" xfId="0" applyFont="1" applyBorder="1" applyAlignment="1">
      <alignment horizontal="center" vertical="center"/>
    </xf>
    <xf numFmtId="0" fontId="27" fillId="0" borderId="51" xfId="0" applyFont="1" applyBorder="1" applyAlignment="1" applyProtection="1">
      <alignment horizontal="center" vertical="center"/>
      <protection hidden="1"/>
    </xf>
    <xf numFmtId="0" fontId="27" fillId="0" borderId="51" xfId="0" applyFont="1" applyBorder="1" applyAlignment="1" applyProtection="1">
      <alignment horizontal="center" vertical="center" textRotation="90"/>
      <protection locked="0"/>
    </xf>
    <xf numFmtId="9" fontId="27" fillId="0" borderId="51" xfId="0" applyNumberFormat="1" applyFont="1" applyBorder="1" applyAlignment="1" applyProtection="1">
      <alignment horizontal="center" vertical="center"/>
      <protection hidden="1"/>
    </xf>
    <xf numFmtId="164" fontId="27" fillId="0" borderId="51" xfId="16" applyNumberFormat="1" applyFont="1" applyBorder="1" applyAlignment="1">
      <alignment horizontal="center" vertical="center"/>
    </xf>
    <xf numFmtId="0" fontId="26" fillId="0" borderId="51" xfId="0" applyFont="1" applyBorder="1" applyAlignment="1" applyProtection="1">
      <alignment horizontal="center" vertical="center" textRotation="90" wrapText="1"/>
      <protection hidden="1"/>
    </xf>
    <xf numFmtId="9" fontId="27" fillId="0" borderId="50" xfId="0" applyNumberFormat="1" applyFont="1" applyBorder="1" applyAlignment="1" applyProtection="1">
      <alignment horizontal="center" vertical="center"/>
      <protection hidden="1"/>
    </xf>
    <xf numFmtId="0" fontId="26" fillId="0" borderId="51" xfId="0" applyFont="1" applyBorder="1" applyAlignment="1" applyProtection="1">
      <alignment horizontal="center" vertical="center" textRotation="90"/>
      <protection hidden="1"/>
    </xf>
    <xf numFmtId="0" fontId="27" fillId="0" borderId="50" xfId="0" applyFont="1" applyBorder="1" applyAlignment="1" applyProtection="1">
      <alignment horizontal="center" vertical="center" textRotation="90"/>
      <protection locked="0"/>
    </xf>
    <xf numFmtId="14" fontId="27" fillId="0" borderId="51" xfId="0" applyNumberFormat="1" applyFont="1" applyBorder="1" applyAlignment="1" applyProtection="1">
      <alignment horizontal="center" vertical="center" textRotation="180"/>
      <protection locked="0"/>
    </xf>
    <xf numFmtId="14" fontId="27" fillId="0" borderId="51" xfId="0" applyNumberFormat="1" applyFont="1" applyBorder="1" applyAlignment="1" applyProtection="1">
      <alignment horizontal="center" vertical="center"/>
      <protection locked="0"/>
    </xf>
    <xf numFmtId="0" fontId="27" fillId="0" borderId="51" xfId="0" applyFont="1" applyBorder="1" applyAlignment="1" applyProtection="1">
      <alignment horizontal="center" vertical="center"/>
      <protection locked="0"/>
    </xf>
    <xf numFmtId="0" fontId="27" fillId="0" borderId="50" xfId="0" applyFont="1" applyBorder="1" applyAlignment="1" applyProtection="1">
      <alignment horizontal="center" vertical="center"/>
      <protection hidden="1"/>
    </xf>
    <xf numFmtId="0" fontId="99" fillId="0" borderId="50" xfId="0" applyFont="1" applyBorder="1" applyAlignment="1" applyProtection="1">
      <alignment horizontal="center" vertical="center" wrapText="1"/>
      <protection locked="0"/>
    </xf>
    <xf numFmtId="0" fontId="100" fillId="0" borderId="93" xfId="0" applyFont="1" applyBorder="1" applyAlignment="1" applyProtection="1">
      <alignment horizontal="center" vertical="center" wrapText="1"/>
      <protection locked="0"/>
    </xf>
    <xf numFmtId="0" fontId="26" fillId="9" borderId="59" xfId="0" applyFont="1" applyFill="1" applyBorder="1" applyAlignment="1">
      <alignment horizontal="center" vertical="center" wrapText="1"/>
    </xf>
    <xf numFmtId="0" fontId="28" fillId="0" borderId="59" xfId="0" applyFont="1" applyBorder="1" applyAlignment="1" applyProtection="1">
      <alignment horizontal="center" vertical="center" textRotation="180" wrapText="1"/>
      <protection locked="0"/>
    </xf>
    <xf numFmtId="0" fontId="28" fillId="0" borderId="59" xfId="0" applyFont="1" applyBorder="1" applyAlignment="1" applyProtection="1">
      <alignment horizontal="center" vertical="center" wrapText="1"/>
      <protection locked="0"/>
    </xf>
    <xf numFmtId="0" fontId="27" fillId="0" borderId="112" xfId="0" applyFont="1" applyBorder="1" applyAlignment="1" applyProtection="1">
      <alignment horizontal="center" vertical="center" wrapText="1"/>
      <protection locked="0"/>
    </xf>
    <xf numFmtId="0" fontId="27" fillId="0" borderId="50" xfId="0" applyFont="1" applyBorder="1" applyAlignment="1" applyProtection="1">
      <alignment horizontal="center" vertical="center"/>
      <protection locked="0"/>
    </xf>
    <xf numFmtId="0" fontId="26" fillId="0" borderId="50" xfId="0" applyFont="1" applyBorder="1" applyAlignment="1" applyProtection="1">
      <alignment horizontal="center" vertical="center" textRotation="180" wrapText="1"/>
      <protection hidden="1"/>
    </xf>
    <xf numFmtId="9" fontId="27" fillId="0" borderId="50" xfId="0" applyNumberFormat="1" applyFont="1" applyBorder="1" applyAlignment="1" applyProtection="1">
      <alignment horizontal="center" vertical="center" wrapText="1"/>
      <protection locked="0"/>
    </xf>
    <xf numFmtId="0" fontId="26" fillId="0" borderId="50" xfId="0" applyFont="1" applyBorder="1" applyAlignment="1" applyProtection="1">
      <alignment horizontal="center" vertical="center" textRotation="180"/>
      <protection hidden="1"/>
    </xf>
    <xf numFmtId="9" fontId="27" fillId="0" borderId="53" xfId="0" applyNumberFormat="1" applyFont="1" applyBorder="1" applyAlignment="1" applyProtection="1">
      <alignment horizontal="center" vertical="center" wrapText="1"/>
      <protection locked="0"/>
    </xf>
    <xf numFmtId="0" fontId="26" fillId="0" borderId="49" xfId="0" applyFont="1" applyBorder="1" applyAlignment="1" applyProtection="1">
      <alignment horizontal="center" vertical="center" wrapText="1"/>
      <protection locked="0"/>
    </xf>
    <xf numFmtId="0" fontId="98" fillId="0" borderId="49" xfId="0" applyFont="1" applyBorder="1" applyAlignment="1" applyProtection="1">
      <alignment horizontal="center" vertical="center" wrapText="1"/>
      <protection locked="0"/>
    </xf>
    <xf numFmtId="0" fontId="27" fillId="0" borderId="43" xfId="0" applyFont="1" applyBorder="1" applyAlignment="1" applyProtection="1">
      <alignment horizontal="center" vertical="center" wrapText="1"/>
      <protection locked="0"/>
    </xf>
    <xf numFmtId="0" fontId="28" fillId="0" borderId="49" xfId="0" applyFont="1" applyBorder="1" applyAlignment="1" applyProtection="1">
      <alignment horizontal="center" vertical="center" wrapText="1"/>
      <protection locked="0"/>
    </xf>
    <xf numFmtId="0" fontId="103" fillId="0" borderId="50" xfId="0" applyFont="1" applyBorder="1" applyAlignment="1" applyProtection="1">
      <alignment horizontal="center" vertical="center" wrapText="1"/>
      <protection locked="0"/>
    </xf>
    <xf numFmtId="0" fontId="27" fillId="0" borderId="41" xfId="0" applyFont="1" applyBorder="1" applyAlignment="1" applyProtection="1">
      <alignment horizontal="center" vertical="center" wrapText="1"/>
      <protection locked="0"/>
    </xf>
    <xf numFmtId="0" fontId="104" fillId="0" borderId="50" xfId="0" applyFont="1" applyBorder="1" applyAlignment="1" applyProtection="1">
      <alignment horizontal="center" vertical="center" wrapText="1"/>
      <protection locked="0"/>
    </xf>
    <xf numFmtId="0" fontId="100" fillId="0" borderId="41" xfId="0" applyFont="1" applyBorder="1" applyAlignment="1" applyProtection="1">
      <alignment horizontal="center" vertical="center" wrapText="1"/>
      <protection locked="0"/>
    </xf>
    <xf numFmtId="0" fontId="26" fillId="26" borderId="49" xfId="0" applyFont="1" applyFill="1" applyBorder="1" applyAlignment="1" applyProtection="1">
      <alignment horizontal="center" vertical="center" wrapText="1"/>
      <protection locked="0"/>
    </xf>
    <xf numFmtId="0" fontId="98" fillId="26" borderId="49" xfId="0" applyFont="1" applyFill="1" applyBorder="1" applyAlignment="1" applyProtection="1">
      <alignment horizontal="center" vertical="center" wrapText="1"/>
      <protection locked="0"/>
    </xf>
    <xf numFmtId="0" fontId="27" fillId="26" borderId="51" xfId="0" applyFont="1" applyFill="1" applyBorder="1" applyAlignment="1" applyProtection="1">
      <alignment horizontal="center" vertical="center" wrapText="1"/>
      <protection locked="0"/>
    </xf>
    <xf numFmtId="0" fontId="27" fillId="27" borderId="49" xfId="0" applyFont="1" applyFill="1" applyBorder="1" applyAlignment="1" applyProtection="1">
      <alignment horizontal="center" vertical="center" wrapText="1"/>
      <protection locked="0"/>
    </xf>
    <xf numFmtId="0" fontId="28" fillId="27" borderId="49" xfId="0" applyFont="1" applyFill="1" applyBorder="1" applyAlignment="1" applyProtection="1">
      <alignment horizontal="center" vertical="center" wrapText="1"/>
      <protection locked="0"/>
    </xf>
    <xf numFmtId="0" fontId="27" fillId="27" borderId="51" xfId="0" applyFont="1" applyFill="1" applyBorder="1" applyAlignment="1" applyProtection="1">
      <alignment horizontal="center" vertical="center" wrapText="1"/>
      <protection locked="0"/>
    </xf>
    <xf numFmtId="0" fontId="27" fillId="27" borderId="51" xfId="0" applyFont="1" applyFill="1" applyBorder="1" applyAlignment="1" applyProtection="1">
      <alignment horizontal="center" vertical="center"/>
      <protection locked="0"/>
    </xf>
    <xf numFmtId="0" fontId="107" fillId="0" borderId="50" xfId="0" applyFont="1" applyBorder="1" applyAlignment="1" applyProtection="1">
      <alignment horizontal="center" vertical="center" wrapText="1"/>
      <protection locked="0"/>
    </xf>
    <xf numFmtId="0" fontId="108" fillId="0" borderId="41" xfId="0" applyFont="1" applyBorder="1" applyAlignment="1" applyProtection="1">
      <alignment horizontal="center" vertical="center" wrapText="1"/>
      <protection locked="0"/>
    </xf>
    <xf numFmtId="0" fontId="35" fillId="0" borderId="59" xfId="0" applyFont="1" applyBorder="1" applyAlignment="1" applyProtection="1">
      <alignment horizontal="center" vertical="center" textRotation="180" wrapText="1"/>
      <protection locked="0"/>
    </xf>
    <xf numFmtId="0" fontId="32" fillId="0" borderId="50" xfId="0" applyFont="1" applyBorder="1" applyAlignment="1" applyProtection="1">
      <alignment horizontal="center" vertical="center" textRotation="180" wrapText="1"/>
      <protection hidden="1"/>
    </xf>
    <xf numFmtId="0" fontId="32" fillId="0" borderId="50" xfId="0" applyFont="1" applyBorder="1" applyAlignment="1" applyProtection="1">
      <alignment horizontal="center" vertical="center" textRotation="180"/>
      <protection hidden="1"/>
    </xf>
    <xf numFmtId="0" fontId="30" fillId="0" borderId="77" xfId="0" applyFont="1" applyBorder="1" applyAlignment="1">
      <alignment horizontal="center" vertical="center"/>
    </xf>
    <xf numFmtId="165" fontId="31" fillId="0" borderId="77" xfId="0" applyNumberFormat="1" applyFont="1" applyBorder="1" applyAlignment="1">
      <alignment horizontal="center" vertical="center"/>
    </xf>
    <xf numFmtId="0" fontId="31" fillId="6" borderId="77" xfId="0" applyFont="1" applyFill="1" applyBorder="1" applyAlignment="1">
      <alignment horizontal="center" vertical="center" wrapText="1"/>
    </xf>
    <xf numFmtId="0" fontId="27" fillId="0" borderId="77" xfId="0" applyFont="1" applyBorder="1" applyAlignment="1">
      <alignment horizontal="center" vertical="center" wrapText="1"/>
    </xf>
    <xf numFmtId="0" fontId="31" fillId="0" borderId="0" xfId="0" applyFont="1" applyAlignment="1">
      <alignment horizontal="center" vertical="center" wrapText="1"/>
    </xf>
    <xf numFmtId="0" fontId="31" fillId="9" borderId="37" xfId="1" applyFont="1" applyFill="1" applyAlignment="1">
      <alignment horizontal="left" vertical="center"/>
    </xf>
    <xf numFmtId="0" fontId="31" fillId="9" borderId="37" xfId="1" applyFont="1" applyFill="1"/>
    <xf numFmtId="0" fontId="31" fillId="9" borderId="37" xfId="1" applyFont="1" applyFill="1" applyAlignment="1">
      <alignment horizontal="center"/>
    </xf>
    <xf numFmtId="0" fontId="37" fillId="0" borderId="51" xfId="1" applyFont="1" applyBorder="1" applyAlignment="1" applyProtection="1">
      <alignment horizontal="center" vertical="center" textRotation="90"/>
      <protection hidden="1"/>
    </xf>
    <xf numFmtId="49" fontId="31" fillId="0" borderId="51" xfId="1" applyNumberFormat="1" applyFont="1" applyBorder="1" applyAlignment="1" applyProtection="1">
      <alignment horizontal="center" vertical="center" wrapText="1"/>
      <protection locked="0"/>
    </xf>
    <xf numFmtId="0" fontId="31" fillId="14" borderId="51" xfId="0" applyFont="1" applyFill="1" applyBorder="1" applyAlignment="1" applyProtection="1">
      <alignment horizontal="center" vertical="center" wrapText="1"/>
      <protection locked="0"/>
    </xf>
    <xf numFmtId="0" fontId="31" fillId="24" borderId="51" xfId="0" applyFont="1" applyFill="1" applyBorder="1" applyAlignment="1" applyProtection="1">
      <alignment horizontal="center" vertical="center" wrapText="1"/>
      <protection locked="0"/>
    </xf>
    <xf numFmtId="0" fontId="76" fillId="0" borderId="85" xfId="0" applyFont="1" applyBorder="1" applyAlignment="1" applyProtection="1">
      <alignment horizontal="center" vertical="center" wrapText="1"/>
      <protection locked="0"/>
    </xf>
    <xf numFmtId="0" fontId="28" fillId="0" borderId="85" xfId="0" applyFont="1" applyBorder="1" applyAlignment="1" applyProtection="1">
      <alignment horizontal="center" vertical="center" wrapText="1"/>
      <protection locked="0"/>
    </xf>
    <xf numFmtId="0" fontId="59" fillId="13" borderId="87" xfId="0" applyFont="1" applyFill="1" applyBorder="1" applyAlignment="1" applyProtection="1">
      <alignment horizontal="center" vertical="center" wrapText="1"/>
      <protection locked="0"/>
    </xf>
    <xf numFmtId="0" fontId="28" fillId="0" borderId="87" xfId="0" applyFont="1" applyBorder="1" applyAlignment="1" applyProtection="1">
      <alignment horizontal="center" vertical="center" wrapText="1"/>
      <protection locked="0"/>
    </xf>
    <xf numFmtId="0" fontId="28" fillId="0" borderId="86" xfId="0" applyFont="1" applyBorder="1" applyAlignment="1" applyProtection="1">
      <alignment horizontal="center" vertical="center" wrapText="1"/>
      <protection locked="0"/>
    </xf>
    <xf numFmtId="0" fontId="58" fillId="0" borderId="87" xfId="0" applyFont="1" applyBorder="1" applyAlignment="1" applyProtection="1">
      <alignment horizontal="center" vertical="center" textRotation="90"/>
      <protection locked="0"/>
    </xf>
    <xf numFmtId="0" fontId="27" fillId="9" borderId="51" xfId="0" applyFont="1" applyFill="1" applyBorder="1" applyAlignment="1" applyProtection="1">
      <alignment horizontal="center" vertical="center" wrapText="1"/>
      <protection locked="0"/>
    </xf>
    <xf numFmtId="0" fontId="28" fillId="0" borderId="51" xfId="0" applyFont="1" applyBorder="1" applyAlignment="1" applyProtection="1">
      <alignment horizontal="justify" vertical="center" wrapText="1"/>
      <protection locked="0"/>
    </xf>
    <xf numFmtId="0" fontId="31" fillId="0" borderId="59" xfId="0" applyFont="1" applyBorder="1" applyAlignment="1" applyProtection="1">
      <alignment horizontal="center" vertical="center" wrapText="1"/>
      <protection locked="0"/>
    </xf>
    <xf numFmtId="0" fontId="31" fillId="0" borderId="0" xfId="0" applyFont="1" applyAlignment="1">
      <alignment horizontal="center" vertical="center"/>
    </xf>
    <xf numFmtId="0" fontId="34" fillId="9" borderId="38" xfId="0" applyFont="1" applyFill="1" applyBorder="1" applyAlignment="1">
      <alignment horizontal="center" vertical="center" wrapText="1"/>
    </xf>
    <xf numFmtId="0" fontId="31" fillId="0" borderId="38" xfId="0" applyFont="1" applyBorder="1" applyAlignment="1">
      <alignment horizontal="center" vertical="center" wrapText="1"/>
    </xf>
    <xf numFmtId="0" fontId="32" fillId="9" borderId="38" xfId="0" applyFont="1" applyFill="1" applyBorder="1" applyAlignment="1">
      <alignment horizontal="center" vertical="center" wrapText="1"/>
    </xf>
    <xf numFmtId="0" fontId="34" fillId="0" borderId="51" xfId="0" applyFont="1" applyBorder="1" applyAlignment="1" applyProtection="1">
      <alignment horizontal="center" vertical="center" wrapText="1"/>
      <protection locked="0"/>
    </xf>
    <xf numFmtId="0" fontId="34" fillId="0" borderId="51" xfId="0" applyFont="1" applyBorder="1" applyAlignment="1" applyProtection="1">
      <alignment horizontal="center" vertical="center"/>
      <protection locked="0"/>
    </xf>
    <xf numFmtId="0" fontId="31" fillId="10" borderId="0" xfId="0" applyFont="1" applyFill="1" applyAlignment="1">
      <alignment horizontal="center" vertical="center" wrapText="1"/>
    </xf>
    <xf numFmtId="0" fontId="30" fillId="10" borderId="50" xfId="0" applyFont="1" applyFill="1" applyBorder="1" applyAlignment="1" applyProtection="1">
      <alignment horizontal="center" vertical="center" wrapText="1"/>
      <protection locked="0"/>
    </xf>
    <xf numFmtId="14" fontId="30" fillId="10" borderId="50" xfId="0" applyNumberFormat="1" applyFont="1" applyFill="1" applyBorder="1" applyAlignment="1" applyProtection="1">
      <alignment horizontal="center" vertical="center" wrapText="1"/>
      <protection locked="0"/>
    </xf>
    <xf numFmtId="0" fontId="30" fillId="10" borderId="50" xfId="0" applyFont="1" applyFill="1" applyBorder="1" applyAlignment="1" applyProtection="1">
      <alignment horizontal="center" vertical="center"/>
      <protection locked="0"/>
    </xf>
    <xf numFmtId="0" fontId="34" fillId="10" borderId="51" xfId="0" applyFont="1" applyFill="1" applyBorder="1" applyAlignment="1" applyProtection="1">
      <alignment horizontal="center" vertical="center" wrapText="1"/>
      <protection locked="0"/>
    </xf>
    <xf numFmtId="0" fontId="35" fillId="10" borderId="50" xfId="0" applyFont="1" applyFill="1" applyBorder="1" applyAlignment="1" applyProtection="1">
      <alignment horizontal="center" vertical="center" wrapText="1"/>
      <protection locked="0"/>
    </xf>
    <xf numFmtId="0" fontId="31" fillId="10" borderId="51" xfId="0" applyFont="1" applyFill="1" applyBorder="1" applyAlignment="1" applyProtection="1">
      <alignment horizontal="center" vertical="center" wrapText="1"/>
      <protection locked="0"/>
    </xf>
    <xf numFmtId="0" fontId="98" fillId="0" borderId="59" xfId="0" applyFont="1" applyBorder="1" applyAlignment="1" applyProtection="1">
      <alignment horizontal="center" vertical="center" wrapText="1"/>
      <protection locked="0"/>
    </xf>
    <xf numFmtId="0" fontId="12" fillId="0" borderId="74" xfId="0" applyFont="1" applyBorder="1" applyAlignment="1">
      <alignment horizontal="center" vertical="center" wrapText="1"/>
    </xf>
    <xf numFmtId="9" fontId="31" fillId="0" borderId="50" xfId="0" applyNumberFormat="1" applyFont="1" applyBorder="1" applyAlignment="1" applyProtection="1">
      <alignment horizontal="center" vertical="top" wrapText="1"/>
      <protection hidden="1"/>
    </xf>
    <xf numFmtId="9" fontId="30" fillId="0" borderId="53" xfId="0" applyNumberFormat="1" applyFont="1" applyBorder="1" applyAlignment="1" applyProtection="1">
      <alignment horizontal="center" vertical="top" wrapText="1"/>
      <protection hidden="1"/>
    </xf>
    <xf numFmtId="0" fontId="31" fillId="0" borderId="53" xfId="0" applyFont="1" applyBorder="1" applyAlignment="1">
      <alignment horizontal="center" vertical="center"/>
    </xf>
    <xf numFmtId="0" fontId="30" fillId="0" borderId="56" xfId="0" applyFont="1" applyBorder="1" applyAlignment="1" applyProtection="1">
      <alignment horizontal="center" vertical="top" wrapText="1"/>
      <protection locked="0"/>
    </xf>
    <xf numFmtId="0" fontId="30" fillId="0" borderId="53" xfId="0" applyFont="1" applyBorder="1" applyAlignment="1" applyProtection="1">
      <alignment horizontal="center" vertical="top" wrapText="1"/>
      <protection locked="0"/>
    </xf>
    <xf numFmtId="0" fontId="30" fillId="0" borderId="54" xfId="0" applyFont="1" applyBorder="1" applyAlignment="1" applyProtection="1">
      <alignment horizontal="center" vertical="top" wrapText="1"/>
      <protection locked="0"/>
    </xf>
    <xf numFmtId="0" fontId="10" fillId="0" borderId="76" xfId="0" applyFont="1" applyBorder="1"/>
    <xf numFmtId="0" fontId="27" fillId="0" borderId="53" xfId="0" applyFont="1" applyBorder="1" applyAlignment="1">
      <alignment horizontal="center" vertical="center"/>
    </xf>
    <xf numFmtId="0" fontId="27" fillId="25" borderId="50" xfId="0" applyFont="1" applyFill="1" applyBorder="1" applyAlignment="1" applyProtection="1">
      <alignment horizontal="center" vertical="center" wrapText="1"/>
      <protection locked="0"/>
    </xf>
    <xf numFmtId="0" fontId="59" fillId="13" borderId="85" xfId="0" applyFont="1" applyFill="1" applyBorder="1" applyAlignment="1">
      <alignment vertical="center" wrapText="1"/>
    </xf>
    <xf numFmtId="0" fontId="59" fillId="0" borderId="85" xfId="0" applyFont="1" applyBorder="1" applyAlignment="1">
      <alignment horizontal="center" vertical="top"/>
    </xf>
    <xf numFmtId="0" fontId="76" fillId="0" borderId="85" xfId="0" applyFont="1" applyBorder="1" applyAlignment="1" applyProtection="1">
      <alignment horizontal="justify" vertical="center" wrapText="1"/>
      <protection locked="0"/>
    </xf>
    <xf numFmtId="0" fontId="63" fillId="0" borderId="85" xfId="0" applyFont="1" applyBorder="1" applyAlignment="1" applyProtection="1">
      <alignment horizontal="center" vertical="top" textRotation="90" wrapText="1"/>
      <protection hidden="1"/>
    </xf>
    <xf numFmtId="9" fontId="58" fillId="0" borderId="87" xfId="0" applyNumberFormat="1" applyFont="1" applyBorder="1" applyAlignment="1" applyProtection="1">
      <alignment horizontal="center" vertical="top"/>
      <protection hidden="1"/>
    </xf>
    <xf numFmtId="0" fontId="63" fillId="0" borderId="85" xfId="0" applyFont="1" applyBorder="1" applyAlignment="1" applyProtection="1">
      <alignment horizontal="center" vertical="top" textRotation="90"/>
      <protection hidden="1"/>
    </xf>
    <xf numFmtId="0" fontId="59" fillId="13" borderId="85" xfId="0" applyFont="1" applyFill="1" applyBorder="1" applyAlignment="1" applyProtection="1">
      <alignment vertical="center" wrapText="1"/>
      <protection locked="0"/>
    </xf>
    <xf numFmtId="14" fontId="59" fillId="0" borderId="87" xfId="0" applyNumberFormat="1" applyFont="1" applyBorder="1" applyAlignment="1" applyProtection="1">
      <alignment vertical="center" wrapText="1"/>
      <protection locked="0"/>
    </xf>
    <xf numFmtId="0" fontId="28" fillId="0" borderId="85" xfId="0" applyFont="1" applyBorder="1" applyAlignment="1" applyProtection="1">
      <alignment horizontal="justify" vertical="center" wrapText="1"/>
      <protection locked="0"/>
    </xf>
    <xf numFmtId="0" fontId="59" fillId="13" borderId="87" xfId="0" applyFont="1" applyFill="1" applyBorder="1" applyAlignment="1" applyProtection="1">
      <alignment vertical="center" wrapText="1"/>
      <protection locked="0"/>
    </xf>
    <xf numFmtId="14" fontId="58" fillId="0" borderId="87" xfId="0" applyNumberFormat="1" applyFont="1" applyBorder="1" applyAlignment="1" applyProtection="1">
      <alignment vertical="center" wrapText="1"/>
      <protection locked="0"/>
    </xf>
    <xf numFmtId="0" fontId="58" fillId="13" borderId="85" xfId="0" applyFont="1" applyFill="1" applyBorder="1" applyAlignment="1" applyProtection="1">
      <alignment horizontal="center" vertical="top" wrapText="1"/>
      <protection locked="0"/>
    </xf>
    <xf numFmtId="0" fontId="59" fillId="0" borderId="85" xfId="0" applyFont="1" applyBorder="1" applyAlignment="1" applyProtection="1">
      <alignment horizontal="center" vertical="top"/>
      <protection hidden="1"/>
    </xf>
    <xf numFmtId="9" fontId="58" fillId="0" borderId="85" xfId="0" applyNumberFormat="1" applyFont="1" applyBorder="1" applyAlignment="1" applyProtection="1">
      <alignment horizontal="center" vertical="top"/>
      <protection hidden="1"/>
    </xf>
    <xf numFmtId="0" fontId="58" fillId="0" borderId="87" xfId="0" applyFont="1" applyBorder="1" applyAlignment="1" applyProtection="1">
      <alignment horizontal="center" vertical="top" textRotation="90"/>
      <protection locked="0"/>
    </xf>
    <xf numFmtId="0" fontId="59" fillId="0" borderId="85" xfId="0" applyFont="1" applyBorder="1" applyAlignment="1" applyProtection="1">
      <alignment horizontal="center" vertical="top" wrapText="1"/>
      <protection locked="0"/>
    </xf>
    <xf numFmtId="0" fontId="59" fillId="0" borderId="85" xfId="0" applyFont="1" applyBorder="1" applyAlignment="1" applyProtection="1">
      <alignment horizontal="center" vertical="top"/>
      <protection locked="0"/>
    </xf>
    <xf numFmtId="14" fontId="59" fillId="0" borderId="85" xfId="0" applyNumberFormat="1" applyFont="1" applyBorder="1" applyAlignment="1" applyProtection="1">
      <alignment horizontal="center" vertical="top"/>
      <protection locked="0"/>
    </xf>
    <xf numFmtId="14" fontId="59" fillId="0" borderId="85" xfId="0" applyNumberFormat="1" applyFont="1" applyBorder="1" applyAlignment="1" applyProtection="1">
      <alignment horizontal="center" vertical="top" wrapText="1"/>
      <protection locked="0"/>
    </xf>
    <xf numFmtId="0" fontId="58" fillId="0" borderId="85" xfId="0" applyFont="1" applyBorder="1" applyAlignment="1" applyProtection="1">
      <alignment horizontal="center" vertical="top" textRotation="90"/>
      <protection locked="0"/>
    </xf>
    <xf numFmtId="0" fontId="34" fillId="0" borderId="85" xfId="0" applyFont="1" applyBorder="1" applyAlignment="1" applyProtection="1">
      <alignment horizontal="justify" vertical="center" wrapText="1"/>
      <protection locked="0"/>
    </xf>
    <xf numFmtId="0" fontId="34" fillId="0" borderId="85" xfId="0" applyFont="1" applyBorder="1" applyAlignment="1" applyProtection="1">
      <alignment horizontal="left" vertical="center" wrapText="1"/>
      <protection locked="0"/>
    </xf>
    <xf numFmtId="0" fontId="59" fillId="0" borderId="85" xfId="0" applyFont="1" applyBorder="1" applyAlignment="1" applyProtection="1">
      <alignment vertical="top" wrapText="1"/>
      <protection locked="0"/>
    </xf>
    <xf numFmtId="0" fontId="28" fillId="0" borderId="87" xfId="0" applyFont="1" applyBorder="1" applyAlignment="1" applyProtection="1">
      <alignment vertical="center" wrapText="1"/>
      <protection locked="0"/>
    </xf>
    <xf numFmtId="0" fontId="28" fillId="0" borderId="86" xfId="0" applyFont="1" applyBorder="1" applyAlignment="1" applyProtection="1">
      <alignment vertical="center" wrapText="1"/>
      <protection locked="0"/>
    </xf>
    <xf numFmtId="0" fontId="27" fillId="9" borderId="0" xfId="0" applyFont="1" applyFill="1"/>
    <xf numFmtId="0" fontId="27" fillId="9" borderId="0" xfId="0" applyFont="1" applyFill="1" applyAlignment="1">
      <alignment horizontal="center" vertical="center"/>
    </xf>
    <xf numFmtId="0" fontId="27" fillId="9" borderId="0" xfId="0" applyFont="1" applyFill="1" applyAlignment="1">
      <alignment horizontal="left" vertical="center"/>
    </xf>
    <xf numFmtId="0" fontId="27" fillId="9" borderId="0" xfId="0" applyFont="1" applyFill="1" applyAlignment="1">
      <alignment horizontal="center"/>
    </xf>
    <xf numFmtId="0" fontId="26" fillId="8" borderId="53" xfId="0" applyFont="1" applyFill="1" applyBorder="1" applyAlignment="1">
      <alignment horizontal="center" vertical="center"/>
    </xf>
    <xf numFmtId="0" fontId="26" fillId="8" borderId="51" xfId="0" applyFont="1" applyFill="1" applyBorder="1" applyAlignment="1">
      <alignment horizontal="center" vertical="center" textRotation="90"/>
    </xf>
    <xf numFmtId="0" fontId="27" fillId="0" borderId="49" xfId="0" applyFont="1" applyBorder="1" applyAlignment="1" applyProtection="1">
      <alignment horizontal="center" vertical="center" wrapText="1"/>
      <protection locked="0"/>
    </xf>
    <xf numFmtId="0" fontId="27" fillId="0" borderId="51" xfId="0" applyFont="1" applyBorder="1" applyAlignment="1" applyProtection="1">
      <alignment horizontal="justify" vertical="center"/>
      <protection locked="0"/>
    </xf>
    <xf numFmtId="0" fontId="27" fillId="10" borderId="51" xfId="0" applyFont="1" applyFill="1" applyBorder="1" applyAlignment="1">
      <alignment horizontal="center" vertical="center"/>
    </xf>
    <xf numFmtId="0" fontId="27" fillId="10" borderId="51" xfId="0" applyFont="1" applyFill="1" applyBorder="1" applyAlignment="1" applyProtection="1">
      <alignment horizontal="justify" vertical="center" wrapText="1"/>
      <protection locked="0"/>
    </xf>
    <xf numFmtId="164" fontId="27" fillId="0" borderId="51" xfId="16" applyNumberFormat="1" applyFont="1" applyBorder="1" applyAlignment="1">
      <alignment horizontal="center" vertical="top"/>
    </xf>
    <xf numFmtId="0" fontId="26" fillId="0" borderId="51" xfId="0" applyFont="1" applyBorder="1" applyAlignment="1" applyProtection="1">
      <alignment horizontal="center" vertical="top" textRotation="90" wrapText="1"/>
      <protection hidden="1"/>
    </xf>
    <xf numFmtId="9" fontId="27" fillId="0" borderId="50" xfId="0" applyNumberFormat="1" applyFont="1" applyBorder="1" applyAlignment="1" applyProtection="1">
      <alignment horizontal="center" vertical="top"/>
      <protection hidden="1"/>
    </xf>
    <xf numFmtId="0" fontId="26" fillId="0" borderId="51" xfId="0" applyFont="1" applyBorder="1" applyAlignment="1" applyProtection="1">
      <alignment horizontal="center" vertical="top" textRotation="90"/>
      <protection hidden="1"/>
    </xf>
    <xf numFmtId="0" fontId="27" fillId="10" borderId="51" xfId="0" applyFont="1" applyFill="1" applyBorder="1" applyAlignment="1" applyProtection="1">
      <alignment horizontal="justify" vertical="center"/>
      <protection locked="0"/>
    </xf>
    <xf numFmtId="0" fontId="31" fillId="19" borderId="77" xfId="0" applyFont="1" applyFill="1" applyBorder="1" applyAlignment="1">
      <alignment horizontal="left" vertical="top" wrapText="1"/>
    </xf>
    <xf numFmtId="0" fontId="30" fillId="0" borderId="77" xfId="0" applyFont="1" applyBorder="1" applyAlignment="1">
      <alignment vertical="top" wrapText="1"/>
    </xf>
    <xf numFmtId="0" fontId="30" fillId="0" borderId="79" xfId="0" applyFont="1" applyBorder="1" applyAlignment="1">
      <alignment vertical="top" wrapText="1"/>
    </xf>
    <xf numFmtId="0" fontId="31" fillId="19" borderId="77" xfId="0" applyFont="1" applyFill="1" applyBorder="1" applyAlignment="1">
      <alignment vertical="center" wrapText="1"/>
    </xf>
    <xf numFmtId="0" fontId="30" fillId="0" borderId="80" xfId="0" applyFont="1" applyBorder="1" applyAlignment="1">
      <alignment vertical="top" wrapText="1"/>
    </xf>
    <xf numFmtId="0" fontId="31" fillId="0" borderId="74" xfId="0" applyFont="1" applyBorder="1" applyAlignment="1">
      <alignment vertical="center"/>
    </xf>
    <xf numFmtId="0" fontId="30" fillId="20" borderId="77" xfId="0" applyFont="1" applyFill="1" applyBorder="1" applyAlignment="1">
      <alignment horizontal="left" vertical="top" wrapText="1"/>
    </xf>
    <xf numFmtId="9" fontId="30" fillId="0" borderId="74" xfId="0" applyNumberFormat="1" applyFont="1" applyBorder="1" applyAlignment="1">
      <alignment vertical="top" wrapText="1"/>
    </xf>
    <xf numFmtId="0" fontId="30" fillId="21" borderId="77" xfId="0" applyFont="1" applyFill="1" applyBorder="1" applyAlignment="1">
      <alignment horizontal="left" vertical="top" wrapText="1"/>
    </xf>
    <xf numFmtId="165" fontId="31" fillId="0" borderId="77" xfId="0" applyNumberFormat="1" applyFont="1" applyBorder="1" applyAlignment="1">
      <alignment horizontal="center" vertical="center" wrapText="1"/>
    </xf>
    <xf numFmtId="0" fontId="31" fillId="0" borderId="76" xfId="0" applyFont="1" applyBorder="1" applyAlignment="1">
      <alignment vertical="center"/>
    </xf>
    <xf numFmtId="0" fontId="27" fillId="21" borderId="77" xfId="0" applyFont="1" applyFill="1" applyBorder="1" applyAlignment="1">
      <alignment horizontal="left" vertical="top" wrapText="1"/>
    </xf>
    <xf numFmtId="9" fontId="30" fillId="0" borderId="76" xfId="0" applyNumberFormat="1" applyFont="1" applyBorder="1" applyAlignment="1">
      <alignment vertical="top" wrapText="1"/>
    </xf>
    <xf numFmtId="0" fontId="31" fillId="0" borderId="73" xfId="0" applyFont="1" applyBorder="1" applyAlignment="1">
      <alignment vertical="center"/>
    </xf>
    <xf numFmtId="0" fontId="31" fillId="21" borderId="77" xfId="0" applyFont="1" applyFill="1" applyBorder="1" applyAlignment="1">
      <alignment horizontal="left" vertical="top" wrapText="1"/>
    </xf>
    <xf numFmtId="9" fontId="31" fillId="0" borderId="73" xfId="0" applyNumberFormat="1" applyFont="1" applyBorder="1" applyAlignment="1">
      <alignment vertical="top" wrapText="1"/>
    </xf>
    <xf numFmtId="0" fontId="30" fillId="0" borderId="140" xfId="0" applyFont="1" applyBorder="1" applyAlignment="1" applyProtection="1">
      <alignment horizontal="center" vertical="top"/>
      <protection locked="0"/>
    </xf>
    <xf numFmtId="0" fontId="31" fillId="0" borderId="140" xfId="0" applyFont="1" applyBorder="1" applyAlignment="1" applyProtection="1">
      <alignment horizontal="center" vertical="top"/>
      <protection locked="0"/>
    </xf>
    <xf numFmtId="14" fontId="31" fillId="0" borderId="47" xfId="0" applyNumberFormat="1" applyFont="1" applyBorder="1" applyAlignment="1" applyProtection="1">
      <alignment horizontal="center" vertical="top"/>
      <protection locked="0"/>
    </xf>
    <xf numFmtId="0" fontId="34" fillId="0" borderId="59" xfId="0" applyFont="1" applyBorder="1" applyAlignment="1" applyProtection="1">
      <alignment horizontal="center" vertical="top" wrapText="1"/>
      <protection locked="0"/>
    </xf>
    <xf numFmtId="0" fontId="28" fillId="0" borderId="51" xfId="0" applyFont="1" applyBorder="1" applyAlignment="1" applyProtection="1">
      <alignment horizontal="justify" vertical="top" wrapText="1"/>
      <protection locked="0"/>
    </xf>
    <xf numFmtId="0" fontId="34" fillId="0" borderId="60" xfId="0" applyFont="1" applyBorder="1" applyAlignment="1" applyProtection="1">
      <alignment horizontal="center" vertical="top" wrapText="1"/>
      <protection locked="0"/>
    </xf>
    <xf numFmtId="0" fontId="30" fillId="0" borderId="50" xfId="0" applyFont="1" applyBorder="1" applyAlignment="1" applyProtection="1">
      <alignment horizontal="center" vertical="center" textRotation="90" wrapText="1"/>
      <protection locked="0"/>
    </xf>
    <xf numFmtId="0" fontId="31" fillId="0" borderId="50" xfId="0" applyFont="1" applyBorder="1" applyAlignment="1" applyProtection="1">
      <alignment horizontal="center" vertical="top" wrapText="1"/>
      <protection locked="0"/>
    </xf>
    <xf numFmtId="0" fontId="31" fillId="0" borderId="41" xfId="0" applyFont="1" applyBorder="1" applyAlignment="1" applyProtection="1">
      <alignment horizontal="center" vertical="top" wrapText="1"/>
      <protection locked="0"/>
    </xf>
    <xf numFmtId="0" fontId="31" fillId="0" borderId="43" xfId="0" applyFont="1" applyBorder="1" applyAlignment="1" applyProtection="1">
      <alignment horizontal="center" vertical="top" wrapText="1"/>
      <protection locked="0"/>
    </xf>
    <xf numFmtId="9" fontId="31" fillId="0" borderId="53" xfId="0" applyNumberFormat="1" applyFont="1" applyBorder="1" applyAlignment="1" applyProtection="1">
      <alignment horizontal="center" vertical="top" wrapText="1"/>
      <protection hidden="1"/>
    </xf>
    <xf numFmtId="0" fontId="31" fillId="0" borderId="50" xfId="0" applyFont="1" applyBorder="1" applyAlignment="1" applyProtection="1">
      <alignment horizontal="center" vertical="top"/>
      <protection locked="0"/>
    </xf>
    <xf numFmtId="0" fontId="32" fillId="0" borderId="50" xfId="0" applyFont="1" applyBorder="1" applyAlignment="1" applyProtection="1">
      <alignment horizontal="center" vertical="top" wrapText="1"/>
      <protection hidden="1"/>
    </xf>
    <xf numFmtId="9" fontId="31" fillId="0" borderId="50" xfId="0" applyNumberFormat="1" applyFont="1" applyBorder="1" applyAlignment="1" applyProtection="1">
      <alignment horizontal="center" vertical="top" wrapText="1"/>
      <protection locked="0"/>
    </xf>
    <xf numFmtId="0" fontId="32" fillId="0" borderId="50" xfId="0" applyFont="1" applyBorder="1" applyAlignment="1" applyProtection="1">
      <alignment horizontal="center" vertical="top"/>
      <protection hidden="1"/>
    </xf>
    <xf numFmtId="0" fontId="30" fillId="0" borderId="52" xfId="0" applyFont="1" applyBorder="1" applyAlignment="1" applyProtection="1">
      <alignment horizontal="center" vertical="center"/>
      <protection locked="0"/>
    </xf>
    <xf numFmtId="0" fontId="31" fillId="0" borderId="93" xfId="0" applyFont="1" applyBorder="1" applyAlignment="1" applyProtection="1">
      <alignment horizontal="center" vertical="top" wrapText="1"/>
      <protection locked="0"/>
    </xf>
    <xf numFmtId="0" fontId="31" fillId="0" borderId="56" xfId="0" applyFont="1" applyBorder="1" applyAlignment="1" applyProtection="1">
      <alignment horizontal="center" vertical="center" wrapText="1"/>
      <protection locked="0"/>
    </xf>
    <xf numFmtId="0" fontId="31" fillId="0" borderId="77" xfId="0" applyFont="1" applyBorder="1" applyAlignment="1">
      <alignment horizontal="center" vertical="center" textRotation="90" wrapText="1"/>
    </xf>
    <xf numFmtId="9" fontId="31" fillId="0" borderId="77" xfId="0" applyNumberFormat="1" applyFont="1" applyBorder="1" applyAlignment="1">
      <alignment horizontal="center" vertical="center" wrapText="1"/>
    </xf>
    <xf numFmtId="164" fontId="31" fillId="0" borderId="77" xfId="0" applyNumberFormat="1" applyFont="1" applyBorder="1" applyAlignment="1">
      <alignment horizontal="center" vertical="center" wrapText="1"/>
    </xf>
    <xf numFmtId="0" fontId="31" fillId="0" borderId="67" xfId="0" applyFont="1" applyBorder="1" applyAlignment="1">
      <alignment horizontal="center" vertical="center" wrapText="1"/>
    </xf>
    <xf numFmtId="165" fontId="31" fillId="0" borderId="67" xfId="0" applyNumberFormat="1" applyFont="1" applyBorder="1" applyAlignment="1">
      <alignment horizontal="center" vertical="center" wrapText="1"/>
    </xf>
    <xf numFmtId="0" fontId="10" fillId="0" borderId="73" xfId="0" applyFont="1" applyBorder="1" applyAlignment="1">
      <alignment vertical="center" wrapText="1"/>
    </xf>
    <xf numFmtId="0" fontId="31" fillId="0" borderId="73" xfId="0" applyFont="1" applyBorder="1" applyAlignment="1">
      <alignment vertical="center" wrapText="1"/>
    </xf>
    <xf numFmtId="0" fontId="31" fillId="0" borderId="73" xfId="0" applyFont="1" applyBorder="1" applyAlignment="1">
      <alignment vertical="center" textRotation="90" wrapText="1"/>
    </xf>
    <xf numFmtId="164" fontId="31" fillId="0" borderId="73" xfId="0" applyNumberFormat="1" applyFont="1" applyBorder="1" applyAlignment="1">
      <alignment vertical="center" wrapText="1"/>
    </xf>
    <xf numFmtId="9" fontId="31" fillId="0" borderId="73" xfId="0" applyNumberFormat="1" applyFont="1" applyBorder="1" applyAlignment="1">
      <alignment vertical="center" wrapText="1"/>
    </xf>
    <xf numFmtId="165" fontId="31" fillId="0" borderId="76" xfId="0" applyNumberFormat="1" applyFont="1" applyBorder="1" applyAlignment="1">
      <alignment horizontal="center" vertical="center" wrapText="1"/>
    </xf>
    <xf numFmtId="165" fontId="31" fillId="0" borderId="70" xfId="0" applyNumberFormat="1" applyFont="1" applyBorder="1" applyAlignment="1">
      <alignment horizontal="center" vertical="center" wrapText="1"/>
    </xf>
    <xf numFmtId="0" fontId="30" fillId="0" borderId="76" xfId="0" applyFont="1" applyBorder="1" applyAlignment="1">
      <alignment horizontal="center" vertical="center"/>
    </xf>
    <xf numFmtId="9" fontId="31" fillId="0" borderId="76" xfId="0" applyNumberFormat="1" applyFont="1" applyBorder="1" applyAlignment="1">
      <alignment horizontal="center" vertical="center" wrapText="1"/>
    </xf>
    <xf numFmtId="0" fontId="10" fillId="0" borderId="76" xfId="0" applyFont="1" applyBorder="1" applyAlignment="1">
      <alignment horizontal="center" vertical="center" wrapText="1"/>
    </xf>
    <xf numFmtId="0" fontId="27" fillId="25" borderId="50" xfId="0" applyFont="1" applyFill="1" applyBorder="1" applyAlignment="1" applyProtection="1">
      <alignment horizontal="justify" vertical="top" wrapText="1"/>
      <protection locked="0"/>
    </xf>
    <xf numFmtId="9" fontId="27" fillId="0" borderId="50" xfId="0" applyNumberFormat="1" applyFont="1" applyBorder="1" applyAlignment="1" applyProtection="1">
      <alignment horizontal="justify" vertical="top" wrapText="1"/>
      <protection hidden="1"/>
    </xf>
    <xf numFmtId="0" fontId="27" fillId="0" borderId="51" xfId="0" applyFont="1" applyBorder="1" applyAlignment="1">
      <alignment horizontal="justify" vertical="top"/>
    </xf>
    <xf numFmtId="0" fontId="27" fillId="28" borderId="51" xfId="0" applyFont="1" applyFill="1" applyBorder="1" applyAlignment="1" applyProtection="1">
      <alignment horizontal="justify" vertical="top" wrapText="1"/>
      <protection locked="0"/>
    </xf>
    <xf numFmtId="0" fontId="27" fillId="28" borderId="51" xfId="0" applyFont="1" applyFill="1" applyBorder="1" applyAlignment="1" applyProtection="1">
      <alignment horizontal="justify" vertical="top"/>
      <protection hidden="1"/>
    </xf>
    <xf numFmtId="0" fontId="27" fillId="28" borderId="51" xfId="0" applyFont="1" applyFill="1" applyBorder="1" applyAlignment="1" applyProtection="1">
      <alignment horizontal="justify" vertical="top" textRotation="90"/>
      <protection locked="0"/>
    </xf>
    <xf numFmtId="9" fontId="27" fillId="28" borderId="51" xfId="0" applyNumberFormat="1" applyFont="1" applyFill="1" applyBorder="1" applyAlignment="1" applyProtection="1">
      <alignment horizontal="justify" vertical="top"/>
      <protection hidden="1"/>
    </xf>
    <xf numFmtId="164" fontId="27" fillId="28" borderId="51" xfId="16" applyNumberFormat="1" applyFont="1" applyFill="1" applyBorder="1" applyAlignment="1">
      <alignment horizontal="justify" vertical="top"/>
    </xf>
    <xf numFmtId="0" fontId="26" fillId="0" borderId="51" xfId="0" applyFont="1" applyBorder="1" applyAlignment="1" applyProtection="1">
      <alignment horizontal="justify" vertical="top" textRotation="90" wrapText="1"/>
      <protection hidden="1"/>
    </xf>
    <xf numFmtId="9" fontId="27" fillId="28" borderId="50" xfId="0" applyNumberFormat="1" applyFont="1" applyFill="1" applyBorder="1" applyAlignment="1" applyProtection="1">
      <alignment horizontal="justify" vertical="top"/>
      <protection hidden="1"/>
    </xf>
    <xf numFmtId="0" fontId="26" fillId="0" borderId="51" xfId="0" applyFont="1" applyBorder="1" applyAlignment="1" applyProtection="1">
      <alignment horizontal="justify" vertical="top" textRotation="90"/>
      <protection hidden="1"/>
    </xf>
    <xf numFmtId="0" fontId="27" fillId="28" borderId="50" xfId="0" applyFont="1" applyFill="1" applyBorder="1" applyAlignment="1" applyProtection="1">
      <alignment horizontal="justify" vertical="top" textRotation="90"/>
      <protection locked="0"/>
    </xf>
    <xf numFmtId="14" fontId="27" fillId="28" borderId="51" xfId="0" applyNumberFormat="1" applyFont="1" applyFill="1" applyBorder="1" applyAlignment="1" applyProtection="1">
      <alignment horizontal="justify" vertical="top" textRotation="180"/>
      <protection locked="0"/>
    </xf>
    <xf numFmtId="14" fontId="27" fillId="28" borderId="51" xfId="0" applyNumberFormat="1" applyFont="1" applyFill="1" applyBorder="1" applyAlignment="1" applyProtection="1">
      <alignment horizontal="justify" vertical="top"/>
      <protection locked="0"/>
    </xf>
    <xf numFmtId="0" fontId="26" fillId="30" borderId="49" xfId="0" applyFont="1" applyFill="1" applyBorder="1" applyAlignment="1" applyProtection="1">
      <alignment horizontal="justify" vertical="top" wrapText="1"/>
      <protection locked="0"/>
    </xf>
    <xf numFmtId="0" fontId="98" fillId="30" borderId="49" xfId="0" applyFont="1" applyFill="1" applyBorder="1" applyAlignment="1" applyProtection="1">
      <alignment horizontal="justify" vertical="top" wrapText="1"/>
      <protection locked="0"/>
    </xf>
    <xf numFmtId="0" fontId="27" fillId="30" borderId="51" xfId="0" applyFont="1" applyFill="1" applyBorder="1" applyAlignment="1">
      <alignment horizontal="justify" vertical="top"/>
    </xf>
    <xf numFmtId="0" fontId="27" fillId="30" borderId="51" xfId="0" applyFont="1" applyFill="1" applyBorder="1" applyAlignment="1" applyProtection="1">
      <alignment horizontal="justify" vertical="top" wrapText="1"/>
      <protection locked="0"/>
    </xf>
    <xf numFmtId="0" fontId="27" fillId="30" borderId="51" xfId="0" applyFont="1" applyFill="1" applyBorder="1" applyAlignment="1" applyProtection="1">
      <alignment horizontal="justify" vertical="top"/>
      <protection hidden="1"/>
    </xf>
    <xf numFmtId="0" fontId="27" fillId="30" borderId="51" xfId="0" applyFont="1" applyFill="1" applyBorder="1" applyAlignment="1" applyProtection="1">
      <alignment horizontal="justify" vertical="top" textRotation="90"/>
      <protection locked="0"/>
    </xf>
    <xf numFmtId="9" fontId="27" fillId="30" borderId="51" xfId="0" applyNumberFormat="1" applyFont="1" applyFill="1" applyBorder="1" applyAlignment="1" applyProtection="1">
      <alignment horizontal="justify" vertical="top"/>
      <protection hidden="1"/>
    </xf>
    <xf numFmtId="164" fontId="27" fillId="30" borderId="51" xfId="16" applyNumberFormat="1" applyFont="1" applyFill="1" applyBorder="1" applyAlignment="1">
      <alignment horizontal="justify" vertical="top"/>
    </xf>
    <xf numFmtId="9" fontId="27" fillId="30" borderId="50" xfId="0" applyNumberFormat="1" applyFont="1" applyFill="1" applyBorder="1" applyAlignment="1" applyProtection="1">
      <alignment horizontal="justify" vertical="top"/>
      <protection hidden="1"/>
    </xf>
    <xf numFmtId="0" fontId="27" fillId="30" borderId="50" xfId="0" applyFont="1" applyFill="1" applyBorder="1" applyAlignment="1" applyProtection="1">
      <alignment horizontal="justify" vertical="top" textRotation="90"/>
      <protection locked="0"/>
    </xf>
    <xf numFmtId="14" fontId="27" fillId="30" borderId="51" xfId="0" applyNumberFormat="1" applyFont="1" applyFill="1" applyBorder="1" applyAlignment="1" applyProtection="1">
      <alignment horizontal="justify" vertical="top" textRotation="180"/>
      <protection locked="0"/>
    </xf>
    <xf numFmtId="14" fontId="27" fillId="30" borderId="51" xfId="0" applyNumberFormat="1" applyFont="1" applyFill="1" applyBorder="1" applyAlignment="1" applyProtection="1">
      <alignment horizontal="justify" vertical="top"/>
      <protection locked="0"/>
    </xf>
    <xf numFmtId="0" fontId="104" fillId="25" borderId="50" xfId="0" applyFont="1" applyFill="1" applyBorder="1" applyAlignment="1" applyProtection="1">
      <alignment horizontal="justify" vertical="top" wrapText="1"/>
      <protection locked="0"/>
    </xf>
    <xf numFmtId="0" fontId="100" fillId="25" borderId="41" xfId="0" applyFont="1" applyFill="1" applyBorder="1" applyAlignment="1" applyProtection="1">
      <alignment horizontal="justify" vertical="top" wrapText="1"/>
      <protection locked="0"/>
    </xf>
    <xf numFmtId="0" fontId="26" fillId="24" borderId="49" xfId="0" applyFont="1" applyFill="1" applyBorder="1" applyAlignment="1" applyProtection="1">
      <alignment horizontal="justify" vertical="top" wrapText="1"/>
      <protection locked="0"/>
    </xf>
    <xf numFmtId="0" fontId="98" fillId="25" borderId="49" xfId="0" applyFont="1" applyFill="1" applyBorder="1" applyAlignment="1" applyProtection="1">
      <alignment horizontal="justify" vertical="top" wrapText="1"/>
      <protection locked="0"/>
    </xf>
    <xf numFmtId="0" fontId="98" fillId="24" borderId="49" xfId="0" applyFont="1" applyFill="1" applyBorder="1" applyAlignment="1" applyProtection="1">
      <alignment horizontal="justify" vertical="top" wrapText="1"/>
      <protection locked="0"/>
    </xf>
    <xf numFmtId="0" fontId="27" fillId="24" borderId="51" xfId="0" applyFont="1" applyFill="1" applyBorder="1" applyAlignment="1">
      <alignment horizontal="justify" vertical="top"/>
    </xf>
    <xf numFmtId="0" fontId="27" fillId="24" borderId="51" xfId="0" applyFont="1" applyFill="1" applyBorder="1" applyAlignment="1" applyProtection="1">
      <alignment horizontal="justify" vertical="top" wrapText="1"/>
      <protection locked="0"/>
    </xf>
    <xf numFmtId="0" fontId="27" fillId="24" borderId="51" xfId="0" applyFont="1" applyFill="1" applyBorder="1" applyAlignment="1" applyProtection="1">
      <alignment horizontal="justify" vertical="top"/>
      <protection hidden="1"/>
    </xf>
    <xf numFmtId="0" fontId="27" fillId="24" borderId="51" xfId="0" applyFont="1" applyFill="1" applyBorder="1" applyAlignment="1" applyProtection="1">
      <alignment horizontal="justify" vertical="top" textRotation="90"/>
      <protection locked="0"/>
    </xf>
    <xf numFmtId="9" fontId="27" fillId="24" borderId="51" xfId="0" applyNumberFormat="1" applyFont="1" applyFill="1" applyBorder="1" applyAlignment="1" applyProtection="1">
      <alignment horizontal="justify" vertical="top"/>
      <protection hidden="1"/>
    </xf>
    <xf numFmtId="164" fontId="27" fillId="24" borderId="51" xfId="16" applyNumberFormat="1" applyFont="1" applyFill="1" applyBorder="1" applyAlignment="1">
      <alignment horizontal="justify" vertical="top"/>
    </xf>
    <xf numFmtId="9" fontId="27" fillId="24" borderId="50" xfId="0" applyNumberFormat="1" applyFont="1" applyFill="1" applyBorder="1" applyAlignment="1" applyProtection="1">
      <alignment horizontal="justify" vertical="top"/>
      <protection hidden="1"/>
    </xf>
    <xf numFmtId="0" fontId="27" fillId="24" borderId="50" xfId="0" applyFont="1" applyFill="1" applyBorder="1" applyAlignment="1" applyProtection="1">
      <alignment horizontal="justify" vertical="top" textRotation="90"/>
      <protection locked="0"/>
    </xf>
    <xf numFmtId="14" fontId="27" fillId="24" borderId="51" xfId="0" applyNumberFormat="1" applyFont="1" applyFill="1" applyBorder="1" applyAlignment="1" applyProtection="1">
      <alignment horizontal="justify" vertical="top" textRotation="180"/>
      <protection locked="0"/>
    </xf>
    <xf numFmtId="14" fontId="27" fillId="24" borderId="51" xfId="0" applyNumberFormat="1" applyFont="1" applyFill="1" applyBorder="1" applyAlignment="1" applyProtection="1">
      <alignment horizontal="justify" vertical="top"/>
      <protection locked="0"/>
    </xf>
    <xf numFmtId="0" fontId="27" fillId="29" borderId="50" xfId="0" applyFont="1" applyFill="1" applyBorder="1" applyAlignment="1" applyProtection="1">
      <alignment vertical="top" wrapText="1"/>
      <protection locked="0"/>
    </xf>
    <xf numFmtId="0" fontId="104" fillId="29" borderId="50" xfId="0" applyFont="1" applyFill="1" applyBorder="1" applyAlignment="1" applyProtection="1">
      <alignment vertical="top" wrapText="1"/>
      <protection locked="0"/>
    </xf>
    <xf numFmtId="0" fontId="27" fillId="29" borderId="41" xfId="0" applyFont="1" applyFill="1" applyBorder="1" applyAlignment="1" applyProtection="1">
      <alignment vertical="top" wrapText="1"/>
      <protection locked="0"/>
    </xf>
    <xf numFmtId="0" fontId="98" fillId="29" borderId="49" xfId="0" applyFont="1" applyFill="1" applyBorder="1" applyAlignment="1" applyProtection="1">
      <alignment vertical="top" wrapText="1"/>
      <protection locked="0"/>
    </xf>
    <xf numFmtId="0" fontId="27" fillId="30" borderId="43" xfId="0" applyFont="1" applyFill="1" applyBorder="1" applyAlignment="1" applyProtection="1">
      <alignment vertical="top" wrapText="1"/>
      <protection locked="0"/>
    </xf>
    <xf numFmtId="0" fontId="27" fillId="30" borderId="50" xfId="0" applyFont="1" applyFill="1" applyBorder="1" applyAlignment="1" applyProtection="1">
      <alignment vertical="top"/>
      <protection locked="0"/>
    </xf>
    <xf numFmtId="0" fontId="26" fillId="0" borderId="50" xfId="0" applyFont="1" applyBorder="1" applyAlignment="1" applyProtection="1">
      <alignment vertical="top" textRotation="180" wrapText="1"/>
      <protection hidden="1"/>
    </xf>
    <xf numFmtId="9" fontId="27" fillId="30" borderId="50" xfId="0" applyNumberFormat="1" applyFont="1" applyFill="1" applyBorder="1" applyAlignment="1" applyProtection="1">
      <alignment vertical="top" wrapText="1"/>
      <protection hidden="1"/>
    </xf>
    <xf numFmtId="9" fontId="27" fillId="30" borderId="50" xfId="0" applyNumberFormat="1" applyFont="1" applyFill="1" applyBorder="1" applyAlignment="1" applyProtection="1">
      <alignment vertical="top" wrapText="1"/>
      <protection locked="0"/>
    </xf>
    <xf numFmtId="9" fontId="27" fillId="0" borderId="50" xfId="0" applyNumberFormat="1" applyFont="1" applyBorder="1" applyAlignment="1" applyProtection="1">
      <alignment vertical="top" wrapText="1"/>
      <protection hidden="1"/>
    </xf>
    <xf numFmtId="0" fontId="26" fillId="0" borderId="50" xfId="0" applyFont="1" applyBorder="1" applyAlignment="1" applyProtection="1">
      <alignment vertical="top" textRotation="180"/>
      <protection hidden="1"/>
    </xf>
    <xf numFmtId="0" fontId="27" fillId="30" borderId="51" xfId="0" applyFont="1" applyFill="1" applyBorder="1" applyAlignment="1" applyProtection="1">
      <alignment horizontal="justify" vertical="top"/>
      <protection locked="0"/>
    </xf>
    <xf numFmtId="0" fontId="26" fillId="31" borderId="49" xfId="0" applyFont="1" applyFill="1" applyBorder="1" applyAlignment="1" applyProtection="1">
      <alignment horizontal="justify" vertical="top" wrapText="1"/>
      <protection locked="0"/>
    </xf>
    <xf numFmtId="0" fontId="98" fillId="31" borderId="49" xfId="0" applyFont="1" applyFill="1" applyBorder="1" applyAlignment="1" applyProtection="1">
      <alignment horizontal="justify" vertical="top" wrapText="1"/>
      <protection locked="0"/>
    </xf>
    <xf numFmtId="0" fontId="27" fillId="31" borderId="50" xfId="0" applyFont="1" applyFill="1" applyBorder="1" applyAlignment="1" applyProtection="1">
      <alignment horizontal="justify" vertical="top"/>
      <protection locked="0"/>
    </xf>
    <xf numFmtId="0" fontId="26" fillId="0" borderId="50" xfId="0" applyFont="1" applyBorder="1" applyAlignment="1" applyProtection="1">
      <alignment horizontal="justify" vertical="top" textRotation="180" wrapText="1"/>
      <protection hidden="1"/>
    </xf>
    <xf numFmtId="9" fontId="27" fillId="31" borderId="50" xfId="0" applyNumberFormat="1" applyFont="1" applyFill="1" applyBorder="1" applyAlignment="1" applyProtection="1">
      <alignment horizontal="justify" vertical="top" wrapText="1"/>
      <protection hidden="1"/>
    </xf>
    <xf numFmtId="9" fontId="27" fillId="31" borderId="50" xfId="0" applyNumberFormat="1" applyFont="1" applyFill="1" applyBorder="1" applyAlignment="1" applyProtection="1">
      <alignment horizontal="justify" vertical="top" wrapText="1"/>
      <protection locked="0"/>
    </xf>
    <xf numFmtId="0" fontId="26" fillId="0" borderId="50" xfId="0" applyFont="1" applyBorder="1" applyAlignment="1" applyProtection="1">
      <alignment horizontal="justify" vertical="top" textRotation="180"/>
      <protection hidden="1"/>
    </xf>
    <xf numFmtId="0" fontId="27" fillId="31" borderId="51" xfId="0" applyFont="1" applyFill="1" applyBorder="1" applyAlignment="1">
      <alignment horizontal="justify" vertical="top"/>
    </xf>
    <xf numFmtId="0" fontId="27" fillId="31" borderId="51" xfId="0" applyFont="1" applyFill="1" applyBorder="1" applyAlignment="1" applyProtection="1">
      <alignment horizontal="justify" vertical="top" wrapText="1"/>
      <protection locked="0"/>
    </xf>
    <xf numFmtId="0" fontId="27" fillId="31" borderId="51" xfId="0" applyFont="1" applyFill="1" applyBorder="1" applyAlignment="1" applyProtection="1">
      <alignment horizontal="justify" vertical="top"/>
      <protection hidden="1"/>
    </xf>
    <xf numFmtId="0" fontId="27" fillId="31" borderId="51" xfId="0" applyFont="1" applyFill="1" applyBorder="1" applyAlignment="1" applyProtection="1">
      <alignment horizontal="justify" vertical="top" textRotation="90"/>
      <protection locked="0"/>
    </xf>
    <xf numFmtId="9" fontId="27" fillId="31" borderId="51" xfId="0" applyNumberFormat="1" applyFont="1" applyFill="1" applyBorder="1" applyAlignment="1" applyProtection="1">
      <alignment horizontal="justify" vertical="top"/>
      <protection hidden="1"/>
    </xf>
    <xf numFmtId="164" fontId="27" fillId="31" borderId="51" xfId="16" applyNumberFormat="1" applyFont="1" applyFill="1" applyBorder="1" applyAlignment="1">
      <alignment horizontal="justify" vertical="top"/>
    </xf>
    <xf numFmtId="9" fontId="27" fillId="31" borderId="50" xfId="0" applyNumberFormat="1" applyFont="1" applyFill="1" applyBorder="1" applyAlignment="1" applyProtection="1">
      <alignment horizontal="justify" vertical="top"/>
      <protection hidden="1"/>
    </xf>
    <xf numFmtId="0" fontId="27" fillId="31" borderId="50" xfId="0" applyFont="1" applyFill="1" applyBorder="1" applyAlignment="1" applyProtection="1">
      <alignment horizontal="justify" vertical="top" textRotation="90"/>
      <protection locked="0"/>
    </xf>
    <xf numFmtId="0" fontId="27" fillId="31" borderId="51" xfId="0" applyFont="1" applyFill="1" applyBorder="1" applyAlignment="1" applyProtection="1">
      <alignment horizontal="justify" vertical="top"/>
      <protection locked="0"/>
    </xf>
    <xf numFmtId="14" fontId="27" fillId="31" borderId="51" xfId="0" applyNumberFormat="1" applyFont="1" applyFill="1" applyBorder="1" applyAlignment="1" applyProtection="1">
      <alignment horizontal="justify" vertical="top" textRotation="180"/>
      <protection locked="0"/>
    </xf>
    <xf numFmtId="14" fontId="27" fillId="31" borderId="51" xfId="0" applyNumberFormat="1" applyFont="1" applyFill="1" applyBorder="1" applyAlignment="1" applyProtection="1">
      <alignment horizontal="justify" vertical="top"/>
      <protection locked="0"/>
    </xf>
    <xf numFmtId="0" fontId="27" fillId="27" borderId="49" xfId="0" applyFont="1" applyFill="1" applyBorder="1" applyAlignment="1" applyProtection="1">
      <alignment horizontal="justify" vertical="top" wrapText="1"/>
      <protection locked="0"/>
    </xf>
    <xf numFmtId="0" fontId="28" fillId="27" borderId="49" xfId="0" applyFont="1" applyFill="1" applyBorder="1" applyAlignment="1" applyProtection="1">
      <alignment horizontal="justify" vertical="top" wrapText="1"/>
      <protection locked="0"/>
    </xf>
    <xf numFmtId="0" fontId="27" fillId="8" borderId="50" xfId="0" applyFont="1" applyFill="1" applyBorder="1" applyAlignment="1" applyProtection="1">
      <alignment horizontal="justify" vertical="top"/>
      <protection locked="0"/>
    </xf>
    <xf numFmtId="9" fontId="27" fillId="8" borderId="50" xfId="0" applyNumberFormat="1" applyFont="1" applyFill="1" applyBorder="1" applyAlignment="1" applyProtection="1">
      <alignment horizontal="justify" vertical="top" wrapText="1"/>
      <protection hidden="1"/>
    </xf>
    <xf numFmtId="9" fontId="27" fillId="8" borderId="53" xfId="0" applyNumberFormat="1" applyFont="1" applyFill="1" applyBorder="1" applyAlignment="1" applyProtection="1">
      <alignment horizontal="justify" vertical="top" wrapText="1"/>
      <protection locked="0"/>
    </xf>
    <xf numFmtId="0" fontId="27" fillId="8" borderId="51" xfId="0" applyFont="1" applyFill="1" applyBorder="1" applyAlignment="1">
      <alignment horizontal="justify" vertical="top"/>
    </xf>
    <xf numFmtId="0" fontId="27" fillId="8" borderId="51" xfId="0" applyFont="1" applyFill="1" applyBorder="1" applyAlignment="1" applyProtection="1">
      <alignment horizontal="justify" vertical="top" wrapText="1"/>
      <protection locked="0"/>
    </xf>
    <xf numFmtId="0" fontId="27" fillId="8" borderId="51" xfId="0" applyFont="1" applyFill="1" applyBorder="1" applyAlignment="1" applyProtection="1">
      <alignment horizontal="justify" vertical="top"/>
      <protection hidden="1"/>
    </xf>
    <xf numFmtId="0" fontId="27" fillId="8" borderId="51" xfId="0" applyFont="1" applyFill="1" applyBorder="1" applyAlignment="1" applyProtection="1">
      <alignment horizontal="justify" vertical="top" textRotation="90"/>
      <protection locked="0"/>
    </xf>
    <xf numFmtId="9" fontId="27" fillId="8" borderId="51" xfId="0" applyNumberFormat="1" applyFont="1" applyFill="1" applyBorder="1" applyAlignment="1" applyProtection="1">
      <alignment horizontal="justify" vertical="top"/>
      <protection hidden="1"/>
    </xf>
    <xf numFmtId="164" fontId="27" fillId="8" borderId="51" xfId="16" applyNumberFormat="1" applyFont="1" applyFill="1" applyBorder="1" applyAlignment="1">
      <alignment horizontal="justify" vertical="top"/>
    </xf>
    <xf numFmtId="9" fontId="27" fillId="8" borderId="50" xfId="0" applyNumberFormat="1" applyFont="1" applyFill="1" applyBorder="1" applyAlignment="1" applyProtection="1">
      <alignment horizontal="justify" vertical="top"/>
      <protection hidden="1"/>
    </xf>
    <xf numFmtId="0" fontId="26" fillId="8" borderId="51" xfId="0" applyFont="1" applyFill="1" applyBorder="1" applyAlignment="1" applyProtection="1">
      <alignment horizontal="justify" vertical="top" textRotation="90" wrapText="1"/>
      <protection hidden="1"/>
    </xf>
    <xf numFmtId="0" fontId="27" fillId="8" borderId="50" xfId="0" applyFont="1" applyFill="1" applyBorder="1" applyAlignment="1" applyProtection="1">
      <alignment horizontal="justify" vertical="top" textRotation="90"/>
      <protection locked="0"/>
    </xf>
    <xf numFmtId="0" fontId="27" fillId="8" borderId="51" xfId="0" applyFont="1" applyFill="1" applyBorder="1" applyAlignment="1" applyProtection="1">
      <alignment horizontal="justify" vertical="top"/>
      <protection locked="0"/>
    </xf>
    <xf numFmtId="14" fontId="27" fillId="8" borderId="51" xfId="0" applyNumberFormat="1" applyFont="1" applyFill="1" applyBorder="1" applyAlignment="1" applyProtection="1">
      <alignment horizontal="justify" vertical="top" textRotation="180"/>
      <protection locked="0"/>
    </xf>
    <xf numFmtId="14" fontId="27" fillId="8" borderId="51" xfId="0" applyNumberFormat="1" applyFont="1" applyFill="1" applyBorder="1" applyAlignment="1" applyProtection="1">
      <alignment horizontal="justify" vertical="top"/>
      <protection locked="0"/>
    </xf>
    <xf numFmtId="0" fontId="26" fillId="28" borderId="49" xfId="0" applyFont="1" applyFill="1" applyBorder="1" applyAlignment="1" applyProtection="1">
      <alignment horizontal="justify" vertical="top" wrapText="1"/>
      <protection locked="0"/>
    </xf>
    <xf numFmtId="0" fontId="28" fillId="28" borderId="49" xfId="0" applyFont="1" applyFill="1" applyBorder="1" applyAlignment="1" applyProtection="1">
      <alignment horizontal="justify" vertical="top" wrapText="1"/>
      <protection locked="0"/>
    </xf>
    <xf numFmtId="0" fontId="27" fillId="28" borderId="51" xfId="0" applyFont="1" applyFill="1" applyBorder="1" applyAlignment="1">
      <alignment horizontal="justify" vertical="top"/>
    </xf>
    <xf numFmtId="0" fontId="27" fillId="28" borderId="51" xfId="0" applyFont="1" applyFill="1" applyBorder="1" applyAlignment="1" applyProtection="1">
      <alignment horizontal="justify" vertical="top"/>
      <protection locked="0"/>
    </xf>
    <xf numFmtId="0" fontId="98" fillId="25" borderId="59" xfId="0" applyFont="1" applyFill="1" applyBorder="1" applyAlignment="1" applyProtection="1">
      <alignment horizontal="center" vertical="center" wrapText="1"/>
      <protection locked="0"/>
    </xf>
    <xf numFmtId="0" fontId="27" fillId="24" borderId="43" xfId="0" applyFont="1" applyFill="1" applyBorder="1" applyAlignment="1" applyProtection="1">
      <alignment horizontal="justify" vertical="top" wrapText="1"/>
      <protection locked="0"/>
    </xf>
    <xf numFmtId="0" fontId="27" fillId="24" borderId="50" xfId="0" applyFont="1" applyFill="1" applyBorder="1" applyAlignment="1" applyProtection="1">
      <alignment horizontal="justify" vertical="top"/>
      <protection locked="0"/>
    </xf>
    <xf numFmtId="9" fontId="27" fillId="24" borderId="50" xfId="0" applyNumberFormat="1" applyFont="1" applyFill="1" applyBorder="1" applyAlignment="1" applyProtection="1">
      <alignment horizontal="justify" vertical="top" wrapText="1"/>
      <protection hidden="1"/>
    </xf>
    <xf numFmtId="9" fontId="27" fillId="24" borderId="50" xfId="0" applyNumberFormat="1" applyFont="1" applyFill="1" applyBorder="1" applyAlignment="1" applyProtection="1">
      <alignment horizontal="justify" vertical="top" wrapText="1"/>
      <protection locked="0"/>
    </xf>
    <xf numFmtId="0" fontId="27" fillId="29" borderId="50" xfId="0" applyFont="1" applyFill="1" applyBorder="1" applyAlignment="1" applyProtection="1">
      <alignment horizontal="justify" vertical="top" wrapText="1"/>
      <protection locked="0"/>
    </xf>
    <xf numFmtId="0" fontId="103" fillId="29" borderId="50" xfId="0" applyFont="1" applyFill="1" applyBorder="1" applyAlignment="1" applyProtection="1">
      <alignment horizontal="justify" vertical="top" wrapText="1"/>
      <protection locked="0"/>
    </xf>
    <xf numFmtId="0" fontId="27" fillId="29" borderId="41" xfId="0" applyFont="1" applyFill="1" applyBorder="1" applyAlignment="1" applyProtection="1">
      <alignment horizontal="justify" vertical="top" wrapText="1"/>
      <protection locked="0"/>
    </xf>
    <xf numFmtId="0" fontId="98" fillId="29" borderId="49" xfId="0" applyFont="1" applyFill="1" applyBorder="1" applyAlignment="1" applyProtection="1">
      <alignment horizontal="justify" vertical="top" wrapText="1"/>
      <protection locked="0"/>
    </xf>
    <xf numFmtId="0" fontId="27" fillId="30" borderId="43" xfId="0" applyFont="1" applyFill="1" applyBorder="1" applyAlignment="1" applyProtection="1">
      <alignment horizontal="justify" vertical="top" wrapText="1"/>
      <protection locked="0"/>
    </xf>
    <xf numFmtId="0" fontId="27" fillId="30" borderId="50" xfId="0" applyFont="1" applyFill="1" applyBorder="1" applyAlignment="1" applyProtection="1">
      <alignment horizontal="justify" vertical="top"/>
      <protection locked="0"/>
    </xf>
    <xf numFmtId="9" fontId="27" fillId="30" borderId="50" xfId="0" applyNumberFormat="1" applyFont="1" applyFill="1" applyBorder="1" applyAlignment="1" applyProtection="1">
      <alignment horizontal="justify" vertical="top" wrapText="1"/>
      <protection hidden="1"/>
    </xf>
    <xf numFmtId="9" fontId="27" fillId="30" borderId="50" xfId="0" applyNumberFormat="1" applyFont="1" applyFill="1" applyBorder="1" applyAlignment="1" applyProtection="1">
      <alignment horizontal="justify" vertical="top" wrapText="1"/>
      <protection locked="0"/>
    </xf>
    <xf numFmtId="0" fontId="31" fillId="29" borderId="50" xfId="0" applyFont="1" applyFill="1" applyBorder="1" applyAlignment="1" applyProtection="1">
      <alignment horizontal="center" vertical="top" wrapText="1"/>
      <protection locked="0"/>
    </xf>
    <xf numFmtId="0" fontId="107" fillId="29" borderId="50" xfId="0" applyFont="1" applyFill="1" applyBorder="1" applyAlignment="1" applyProtection="1">
      <alignment horizontal="left" vertical="top" wrapText="1"/>
      <protection locked="0"/>
    </xf>
    <xf numFmtId="0" fontId="108" fillId="29" borderId="41" xfId="0" applyFont="1" applyFill="1" applyBorder="1" applyAlignment="1" applyProtection="1">
      <alignment horizontal="left" vertical="top" wrapText="1"/>
      <protection locked="0"/>
    </xf>
    <xf numFmtId="0" fontId="34" fillId="29" borderId="49" xfId="0" applyFont="1" applyFill="1" applyBorder="1" applyAlignment="1" applyProtection="1">
      <alignment horizontal="left" vertical="top" wrapText="1"/>
      <protection locked="0"/>
    </xf>
    <xf numFmtId="0" fontId="31" fillId="28" borderId="43" xfId="0" applyFont="1" applyFill="1" applyBorder="1" applyAlignment="1" applyProtection="1">
      <alignment horizontal="center" vertical="top" wrapText="1"/>
      <protection locked="0"/>
    </xf>
    <xf numFmtId="0" fontId="31" fillId="28" borderId="50" xfId="0" applyFont="1" applyFill="1" applyBorder="1" applyAlignment="1" applyProtection="1">
      <alignment horizontal="center" vertical="top"/>
      <protection locked="0"/>
    </xf>
    <xf numFmtId="0" fontId="32" fillId="0" borderId="50" xfId="0" applyFont="1" applyBorder="1" applyAlignment="1" applyProtection="1">
      <alignment horizontal="center" vertical="top" textRotation="180" wrapText="1"/>
      <protection hidden="1"/>
    </xf>
    <xf numFmtId="9" fontId="31" fillId="28" borderId="50" xfId="0" applyNumberFormat="1" applyFont="1" applyFill="1" applyBorder="1" applyAlignment="1" applyProtection="1">
      <alignment horizontal="center" vertical="top" wrapText="1"/>
      <protection hidden="1"/>
    </xf>
    <xf numFmtId="9" fontId="31" fillId="28" borderId="50" xfId="0" applyNumberFormat="1" applyFont="1" applyFill="1" applyBorder="1" applyAlignment="1" applyProtection="1">
      <alignment horizontal="center" vertical="top" wrapText="1"/>
      <protection locked="0"/>
    </xf>
    <xf numFmtId="0" fontId="32" fillId="0" borderId="50" xfId="0" applyFont="1" applyBorder="1" applyAlignment="1" applyProtection="1">
      <alignment horizontal="center" vertical="top" textRotation="180"/>
      <protection hidden="1"/>
    </xf>
    <xf numFmtId="0" fontId="35" fillId="28" borderId="59" xfId="0" applyFont="1" applyFill="1" applyBorder="1" applyAlignment="1" applyProtection="1">
      <alignment horizontal="center" vertical="center" wrapText="1"/>
      <protection locked="0"/>
    </xf>
    <xf numFmtId="0" fontId="28" fillId="30" borderId="59" xfId="0" applyFont="1" applyFill="1" applyBorder="1" applyAlignment="1" applyProtection="1">
      <alignment horizontal="center" vertical="center" wrapText="1"/>
      <protection locked="0"/>
    </xf>
    <xf numFmtId="0" fontId="28" fillId="24" borderId="59" xfId="0" applyFont="1" applyFill="1" applyBorder="1" applyAlignment="1" applyProtection="1">
      <alignment horizontal="center" vertical="center" wrapText="1"/>
      <protection locked="0"/>
    </xf>
    <xf numFmtId="0" fontId="99" fillId="25" borderId="50" xfId="0" applyFont="1" applyFill="1" applyBorder="1" applyAlignment="1" applyProtection="1">
      <alignment horizontal="center" vertical="center" wrapText="1"/>
      <protection locked="0"/>
    </xf>
    <xf numFmtId="0" fontId="100" fillId="25" borderId="93" xfId="0" applyFont="1" applyFill="1" applyBorder="1" applyAlignment="1" applyProtection="1">
      <alignment horizontal="center" vertical="center" wrapText="1"/>
      <protection locked="0"/>
    </xf>
    <xf numFmtId="0" fontId="26" fillId="28" borderId="59" xfId="0" applyFont="1" applyFill="1" applyBorder="1" applyAlignment="1">
      <alignment horizontal="center" vertical="center" wrapText="1"/>
    </xf>
    <xf numFmtId="0" fontId="28" fillId="28" borderId="59" xfId="0" applyFont="1" applyFill="1" applyBorder="1" applyAlignment="1" applyProtection="1">
      <alignment horizontal="center" vertical="center" wrapText="1"/>
      <protection locked="0"/>
    </xf>
    <xf numFmtId="0" fontId="28" fillId="28" borderId="59" xfId="0" applyFont="1" applyFill="1" applyBorder="1" applyAlignment="1" applyProtection="1">
      <alignment horizontal="justify" vertical="top" wrapText="1"/>
      <protection locked="0"/>
    </xf>
    <xf numFmtId="0" fontId="27" fillId="28" borderId="112" xfId="0" applyFont="1" applyFill="1" applyBorder="1" applyAlignment="1" applyProtection="1">
      <alignment horizontal="justify" vertical="top" wrapText="1"/>
      <protection locked="0"/>
    </xf>
    <xf numFmtId="0" fontId="27" fillId="28" borderId="50" xfId="0" applyFont="1" applyFill="1" applyBorder="1" applyAlignment="1" applyProtection="1">
      <alignment horizontal="justify" vertical="top"/>
      <protection locked="0"/>
    </xf>
    <xf numFmtId="9" fontId="27" fillId="28" borderId="50" xfId="0" applyNumberFormat="1" applyFont="1" applyFill="1" applyBorder="1" applyAlignment="1" applyProtection="1">
      <alignment horizontal="justify" vertical="top" wrapText="1"/>
      <protection hidden="1"/>
    </xf>
    <xf numFmtId="9" fontId="27" fillId="28" borderId="50" xfId="0" applyNumberFormat="1" applyFont="1" applyFill="1" applyBorder="1" applyAlignment="1" applyProtection="1">
      <alignment horizontal="justify" vertical="top" wrapText="1"/>
      <protection locked="0"/>
    </xf>
    <xf numFmtId="0" fontId="27" fillId="28" borderId="51" xfId="0" applyFont="1" applyFill="1" applyBorder="1" applyAlignment="1" applyProtection="1">
      <alignment horizontal="center" vertical="center" wrapText="1"/>
      <protection locked="0"/>
    </xf>
    <xf numFmtId="0" fontId="27" fillId="30" borderId="51" xfId="0" applyFont="1" applyFill="1" applyBorder="1" applyAlignment="1" applyProtection="1">
      <alignment horizontal="center" vertical="center" wrapText="1"/>
      <protection locked="0"/>
    </xf>
    <xf numFmtId="0" fontId="27" fillId="24" borderId="51" xfId="0" applyFont="1" applyFill="1" applyBorder="1" applyAlignment="1" applyProtection="1">
      <alignment horizontal="center" vertical="center" wrapText="1"/>
      <protection locked="0"/>
    </xf>
    <xf numFmtId="0" fontId="27" fillId="28" borderId="47" xfId="0" applyFont="1" applyFill="1" applyBorder="1" applyAlignment="1" applyProtection="1">
      <alignment horizontal="center" vertical="center"/>
      <protection locked="0"/>
    </xf>
    <xf numFmtId="0" fontId="27" fillId="30" borderId="47" xfId="0" applyFont="1" applyFill="1" applyBorder="1" applyAlignment="1" applyProtection="1">
      <alignment horizontal="center" vertical="center"/>
      <protection locked="0"/>
    </xf>
    <xf numFmtId="0" fontId="27" fillId="24" borderId="47" xfId="0" applyFont="1" applyFill="1" applyBorder="1" applyAlignment="1" applyProtection="1">
      <alignment horizontal="center" vertical="center"/>
      <protection locked="0"/>
    </xf>
    <xf numFmtId="0" fontId="27" fillId="31" borderId="47" xfId="0" applyFont="1" applyFill="1" applyBorder="1" applyAlignment="1" applyProtection="1">
      <alignment horizontal="center" vertical="center"/>
      <protection locked="0"/>
    </xf>
    <xf numFmtId="0" fontId="27" fillId="8" borderId="51" xfId="0" applyFont="1" applyFill="1" applyBorder="1" applyAlignment="1" applyProtection="1">
      <alignment horizontal="center" vertical="center"/>
      <protection locked="0"/>
    </xf>
    <xf numFmtId="0" fontId="27" fillId="28" borderId="51" xfId="0" applyFont="1" applyFill="1" applyBorder="1" applyAlignment="1" applyProtection="1">
      <alignment horizontal="center" vertical="center"/>
      <protection locked="0"/>
    </xf>
    <xf numFmtId="0" fontId="31" fillId="0" borderId="37" xfId="17" applyFont="1" applyAlignment="1">
      <alignment wrapText="1"/>
    </xf>
    <xf numFmtId="0" fontId="31" fillId="0" borderId="37" xfId="17" applyFont="1" applyAlignment="1">
      <alignment vertical="center" wrapText="1"/>
    </xf>
    <xf numFmtId="0" fontId="31" fillId="0" borderId="37" xfId="17" applyFont="1" applyAlignment="1">
      <alignment horizontal="left" vertical="center" wrapText="1"/>
    </xf>
    <xf numFmtId="0" fontId="30" fillId="0" borderId="143" xfId="0" applyFont="1" applyBorder="1" applyAlignment="1" applyProtection="1">
      <alignment vertical="center" wrapText="1"/>
      <protection locked="0"/>
    </xf>
    <xf numFmtId="0" fontId="30" fillId="0" borderId="53" xfId="0" applyFont="1" applyBorder="1" applyAlignment="1" applyProtection="1">
      <alignment vertical="center" wrapText="1"/>
      <protection locked="0"/>
    </xf>
    <xf numFmtId="14" fontId="30" fillId="0" borderId="144" xfId="0" applyNumberFormat="1" applyFont="1" applyBorder="1" applyAlignment="1" applyProtection="1">
      <alignment horizontal="center" vertical="center" wrapText="1"/>
      <protection locked="0"/>
    </xf>
    <xf numFmtId="14" fontId="30" fillId="0" borderId="145" xfId="0" applyNumberFormat="1" applyFont="1" applyBorder="1" applyAlignment="1" applyProtection="1">
      <alignment horizontal="center" vertical="center" wrapText="1"/>
      <protection locked="0"/>
    </xf>
    <xf numFmtId="0" fontId="27" fillId="0" borderId="73" xfId="0" applyFont="1" applyBorder="1" applyAlignment="1">
      <alignment vertical="center" wrapText="1"/>
    </xf>
    <xf numFmtId="0" fontId="31" fillId="0" borderId="73" xfId="0" applyFont="1" applyBorder="1" applyAlignment="1">
      <alignment vertical="top" wrapText="1"/>
    </xf>
    <xf numFmtId="0" fontId="27" fillId="0" borderId="74" xfId="0" applyFont="1" applyBorder="1" applyAlignment="1">
      <alignment vertical="center" wrapText="1"/>
    </xf>
    <xf numFmtId="0" fontId="31" fillId="0" borderId="77" xfId="0" applyFont="1" applyBorder="1" applyAlignment="1">
      <alignment horizontal="left" vertical="top"/>
    </xf>
    <xf numFmtId="0" fontId="27" fillId="0" borderId="76" xfId="0" applyFont="1" applyBorder="1" applyAlignment="1">
      <alignment vertical="center" wrapText="1"/>
    </xf>
    <xf numFmtId="0" fontId="27" fillId="0" borderId="76" xfId="0" applyFont="1" applyBorder="1" applyAlignment="1">
      <alignment vertical="top" wrapText="1"/>
    </xf>
    <xf numFmtId="165" fontId="30" fillId="3" borderId="77" xfId="0" applyNumberFormat="1" applyFont="1" applyFill="1" applyBorder="1" applyAlignment="1">
      <alignment horizontal="center" vertical="top" wrapText="1"/>
    </xf>
    <xf numFmtId="165" fontId="30" fillId="0" borderId="77" xfId="0" applyNumberFormat="1" applyFont="1" applyBorder="1" applyAlignment="1">
      <alignment horizontal="center" vertical="top" wrapText="1"/>
    </xf>
    <xf numFmtId="0" fontId="32" fillId="0" borderId="77" xfId="0" applyFont="1" applyBorder="1" applyAlignment="1">
      <alignment horizontal="center" vertical="top" wrapText="1"/>
    </xf>
    <xf numFmtId="0" fontId="31" fillId="9" borderId="49" xfId="0" applyFont="1" applyFill="1" applyBorder="1" applyAlignment="1">
      <alignment horizontal="justify" vertical="top" wrapText="1"/>
    </xf>
    <xf numFmtId="0" fontId="35" fillId="0" borderId="59" xfId="0" applyFont="1" applyBorder="1" applyAlignment="1" applyProtection="1">
      <alignment horizontal="justify" vertical="top" wrapText="1"/>
      <protection locked="0"/>
    </xf>
    <xf numFmtId="0" fontId="30" fillId="0" borderId="148" xfId="0" applyFont="1" applyBorder="1" applyAlignment="1" applyProtection="1">
      <alignment horizontal="center" vertical="top" wrapText="1"/>
      <protection locked="0"/>
    </xf>
    <xf numFmtId="0" fontId="30" fillId="0" borderId="148" xfId="0" applyFont="1" applyBorder="1" applyAlignment="1" applyProtection="1">
      <alignment horizontal="center" vertical="top"/>
      <protection locked="0"/>
    </xf>
    <xf numFmtId="0" fontId="37" fillId="0" borderId="148" xfId="0" applyFont="1" applyBorder="1" applyAlignment="1" applyProtection="1">
      <alignment horizontal="center" vertical="top" wrapText="1"/>
      <protection hidden="1"/>
    </xf>
    <xf numFmtId="9" fontId="30" fillId="0" borderId="148" xfId="0" applyNumberFormat="1" applyFont="1" applyBorder="1" applyAlignment="1" applyProtection="1">
      <alignment horizontal="center" vertical="top" wrapText="1"/>
      <protection hidden="1"/>
    </xf>
    <xf numFmtId="164" fontId="31" fillId="0" borderId="38" xfId="16" applyNumberFormat="1" applyFont="1" applyFill="1" applyBorder="1" applyAlignment="1">
      <alignment horizontal="center" vertical="top"/>
    </xf>
    <xf numFmtId="0" fontId="37" fillId="0" borderId="43" xfId="0" applyFont="1" applyBorder="1" applyAlignment="1" applyProtection="1">
      <alignment horizontal="center" vertical="top" textRotation="90" wrapText="1"/>
      <protection hidden="1"/>
    </xf>
    <xf numFmtId="14" fontId="30" fillId="0" borderId="51" xfId="0" applyNumberFormat="1" applyFont="1" applyBorder="1" applyAlignment="1" applyProtection="1">
      <alignment horizontal="justify" vertical="top" wrapText="1"/>
      <protection locked="0"/>
    </xf>
    <xf numFmtId="0" fontId="30" fillId="0" borderId="150" xfId="0" applyFont="1" applyBorder="1" applyAlignment="1" applyProtection="1">
      <alignment horizontal="center" vertical="top" wrapText="1"/>
      <protection locked="0"/>
    </xf>
    <xf numFmtId="0" fontId="30" fillId="0" borderId="150" xfId="0" applyFont="1" applyBorder="1" applyAlignment="1" applyProtection="1">
      <alignment horizontal="center" vertical="top"/>
      <protection locked="0"/>
    </xf>
    <xf numFmtId="0" fontId="37" fillId="0" borderId="151" xfId="0" applyFont="1" applyBorder="1" applyAlignment="1" applyProtection="1">
      <alignment horizontal="center" vertical="top" wrapText="1"/>
      <protection hidden="1"/>
    </xf>
    <xf numFmtId="9" fontId="30" fillId="0" borderId="150" xfId="0" applyNumberFormat="1" applyFont="1" applyBorder="1" applyAlignment="1" applyProtection="1">
      <alignment horizontal="center" vertical="top" wrapText="1"/>
      <protection hidden="1"/>
    </xf>
    <xf numFmtId="0" fontId="30" fillId="0" borderId="49" xfId="0" applyFont="1" applyBorder="1" applyAlignment="1" applyProtection="1">
      <alignment horizontal="justify" vertical="top" wrapText="1"/>
      <protection locked="0"/>
    </xf>
    <xf numFmtId="0" fontId="30" fillId="0" borderId="151" xfId="0" applyFont="1" applyBorder="1" applyAlignment="1" applyProtection="1">
      <alignment horizontal="center" vertical="top" wrapText="1"/>
      <protection locked="0"/>
    </xf>
    <xf numFmtId="0" fontId="30" fillId="0" borderId="151" xfId="0" applyFont="1" applyBorder="1" applyAlignment="1" applyProtection="1">
      <alignment horizontal="center" vertical="top"/>
      <protection locked="0"/>
    </xf>
    <xf numFmtId="0" fontId="37" fillId="0" borderId="150" xfId="0" applyFont="1" applyBorder="1" applyAlignment="1" applyProtection="1">
      <alignment horizontal="center" vertical="top" wrapText="1"/>
      <protection hidden="1"/>
    </xf>
    <xf numFmtId="9" fontId="30" fillId="0" borderId="153" xfId="0" applyNumberFormat="1" applyFont="1" applyBorder="1" applyAlignment="1" applyProtection="1">
      <alignment horizontal="center" vertical="top" wrapText="1"/>
      <protection hidden="1"/>
    </xf>
    <xf numFmtId="0" fontId="30" fillId="0" borderId="154" xfId="0" applyFont="1" applyBorder="1" applyAlignment="1" applyProtection="1">
      <alignment horizontal="center" vertical="top" wrapText="1"/>
      <protection locked="0"/>
    </xf>
    <xf numFmtId="0" fontId="30" fillId="0" borderId="154" xfId="0" applyFont="1" applyBorder="1" applyAlignment="1" applyProtection="1">
      <alignment horizontal="center" vertical="top"/>
      <protection locked="0"/>
    </xf>
    <xf numFmtId="0" fontId="37" fillId="0" borderId="154" xfId="0" applyFont="1" applyBorder="1" applyAlignment="1" applyProtection="1">
      <alignment horizontal="center" vertical="top" wrapText="1"/>
      <protection hidden="1"/>
    </xf>
    <xf numFmtId="9" fontId="30" fillId="0" borderId="155" xfId="0" applyNumberFormat="1" applyFont="1" applyBorder="1" applyAlignment="1" applyProtection="1">
      <alignment horizontal="center" vertical="top" wrapText="1"/>
      <protection hidden="1"/>
    </xf>
    <xf numFmtId="0" fontId="31" fillId="0" borderId="49" xfId="0" applyFont="1" applyBorder="1" applyAlignment="1" applyProtection="1">
      <alignment horizontal="justify" vertical="top" wrapText="1"/>
      <protection locked="0"/>
    </xf>
    <xf numFmtId="0" fontId="34" fillId="0" borderId="49" xfId="0" applyFont="1" applyBorder="1" applyAlignment="1" applyProtection="1">
      <alignment horizontal="justify" vertical="top" wrapText="1"/>
      <protection locked="0"/>
    </xf>
    <xf numFmtId="164" fontId="31" fillId="0" borderId="51" xfId="16" applyNumberFormat="1" applyFont="1" applyFill="1" applyBorder="1" applyAlignment="1">
      <alignment horizontal="center" vertical="top"/>
    </xf>
    <xf numFmtId="0" fontId="31" fillId="0" borderId="50" xfId="0" applyFont="1" applyBorder="1" applyAlignment="1" applyProtection="1">
      <alignment horizontal="justify" vertical="top" wrapText="1"/>
      <protection locked="0"/>
    </xf>
    <xf numFmtId="0" fontId="31" fillId="0" borderId="41" xfId="0" applyFont="1" applyBorder="1" applyAlignment="1" applyProtection="1">
      <alignment horizontal="justify" vertical="top" wrapText="1"/>
      <protection locked="0"/>
    </xf>
    <xf numFmtId="0" fontId="31" fillId="0" borderId="156" xfId="0" applyFont="1" applyBorder="1" applyAlignment="1" applyProtection="1">
      <alignment horizontal="center" vertical="top" wrapText="1"/>
      <protection locked="0"/>
    </xf>
    <xf numFmtId="0" fontId="31" fillId="0" borderId="157" xfId="0" applyFont="1" applyBorder="1" applyAlignment="1" applyProtection="1">
      <alignment horizontal="center" vertical="top"/>
      <protection locked="0"/>
    </xf>
    <xf numFmtId="0" fontId="32" fillId="0" borderId="157" xfId="0" applyFont="1" applyBorder="1" applyAlignment="1" applyProtection="1">
      <alignment horizontal="center" vertical="top" wrapText="1"/>
      <protection hidden="1"/>
    </xf>
    <xf numFmtId="0" fontId="120" fillId="9" borderId="0" xfId="0" applyFont="1" applyFill="1" applyAlignment="1">
      <alignment horizontal="center" vertical="center"/>
    </xf>
    <xf numFmtId="0" fontId="120" fillId="9" borderId="0" xfId="0" applyFont="1" applyFill="1" applyAlignment="1">
      <alignment horizontal="left" vertical="center"/>
    </xf>
    <xf numFmtId="0" fontId="120" fillId="9" borderId="0" xfId="0" applyFont="1" applyFill="1"/>
    <xf numFmtId="0" fontId="120" fillId="9" borderId="0" xfId="0" applyFont="1" applyFill="1" applyAlignment="1">
      <alignment horizontal="center"/>
    </xf>
    <xf numFmtId="0" fontId="17" fillId="8" borderId="53" xfId="0" applyFont="1" applyFill="1" applyBorder="1" applyAlignment="1">
      <alignment horizontal="center" vertical="center"/>
    </xf>
    <xf numFmtId="0" fontId="17" fillId="8" borderId="51" xfId="0" applyFont="1" applyFill="1" applyBorder="1" applyAlignment="1">
      <alignment horizontal="center" vertical="center" textRotation="90"/>
    </xf>
    <xf numFmtId="0" fontId="120" fillId="0" borderId="50" xfId="0" applyFont="1" applyBorder="1" applyAlignment="1">
      <alignment horizontal="center" vertical="center"/>
    </xf>
    <xf numFmtId="0" fontId="120" fillId="0" borderId="50" xfId="0" applyFont="1" applyBorder="1" applyAlignment="1" applyProtection="1">
      <alignment horizontal="center" vertical="center" wrapText="1"/>
      <protection locked="0"/>
    </xf>
    <xf numFmtId="0" fontId="121" fillId="0" borderId="50" xfId="0" applyFont="1" applyBorder="1" applyAlignment="1" applyProtection="1">
      <alignment horizontal="center" vertical="center" wrapText="1"/>
      <protection locked="0"/>
    </xf>
    <xf numFmtId="0" fontId="120" fillId="0" borderId="51" xfId="0" applyFont="1" applyBorder="1" applyAlignment="1">
      <alignment horizontal="center" vertical="center"/>
    </xf>
    <xf numFmtId="0" fontId="120" fillId="0" borderId="51" xfId="0" applyFont="1" applyBorder="1" applyAlignment="1" applyProtection="1">
      <alignment horizontal="justify" vertical="center" wrapText="1"/>
      <protection locked="0"/>
    </xf>
    <xf numFmtId="0" fontId="122" fillId="0" borderId="51" xfId="0" applyFont="1" applyBorder="1" applyAlignment="1" applyProtection="1">
      <alignment horizontal="center" vertical="center"/>
      <protection hidden="1"/>
    </xf>
    <xf numFmtId="0" fontId="120" fillId="0" borderId="51" xfId="0" applyFont="1" applyBorder="1" applyAlignment="1" applyProtection="1">
      <alignment horizontal="center" vertical="center" textRotation="90"/>
      <protection locked="0"/>
    </xf>
    <xf numFmtId="9" fontId="120" fillId="0" borderId="51" xfId="0" applyNumberFormat="1" applyFont="1" applyBorder="1" applyAlignment="1" applyProtection="1">
      <alignment horizontal="center" vertical="center"/>
      <protection hidden="1"/>
    </xf>
    <xf numFmtId="164" fontId="120" fillId="0" borderId="51" xfId="16" applyNumberFormat="1" applyFont="1" applyFill="1" applyBorder="1" applyAlignment="1">
      <alignment horizontal="center" vertical="center"/>
    </xf>
    <xf numFmtId="0" fontId="17" fillId="0" borderId="51" xfId="0" applyFont="1" applyBorder="1" applyAlignment="1" applyProtection="1">
      <alignment horizontal="center" vertical="center" textRotation="90" wrapText="1"/>
      <protection hidden="1"/>
    </xf>
    <xf numFmtId="9" fontId="120" fillId="0" borderId="50" xfId="0" applyNumberFormat="1" applyFont="1" applyBorder="1" applyAlignment="1" applyProtection="1">
      <alignment horizontal="center" vertical="center"/>
      <protection hidden="1"/>
    </xf>
    <xf numFmtId="0" fontId="17" fillId="0" borderId="51" xfId="0" applyFont="1" applyBorder="1" applyAlignment="1" applyProtection="1">
      <alignment horizontal="center" vertical="center" textRotation="90"/>
      <protection hidden="1"/>
    </xf>
    <xf numFmtId="0" fontId="120" fillId="0" borderId="50" xfId="0" applyFont="1" applyBorder="1" applyAlignment="1" applyProtection="1">
      <alignment horizontal="center" vertical="center" textRotation="90"/>
      <protection locked="0"/>
    </xf>
    <xf numFmtId="0" fontId="120" fillId="0" borderId="0" xfId="0" applyFont="1" applyAlignment="1">
      <alignment horizontal="justify" vertical="center"/>
    </xf>
    <xf numFmtId="0" fontId="120" fillId="0" borderId="53" xfId="0" applyFont="1" applyBorder="1" applyAlignment="1">
      <alignment horizontal="center" vertical="center"/>
    </xf>
    <xf numFmtId="9" fontId="120" fillId="0" borderId="53" xfId="0" applyNumberFormat="1" applyFont="1" applyBorder="1" applyAlignment="1" applyProtection="1">
      <alignment horizontal="center" vertical="center" wrapText="1"/>
      <protection hidden="1"/>
    </xf>
    <xf numFmtId="9" fontId="120" fillId="0" borderId="50" xfId="0" applyNumberFormat="1" applyFont="1" applyBorder="1" applyAlignment="1" applyProtection="1">
      <alignment vertical="center"/>
      <protection hidden="1"/>
    </xf>
    <xf numFmtId="0" fontId="120" fillId="0" borderId="50" xfId="0" applyFont="1" applyBorder="1" applyAlignment="1">
      <alignment vertical="center"/>
    </xf>
    <xf numFmtId="0" fontId="120" fillId="0" borderId="50" xfId="0" applyFont="1" applyBorder="1" applyAlignment="1" applyProtection="1">
      <alignment vertical="center" wrapText="1"/>
      <protection locked="0"/>
    </xf>
    <xf numFmtId="0" fontId="122" fillId="0" borderId="50" xfId="0" applyFont="1" applyBorder="1" applyAlignment="1" applyProtection="1">
      <alignment vertical="center" wrapText="1"/>
      <protection locked="0"/>
    </xf>
    <xf numFmtId="0" fontId="120" fillId="0" borderId="50" xfId="0" applyFont="1" applyBorder="1" applyAlignment="1" applyProtection="1">
      <alignment vertical="center" textRotation="90"/>
      <protection locked="0"/>
    </xf>
    <xf numFmtId="0" fontId="17" fillId="0" borderId="50" xfId="0" applyFont="1" applyBorder="1" applyAlignment="1" applyProtection="1">
      <alignment vertical="center" textRotation="90" wrapText="1"/>
      <protection hidden="1"/>
    </xf>
    <xf numFmtId="0" fontId="17" fillId="0" borderId="50" xfId="0" applyFont="1" applyBorder="1" applyAlignment="1" applyProtection="1">
      <alignment vertical="center" textRotation="90"/>
      <protection hidden="1"/>
    </xf>
    <xf numFmtId="0" fontId="120" fillId="0" borderId="53" xfId="0" applyFont="1" applyBorder="1" applyAlignment="1">
      <alignment vertical="center"/>
    </xf>
    <xf numFmtId="0" fontId="120" fillId="0" borderId="52" xfId="0" applyFont="1" applyBorder="1" applyAlignment="1" applyProtection="1">
      <alignment vertical="center" wrapText="1"/>
      <protection locked="0"/>
    </xf>
    <xf numFmtId="0" fontId="32" fillId="10" borderId="0" xfId="0" applyFont="1" applyFill="1" applyAlignment="1">
      <alignment horizontal="center" vertical="center"/>
    </xf>
    <xf numFmtId="0" fontId="34" fillId="9" borderId="49" xfId="0" applyFont="1" applyFill="1" applyBorder="1" applyAlignment="1">
      <alignment vertical="center" wrapText="1"/>
    </xf>
    <xf numFmtId="0" fontId="34" fillId="0" borderId="51" xfId="0" applyFont="1" applyBorder="1" applyAlignment="1" applyProtection="1">
      <alignment horizontal="justify" vertical="top" wrapText="1"/>
      <protection locked="0"/>
    </xf>
    <xf numFmtId="0" fontId="30" fillId="0" borderId="50" xfId="0" applyFont="1" applyBorder="1" applyAlignment="1" applyProtection="1">
      <alignment vertical="top" wrapText="1"/>
      <protection locked="0"/>
    </xf>
    <xf numFmtId="14" fontId="30" fillId="0" borderId="50" xfId="0" applyNumberFormat="1" applyFont="1" applyBorder="1" applyAlignment="1" applyProtection="1">
      <alignment vertical="top" wrapText="1"/>
      <protection locked="0"/>
    </xf>
    <xf numFmtId="0" fontId="30" fillId="0" borderId="50" xfId="0" applyFont="1" applyBorder="1" applyAlignment="1" applyProtection="1">
      <alignment vertical="top"/>
      <protection locked="0"/>
    </xf>
    <xf numFmtId="0" fontId="30" fillId="10" borderId="50" xfId="0" applyFont="1" applyFill="1" applyBorder="1" applyAlignment="1" applyProtection="1">
      <alignment vertical="top" wrapText="1"/>
      <protection locked="0"/>
    </xf>
    <xf numFmtId="14" fontId="30" fillId="10" borderId="50" xfId="0" applyNumberFormat="1" applyFont="1" applyFill="1" applyBorder="1" applyAlignment="1" applyProtection="1">
      <alignment vertical="top" wrapText="1"/>
      <protection locked="0"/>
    </xf>
    <xf numFmtId="0" fontId="30" fillId="10" borderId="50" xfId="0" applyFont="1" applyFill="1" applyBorder="1" applyAlignment="1" applyProtection="1">
      <alignment vertical="top"/>
      <protection locked="0"/>
    </xf>
    <xf numFmtId="14" fontId="35" fillId="10" borderId="50" xfId="0" applyNumberFormat="1" applyFont="1" applyFill="1" applyBorder="1" applyAlignment="1" applyProtection="1">
      <alignment vertical="top" wrapText="1"/>
      <protection locked="0"/>
    </xf>
    <xf numFmtId="0" fontId="35" fillId="10" borderId="50" xfId="0" applyFont="1" applyFill="1" applyBorder="1" applyAlignment="1" applyProtection="1">
      <alignment vertical="top" wrapText="1"/>
      <protection locked="0"/>
    </xf>
    <xf numFmtId="0" fontId="35" fillId="10" borderId="50" xfId="0" applyFont="1" applyFill="1" applyBorder="1" applyAlignment="1" applyProtection="1">
      <alignment vertical="top"/>
      <protection locked="0"/>
    </xf>
    <xf numFmtId="0" fontId="34" fillId="0" borderId="51" xfId="0" applyFont="1" applyBorder="1" applyAlignment="1" applyProtection="1">
      <alignment horizontal="center" vertical="top" wrapText="1"/>
      <protection locked="0"/>
    </xf>
    <xf numFmtId="0" fontId="34" fillId="10" borderId="51" xfId="0" applyFont="1" applyFill="1" applyBorder="1" applyAlignment="1" applyProtection="1">
      <alignment horizontal="center" vertical="top" wrapText="1"/>
      <protection locked="0"/>
    </xf>
    <xf numFmtId="0" fontId="34" fillId="0" borderId="51" xfId="0" applyFont="1" applyBorder="1" applyAlignment="1" applyProtection="1">
      <alignment horizontal="justify" vertical="top"/>
      <protection locked="0"/>
    </xf>
    <xf numFmtId="0" fontId="35" fillId="0" borderId="50" xfId="0" applyFont="1" applyBorder="1" applyAlignment="1" applyProtection="1">
      <alignment horizontal="center" vertical="top" wrapText="1"/>
      <protection locked="0"/>
    </xf>
    <xf numFmtId="0" fontId="31" fillId="10" borderId="0" xfId="0" applyFont="1" applyFill="1" applyAlignment="1">
      <alignment vertical="center" wrapText="1"/>
    </xf>
    <xf numFmtId="0" fontId="35" fillId="10" borderId="50" xfId="0" applyFont="1" applyFill="1" applyBorder="1" applyAlignment="1" applyProtection="1">
      <alignment horizontal="center" vertical="top" wrapText="1"/>
      <protection locked="0"/>
    </xf>
    <xf numFmtId="0" fontId="34" fillId="0" borderId="49" xfId="0" applyFont="1" applyBorder="1" applyAlignment="1">
      <alignment vertical="center" wrapText="1"/>
    </xf>
    <xf numFmtId="0" fontId="31" fillId="10" borderId="51" xfId="0" applyFont="1" applyFill="1" applyBorder="1" applyAlignment="1" applyProtection="1">
      <alignment horizontal="center" vertical="top" wrapText="1"/>
      <protection locked="0"/>
    </xf>
    <xf numFmtId="0" fontId="31" fillId="10" borderId="51" xfId="0" applyFont="1" applyFill="1" applyBorder="1" applyAlignment="1" applyProtection="1">
      <alignment horizontal="center" vertical="top"/>
      <protection locked="0"/>
    </xf>
    <xf numFmtId="14" fontId="31" fillId="10" borderId="51" xfId="0" applyNumberFormat="1" applyFont="1" applyFill="1" applyBorder="1" applyAlignment="1" applyProtection="1">
      <alignment horizontal="center" vertical="top"/>
      <protection locked="0"/>
    </xf>
    <xf numFmtId="0" fontId="9" fillId="0" borderId="1" xfId="0" applyFont="1" applyBorder="1" applyAlignment="1">
      <alignment horizontal="center" vertical="center" wrapText="1"/>
    </xf>
    <xf numFmtId="0" fontId="10" fillId="0" borderId="6" xfId="0" applyFont="1" applyBorder="1"/>
    <xf numFmtId="0" fontId="10" fillId="0" borderId="9" xfId="0" applyFont="1" applyBorder="1"/>
    <xf numFmtId="0" fontId="9" fillId="0" borderId="2" xfId="0" applyFont="1" applyBorder="1" applyAlignment="1">
      <alignment horizontal="center" vertical="center" wrapText="1"/>
    </xf>
    <xf numFmtId="0" fontId="10" fillId="0" borderId="3" xfId="0" applyFont="1" applyBorder="1"/>
    <xf numFmtId="0" fontId="10" fillId="0" borderId="7" xfId="0" applyFont="1" applyBorder="1"/>
    <xf numFmtId="0" fontId="10" fillId="0" borderId="8" xfId="0" applyFont="1" applyBorder="1"/>
    <xf numFmtId="0" fontId="12" fillId="0" borderId="5" xfId="0" applyFont="1" applyBorder="1" applyAlignment="1">
      <alignment horizontal="center"/>
    </xf>
    <xf numFmtId="0" fontId="10" fillId="0" borderId="5" xfId="0" applyFont="1" applyBorder="1"/>
    <xf numFmtId="0" fontId="13" fillId="2" borderId="10" xfId="0" applyFont="1" applyFill="1" applyBorder="1" applyAlignment="1">
      <alignment horizontal="center" vertical="center"/>
    </xf>
    <xf numFmtId="0" fontId="10" fillId="0" borderId="11" xfId="0" applyFont="1" applyBorder="1"/>
    <xf numFmtId="0" fontId="10" fillId="0" borderId="12" xfId="0" applyFont="1" applyBorder="1"/>
    <xf numFmtId="0" fontId="12" fillId="0" borderId="36" xfId="0" applyFont="1" applyBorder="1" applyAlignment="1">
      <alignment horizontal="center"/>
    </xf>
    <xf numFmtId="0" fontId="10" fillId="0" borderId="25" xfId="0" applyFont="1" applyBorder="1"/>
    <xf numFmtId="0" fontId="10" fillId="0" borderId="28" xfId="0" applyFont="1" applyBorder="1"/>
    <xf numFmtId="0" fontId="9"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0" fillId="0" borderId="23" xfId="0" applyFont="1" applyBorder="1"/>
    <xf numFmtId="0" fontId="10" fillId="0" borderId="26" xfId="0" applyFont="1" applyBorder="1"/>
    <xf numFmtId="0" fontId="12" fillId="0" borderId="24" xfId="0" applyFont="1" applyBorder="1" applyAlignment="1">
      <alignment horizontal="center"/>
    </xf>
    <xf numFmtId="0" fontId="10" fillId="0" borderId="20" xfId="0" applyFont="1" applyBorder="1"/>
    <xf numFmtId="0" fontId="10" fillId="0" borderId="31" xfId="0" applyFont="1" applyBorder="1"/>
    <xf numFmtId="0" fontId="15" fillId="0" borderId="2" xfId="0" applyFont="1" applyBorder="1" applyAlignment="1">
      <alignment horizontal="center" vertical="center" wrapText="1"/>
    </xf>
    <xf numFmtId="0" fontId="10" fillId="0" borderId="27" xfId="0" applyFont="1" applyBorder="1"/>
    <xf numFmtId="0" fontId="10" fillId="0" borderId="29" xfId="0" applyFont="1" applyBorder="1"/>
    <xf numFmtId="0" fontId="10" fillId="0" borderId="30" xfId="0" applyFont="1" applyBorder="1"/>
    <xf numFmtId="0" fontId="17" fillId="4" borderId="10" xfId="0" applyFont="1" applyFill="1" applyBorder="1" applyAlignment="1">
      <alignment horizontal="center" vertical="center"/>
    </xf>
    <xf numFmtId="0" fontId="10" fillId="0" borderId="32" xfId="0" applyFont="1" applyBorder="1"/>
    <xf numFmtId="9" fontId="31" fillId="0" borderId="50" xfId="12" applyNumberFormat="1" applyFont="1" applyBorder="1" applyAlignment="1" applyProtection="1">
      <alignment horizontal="center" vertical="top" wrapText="1"/>
      <protection hidden="1"/>
    </xf>
    <xf numFmtId="9" fontId="31" fillId="0" borderId="53" xfId="12" applyNumberFormat="1" applyFont="1" applyBorder="1" applyAlignment="1" applyProtection="1">
      <alignment horizontal="center" vertical="top" wrapText="1"/>
      <protection hidden="1"/>
    </xf>
    <xf numFmtId="9" fontId="31" fillId="0" borderId="52" xfId="12" applyNumberFormat="1" applyFont="1" applyBorder="1" applyAlignment="1" applyProtection="1">
      <alignment horizontal="center" vertical="top" wrapText="1"/>
      <protection hidden="1"/>
    </xf>
    <xf numFmtId="0" fontId="32" fillId="0" borderId="50" xfId="12" applyFont="1" applyBorder="1" applyAlignment="1" applyProtection="1">
      <alignment horizontal="center" vertical="top" wrapText="1"/>
      <protection hidden="1"/>
    </xf>
    <xf numFmtId="0" fontId="32" fillId="0" borderId="53" xfId="12" applyFont="1" applyBorder="1" applyAlignment="1" applyProtection="1">
      <alignment horizontal="center" vertical="top" wrapText="1"/>
      <protection hidden="1"/>
    </xf>
    <xf numFmtId="0" fontId="32" fillId="0" borderId="52" xfId="12" applyFont="1" applyBorder="1" applyAlignment="1" applyProtection="1">
      <alignment horizontal="center" vertical="top" wrapText="1"/>
      <protection hidden="1"/>
    </xf>
    <xf numFmtId="0" fontId="32" fillId="0" borderId="50" xfId="12" applyFont="1" applyBorder="1" applyAlignment="1" applyProtection="1">
      <alignment horizontal="center" vertical="top"/>
      <protection hidden="1"/>
    </xf>
    <xf numFmtId="0" fontId="32" fillId="0" borderId="53" xfId="12" applyFont="1" applyBorder="1" applyAlignment="1" applyProtection="1">
      <alignment horizontal="center" vertical="top"/>
      <protection hidden="1"/>
    </xf>
    <xf numFmtId="0" fontId="32" fillId="0" borderId="52" xfId="12" applyFont="1" applyBorder="1" applyAlignment="1" applyProtection="1">
      <alignment horizontal="center" vertical="top"/>
      <protection hidden="1"/>
    </xf>
    <xf numFmtId="0" fontId="27" fillId="0" borderId="50" xfId="12" applyFont="1" applyBorder="1" applyAlignment="1" applyProtection="1">
      <alignment horizontal="center" vertical="top" wrapText="1"/>
      <protection locked="0"/>
    </xf>
    <xf numFmtId="0" fontId="27" fillId="0" borderId="53" xfId="12" applyFont="1" applyBorder="1" applyAlignment="1" applyProtection="1">
      <alignment horizontal="center" vertical="top" wrapText="1"/>
      <protection locked="0"/>
    </xf>
    <xf numFmtId="0" fontId="27" fillId="0" borderId="52" xfId="12" applyFont="1" applyBorder="1" applyAlignment="1" applyProtection="1">
      <alignment horizontal="center" vertical="top" wrapText="1"/>
      <protection locked="0"/>
    </xf>
    <xf numFmtId="0" fontId="34" fillId="0" borderId="59" xfId="12" applyFont="1" applyBorder="1" applyAlignment="1" applyProtection="1">
      <alignment horizontal="center" vertical="top" wrapText="1"/>
      <protection locked="0"/>
    </xf>
    <xf numFmtId="0" fontId="34" fillId="0" borderId="60" xfId="12" applyFont="1" applyBorder="1" applyAlignment="1" applyProtection="1">
      <alignment horizontal="center" vertical="top" wrapText="1"/>
      <protection locked="0"/>
    </xf>
    <xf numFmtId="0" fontId="34" fillId="0" borderId="65" xfId="12" applyFont="1" applyBorder="1" applyAlignment="1" applyProtection="1">
      <alignment horizontal="center" vertical="top" wrapText="1"/>
      <protection locked="0"/>
    </xf>
    <xf numFmtId="0" fontId="31" fillId="0" borderId="43" xfId="12" applyFont="1" applyBorder="1" applyAlignment="1" applyProtection="1">
      <alignment horizontal="center" vertical="top" wrapText="1"/>
      <protection locked="0"/>
    </xf>
    <xf numFmtId="0" fontId="31" fillId="0" borderId="56" xfId="12" applyFont="1" applyBorder="1" applyAlignment="1" applyProtection="1">
      <alignment horizontal="center" vertical="top" wrapText="1"/>
      <protection locked="0"/>
    </xf>
    <xf numFmtId="0" fontId="31" fillId="0" borderId="46" xfId="12" applyFont="1" applyBorder="1" applyAlignment="1" applyProtection="1">
      <alignment horizontal="center" vertical="top" wrapText="1"/>
      <protection locked="0"/>
    </xf>
    <xf numFmtId="0" fontId="31" fillId="0" borderId="50" xfId="12" applyFont="1" applyBorder="1" applyAlignment="1" applyProtection="1">
      <alignment horizontal="center" vertical="top"/>
      <protection locked="0"/>
    </xf>
    <xf numFmtId="0" fontId="31" fillId="0" borderId="53" xfId="12" applyFont="1" applyBorder="1" applyAlignment="1" applyProtection="1">
      <alignment horizontal="center" vertical="top"/>
      <protection locked="0"/>
    </xf>
    <xf numFmtId="0" fontId="31" fillId="0" borderId="52" xfId="12" applyFont="1" applyBorder="1" applyAlignment="1" applyProtection="1">
      <alignment horizontal="center" vertical="top"/>
      <protection locked="0"/>
    </xf>
    <xf numFmtId="9" fontId="31" fillId="0" borderId="50" xfId="12" applyNumberFormat="1" applyFont="1" applyBorder="1" applyAlignment="1" applyProtection="1">
      <alignment horizontal="center" vertical="top" wrapText="1"/>
      <protection locked="0"/>
    </xf>
    <xf numFmtId="9" fontId="31" fillId="0" borderId="53" xfId="12" applyNumberFormat="1" applyFont="1" applyBorder="1" applyAlignment="1" applyProtection="1">
      <alignment horizontal="center" vertical="top" wrapText="1"/>
      <protection locked="0"/>
    </xf>
    <xf numFmtId="9" fontId="31" fillId="0" borderId="52" xfId="12" applyNumberFormat="1" applyFont="1" applyBorder="1" applyAlignment="1" applyProtection="1">
      <alignment horizontal="center" vertical="top" wrapText="1"/>
      <protection locked="0"/>
    </xf>
    <xf numFmtId="9" fontId="30" fillId="0" borderId="50" xfId="12" applyNumberFormat="1" applyFont="1" applyBorder="1" applyAlignment="1" applyProtection="1">
      <alignment horizontal="center" vertical="top" wrapText="1"/>
      <protection hidden="1"/>
    </xf>
    <xf numFmtId="9" fontId="30" fillId="0" borderId="53" xfId="12" applyNumberFormat="1" applyFont="1" applyBorder="1" applyAlignment="1" applyProtection="1">
      <alignment horizontal="center" vertical="top" wrapText="1"/>
      <protection hidden="1"/>
    </xf>
    <xf numFmtId="9" fontId="30" fillId="0" borderId="52" xfId="12" applyNumberFormat="1" applyFont="1" applyBorder="1" applyAlignment="1" applyProtection="1">
      <alignment horizontal="center" vertical="top" wrapText="1"/>
      <protection hidden="1"/>
    </xf>
    <xf numFmtId="0" fontId="37" fillId="0" borderId="50" xfId="12" applyFont="1" applyBorder="1" applyAlignment="1" applyProtection="1">
      <alignment horizontal="center" vertical="top"/>
      <protection hidden="1"/>
    </xf>
    <xf numFmtId="0" fontId="37" fillId="0" borderId="53" xfId="12" applyFont="1" applyBorder="1" applyAlignment="1" applyProtection="1">
      <alignment horizontal="center" vertical="top"/>
      <protection hidden="1"/>
    </xf>
    <xf numFmtId="0" fontId="37" fillId="0" borderId="52" xfId="12" applyFont="1" applyBorder="1" applyAlignment="1" applyProtection="1">
      <alignment horizontal="center" vertical="top"/>
      <protection hidden="1"/>
    </xf>
    <xf numFmtId="0" fontId="37" fillId="0" borderId="50" xfId="12" applyFont="1" applyBorder="1" applyAlignment="1" applyProtection="1">
      <alignment horizontal="center" vertical="top" textRotation="90"/>
      <protection hidden="1"/>
    </xf>
    <xf numFmtId="0" fontId="4" fillId="0" borderId="53" xfId="12" applyBorder="1" applyAlignment="1">
      <alignment horizontal="center" vertical="top" textRotation="90"/>
    </xf>
    <xf numFmtId="0" fontId="4" fillId="0" borderId="52" xfId="12" applyBorder="1" applyAlignment="1">
      <alignment horizontal="center" vertical="top" textRotation="90"/>
    </xf>
    <xf numFmtId="0" fontId="30" fillId="0" borderId="50" xfId="12" applyFont="1" applyBorder="1" applyAlignment="1" applyProtection="1">
      <alignment horizontal="justify" vertical="top" textRotation="90" wrapText="1"/>
      <protection locked="0"/>
    </xf>
    <xf numFmtId="0" fontId="4" fillId="0" borderId="53" xfId="12" applyBorder="1" applyAlignment="1">
      <alignment horizontal="justify" vertical="top" textRotation="90" wrapText="1"/>
    </xf>
    <xf numFmtId="0" fontId="4" fillId="0" borderId="52" xfId="12" applyBorder="1" applyAlignment="1">
      <alignment horizontal="justify" vertical="top" textRotation="90" wrapText="1"/>
    </xf>
    <xf numFmtId="0" fontId="31" fillId="0" borderId="50" xfId="12" applyFont="1" applyBorder="1" applyAlignment="1">
      <alignment horizontal="center" vertical="center"/>
    </xf>
    <xf numFmtId="0" fontId="31" fillId="0" borderId="53" xfId="12" applyFont="1" applyBorder="1" applyAlignment="1">
      <alignment horizontal="center" vertical="center"/>
    </xf>
    <xf numFmtId="0" fontId="31" fillId="0" borderId="52" xfId="12" applyFont="1" applyBorder="1" applyAlignment="1">
      <alignment horizontal="center" vertical="center"/>
    </xf>
    <xf numFmtId="0" fontId="31" fillId="0" borderId="50" xfId="12" applyFont="1" applyBorder="1" applyAlignment="1" applyProtection="1">
      <alignment horizontal="center" vertical="top" wrapText="1"/>
      <protection locked="0"/>
    </xf>
    <xf numFmtId="0" fontId="31" fillId="0" borderId="53" xfId="12" applyFont="1" applyBorder="1" applyAlignment="1" applyProtection="1">
      <alignment horizontal="center" vertical="top" wrapText="1"/>
      <protection locked="0"/>
    </xf>
    <xf numFmtId="0" fontId="31" fillId="0" borderId="52" xfId="12" applyFont="1" applyBorder="1" applyAlignment="1" applyProtection="1">
      <alignment horizontal="center" vertical="top" wrapText="1"/>
      <protection locked="0"/>
    </xf>
    <xf numFmtId="0" fontId="31" fillId="0" borderId="41" xfId="12" applyFont="1" applyBorder="1" applyAlignment="1" applyProtection="1">
      <alignment horizontal="justify" vertical="top" wrapText="1"/>
      <protection locked="0"/>
    </xf>
    <xf numFmtId="0" fontId="31" fillId="0" borderId="54" xfId="12" applyFont="1" applyBorder="1" applyAlignment="1" applyProtection="1">
      <alignment horizontal="justify" vertical="top" wrapText="1"/>
      <protection locked="0"/>
    </xf>
    <xf numFmtId="0" fontId="31" fillId="0" borderId="44" xfId="12" applyFont="1" applyBorder="1" applyAlignment="1" applyProtection="1">
      <alignment horizontal="justify" vertical="top" wrapText="1"/>
      <protection locked="0"/>
    </xf>
    <xf numFmtId="0" fontId="34" fillId="0" borderId="49" xfId="12" applyFont="1" applyBorder="1" applyAlignment="1" applyProtection="1">
      <alignment horizontal="justify" vertical="top" wrapText="1"/>
      <protection locked="0"/>
    </xf>
    <xf numFmtId="0" fontId="30" fillId="0" borderId="50" xfId="12" applyFont="1" applyBorder="1" applyAlignment="1" applyProtection="1">
      <alignment horizontal="center" vertical="top"/>
      <protection locked="0"/>
    </xf>
    <xf numFmtId="0" fontId="30" fillId="0" borderId="53" xfId="12" applyFont="1" applyBorder="1" applyAlignment="1" applyProtection="1">
      <alignment horizontal="center" vertical="top"/>
      <protection locked="0"/>
    </xf>
    <xf numFmtId="0" fontId="30" fillId="0" borderId="52" xfId="12" applyFont="1" applyBorder="1" applyAlignment="1" applyProtection="1">
      <alignment horizontal="center" vertical="top"/>
      <protection locked="0"/>
    </xf>
    <xf numFmtId="0" fontId="37" fillId="0" borderId="50" xfId="12" applyFont="1" applyBorder="1" applyAlignment="1" applyProtection="1">
      <alignment horizontal="center" vertical="top" wrapText="1"/>
      <protection hidden="1"/>
    </xf>
    <xf numFmtId="0" fontId="37" fillId="0" borderId="53" xfId="12" applyFont="1" applyBorder="1" applyAlignment="1" applyProtection="1">
      <alignment horizontal="center" vertical="top" wrapText="1"/>
      <protection hidden="1"/>
    </xf>
    <xf numFmtId="0" fontId="37" fillId="0" borderId="52" xfId="12" applyFont="1" applyBorder="1" applyAlignment="1" applyProtection="1">
      <alignment horizontal="center" vertical="top" wrapText="1"/>
      <protection hidden="1"/>
    </xf>
    <xf numFmtId="9" fontId="30" fillId="0" borderId="50" xfId="12" applyNumberFormat="1" applyFont="1" applyBorder="1" applyAlignment="1" applyProtection="1">
      <alignment horizontal="center" vertical="top" wrapText="1"/>
      <protection locked="0"/>
    </xf>
    <xf numFmtId="9" fontId="30" fillId="0" borderId="53" xfId="12" applyNumberFormat="1" applyFont="1" applyBorder="1" applyAlignment="1" applyProtection="1">
      <alignment horizontal="center" vertical="top" wrapText="1"/>
      <protection locked="0"/>
    </xf>
    <xf numFmtId="9" fontId="30" fillId="0" borderId="52" xfId="12" applyNumberFormat="1" applyFont="1" applyBorder="1" applyAlignment="1" applyProtection="1">
      <alignment horizontal="center" vertical="top" wrapText="1"/>
      <protection locked="0"/>
    </xf>
    <xf numFmtId="0" fontId="32" fillId="10" borderId="51" xfId="12" applyFont="1" applyFill="1" applyBorder="1" applyAlignment="1">
      <alignment horizontal="center" vertical="center" wrapText="1"/>
    </xf>
    <xf numFmtId="0" fontId="32" fillId="8" borderId="51" xfId="12" applyFont="1" applyFill="1" applyBorder="1" applyAlignment="1">
      <alignment horizontal="center" vertical="center" wrapText="1"/>
    </xf>
    <xf numFmtId="0" fontId="30" fillId="0" borderId="50" xfId="12" applyFont="1" applyBorder="1" applyAlignment="1" applyProtection="1">
      <alignment horizontal="center" vertical="top" wrapText="1"/>
      <protection locked="0"/>
    </xf>
    <xf numFmtId="0" fontId="30" fillId="0" borderId="53" xfId="12" applyFont="1" applyBorder="1" applyAlignment="1" applyProtection="1">
      <alignment horizontal="center" vertical="top" wrapText="1"/>
      <protection locked="0"/>
    </xf>
    <xf numFmtId="0" fontId="30" fillId="0" borderId="52" xfId="12" applyFont="1" applyBorder="1" applyAlignment="1" applyProtection="1">
      <alignment horizontal="center" vertical="top" wrapText="1"/>
      <protection locked="0"/>
    </xf>
    <xf numFmtId="0" fontId="30" fillId="0" borderId="41" xfId="12" applyFont="1" applyBorder="1" applyAlignment="1" applyProtection="1">
      <alignment horizontal="center" vertical="top" wrapText="1"/>
      <protection locked="0"/>
    </xf>
    <xf numFmtId="0" fontId="30" fillId="0" borderId="54" xfId="12" applyFont="1" applyBorder="1" applyAlignment="1" applyProtection="1">
      <alignment horizontal="center" vertical="top" wrapText="1"/>
      <protection locked="0"/>
    </xf>
    <xf numFmtId="0" fontId="30" fillId="0" borderId="44" xfId="12" applyFont="1" applyBorder="1" applyAlignment="1" applyProtection="1">
      <alignment horizontal="center" vertical="top" wrapText="1"/>
      <protection locked="0"/>
    </xf>
    <xf numFmtId="0" fontId="35" fillId="0" borderId="49" xfId="12" applyFont="1" applyBorder="1" applyAlignment="1" applyProtection="1">
      <alignment horizontal="justify" vertical="top" wrapText="1"/>
      <protection locked="0"/>
    </xf>
    <xf numFmtId="0" fontId="35" fillId="0" borderId="59" xfId="12" applyFont="1" applyBorder="1" applyAlignment="1" applyProtection="1">
      <alignment horizontal="justify" vertical="top" wrapText="1"/>
      <protection locked="0"/>
    </xf>
    <xf numFmtId="0" fontId="4" fillId="0" borderId="60" xfId="12" applyBorder="1" applyAlignment="1">
      <alignment horizontal="justify" vertical="top" wrapText="1"/>
    </xf>
    <xf numFmtId="0" fontId="4" fillId="0" borderId="65" xfId="12" applyBorder="1" applyAlignment="1">
      <alignment horizontal="justify" vertical="top" wrapText="1"/>
    </xf>
    <xf numFmtId="0" fontId="30" fillId="0" borderId="43" xfId="12" applyFont="1" applyBorder="1" applyAlignment="1" applyProtection="1">
      <alignment horizontal="center" vertical="top" wrapText="1"/>
      <protection locked="0"/>
    </xf>
    <xf numFmtId="0" fontId="30" fillId="0" borderId="56" xfId="12" applyFont="1" applyBorder="1" applyAlignment="1" applyProtection="1">
      <alignment horizontal="center" vertical="top" wrapText="1"/>
      <protection locked="0"/>
    </xf>
    <xf numFmtId="0" fontId="30" fillId="0" borderId="46" xfId="12" applyFont="1" applyBorder="1" applyAlignment="1" applyProtection="1">
      <alignment horizontal="center" vertical="top" wrapText="1"/>
      <protection locked="0"/>
    </xf>
    <xf numFmtId="0" fontId="32" fillId="8" borderId="51" xfId="12" applyFont="1" applyFill="1" applyBorder="1" applyAlignment="1">
      <alignment horizontal="center" vertical="center" textRotation="90" wrapText="1"/>
    </xf>
    <xf numFmtId="0" fontId="32" fillId="8" borderId="50" xfId="12" applyFont="1" applyFill="1" applyBorder="1" applyAlignment="1">
      <alignment horizontal="center" vertical="center" textRotation="90" wrapText="1"/>
    </xf>
    <xf numFmtId="0" fontId="32" fillId="8" borderId="52" xfId="12" applyFont="1" applyFill="1" applyBorder="1" applyAlignment="1">
      <alignment horizontal="center" vertical="center" textRotation="90" wrapText="1"/>
    </xf>
    <xf numFmtId="0" fontId="32" fillId="8" borderId="54" xfId="12" applyFont="1" applyFill="1" applyBorder="1" applyAlignment="1">
      <alignment horizontal="center" vertical="center" wrapText="1"/>
    </xf>
    <xf numFmtId="0" fontId="32" fillId="8" borderId="44" xfId="12" applyFont="1" applyFill="1" applyBorder="1" applyAlignment="1">
      <alignment horizontal="center" vertical="center"/>
    </xf>
    <xf numFmtId="0" fontId="32" fillId="8" borderId="54" xfId="12" applyFont="1" applyFill="1" applyBorder="1" applyAlignment="1">
      <alignment horizontal="center" vertical="center"/>
    </xf>
    <xf numFmtId="0" fontId="32" fillId="8" borderId="52" xfId="12" applyFont="1" applyFill="1" applyBorder="1" applyAlignment="1">
      <alignment horizontal="center" vertical="center" wrapText="1"/>
    </xf>
    <xf numFmtId="0" fontId="32" fillId="8" borderId="50" xfId="12" applyFont="1" applyFill="1" applyBorder="1" applyAlignment="1">
      <alignment horizontal="center" vertical="center" wrapText="1"/>
    </xf>
    <xf numFmtId="0" fontId="32" fillId="8" borderId="53" xfId="12" applyFont="1" applyFill="1" applyBorder="1" applyAlignment="1">
      <alignment horizontal="center" vertical="center" wrapText="1"/>
    </xf>
    <xf numFmtId="0" fontId="33" fillId="8" borderId="50" xfId="12" applyFont="1" applyFill="1" applyBorder="1" applyAlignment="1">
      <alignment horizontal="center" vertical="center" textRotation="90"/>
    </xf>
    <xf numFmtId="0" fontId="33" fillId="8" borderId="52" xfId="12" applyFont="1" applyFill="1" applyBorder="1" applyAlignment="1">
      <alignment horizontal="center" vertical="center" textRotation="90"/>
    </xf>
    <xf numFmtId="0" fontId="32" fillId="8" borderId="51" xfId="12" applyFont="1" applyFill="1" applyBorder="1" applyAlignment="1">
      <alignment horizontal="center" vertical="center"/>
    </xf>
    <xf numFmtId="0" fontId="32" fillId="8" borderId="52" xfId="12" applyFont="1" applyFill="1" applyBorder="1" applyAlignment="1">
      <alignment horizontal="center" vertical="center"/>
    </xf>
    <xf numFmtId="0" fontId="32" fillId="8" borderId="50" xfId="12" applyFont="1" applyFill="1" applyBorder="1" applyAlignment="1">
      <alignment horizontal="center" vertical="center"/>
    </xf>
    <xf numFmtId="0" fontId="29" fillId="8" borderId="47" xfId="12" applyFont="1" applyFill="1" applyBorder="1" applyAlignment="1">
      <alignment horizontal="left" vertical="center"/>
    </xf>
    <xf numFmtId="0" fontId="29" fillId="8" borderId="48" xfId="12" applyFont="1" applyFill="1" applyBorder="1" applyAlignment="1">
      <alignment horizontal="left" vertical="center"/>
    </xf>
    <xf numFmtId="0" fontId="30" fillId="9" borderId="49" xfId="12" applyFont="1" applyFill="1" applyBorder="1" applyAlignment="1" applyProtection="1">
      <alignment horizontal="justify" vertical="top" wrapText="1"/>
      <protection locked="0"/>
    </xf>
    <xf numFmtId="0" fontId="32" fillId="8" borderId="47" xfId="12" applyFont="1" applyFill="1" applyBorder="1" applyAlignment="1">
      <alignment horizontal="center" vertical="center"/>
    </xf>
    <xf numFmtId="0" fontId="32" fillId="8" borderId="48" xfId="12" applyFont="1" applyFill="1" applyBorder="1" applyAlignment="1">
      <alignment horizontal="center" vertical="center"/>
    </xf>
    <xf numFmtId="0" fontId="32" fillId="8" borderId="45" xfId="12" applyFont="1" applyFill="1" applyBorder="1" applyAlignment="1">
      <alignment horizontal="center" vertical="center"/>
    </xf>
    <xf numFmtId="0" fontId="32" fillId="8" borderId="46" xfId="12" applyFont="1" applyFill="1" applyBorder="1" applyAlignment="1">
      <alignment horizontal="center" vertical="center"/>
    </xf>
    <xf numFmtId="0" fontId="27" fillId="0" borderId="50" xfId="7" applyFont="1" applyBorder="1" applyAlignment="1" applyProtection="1">
      <alignment horizontal="center" vertical="center" wrapText="1"/>
      <protection locked="0"/>
    </xf>
    <xf numFmtId="0" fontId="27" fillId="0" borderId="52" xfId="7" applyFont="1" applyBorder="1" applyAlignment="1" applyProtection="1">
      <alignment horizontal="center" vertical="center" wrapText="1"/>
      <protection locked="0"/>
    </xf>
    <xf numFmtId="0" fontId="74" fillId="8" borderId="41" xfId="12" applyFont="1" applyFill="1" applyBorder="1" applyAlignment="1">
      <alignment horizontal="center" vertical="center"/>
    </xf>
    <xf numFmtId="0" fontId="74" fillId="8" borderId="42" xfId="12" applyFont="1" applyFill="1" applyBorder="1" applyAlignment="1">
      <alignment horizontal="center" vertical="center"/>
    </xf>
    <xf numFmtId="0" fontId="74" fillId="8" borderId="43" xfId="12" applyFont="1" applyFill="1" applyBorder="1" applyAlignment="1">
      <alignment horizontal="center" vertical="center"/>
    </xf>
    <xf numFmtId="0" fontId="74" fillId="8" borderId="44" xfId="12" applyFont="1" applyFill="1" applyBorder="1" applyAlignment="1">
      <alignment horizontal="center" vertical="center"/>
    </xf>
    <xf numFmtId="0" fontId="74" fillId="8" borderId="45" xfId="12" applyFont="1" applyFill="1" applyBorder="1" applyAlignment="1">
      <alignment horizontal="center" vertical="center"/>
    </xf>
    <xf numFmtId="0" fontId="74" fillId="8" borderId="46" xfId="12" applyFont="1" applyFill="1" applyBorder="1" applyAlignment="1">
      <alignment horizontal="center" vertical="center"/>
    </xf>
    <xf numFmtId="9" fontId="31" fillId="0" borderId="50" xfId="7" applyNumberFormat="1" applyFont="1" applyBorder="1" applyAlignment="1" applyProtection="1">
      <alignment horizontal="center" vertical="top" wrapText="1"/>
      <protection locked="0"/>
    </xf>
    <xf numFmtId="9" fontId="31" fillId="0" borderId="53" xfId="7" applyNumberFormat="1" applyFont="1" applyBorder="1" applyAlignment="1" applyProtection="1">
      <alignment horizontal="center" vertical="top" wrapText="1"/>
      <protection locked="0"/>
    </xf>
    <xf numFmtId="9" fontId="31" fillId="0" borderId="52" xfId="7" applyNumberFormat="1" applyFont="1" applyBorder="1" applyAlignment="1" applyProtection="1">
      <alignment horizontal="center" vertical="top" wrapText="1"/>
      <protection locked="0"/>
    </xf>
    <xf numFmtId="9" fontId="31" fillId="0" borderId="50" xfId="7" applyNumberFormat="1" applyFont="1" applyBorder="1" applyAlignment="1" applyProtection="1">
      <alignment horizontal="center" vertical="top" wrapText="1"/>
      <protection hidden="1"/>
    </xf>
    <xf numFmtId="9" fontId="31" fillId="0" borderId="53" xfId="7" applyNumberFormat="1" applyFont="1" applyBorder="1" applyAlignment="1" applyProtection="1">
      <alignment horizontal="center" vertical="top" wrapText="1"/>
      <protection hidden="1"/>
    </xf>
    <xf numFmtId="9" fontId="31" fillId="0" borderId="52" xfId="7" applyNumberFormat="1" applyFont="1" applyBorder="1" applyAlignment="1" applyProtection="1">
      <alignment horizontal="center" vertical="top" wrapText="1"/>
      <protection hidden="1"/>
    </xf>
    <xf numFmtId="0" fontId="32" fillId="0" borderId="50" xfId="7" applyFont="1" applyBorder="1" applyAlignment="1" applyProtection="1">
      <alignment horizontal="center" vertical="top" wrapText="1"/>
      <protection hidden="1"/>
    </xf>
    <xf numFmtId="0" fontId="32" fillId="0" borderId="53" xfId="7" applyFont="1" applyBorder="1" applyAlignment="1" applyProtection="1">
      <alignment horizontal="center" vertical="top" wrapText="1"/>
      <protection hidden="1"/>
    </xf>
    <xf numFmtId="0" fontId="32" fillId="0" borderId="52" xfId="7" applyFont="1" applyBorder="1" applyAlignment="1" applyProtection="1">
      <alignment horizontal="center" vertical="top" wrapText="1"/>
      <protection hidden="1"/>
    </xf>
    <xf numFmtId="0" fontId="32" fillId="0" borderId="50" xfId="7" applyFont="1" applyBorder="1" applyAlignment="1" applyProtection="1">
      <alignment horizontal="center" vertical="top"/>
      <protection hidden="1"/>
    </xf>
    <xf numFmtId="0" fontId="32" fillId="0" borderId="53" xfId="7" applyFont="1" applyBorder="1" applyAlignment="1" applyProtection="1">
      <alignment horizontal="center" vertical="top"/>
      <protection hidden="1"/>
    </xf>
    <xf numFmtId="0" fontId="32" fillId="0" borderId="52" xfId="7" applyFont="1" applyBorder="1" applyAlignment="1" applyProtection="1">
      <alignment horizontal="center" vertical="top"/>
      <protection hidden="1"/>
    </xf>
    <xf numFmtId="0" fontId="31" fillId="0" borderId="50" xfId="7" applyFont="1" applyBorder="1" applyAlignment="1" applyProtection="1">
      <alignment horizontal="center" vertical="center" wrapText="1"/>
      <protection locked="0"/>
    </xf>
    <xf numFmtId="0" fontId="31" fillId="0" borderId="52" xfId="7" applyFont="1" applyBorder="1" applyAlignment="1" applyProtection="1">
      <alignment horizontal="center" vertical="center" wrapText="1"/>
      <protection locked="0"/>
    </xf>
    <xf numFmtId="0" fontId="35" fillId="0" borderId="59" xfId="7" applyFont="1" applyBorder="1" applyAlignment="1" applyProtection="1">
      <alignment horizontal="center" vertical="top" wrapText="1"/>
      <protection locked="0"/>
    </xf>
    <xf numFmtId="0" fontId="35" fillId="0" borderId="60" xfId="7" applyFont="1" applyBorder="1" applyAlignment="1" applyProtection="1">
      <alignment horizontal="center" vertical="top" wrapText="1"/>
      <protection locked="0"/>
    </xf>
    <xf numFmtId="0" fontId="35" fillId="0" borderId="65" xfId="7" applyFont="1" applyBorder="1" applyAlignment="1" applyProtection="1">
      <alignment horizontal="center" vertical="top" wrapText="1"/>
      <protection locked="0"/>
    </xf>
    <xf numFmtId="0" fontId="31" fillId="0" borderId="66" xfId="7" applyFont="1" applyBorder="1" applyAlignment="1">
      <alignment horizontal="center" vertical="center" wrapText="1"/>
    </xf>
    <xf numFmtId="0" fontId="31" fillId="0" borderId="106" xfId="7" applyFont="1" applyBorder="1" applyAlignment="1">
      <alignment horizontal="center" vertical="center" wrapText="1"/>
    </xf>
    <xf numFmtId="0" fontId="31" fillId="0" borderId="43" xfId="7" applyFont="1" applyBorder="1" applyAlignment="1" applyProtection="1">
      <alignment horizontal="center" vertical="top" wrapText="1"/>
      <protection locked="0"/>
    </xf>
    <xf numFmtId="0" fontId="31" fillId="0" borderId="56" xfId="7" applyFont="1" applyBorder="1" applyAlignment="1" applyProtection="1">
      <alignment horizontal="center" vertical="top" wrapText="1"/>
      <protection locked="0"/>
    </xf>
    <xf numFmtId="0" fontId="31" fillId="0" borderId="46" xfId="7" applyFont="1" applyBorder="1" applyAlignment="1" applyProtection="1">
      <alignment horizontal="center" vertical="top" wrapText="1"/>
      <protection locked="0"/>
    </xf>
    <xf numFmtId="0" fontId="31" fillId="0" borderId="50" xfId="7" applyFont="1" applyBorder="1" applyAlignment="1" applyProtection="1">
      <alignment horizontal="center" vertical="top"/>
      <protection locked="0"/>
    </xf>
    <xf numFmtId="0" fontId="31" fillId="0" borderId="53" xfId="7" applyFont="1" applyBorder="1" applyAlignment="1" applyProtection="1">
      <alignment horizontal="center" vertical="top"/>
      <protection locked="0"/>
    </xf>
    <xf numFmtId="0" fontId="31" fillId="0" borderId="52" xfId="7" applyFont="1" applyBorder="1" applyAlignment="1" applyProtection="1">
      <alignment horizontal="center" vertical="top"/>
      <protection locked="0"/>
    </xf>
    <xf numFmtId="0" fontId="31" fillId="0" borderId="50" xfId="7" applyFont="1" applyBorder="1" applyAlignment="1" applyProtection="1">
      <alignment horizontal="center" vertical="top" wrapText="1"/>
      <protection locked="0"/>
    </xf>
    <xf numFmtId="0" fontId="31" fillId="0" borderId="52" xfId="7" applyFont="1" applyBorder="1" applyAlignment="1" applyProtection="1">
      <alignment horizontal="center" vertical="top" wrapText="1"/>
      <protection locked="0"/>
    </xf>
    <xf numFmtId="0" fontId="27" fillId="0" borderId="50" xfId="7" applyFont="1" applyBorder="1" applyAlignment="1" applyProtection="1">
      <alignment horizontal="center" vertical="top" wrapText="1"/>
      <protection locked="0"/>
    </xf>
    <xf numFmtId="0" fontId="27" fillId="0" borderId="52" xfId="7" applyFont="1" applyBorder="1" applyAlignment="1" applyProtection="1">
      <alignment horizontal="center" vertical="top" wrapText="1"/>
      <protection locked="0"/>
    </xf>
    <xf numFmtId="0" fontId="31" fillId="0" borderId="50" xfId="7" applyFont="1" applyBorder="1" applyAlignment="1">
      <alignment horizontal="center" vertical="center"/>
    </xf>
    <xf numFmtId="0" fontId="31" fillId="0" borderId="53" xfId="7" applyFont="1" applyBorder="1" applyAlignment="1">
      <alignment horizontal="center" vertical="center"/>
    </xf>
    <xf numFmtId="0" fontId="31" fillId="0" borderId="52" xfId="7" applyFont="1" applyBorder="1" applyAlignment="1">
      <alignment horizontal="center" vertical="center"/>
    </xf>
    <xf numFmtId="0" fontId="31" fillId="0" borderId="53" xfId="7" applyFont="1" applyBorder="1" applyAlignment="1" applyProtection="1">
      <alignment horizontal="center" vertical="top" wrapText="1"/>
      <protection locked="0"/>
    </xf>
    <xf numFmtId="0" fontId="31" fillId="0" borderId="41" xfId="7" applyFont="1" applyBorder="1" applyAlignment="1" applyProtection="1">
      <alignment horizontal="center" vertical="top" wrapText="1"/>
      <protection locked="0"/>
    </xf>
    <xf numFmtId="0" fontId="31" fillId="0" borderId="54" xfId="7" applyFont="1" applyBorder="1" applyAlignment="1" applyProtection="1">
      <alignment horizontal="center" vertical="top" wrapText="1"/>
      <protection locked="0"/>
    </xf>
    <xf numFmtId="0" fontId="31" fillId="0" borderId="44" xfId="7" applyFont="1" applyBorder="1" applyAlignment="1" applyProtection="1">
      <alignment horizontal="center" vertical="top" wrapText="1"/>
      <protection locked="0"/>
    </xf>
    <xf numFmtId="0" fontId="34" fillId="0" borderId="49" xfId="7" applyFont="1" applyBorder="1" applyAlignment="1" applyProtection="1">
      <alignment horizontal="center" vertical="top" wrapText="1"/>
      <protection locked="0"/>
    </xf>
    <xf numFmtId="0" fontId="32" fillId="8" borderId="52" xfId="7" applyFont="1" applyFill="1" applyBorder="1" applyAlignment="1">
      <alignment horizontal="center" vertical="center" wrapText="1"/>
    </xf>
    <xf numFmtId="0" fontId="32" fillId="8" borderId="51" xfId="7" applyFont="1" applyFill="1" applyBorder="1" applyAlignment="1">
      <alignment horizontal="center" vertical="center" wrapText="1"/>
    </xf>
    <xf numFmtId="0" fontId="32" fillId="8" borderId="53" xfId="7" applyFont="1" applyFill="1" applyBorder="1" applyAlignment="1">
      <alignment horizontal="center" vertical="center" wrapText="1"/>
    </xf>
    <xf numFmtId="0" fontId="32" fillId="8" borderId="54" xfId="7" applyFont="1" applyFill="1" applyBorder="1" applyAlignment="1">
      <alignment horizontal="center" vertical="center"/>
    </xf>
    <xf numFmtId="0" fontId="32" fillId="8" borderId="44" xfId="7" applyFont="1" applyFill="1" applyBorder="1" applyAlignment="1">
      <alignment horizontal="center" vertical="center"/>
    </xf>
    <xf numFmtId="0" fontId="32" fillId="8" borderId="50" xfId="7" applyFont="1" applyFill="1" applyBorder="1" applyAlignment="1">
      <alignment horizontal="center" vertical="center" wrapText="1"/>
    </xf>
    <xf numFmtId="9" fontId="30" fillId="0" borderId="50" xfId="7" applyNumberFormat="1" applyFont="1" applyBorder="1" applyAlignment="1" applyProtection="1">
      <alignment horizontal="center" vertical="top" wrapText="1"/>
      <protection hidden="1"/>
    </xf>
    <xf numFmtId="9" fontId="30" fillId="0" borderId="53" xfId="7" applyNumberFormat="1" applyFont="1" applyBorder="1" applyAlignment="1" applyProtection="1">
      <alignment horizontal="center" vertical="top" wrapText="1"/>
      <protection hidden="1"/>
    </xf>
    <xf numFmtId="9" fontId="30" fillId="0" borderId="52" xfId="7" applyNumberFormat="1" applyFont="1" applyBorder="1" applyAlignment="1" applyProtection="1">
      <alignment horizontal="center" vertical="top" wrapText="1"/>
      <protection hidden="1"/>
    </xf>
    <xf numFmtId="0" fontId="37" fillId="0" borderId="50" xfId="7" applyFont="1" applyBorder="1" applyAlignment="1" applyProtection="1">
      <alignment horizontal="center" vertical="top"/>
      <protection hidden="1"/>
    </xf>
    <xf numFmtId="0" fontId="37" fillId="0" borderId="53" xfId="7" applyFont="1" applyBorder="1" applyAlignment="1" applyProtection="1">
      <alignment horizontal="center" vertical="top"/>
      <protection hidden="1"/>
    </xf>
    <xf numFmtId="0" fontId="37" fillId="0" borderId="52" xfId="7" applyFont="1" applyBorder="1" applyAlignment="1" applyProtection="1">
      <alignment horizontal="center" vertical="top"/>
      <protection hidden="1"/>
    </xf>
    <xf numFmtId="0" fontId="34" fillId="0" borderId="59" xfId="7" applyFont="1" applyBorder="1" applyAlignment="1" applyProtection="1">
      <alignment horizontal="center" vertical="center" wrapText="1"/>
      <protection locked="0"/>
    </xf>
    <xf numFmtId="0" fontId="34" fillId="0" borderId="65" xfId="7" applyFont="1" applyBorder="1" applyAlignment="1" applyProtection="1">
      <alignment horizontal="center" vertical="center" wrapText="1"/>
      <protection locked="0"/>
    </xf>
    <xf numFmtId="0" fontId="30" fillId="0" borderId="50" xfId="7" applyFont="1" applyBorder="1" applyAlignment="1" applyProtection="1">
      <alignment horizontal="center" vertical="top"/>
      <protection locked="0"/>
    </xf>
    <xf numFmtId="0" fontId="30" fillId="0" borderId="53" xfId="7" applyFont="1" applyBorder="1" applyAlignment="1" applyProtection="1">
      <alignment horizontal="center" vertical="top"/>
      <protection locked="0"/>
    </xf>
    <xf numFmtId="0" fontId="30" fillId="0" borderId="52" xfId="7" applyFont="1" applyBorder="1" applyAlignment="1" applyProtection="1">
      <alignment horizontal="center" vertical="top"/>
      <protection locked="0"/>
    </xf>
    <xf numFmtId="0" fontId="37" fillId="0" borderId="50" xfId="7" applyFont="1" applyBorder="1" applyAlignment="1" applyProtection="1">
      <alignment horizontal="center" vertical="top" wrapText="1"/>
      <protection hidden="1"/>
    </xf>
    <xf numFmtId="0" fontId="37" fillId="0" borderId="53" xfId="7" applyFont="1" applyBorder="1" applyAlignment="1" applyProtection="1">
      <alignment horizontal="center" vertical="top" wrapText="1"/>
      <protection hidden="1"/>
    </xf>
    <xf numFmtId="0" fontId="37" fillId="0" borderId="52" xfId="7" applyFont="1" applyBorder="1" applyAlignment="1" applyProtection="1">
      <alignment horizontal="center" vertical="top" wrapText="1"/>
      <protection hidden="1"/>
    </xf>
    <xf numFmtId="9" fontId="30" fillId="0" borderId="50" xfId="7" applyNumberFormat="1" applyFont="1" applyBorder="1" applyAlignment="1" applyProtection="1">
      <alignment horizontal="center" vertical="top" wrapText="1"/>
      <protection locked="0"/>
    </xf>
    <xf numFmtId="9" fontId="30" fillId="0" borderId="53" xfId="7" applyNumberFormat="1" applyFont="1" applyBorder="1" applyAlignment="1" applyProtection="1">
      <alignment horizontal="center" vertical="top" wrapText="1"/>
      <protection locked="0"/>
    </xf>
    <xf numFmtId="9" fontId="30" fillId="0" borderId="52" xfId="7" applyNumberFormat="1" applyFont="1" applyBorder="1" applyAlignment="1" applyProtection="1">
      <alignment horizontal="center" vertical="top" wrapText="1"/>
      <protection locked="0"/>
    </xf>
    <xf numFmtId="0" fontId="33" fillId="8" borderId="50" xfId="7" applyFont="1" applyFill="1" applyBorder="1" applyAlignment="1">
      <alignment horizontal="center" vertical="center" textRotation="90"/>
    </xf>
    <xf numFmtId="0" fontId="33" fillId="8" borderId="52" xfId="7" applyFont="1" applyFill="1" applyBorder="1" applyAlignment="1">
      <alignment horizontal="center" vertical="center" textRotation="90"/>
    </xf>
    <xf numFmtId="0" fontId="32" fillId="8" borderId="51" xfId="7" applyFont="1" applyFill="1" applyBorder="1" applyAlignment="1">
      <alignment horizontal="center" vertical="center"/>
    </xf>
    <xf numFmtId="0" fontId="32" fillId="8" borderId="52" xfId="7" applyFont="1" applyFill="1" applyBorder="1" applyAlignment="1">
      <alignment horizontal="center" vertical="center"/>
    </xf>
    <xf numFmtId="0" fontId="32" fillId="8" borderId="50" xfId="7" applyFont="1" applyFill="1" applyBorder="1" applyAlignment="1">
      <alignment horizontal="center" vertical="center"/>
    </xf>
    <xf numFmtId="0" fontId="30" fillId="0" borderId="112" xfId="7" applyFont="1" applyBorder="1" applyAlignment="1" applyProtection="1">
      <alignment horizontal="center" vertical="top" wrapText="1"/>
      <protection locked="0"/>
    </xf>
    <xf numFmtId="0" fontId="30" fillId="0" borderId="113" xfId="7" applyFont="1" applyBorder="1" applyAlignment="1" applyProtection="1">
      <alignment horizontal="center" vertical="top" wrapText="1"/>
      <protection locked="0"/>
    </xf>
    <xf numFmtId="0" fontId="30" fillId="0" borderId="50" xfId="7" applyFont="1" applyBorder="1" applyAlignment="1" applyProtection="1">
      <alignment horizontal="center" vertical="top" wrapText="1"/>
      <protection locked="0"/>
    </xf>
    <xf numFmtId="0" fontId="30" fillId="0" borderId="53" xfId="7" applyFont="1" applyBorder="1" applyAlignment="1" applyProtection="1">
      <alignment horizontal="center" vertical="top" wrapText="1"/>
      <protection locked="0"/>
    </xf>
    <xf numFmtId="0" fontId="30" fillId="0" borderId="52" xfId="7" applyFont="1" applyBorder="1" applyAlignment="1" applyProtection="1">
      <alignment horizontal="center" vertical="top" wrapText="1"/>
      <protection locked="0"/>
    </xf>
    <xf numFmtId="0" fontId="30" fillId="0" borderId="93" xfId="7" applyFont="1" applyBorder="1" applyAlignment="1" applyProtection="1">
      <alignment horizontal="center" vertical="top" wrapText="1"/>
      <protection locked="0"/>
    </xf>
    <xf numFmtId="0" fontId="30" fillId="0" borderId="94" xfId="7" applyFont="1" applyBorder="1" applyAlignment="1" applyProtection="1">
      <alignment horizontal="center" vertical="top" wrapText="1"/>
      <protection locked="0"/>
    </xf>
    <xf numFmtId="0" fontId="30" fillId="0" borderId="96" xfId="7" applyFont="1" applyBorder="1" applyAlignment="1" applyProtection="1">
      <alignment horizontal="center" vertical="top" wrapText="1"/>
      <protection locked="0"/>
    </xf>
    <xf numFmtId="0" fontId="30" fillId="0" borderId="114" xfId="7" applyFont="1" applyBorder="1" applyAlignment="1" applyProtection="1">
      <alignment horizontal="center" vertical="top" wrapText="1"/>
      <protection locked="0"/>
    </xf>
    <xf numFmtId="0" fontId="32" fillId="8" borderId="51" xfId="7" applyFont="1" applyFill="1" applyBorder="1" applyAlignment="1">
      <alignment horizontal="center" vertical="center" textRotation="90" wrapText="1"/>
    </xf>
    <xf numFmtId="0" fontId="32" fillId="8" borderId="50" xfId="7" applyFont="1" applyFill="1" applyBorder="1" applyAlignment="1">
      <alignment horizontal="center" vertical="center" textRotation="90" wrapText="1"/>
    </xf>
    <xf numFmtId="0" fontId="32" fillId="8" borderId="52" xfId="7" applyFont="1" applyFill="1" applyBorder="1" applyAlignment="1">
      <alignment horizontal="center" vertical="center" textRotation="90" wrapText="1"/>
    </xf>
    <xf numFmtId="0" fontId="32" fillId="8" borderId="54" xfId="7" applyFont="1" applyFill="1" applyBorder="1" applyAlignment="1">
      <alignment horizontal="center" vertical="center" wrapText="1"/>
    </xf>
    <xf numFmtId="0" fontId="29" fillId="8" borderId="47" xfId="7" applyFont="1" applyFill="1" applyBorder="1" applyAlignment="1">
      <alignment horizontal="left" vertical="center"/>
    </xf>
    <xf numFmtId="0" fontId="29" fillId="8" borderId="48" xfId="7" applyFont="1" applyFill="1" applyBorder="1" applyAlignment="1">
      <alignment horizontal="left" vertical="center"/>
    </xf>
    <xf numFmtId="0" fontId="30" fillId="9" borderId="49" xfId="7" applyFont="1" applyFill="1" applyBorder="1" applyAlignment="1" applyProtection="1">
      <alignment horizontal="left" vertical="center" wrapText="1"/>
      <protection locked="0"/>
    </xf>
    <xf numFmtId="0" fontId="32" fillId="8" borderId="47" xfId="7" applyFont="1" applyFill="1" applyBorder="1" applyAlignment="1">
      <alignment horizontal="center" vertical="center"/>
    </xf>
    <xf numFmtId="0" fontId="32" fillId="8" borderId="48" xfId="7" applyFont="1" applyFill="1" applyBorder="1" applyAlignment="1">
      <alignment horizontal="center" vertical="center"/>
    </xf>
    <xf numFmtId="0" fontId="32" fillId="8" borderId="45" xfId="7" applyFont="1" applyFill="1" applyBorder="1" applyAlignment="1">
      <alignment horizontal="center" vertical="center"/>
    </xf>
    <xf numFmtId="0" fontId="32" fillId="8" borderId="46" xfId="7" applyFont="1" applyFill="1" applyBorder="1" applyAlignment="1">
      <alignment horizontal="center" vertical="center"/>
    </xf>
    <xf numFmtId="0" fontId="74" fillId="8" borderId="41" xfId="7" applyFont="1" applyFill="1" applyBorder="1" applyAlignment="1">
      <alignment horizontal="left" vertical="center"/>
    </xf>
    <xf numFmtId="0" fontId="74" fillId="8" borderId="42" xfId="7" applyFont="1" applyFill="1" applyBorder="1" applyAlignment="1">
      <alignment horizontal="left" vertical="center"/>
    </xf>
    <xf numFmtId="0" fontId="74" fillId="8" borderId="43" xfId="7" applyFont="1" applyFill="1" applyBorder="1" applyAlignment="1">
      <alignment horizontal="left" vertical="center"/>
    </xf>
    <xf numFmtId="0" fontId="74" fillId="8" borderId="44" xfId="7" applyFont="1" applyFill="1" applyBorder="1" applyAlignment="1">
      <alignment horizontal="left" vertical="center"/>
    </xf>
    <xf numFmtId="0" fontId="74" fillId="8" borderId="45" xfId="7" applyFont="1" applyFill="1" applyBorder="1" applyAlignment="1">
      <alignment horizontal="left" vertical="center"/>
    </xf>
    <xf numFmtId="0" fontId="74" fillId="8" borderId="46" xfId="7" applyFont="1" applyFill="1" applyBorder="1" applyAlignment="1">
      <alignment horizontal="left" vertical="center"/>
    </xf>
    <xf numFmtId="0" fontId="30" fillId="9" borderId="49" xfId="7" applyFont="1" applyFill="1" applyBorder="1" applyAlignment="1" applyProtection="1">
      <alignment horizontal="left" vertical="center"/>
      <protection locked="0"/>
    </xf>
    <xf numFmtId="0" fontId="74" fillId="8" borderId="41" xfId="7" applyFont="1" applyFill="1" applyBorder="1" applyAlignment="1">
      <alignment horizontal="center" vertical="center"/>
    </xf>
    <xf numFmtId="0" fontId="74" fillId="8" borderId="42" xfId="7" applyFont="1" applyFill="1" applyBorder="1" applyAlignment="1">
      <alignment horizontal="center" vertical="center"/>
    </xf>
    <xf numFmtId="0" fontId="74" fillId="8" borderId="43" xfId="7" applyFont="1" applyFill="1" applyBorder="1" applyAlignment="1">
      <alignment horizontal="center" vertical="center"/>
    </xf>
    <xf numFmtId="0" fontId="74" fillId="8" borderId="44" xfId="7" applyFont="1" applyFill="1" applyBorder="1" applyAlignment="1">
      <alignment horizontal="center" vertical="center"/>
    </xf>
    <xf numFmtId="0" fontId="74" fillId="8" borderId="45" xfId="7" applyFont="1" applyFill="1" applyBorder="1" applyAlignment="1">
      <alignment horizontal="center" vertical="center"/>
    </xf>
    <xf numFmtId="0" fontId="74" fillId="8" borderId="46" xfId="7" applyFont="1" applyFill="1" applyBorder="1" applyAlignment="1">
      <alignment horizontal="center" vertical="center"/>
    </xf>
    <xf numFmtId="0" fontId="34" fillId="0" borderId="60" xfId="7" applyFont="1" applyBorder="1" applyAlignment="1" applyProtection="1">
      <alignment horizontal="center" vertical="center" wrapText="1"/>
      <protection locked="0"/>
    </xf>
    <xf numFmtId="0" fontId="31" fillId="0" borderId="50" xfId="7" applyFont="1" applyBorder="1" applyAlignment="1" applyProtection="1">
      <alignment horizontal="center" vertical="center"/>
      <protection locked="0"/>
    </xf>
    <xf numFmtId="0" fontId="31" fillId="0" borderId="52" xfId="7" applyFont="1" applyBorder="1" applyAlignment="1" applyProtection="1">
      <alignment horizontal="center" vertical="center"/>
      <protection locked="0"/>
    </xf>
    <xf numFmtId="0" fontId="31" fillId="0" borderId="93" xfId="7" applyFont="1" applyBorder="1" applyAlignment="1" applyProtection="1">
      <alignment horizontal="center" vertical="top" wrapText="1"/>
      <protection locked="0"/>
    </xf>
    <xf numFmtId="0" fontId="31" fillId="0" borderId="94" xfId="7" applyFont="1" applyBorder="1" applyAlignment="1" applyProtection="1">
      <alignment horizontal="center" vertical="top" wrapText="1"/>
      <protection locked="0"/>
    </xf>
    <xf numFmtId="0" fontId="31" fillId="0" borderId="96" xfId="7" applyFont="1" applyBorder="1" applyAlignment="1" applyProtection="1">
      <alignment horizontal="center" vertical="top" wrapText="1"/>
      <protection locked="0"/>
    </xf>
    <xf numFmtId="0" fontId="35" fillId="0" borderId="59" xfId="7" applyFont="1" applyBorder="1" applyAlignment="1" applyProtection="1">
      <alignment horizontal="center" vertical="center" wrapText="1"/>
      <protection locked="0"/>
    </xf>
    <xf numFmtId="0" fontId="35" fillId="0" borderId="60" xfId="7" applyFont="1" applyBorder="1" applyAlignment="1" applyProtection="1">
      <alignment horizontal="center" vertical="center" wrapText="1"/>
      <protection locked="0"/>
    </xf>
    <xf numFmtId="0" fontId="35" fillId="0" borderId="65" xfId="7" applyFont="1" applyBorder="1" applyAlignment="1" applyProtection="1">
      <alignment horizontal="center" vertical="center" wrapText="1"/>
      <protection locked="0"/>
    </xf>
    <xf numFmtId="0" fontId="27" fillId="0" borderId="53" xfId="7" applyFont="1" applyBorder="1" applyAlignment="1" applyProtection="1">
      <alignment horizontal="center" vertical="top" wrapText="1"/>
      <protection locked="0"/>
    </xf>
    <xf numFmtId="0" fontId="27" fillId="0" borderId="81" xfId="7" applyFont="1" applyBorder="1" applyAlignment="1" applyProtection="1">
      <alignment horizontal="center" vertical="top" wrapText="1"/>
      <protection locked="0"/>
    </xf>
    <xf numFmtId="0" fontId="30" fillId="0" borderId="41" xfId="7" applyFont="1" applyBorder="1" applyAlignment="1" applyProtection="1">
      <alignment horizontal="center" vertical="top" wrapText="1"/>
      <protection locked="0"/>
    </xf>
    <xf numFmtId="0" fontId="30" fillId="0" borderId="54" xfId="7" applyFont="1" applyBorder="1" applyAlignment="1" applyProtection="1">
      <alignment horizontal="center" vertical="top" wrapText="1"/>
      <protection locked="0"/>
    </xf>
    <xf numFmtId="0" fontId="35" fillId="0" borderId="49" xfId="7" applyFont="1" applyBorder="1" applyAlignment="1" applyProtection="1">
      <alignment horizontal="center" vertical="top" wrapText="1"/>
      <protection locked="0"/>
    </xf>
    <xf numFmtId="0" fontId="30" fillId="0" borderId="43" xfId="7" applyFont="1" applyBorder="1" applyAlignment="1" applyProtection="1">
      <alignment horizontal="center" vertical="top" wrapText="1"/>
      <protection locked="0"/>
    </xf>
    <xf numFmtId="0" fontId="30" fillId="0" borderId="56" xfId="7" applyFont="1" applyBorder="1" applyAlignment="1" applyProtection="1">
      <alignment horizontal="center" vertical="top" wrapText="1"/>
      <protection locked="0"/>
    </xf>
    <xf numFmtId="0" fontId="30" fillId="9" borderId="49" xfId="7" applyFont="1" applyFill="1" applyBorder="1" applyAlignment="1" applyProtection="1">
      <alignment horizontal="center" vertical="center" wrapText="1"/>
      <protection locked="0"/>
    </xf>
    <xf numFmtId="0" fontId="30" fillId="0" borderId="44" xfId="7" applyFont="1" applyBorder="1" applyAlignment="1" applyProtection="1">
      <alignment horizontal="center" vertical="top" wrapText="1"/>
      <protection locked="0"/>
    </xf>
    <xf numFmtId="0" fontId="35" fillId="0" borderId="49" xfId="7" applyFont="1" applyBorder="1" applyAlignment="1" applyProtection="1">
      <alignment horizontal="center" vertical="center" wrapText="1"/>
      <protection locked="0"/>
    </xf>
    <xf numFmtId="0" fontId="30" fillId="0" borderId="46" xfId="7" applyFont="1" applyBorder="1" applyAlignment="1" applyProtection="1">
      <alignment horizontal="center" vertical="top" wrapText="1"/>
      <protection locked="0"/>
    </xf>
    <xf numFmtId="0" fontId="40" fillId="18" borderId="108" xfId="7" applyFont="1" applyFill="1" applyBorder="1" applyAlignment="1">
      <alignment horizontal="left" vertical="top" wrapText="1"/>
    </xf>
    <xf numFmtId="0" fontId="40" fillId="18" borderId="109" xfId="7" applyFont="1" applyFill="1" applyBorder="1" applyAlignment="1">
      <alignment horizontal="left" vertical="top"/>
    </xf>
    <xf numFmtId="0" fontId="40" fillId="18" borderId="111" xfId="7" applyFont="1" applyFill="1" applyBorder="1" applyAlignment="1">
      <alignment horizontal="left" vertical="top"/>
    </xf>
    <xf numFmtId="0" fontId="40" fillId="0" borderId="50" xfId="7" applyFont="1" applyBorder="1" applyAlignment="1">
      <alignment horizontal="left" vertical="top"/>
    </xf>
    <xf numFmtId="0" fontId="40" fillId="0" borderId="53" xfId="7" applyFont="1" applyBorder="1" applyAlignment="1">
      <alignment horizontal="left" vertical="top"/>
    </xf>
    <xf numFmtId="0" fontId="40" fillId="0" borderId="52" xfId="7" applyFont="1" applyBorder="1" applyAlignment="1">
      <alignment horizontal="left" vertical="top"/>
    </xf>
    <xf numFmtId="0" fontId="40" fillId="9" borderId="49" xfId="7" applyFont="1" applyFill="1" applyBorder="1" applyAlignment="1" applyProtection="1">
      <alignment horizontal="left" vertical="center" wrapText="1"/>
      <protection locked="0"/>
    </xf>
    <xf numFmtId="0" fontId="40" fillId="0" borderId="41" xfId="7" applyFont="1" applyBorder="1" applyAlignment="1" applyProtection="1">
      <alignment horizontal="center" vertical="top"/>
      <protection locked="0"/>
    </xf>
    <xf numFmtId="0" fontId="40" fillId="0" borderId="54" xfId="7" applyFont="1" applyBorder="1" applyAlignment="1" applyProtection="1">
      <alignment horizontal="center" vertical="top"/>
      <protection locked="0"/>
    </xf>
    <xf numFmtId="0" fontId="40" fillId="0" borderId="44" xfId="7" applyFont="1" applyBorder="1" applyAlignment="1" applyProtection="1">
      <alignment horizontal="center" vertical="top"/>
      <protection locked="0"/>
    </xf>
    <xf numFmtId="0" fontId="39" fillId="0" borderId="50" xfId="7" applyFont="1" applyBorder="1" applyAlignment="1" applyProtection="1">
      <alignment horizontal="center" vertical="top" textRotation="90"/>
      <protection hidden="1"/>
    </xf>
    <xf numFmtId="0" fontId="39" fillId="0" borderId="53" xfId="7" applyFont="1" applyBorder="1" applyAlignment="1" applyProtection="1">
      <alignment horizontal="center" vertical="top" textRotation="90"/>
      <protection hidden="1"/>
    </xf>
    <xf numFmtId="0" fontId="39" fillId="0" borderId="52" xfId="7" applyFont="1" applyBorder="1" applyAlignment="1" applyProtection="1">
      <alignment horizontal="center" vertical="top" textRotation="90"/>
      <protection hidden="1"/>
    </xf>
    <xf numFmtId="0" fontId="40" fillId="0" borderId="50" xfId="7" applyFont="1" applyBorder="1" applyAlignment="1" applyProtection="1">
      <alignment horizontal="center" vertical="top" textRotation="90"/>
      <protection locked="0"/>
    </xf>
    <xf numFmtId="0" fontId="40" fillId="0" borderId="53" xfId="7" applyFont="1" applyBorder="1" applyAlignment="1" applyProtection="1">
      <alignment horizontal="center" vertical="top" textRotation="90"/>
      <protection locked="0"/>
    </xf>
    <xf numFmtId="0" fontId="40" fillId="0" borderId="52" xfId="7" applyFont="1" applyBorder="1" applyAlignment="1" applyProtection="1">
      <alignment horizontal="center" vertical="top" textRotation="90"/>
      <protection locked="0"/>
    </xf>
    <xf numFmtId="0" fontId="40" fillId="0" borderId="50" xfId="7" applyFont="1" applyBorder="1" applyAlignment="1" applyProtection="1">
      <alignment horizontal="justify" vertical="top" wrapText="1"/>
      <protection locked="0"/>
    </xf>
    <xf numFmtId="0" fontId="40" fillId="0" borderId="53" xfId="7" applyFont="1" applyBorder="1" applyAlignment="1" applyProtection="1">
      <alignment horizontal="justify" vertical="top" wrapText="1"/>
      <protection locked="0"/>
    </xf>
    <xf numFmtId="0" fontId="40" fillId="0" borderId="52" xfId="7" applyFont="1" applyBorder="1" applyAlignment="1" applyProtection="1">
      <alignment horizontal="justify" vertical="top" wrapText="1"/>
      <protection locked="0"/>
    </xf>
    <xf numFmtId="0" fontId="40" fillId="0" borderId="50" xfId="7" applyFont="1" applyBorder="1" applyAlignment="1" applyProtection="1">
      <alignment horizontal="center" vertical="top"/>
      <protection locked="0"/>
    </xf>
    <xf numFmtId="0" fontId="40" fillId="0" borderId="53" xfId="7" applyFont="1" applyBorder="1" applyAlignment="1" applyProtection="1">
      <alignment horizontal="center" vertical="top"/>
      <protection locked="0"/>
    </xf>
    <xf numFmtId="0" fontId="40" fillId="0" borderId="52" xfId="7" applyFont="1" applyBorder="1" applyAlignment="1" applyProtection="1">
      <alignment horizontal="center" vertical="top"/>
      <protection locked="0"/>
    </xf>
    <xf numFmtId="14" fontId="40" fillId="0" borderId="50" xfId="7" applyNumberFormat="1" applyFont="1" applyBorder="1" applyAlignment="1" applyProtection="1">
      <alignment horizontal="center" vertical="top"/>
      <protection locked="0"/>
    </xf>
    <xf numFmtId="14" fontId="40" fillId="0" borderId="53" xfId="7" applyNumberFormat="1" applyFont="1" applyBorder="1" applyAlignment="1" applyProtection="1">
      <alignment horizontal="center" vertical="top"/>
      <protection locked="0"/>
    </xf>
    <xf numFmtId="14" fontId="40" fillId="0" borderId="52" xfId="7" applyNumberFormat="1" applyFont="1" applyBorder="1" applyAlignment="1" applyProtection="1">
      <alignment horizontal="center" vertical="top"/>
      <protection locked="0"/>
    </xf>
    <xf numFmtId="0" fontId="40" fillId="0" borderId="50" xfId="7" applyFont="1" applyBorder="1" applyAlignment="1" applyProtection="1">
      <alignment horizontal="center" vertical="top" wrapText="1"/>
      <protection locked="0"/>
    </xf>
    <xf numFmtId="0" fontId="40" fillId="0" borderId="53" xfId="7" applyFont="1" applyBorder="1" applyAlignment="1" applyProtection="1">
      <alignment horizontal="center" vertical="top" wrapText="1"/>
      <protection locked="0"/>
    </xf>
    <xf numFmtId="0" fontId="40" fillId="0" borderId="52" xfId="7" applyFont="1" applyBorder="1" applyAlignment="1" applyProtection="1">
      <alignment horizontal="center" vertical="top" wrapText="1"/>
      <protection locked="0"/>
    </xf>
    <xf numFmtId="164" fontId="40" fillId="0" borderId="50" xfId="8" applyNumberFormat="1" applyFont="1" applyBorder="1" applyAlignment="1">
      <alignment horizontal="center" vertical="top"/>
    </xf>
    <xf numFmtId="164" fontId="40" fillId="0" borderId="53" xfId="8" applyNumberFormat="1" applyFont="1" applyBorder="1" applyAlignment="1">
      <alignment horizontal="center" vertical="top"/>
    </xf>
    <xf numFmtId="164" fontId="40" fillId="0" borderId="52" xfId="8" applyNumberFormat="1" applyFont="1" applyBorder="1" applyAlignment="1">
      <alignment horizontal="center" vertical="top"/>
    </xf>
    <xf numFmtId="0" fontId="39" fillId="0" borderId="50" xfId="7" applyFont="1" applyBorder="1" applyAlignment="1" applyProtection="1">
      <alignment horizontal="center" vertical="top" textRotation="90" wrapText="1"/>
      <protection hidden="1"/>
    </xf>
    <xf numFmtId="0" fontId="39" fillId="0" borderId="53" xfId="7" applyFont="1" applyBorder="1" applyAlignment="1" applyProtection="1">
      <alignment horizontal="center" vertical="top" textRotation="90" wrapText="1"/>
      <protection hidden="1"/>
    </xf>
    <xf numFmtId="0" fontId="39" fillId="0" borderId="52" xfId="7" applyFont="1" applyBorder="1" applyAlignment="1" applyProtection="1">
      <alignment horizontal="center" vertical="top" textRotation="90" wrapText="1"/>
      <protection hidden="1"/>
    </xf>
    <xf numFmtId="9" fontId="40" fillId="0" borderId="50" xfId="7" applyNumberFormat="1" applyFont="1" applyBorder="1" applyAlignment="1" applyProtection="1">
      <alignment horizontal="center" vertical="top"/>
      <protection hidden="1"/>
    </xf>
    <xf numFmtId="9" fontId="40" fillId="0" borderId="53" xfId="7" applyNumberFormat="1" applyFont="1" applyBorder="1" applyAlignment="1" applyProtection="1">
      <alignment horizontal="center" vertical="top"/>
      <protection hidden="1"/>
    </xf>
    <xf numFmtId="9" fontId="40" fillId="0" borderId="52" xfId="7" applyNumberFormat="1" applyFont="1" applyBorder="1" applyAlignment="1" applyProtection="1">
      <alignment horizontal="center" vertical="top"/>
      <protection hidden="1"/>
    </xf>
    <xf numFmtId="0" fontId="40" fillId="0" borderId="50" xfId="7" applyFont="1" applyBorder="1" applyAlignment="1" applyProtection="1">
      <alignment horizontal="center" vertical="top"/>
      <protection hidden="1"/>
    </xf>
    <xf numFmtId="0" fontId="40" fillId="0" borderId="53" xfId="7" applyFont="1" applyBorder="1" applyAlignment="1" applyProtection="1">
      <alignment horizontal="center" vertical="top"/>
      <protection hidden="1"/>
    </xf>
    <xf numFmtId="0" fontId="40" fillId="0" borderId="52" xfId="7" applyFont="1" applyBorder="1" applyAlignment="1" applyProtection="1">
      <alignment horizontal="center" vertical="top"/>
      <protection hidden="1"/>
    </xf>
    <xf numFmtId="0" fontId="40" fillId="9" borderId="50" xfId="7" applyFont="1" applyFill="1" applyBorder="1" applyAlignment="1" applyProtection="1">
      <alignment horizontal="center" vertical="top" textRotation="90"/>
      <protection locked="0"/>
    </xf>
    <xf numFmtId="0" fontId="40" fillId="9" borderId="53" xfId="7" applyFont="1" applyFill="1" applyBorder="1" applyAlignment="1" applyProtection="1">
      <alignment horizontal="center" vertical="top" textRotation="90"/>
      <protection locked="0"/>
    </xf>
    <xf numFmtId="0" fontId="40" fillId="9" borderId="52" xfId="7" applyFont="1" applyFill="1" applyBorder="1" applyAlignment="1" applyProtection="1">
      <alignment horizontal="center" vertical="top" textRotation="90"/>
      <protection locked="0"/>
    </xf>
    <xf numFmtId="9" fontId="40" fillId="0" borderId="50" xfId="7" applyNumberFormat="1" applyFont="1" applyBorder="1" applyAlignment="1" applyProtection="1">
      <alignment horizontal="left" vertical="top" wrapText="1"/>
      <protection hidden="1"/>
    </xf>
    <xf numFmtId="9" fontId="40" fillId="0" borderId="53" xfId="7" applyNumberFormat="1" applyFont="1" applyBorder="1" applyAlignment="1" applyProtection="1">
      <alignment horizontal="left" vertical="top" wrapText="1"/>
      <protection hidden="1"/>
    </xf>
    <xf numFmtId="9" fontId="40" fillId="0" borderId="52" xfId="7" applyNumberFormat="1" applyFont="1" applyBorder="1" applyAlignment="1" applyProtection="1">
      <alignment horizontal="left" vertical="top" wrapText="1"/>
      <protection hidden="1"/>
    </xf>
    <xf numFmtId="0" fontId="39" fillId="0" borderId="50" xfId="7" applyFont="1" applyBorder="1" applyAlignment="1" applyProtection="1">
      <alignment horizontal="left" vertical="top" wrapText="1"/>
      <protection hidden="1"/>
    </xf>
    <xf numFmtId="0" fontId="39" fillId="0" borderId="53" xfId="7" applyFont="1" applyBorder="1" applyAlignment="1" applyProtection="1">
      <alignment horizontal="left" vertical="top" wrapText="1"/>
      <protection hidden="1"/>
    </xf>
    <xf numFmtId="0" fontId="39" fillId="0" borderId="52" xfId="7" applyFont="1" applyBorder="1" applyAlignment="1" applyProtection="1">
      <alignment horizontal="left" vertical="top" wrapText="1"/>
      <protection hidden="1"/>
    </xf>
    <xf numFmtId="0" fontId="39" fillId="0" borderId="50" xfId="7" applyFont="1" applyBorder="1" applyAlignment="1" applyProtection="1">
      <alignment horizontal="left" vertical="top"/>
      <protection hidden="1"/>
    </xf>
    <xf numFmtId="0" fontId="39" fillId="0" borderId="53" xfId="7" applyFont="1" applyBorder="1" applyAlignment="1" applyProtection="1">
      <alignment horizontal="left" vertical="top"/>
      <protection hidden="1"/>
    </xf>
    <xf numFmtId="0" fontId="39" fillId="0" borderId="52" xfId="7" applyFont="1" applyBorder="1" applyAlignment="1" applyProtection="1">
      <alignment horizontal="left" vertical="top"/>
      <protection hidden="1"/>
    </xf>
    <xf numFmtId="0" fontId="40" fillId="0" borderId="50" xfId="7" applyFont="1" applyBorder="1" applyAlignment="1">
      <alignment horizontal="center" vertical="top"/>
    </xf>
    <xf numFmtId="0" fontId="40" fillId="0" borderId="53" xfId="7" applyFont="1" applyBorder="1" applyAlignment="1">
      <alignment horizontal="center" vertical="top"/>
    </xf>
    <xf numFmtId="0" fontId="40" fillId="0" borderId="52" xfId="7" applyFont="1" applyBorder="1" applyAlignment="1">
      <alignment horizontal="center" vertical="top"/>
    </xf>
    <xf numFmtId="0" fontId="39" fillId="0" borderId="50" xfId="7" applyFont="1" applyBorder="1" applyAlignment="1" applyProtection="1">
      <alignment horizontal="justify" vertical="top" wrapText="1"/>
      <protection locked="0"/>
    </xf>
    <xf numFmtId="0" fontId="39" fillId="0" borderId="53" xfId="7" applyFont="1" applyBorder="1" applyAlignment="1" applyProtection="1">
      <alignment horizontal="justify" vertical="top" wrapText="1"/>
      <protection locked="0"/>
    </xf>
    <xf numFmtId="0" fontId="39" fillId="0" borderId="52" xfId="7" applyFont="1" applyBorder="1" applyAlignment="1" applyProtection="1">
      <alignment horizontal="justify" vertical="top" wrapText="1"/>
      <protection locked="0"/>
    </xf>
    <xf numFmtId="0" fontId="46" fillId="0" borderId="59" xfId="7" applyFont="1" applyBorder="1" applyAlignment="1" applyProtection="1">
      <alignment horizontal="center" vertical="top" wrapText="1"/>
      <protection locked="0"/>
    </xf>
    <xf numFmtId="0" fontId="46" fillId="0" borderId="60" xfId="7" applyFont="1" applyBorder="1" applyAlignment="1" applyProtection="1">
      <alignment horizontal="center" vertical="top" wrapText="1"/>
      <protection locked="0"/>
    </xf>
    <xf numFmtId="0" fontId="46" fillId="0" borderId="65" xfId="7" applyFont="1" applyBorder="1" applyAlignment="1" applyProtection="1">
      <alignment horizontal="center" vertical="top" wrapText="1"/>
      <protection locked="0"/>
    </xf>
    <xf numFmtId="0" fontId="40" fillId="0" borderId="43" xfId="7" applyFont="1" applyBorder="1" applyAlignment="1" applyProtection="1">
      <alignment horizontal="left" vertical="top" wrapText="1"/>
      <protection locked="0"/>
    </xf>
    <xf numFmtId="0" fontId="40" fillId="0" borderId="56" xfId="7" applyFont="1" applyBorder="1" applyAlignment="1" applyProtection="1">
      <alignment horizontal="left" vertical="top" wrapText="1"/>
      <protection locked="0"/>
    </xf>
    <xf numFmtId="0" fontId="40" fillId="0" borderId="46" xfId="7" applyFont="1" applyBorder="1" applyAlignment="1" applyProtection="1">
      <alignment horizontal="left" vertical="top" wrapText="1"/>
      <protection locked="0"/>
    </xf>
    <xf numFmtId="0" fontId="40" fillId="0" borderId="50" xfId="7" applyFont="1" applyBorder="1" applyAlignment="1" applyProtection="1">
      <alignment horizontal="left" vertical="top"/>
      <protection locked="0"/>
    </xf>
    <xf numFmtId="0" fontId="40" fillId="0" borderId="53" xfId="7" applyFont="1" applyBorder="1" applyAlignment="1" applyProtection="1">
      <alignment horizontal="left" vertical="top"/>
      <protection locked="0"/>
    </xf>
    <xf numFmtId="0" fontId="40" fillId="0" borderId="52" xfId="7" applyFont="1" applyBorder="1" applyAlignment="1" applyProtection="1">
      <alignment horizontal="left" vertical="top"/>
      <protection locked="0"/>
    </xf>
    <xf numFmtId="9" fontId="40" fillId="0" borderId="50" xfId="7" applyNumberFormat="1" applyFont="1" applyBorder="1" applyAlignment="1" applyProtection="1">
      <alignment horizontal="left" vertical="top" wrapText="1"/>
      <protection locked="0"/>
    </xf>
    <xf numFmtId="9" fontId="40" fillId="0" borderId="53" xfId="7" applyNumberFormat="1" applyFont="1" applyBorder="1" applyAlignment="1" applyProtection="1">
      <alignment horizontal="left" vertical="top" wrapText="1"/>
      <protection locked="0"/>
    </xf>
    <xf numFmtId="9" fontId="40" fillId="0" borderId="52" xfId="7" applyNumberFormat="1" applyFont="1" applyBorder="1" applyAlignment="1" applyProtection="1">
      <alignment horizontal="left" vertical="top" wrapText="1"/>
      <protection locked="0"/>
    </xf>
    <xf numFmtId="0" fontId="40" fillId="18" borderId="108" xfId="7" applyFont="1" applyFill="1" applyBorder="1" applyAlignment="1">
      <alignment horizontal="justify" vertical="top" wrapText="1"/>
    </xf>
    <xf numFmtId="0" fontId="40" fillId="18" borderId="109" xfId="7" applyFont="1" applyFill="1" applyBorder="1" applyAlignment="1">
      <alignment horizontal="justify" vertical="top"/>
    </xf>
    <xf numFmtId="0" fontId="40" fillId="18" borderId="111" xfId="7" applyFont="1" applyFill="1" applyBorder="1" applyAlignment="1">
      <alignment horizontal="justify" vertical="top"/>
    </xf>
    <xf numFmtId="0" fontId="40" fillId="0" borderId="50" xfId="7" applyFont="1" applyBorder="1" applyAlignment="1" applyProtection="1">
      <alignment horizontal="left" vertical="top" wrapText="1"/>
      <protection locked="0"/>
    </xf>
    <xf numFmtId="0" fontId="40" fillId="0" borderId="53" xfId="7" applyFont="1" applyBorder="1" applyAlignment="1" applyProtection="1">
      <alignment horizontal="left" vertical="top" wrapText="1"/>
      <protection locked="0"/>
    </xf>
    <xf numFmtId="0" fontId="40" fillId="0" borderId="52" xfId="7" applyFont="1" applyBorder="1" applyAlignment="1" applyProtection="1">
      <alignment horizontal="left" vertical="top" wrapText="1"/>
      <protection locked="0"/>
    </xf>
    <xf numFmtId="0" fontId="49" fillId="0" borderId="50" xfId="7" applyFont="1" applyBorder="1" applyAlignment="1" applyProtection="1">
      <alignment horizontal="left" vertical="top" wrapText="1"/>
      <protection locked="0"/>
    </xf>
    <xf numFmtId="0" fontId="49" fillId="0" borderId="53" xfId="7" applyFont="1" applyBorder="1" applyAlignment="1" applyProtection="1">
      <alignment horizontal="left" vertical="top" wrapText="1"/>
      <protection locked="0"/>
    </xf>
    <xf numFmtId="0" fontId="49" fillId="0" borderId="52" xfId="7" applyFont="1" applyBorder="1" applyAlignment="1" applyProtection="1">
      <alignment horizontal="left" vertical="top" wrapText="1"/>
      <protection locked="0"/>
    </xf>
    <xf numFmtId="0" fontId="40" fillId="0" borderId="41" xfId="7" applyFont="1" applyBorder="1" applyAlignment="1" applyProtection="1">
      <alignment horizontal="left" vertical="top" wrapText="1"/>
      <protection locked="0"/>
    </xf>
    <xf numFmtId="0" fontId="40" fillId="0" borderId="54" xfId="7" applyFont="1" applyBorder="1" applyAlignment="1" applyProtection="1">
      <alignment horizontal="left" vertical="top" wrapText="1"/>
      <protection locked="0"/>
    </xf>
    <xf numFmtId="0" fontId="40" fillId="0" borderId="44" xfId="7" applyFont="1" applyBorder="1" applyAlignment="1" applyProtection="1">
      <alignment horizontal="left" vertical="top" wrapText="1"/>
      <protection locked="0"/>
    </xf>
    <xf numFmtId="0" fontId="40" fillId="0" borderId="59" xfId="7" applyFont="1" applyBorder="1" applyAlignment="1" applyProtection="1">
      <alignment horizontal="center" vertical="top" wrapText="1"/>
      <protection locked="0"/>
    </xf>
    <xf numFmtId="0" fontId="40" fillId="0" borderId="60" xfId="7" applyFont="1" applyBorder="1" applyAlignment="1" applyProtection="1">
      <alignment horizontal="center" vertical="top" wrapText="1"/>
      <protection locked="0"/>
    </xf>
    <xf numFmtId="0" fontId="40" fillId="0" borderId="65" xfId="7" applyFont="1" applyBorder="1" applyAlignment="1" applyProtection="1">
      <alignment horizontal="center" vertical="top" wrapText="1"/>
      <protection locked="0"/>
    </xf>
    <xf numFmtId="0" fontId="43" fillId="0" borderId="49" xfId="7" applyFont="1" applyBorder="1" applyAlignment="1" applyProtection="1">
      <alignment horizontal="left" vertical="top" wrapText="1"/>
      <protection locked="0"/>
    </xf>
    <xf numFmtId="0" fontId="40" fillId="0" borderId="47" xfId="7" applyFont="1" applyBorder="1" applyAlignment="1" applyProtection="1">
      <alignment horizontal="center" vertical="top"/>
      <protection locked="0"/>
    </xf>
    <xf numFmtId="0" fontId="44" fillId="0" borderId="50" xfId="7" applyFont="1" applyBorder="1" applyAlignment="1" applyProtection="1">
      <alignment horizontal="justify" vertical="top" wrapText="1"/>
      <protection locked="0"/>
    </xf>
    <xf numFmtId="0" fontId="39" fillId="8" borderId="50" xfId="7" applyFont="1" applyFill="1" applyBorder="1" applyAlignment="1">
      <alignment horizontal="center" vertical="center" textRotation="90"/>
    </xf>
    <xf numFmtId="0" fontId="39" fillId="8" borderId="52" xfId="7" applyFont="1" applyFill="1" applyBorder="1" applyAlignment="1">
      <alignment horizontal="center" vertical="center" textRotation="90"/>
    </xf>
    <xf numFmtId="0" fontId="81" fillId="17" borderId="108" xfId="7" applyFont="1" applyFill="1" applyBorder="1" applyAlignment="1">
      <alignment horizontal="center" vertical="center" wrapText="1"/>
    </xf>
    <xf numFmtId="0" fontId="81" fillId="17" borderId="109" xfId="7" applyFont="1" applyFill="1" applyBorder="1" applyAlignment="1">
      <alignment horizontal="center" vertical="center"/>
    </xf>
    <xf numFmtId="0" fontId="51" fillId="0" borderId="41" xfId="7" applyFont="1" applyBorder="1" applyAlignment="1" applyProtection="1">
      <alignment horizontal="left" vertical="top" wrapText="1"/>
      <protection locked="0"/>
    </xf>
    <xf numFmtId="0" fontId="39" fillId="8" borderId="51" xfId="7" applyFont="1" applyFill="1" applyBorder="1" applyAlignment="1">
      <alignment horizontal="center" vertical="center" wrapText="1"/>
    </xf>
    <xf numFmtId="0" fontId="39" fillId="8" borderId="47" xfId="7" applyFont="1" applyFill="1" applyBorder="1" applyAlignment="1">
      <alignment horizontal="center" vertical="center" wrapText="1"/>
    </xf>
    <xf numFmtId="0" fontId="39" fillId="8" borderId="51" xfId="7" applyFont="1" applyFill="1" applyBorder="1" applyAlignment="1">
      <alignment horizontal="center" vertical="center" textRotation="90" wrapText="1"/>
    </xf>
    <xf numFmtId="0" fontId="39" fillId="8" borderId="50" xfId="7" applyFont="1" applyFill="1" applyBorder="1" applyAlignment="1">
      <alignment horizontal="center" vertical="center" textRotation="90" wrapText="1"/>
    </xf>
    <xf numFmtId="0" fontId="39" fillId="8" borderId="52" xfId="7" applyFont="1" applyFill="1" applyBorder="1" applyAlignment="1">
      <alignment horizontal="center" vertical="center" textRotation="90" wrapText="1"/>
    </xf>
    <xf numFmtId="0" fontId="39" fillId="8" borderId="54" xfId="7" applyFont="1" applyFill="1" applyBorder="1" applyAlignment="1">
      <alignment horizontal="center" vertical="center" wrapText="1"/>
    </xf>
    <xf numFmtId="0" fontId="39" fillId="8" borderId="44" xfId="7" applyFont="1" applyFill="1" applyBorder="1" applyAlignment="1">
      <alignment horizontal="center" vertical="center"/>
    </xf>
    <xf numFmtId="0" fontId="39" fillId="8" borderId="54" xfId="7" applyFont="1" applyFill="1" applyBorder="1" applyAlignment="1">
      <alignment horizontal="center" vertical="center"/>
    </xf>
    <xf numFmtId="0" fontId="39" fillId="8" borderId="52" xfId="7" applyFont="1" applyFill="1" applyBorder="1" applyAlignment="1">
      <alignment horizontal="center" vertical="center" wrapText="1"/>
    </xf>
    <xf numFmtId="0" fontId="39" fillId="8" borderId="50" xfId="7" applyFont="1" applyFill="1" applyBorder="1" applyAlignment="1">
      <alignment horizontal="center" vertical="center" wrapText="1"/>
    </xf>
    <xf numFmtId="0" fontId="39" fillId="8" borderId="53" xfId="7" applyFont="1" applyFill="1" applyBorder="1" applyAlignment="1">
      <alignment horizontal="center" vertical="center" wrapText="1"/>
    </xf>
    <xf numFmtId="0" fontId="39" fillId="8" borderId="47" xfId="7" applyFont="1" applyFill="1" applyBorder="1" applyAlignment="1">
      <alignment horizontal="left" vertical="center"/>
    </xf>
    <xf numFmtId="0" fontId="39" fillId="8" borderId="48" xfId="7" applyFont="1" applyFill="1" applyBorder="1" applyAlignment="1">
      <alignment horizontal="left" vertical="center"/>
    </xf>
    <xf numFmtId="0" fontId="40" fillId="9" borderId="49" xfId="7" applyFont="1" applyFill="1" applyBorder="1" applyAlignment="1" applyProtection="1">
      <alignment horizontal="left" vertical="center"/>
      <protection locked="0"/>
    </xf>
    <xf numFmtId="0" fontId="39" fillId="8" borderId="41" xfId="7" applyFont="1" applyFill="1" applyBorder="1" applyAlignment="1">
      <alignment horizontal="center" vertical="center"/>
    </xf>
    <xf numFmtId="0" fontId="39" fillId="8" borderId="42" xfId="7" applyFont="1" applyFill="1" applyBorder="1" applyAlignment="1">
      <alignment horizontal="center" vertical="center"/>
    </xf>
    <xf numFmtId="0" fontId="39" fillId="8" borderId="43" xfId="7" applyFont="1" applyFill="1" applyBorder="1" applyAlignment="1">
      <alignment horizontal="center" vertical="center"/>
    </xf>
    <xf numFmtId="0" fontId="39" fillId="8" borderId="45" xfId="7" applyFont="1" applyFill="1" applyBorder="1" applyAlignment="1">
      <alignment horizontal="center" vertical="center"/>
    </xf>
    <xf numFmtId="0" fontId="39" fillId="8" borderId="46" xfId="7" applyFont="1" applyFill="1" applyBorder="1" applyAlignment="1">
      <alignment horizontal="center" vertical="center"/>
    </xf>
    <xf numFmtId="0" fontId="32" fillId="8" borderId="47" xfId="7" applyFont="1" applyFill="1" applyBorder="1" applyAlignment="1">
      <alignment horizontal="center" vertical="center" wrapText="1"/>
    </xf>
    <xf numFmtId="0" fontId="32" fillId="14" borderId="38" xfId="7" applyFont="1" applyFill="1" applyBorder="1" applyAlignment="1">
      <alignment horizontal="center" vertical="center" wrapText="1"/>
    </xf>
    <xf numFmtId="0" fontId="30" fillId="9" borderId="62" xfId="7" applyFont="1" applyFill="1" applyBorder="1" applyAlignment="1" applyProtection="1">
      <alignment horizontal="left" vertical="center"/>
      <protection locked="0"/>
    </xf>
    <xf numFmtId="0" fontId="30" fillId="9" borderId="63" xfId="7" applyFont="1" applyFill="1" applyBorder="1" applyAlignment="1" applyProtection="1">
      <alignment horizontal="left" vertical="center"/>
      <protection locked="0"/>
    </xf>
    <xf numFmtId="0" fontId="30" fillId="9" borderId="64" xfId="7" applyFont="1" applyFill="1" applyBorder="1" applyAlignment="1" applyProtection="1">
      <alignment horizontal="left" vertical="center"/>
      <protection locked="0"/>
    </xf>
    <xf numFmtId="15" fontId="30" fillId="0" borderId="50" xfId="7" applyNumberFormat="1" applyFont="1" applyBorder="1" applyAlignment="1" applyProtection="1">
      <alignment horizontal="center" vertical="top" wrapText="1"/>
      <protection locked="0"/>
    </xf>
    <xf numFmtId="0" fontId="32" fillId="8" borderId="47" xfId="7" applyFont="1" applyFill="1" applyBorder="1" applyAlignment="1">
      <alignment horizontal="left" vertical="center"/>
    </xf>
    <xf numFmtId="0" fontId="32" fillId="8" borderId="48" xfId="7" applyFont="1" applyFill="1" applyBorder="1" applyAlignment="1">
      <alignment horizontal="left" vertical="center"/>
    </xf>
    <xf numFmtId="0" fontId="32" fillId="8" borderId="45" xfId="7" applyFont="1" applyFill="1" applyBorder="1" applyAlignment="1">
      <alignment horizontal="left" vertical="center"/>
    </xf>
    <xf numFmtId="0" fontId="32" fillId="8" borderId="46" xfId="7" applyFont="1" applyFill="1" applyBorder="1" applyAlignment="1">
      <alignment horizontal="left" vertical="center"/>
    </xf>
    <xf numFmtId="0" fontId="32" fillId="8" borderId="44" xfId="7" applyFont="1" applyFill="1" applyBorder="1" applyAlignment="1">
      <alignment horizontal="left" vertical="center"/>
    </xf>
    <xf numFmtId="0" fontId="34" fillId="0" borderId="50" xfId="7" applyFont="1" applyBorder="1" applyAlignment="1" applyProtection="1">
      <alignment horizontal="center" vertical="top" wrapText="1"/>
      <protection locked="0"/>
    </xf>
    <xf numFmtId="0" fontId="34" fillId="0" borderId="53" xfId="7" applyFont="1" applyBorder="1" applyAlignment="1" applyProtection="1">
      <alignment horizontal="center" vertical="top" wrapText="1"/>
      <protection locked="0"/>
    </xf>
    <xf numFmtId="0" fontId="34" fillId="0" borderId="52" xfId="7" applyFont="1" applyBorder="1" applyAlignment="1" applyProtection="1">
      <alignment horizontal="center" vertical="top" wrapText="1"/>
      <protection locked="0"/>
    </xf>
    <xf numFmtId="0" fontId="30" fillId="9" borderId="59" xfId="7" applyFont="1" applyFill="1" applyBorder="1" applyAlignment="1">
      <alignment horizontal="center" vertical="center" wrapText="1"/>
    </xf>
    <xf numFmtId="0" fontId="30" fillId="9" borderId="60" xfId="7" applyFont="1" applyFill="1" applyBorder="1" applyAlignment="1">
      <alignment horizontal="center" vertical="center" wrapText="1"/>
    </xf>
    <xf numFmtId="0" fontId="30" fillId="9" borderId="65" xfId="7" applyFont="1" applyFill="1" applyBorder="1" applyAlignment="1">
      <alignment horizontal="center" vertical="center" wrapText="1"/>
    </xf>
    <xf numFmtId="0" fontId="35" fillId="0" borderId="59" xfId="7" applyFont="1" applyBorder="1" applyAlignment="1" applyProtection="1">
      <alignment horizontal="left" vertical="top" wrapText="1"/>
      <protection locked="0"/>
    </xf>
    <xf numFmtId="0" fontId="35" fillId="0" borderId="60" xfId="7" applyFont="1" applyBorder="1" applyAlignment="1" applyProtection="1">
      <alignment horizontal="left" vertical="top" wrapText="1"/>
      <protection locked="0"/>
    </xf>
    <xf numFmtId="0" fontId="35" fillId="0" borderId="65" xfId="7" applyFont="1" applyBorder="1" applyAlignment="1" applyProtection="1">
      <alignment horizontal="left" vertical="top" wrapText="1"/>
      <protection locked="0"/>
    </xf>
    <xf numFmtId="0" fontId="35" fillId="0" borderId="59" xfId="7" applyFont="1" applyBorder="1" applyAlignment="1" applyProtection="1">
      <alignment vertical="top" wrapText="1"/>
      <protection locked="0"/>
    </xf>
    <xf numFmtId="0" fontId="4" fillId="0" borderId="65" xfId="7" applyBorder="1" applyAlignment="1">
      <alignment vertical="top" wrapText="1"/>
    </xf>
    <xf numFmtId="0" fontId="4" fillId="0" borderId="53" xfId="7" applyBorder="1" applyAlignment="1">
      <alignment horizontal="center" vertical="top"/>
    </xf>
    <xf numFmtId="0" fontId="31" fillId="0" borderId="107" xfId="7" applyFont="1" applyBorder="1" applyAlignment="1" applyProtection="1">
      <alignment horizontal="left" vertical="top" wrapText="1"/>
      <protection locked="0"/>
    </xf>
    <xf numFmtId="0" fontId="31" fillId="0" borderId="53" xfId="7" applyFont="1" applyBorder="1" applyAlignment="1" applyProtection="1">
      <alignment horizontal="left" vertical="top" wrapText="1"/>
      <protection locked="0"/>
    </xf>
    <xf numFmtId="0" fontId="31" fillId="0" borderId="52" xfId="7" applyFont="1" applyBorder="1" applyAlignment="1" applyProtection="1">
      <alignment horizontal="left" vertical="top" wrapText="1"/>
      <protection locked="0"/>
    </xf>
    <xf numFmtId="0" fontId="30" fillId="9" borderId="41" xfId="7" applyFont="1" applyFill="1" applyBorder="1" applyAlignment="1" applyProtection="1">
      <alignment horizontal="center" vertical="top" wrapText="1"/>
      <protection locked="0"/>
    </xf>
    <xf numFmtId="0" fontId="30" fillId="9" borderId="54" xfId="7" applyFont="1" applyFill="1" applyBorder="1" applyAlignment="1" applyProtection="1">
      <alignment horizontal="center" vertical="top" wrapText="1"/>
      <protection locked="0"/>
    </xf>
    <xf numFmtId="0" fontId="30" fillId="9" borderId="44" xfId="7" applyFont="1" applyFill="1" applyBorder="1" applyAlignment="1" applyProtection="1">
      <alignment horizontal="center" vertical="top" wrapText="1"/>
      <protection locked="0"/>
    </xf>
    <xf numFmtId="0" fontId="35" fillId="9" borderId="59" xfId="7" applyFont="1" applyFill="1" applyBorder="1" applyAlignment="1" applyProtection="1">
      <alignment horizontal="center" vertical="top" wrapText="1"/>
      <protection locked="0"/>
    </xf>
    <xf numFmtId="0" fontId="35" fillId="9" borderId="60" xfId="7" applyFont="1" applyFill="1" applyBorder="1" applyAlignment="1" applyProtection="1">
      <alignment horizontal="center" vertical="top" wrapText="1"/>
      <protection locked="0"/>
    </xf>
    <xf numFmtId="0" fontId="35" fillId="9" borderId="65" xfId="7" applyFont="1" applyFill="1" applyBorder="1" applyAlignment="1" applyProtection="1">
      <alignment horizontal="center" vertical="top" wrapText="1"/>
      <protection locked="0"/>
    </xf>
    <xf numFmtId="0" fontId="31" fillId="0" borderId="50" xfId="7" applyFont="1" applyBorder="1" applyAlignment="1">
      <alignment horizontal="center" vertical="top"/>
    </xf>
    <xf numFmtId="0" fontId="31" fillId="0" borderId="52" xfId="7" applyFont="1" applyBorder="1" applyAlignment="1">
      <alignment horizontal="center" vertical="top"/>
    </xf>
    <xf numFmtId="14" fontId="31" fillId="0" borderId="50" xfId="7" applyNumberFormat="1" applyFont="1" applyBorder="1" applyAlignment="1" applyProtection="1">
      <alignment horizontal="center" vertical="center"/>
      <protection locked="0"/>
    </xf>
    <xf numFmtId="14" fontId="31" fillId="0" borderId="52" xfId="7" applyNumberFormat="1" applyFont="1" applyBorder="1" applyAlignment="1" applyProtection="1">
      <alignment horizontal="center" vertical="center"/>
      <protection locked="0"/>
    </xf>
    <xf numFmtId="0" fontId="31" fillId="0" borderId="41" xfId="7" applyFont="1" applyBorder="1" applyAlignment="1" applyProtection="1">
      <alignment horizontal="center" vertical="center"/>
      <protection locked="0"/>
    </xf>
    <xf numFmtId="0" fontId="31" fillId="0" borderId="44" xfId="7" applyFont="1" applyBorder="1" applyAlignment="1" applyProtection="1">
      <alignment horizontal="center" vertical="center"/>
      <protection locked="0"/>
    </xf>
    <xf numFmtId="0" fontId="31" fillId="9" borderId="39" xfId="7" applyFont="1" applyFill="1" applyBorder="1" applyAlignment="1">
      <alignment horizontal="left" vertical="center" wrapText="1"/>
    </xf>
    <xf numFmtId="0" fontId="31" fillId="9" borderId="40" xfId="7" applyFont="1" applyFill="1" applyBorder="1" applyAlignment="1">
      <alignment horizontal="left" vertical="center" wrapText="1"/>
    </xf>
    <xf numFmtId="0" fontId="31" fillId="9" borderId="40" xfId="7" applyFont="1" applyFill="1" applyBorder="1" applyAlignment="1">
      <alignment horizontal="left" vertical="center"/>
    </xf>
    <xf numFmtId="0" fontId="34" fillId="9" borderId="39" xfId="7" applyFont="1" applyFill="1" applyBorder="1" applyAlignment="1">
      <alignment horizontal="left" vertical="center" wrapText="1"/>
    </xf>
    <xf numFmtId="0" fontId="34" fillId="9" borderId="40" xfId="7" applyFont="1" applyFill="1" applyBorder="1" applyAlignment="1">
      <alignment horizontal="left" vertical="center" wrapText="1"/>
    </xf>
    <xf numFmtId="9" fontId="30" fillId="0" borderId="50" xfId="7" applyNumberFormat="1" applyFont="1" applyBorder="1" applyAlignment="1" applyProtection="1">
      <alignment horizontal="center" vertical="top"/>
      <protection hidden="1"/>
    </xf>
    <xf numFmtId="9" fontId="30" fillId="0" borderId="52" xfId="7" applyNumberFormat="1" applyFont="1" applyBorder="1" applyAlignment="1" applyProtection="1">
      <alignment horizontal="center" vertical="top"/>
      <protection hidden="1"/>
    </xf>
    <xf numFmtId="0" fontId="37" fillId="0" borderId="50" xfId="7" applyFont="1" applyBorder="1" applyAlignment="1" applyProtection="1">
      <alignment horizontal="center" vertical="top" textRotation="90"/>
      <protection hidden="1"/>
    </xf>
    <xf numFmtId="0" fontId="37" fillId="0" borderId="52" xfId="7" applyFont="1" applyBorder="1" applyAlignment="1" applyProtection="1">
      <alignment horizontal="center" vertical="top" textRotation="90"/>
      <protection hidden="1"/>
    </xf>
    <xf numFmtId="0" fontId="30" fillId="0" borderId="50" xfId="7" applyFont="1" applyBorder="1" applyAlignment="1" applyProtection="1">
      <alignment horizontal="center" vertical="top" textRotation="90"/>
      <protection locked="0"/>
    </xf>
    <xf numFmtId="0" fontId="30" fillId="0" borderId="52" xfId="7" applyFont="1" applyBorder="1" applyAlignment="1" applyProtection="1">
      <alignment horizontal="center" vertical="top" textRotation="90"/>
      <protection locked="0"/>
    </xf>
    <xf numFmtId="0" fontId="30" fillId="9" borderId="50" xfId="7" applyFont="1" applyFill="1" applyBorder="1" applyAlignment="1" applyProtection="1">
      <alignment horizontal="center" vertical="center" wrapText="1"/>
      <protection locked="0"/>
    </xf>
    <xf numFmtId="0" fontId="30" fillId="9" borderId="52" xfId="7" applyFont="1" applyFill="1" applyBorder="1" applyAlignment="1" applyProtection="1">
      <alignment horizontal="center" vertical="center" wrapText="1"/>
      <protection locked="0"/>
    </xf>
    <xf numFmtId="0" fontId="30" fillId="0" borderId="50" xfId="7" applyFont="1" applyBorder="1" applyAlignment="1" applyProtection="1">
      <alignment horizontal="center" vertical="center" wrapText="1"/>
      <protection locked="0"/>
    </xf>
    <xf numFmtId="0" fontId="30" fillId="0" borderId="52" xfId="7" applyFont="1" applyBorder="1" applyAlignment="1" applyProtection="1">
      <alignment horizontal="center" vertical="center" wrapText="1"/>
      <protection locked="0"/>
    </xf>
    <xf numFmtId="14" fontId="30" fillId="0" borderId="50" xfId="7" applyNumberFormat="1" applyFont="1" applyBorder="1" applyAlignment="1" applyProtection="1">
      <alignment horizontal="center" vertical="center"/>
      <protection locked="0"/>
    </xf>
    <xf numFmtId="14" fontId="30" fillId="0" borderId="52" xfId="7" applyNumberFormat="1" applyFont="1" applyBorder="1" applyAlignment="1" applyProtection="1">
      <alignment horizontal="center" vertical="center"/>
      <protection locked="0"/>
    </xf>
    <xf numFmtId="164" fontId="31" fillId="0" borderId="50" xfId="8" applyNumberFormat="1" applyFont="1" applyBorder="1" applyAlignment="1">
      <alignment horizontal="center" vertical="top"/>
    </xf>
    <xf numFmtId="164" fontId="31" fillId="0" borderId="52" xfId="8" applyNumberFormat="1" applyFont="1" applyBorder="1" applyAlignment="1">
      <alignment horizontal="center" vertical="top"/>
    </xf>
    <xf numFmtId="0" fontId="37" fillId="0" borderId="50" xfId="7" applyFont="1" applyBorder="1" applyAlignment="1" applyProtection="1">
      <alignment horizontal="center" vertical="top" textRotation="90" wrapText="1"/>
      <protection hidden="1"/>
    </xf>
    <xf numFmtId="0" fontId="37" fillId="0" borderId="52" xfId="7" applyFont="1" applyBorder="1" applyAlignment="1" applyProtection="1">
      <alignment horizontal="center" vertical="top" textRotation="90" wrapText="1"/>
      <protection hidden="1"/>
    </xf>
    <xf numFmtId="0" fontId="31" fillId="0" borderId="50" xfId="7" applyFont="1" applyBorder="1" applyAlignment="1" applyProtection="1">
      <alignment horizontal="center" vertical="top"/>
      <protection hidden="1"/>
    </xf>
    <xf numFmtId="0" fontId="31" fillId="0" borderId="52" xfId="7" applyFont="1" applyBorder="1" applyAlignment="1" applyProtection="1">
      <alignment horizontal="center" vertical="top"/>
      <protection hidden="1"/>
    </xf>
    <xf numFmtId="0" fontId="74" fillId="8" borderId="54" xfId="7" applyFont="1" applyFill="1" applyBorder="1" applyAlignment="1">
      <alignment horizontal="center" vertical="center"/>
    </xf>
    <xf numFmtId="0" fontId="74" fillId="8" borderId="37" xfId="7" applyFont="1" applyFill="1" applyAlignment="1">
      <alignment horizontal="center" vertical="center"/>
    </xf>
    <xf numFmtId="0" fontId="32" fillId="8" borderId="44" xfId="7" applyFont="1" applyFill="1" applyBorder="1" applyAlignment="1">
      <alignment horizontal="center" vertical="center" wrapText="1"/>
    </xf>
    <xf numFmtId="0" fontId="30" fillId="0" borderId="53" xfId="7" applyFont="1" applyBorder="1" applyAlignment="1" applyProtection="1">
      <alignment horizontal="center" vertical="top" textRotation="90"/>
      <protection locked="0"/>
    </xf>
    <xf numFmtId="0" fontId="30" fillId="9" borderId="62" xfId="7" applyFont="1" applyFill="1" applyBorder="1" applyAlignment="1" applyProtection="1">
      <alignment horizontal="center" vertical="center"/>
      <protection locked="0"/>
    </xf>
    <xf numFmtId="0" fontId="30" fillId="9" borderId="63" xfId="7" applyFont="1" applyFill="1" applyBorder="1" applyAlignment="1" applyProtection="1">
      <alignment horizontal="center" vertical="center"/>
      <protection locked="0"/>
    </xf>
    <xf numFmtId="0" fontId="31" fillId="10" borderId="50" xfId="7" applyFont="1" applyFill="1" applyBorder="1" applyAlignment="1" applyProtection="1">
      <alignment horizontal="center" vertical="top" wrapText="1"/>
      <protection locked="0"/>
    </xf>
    <xf numFmtId="0" fontId="31" fillId="10" borderId="52" xfId="7" applyFont="1" applyFill="1" applyBorder="1" applyAlignment="1" applyProtection="1">
      <alignment horizontal="center" vertical="top" wrapText="1"/>
      <protection locked="0"/>
    </xf>
    <xf numFmtId="14" fontId="31" fillId="0" borderId="50" xfId="7" applyNumberFormat="1" applyFont="1" applyBorder="1" applyAlignment="1" applyProtection="1">
      <alignment horizontal="center" vertical="top"/>
      <protection locked="0"/>
    </xf>
    <xf numFmtId="14" fontId="31" fillId="0" borderId="52" xfId="7" applyNumberFormat="1" applyFont="1" applyBorder="1" applyAlignment="1" applyProtection="1">
      <alignment horizontal="center" vertical="top"/>
      <protection locked="0"/>
    </xf>
    <xf numFmtId="14" fontId="30" fillId="0" borderId="50" xfId="7" applyNumberFormat="1" applyFont="1" applyBorder="1" applyAlignment="1" applyProtection="1">
      <alignment horizontal="center" vertical="top"/>
      <protection locked="0"/>
    </xf>
    <xf numFmtId="14" fontId="30" fillId="0" borderId="52" xfId="7" applyNumberFormat="1" applyFont="1" applyBorder="1" applyAlignment="1" applyProtection="1">
      <alignment horizontal="center" vertical="top"/>
      <protection locked="0"/>
    </xf>
    <xf numFmtId="0" fontId="35" fillId="10" borderId="50" xfId="7" applyFont="1" applyFill="1" applyBorder="1" applyAlignment="1" applyProtection="1">
      <alignment horizontal="center" vertical="top" wrapText="1"/>
      <protection locked="0"/>
    </xf>
    <xf numFmtId="0" fontId="35" fillId="10" borderId="52" xfId="7" applyFont="1" applyFill="1" applyBorder="1" applyAlignment="1" applyProtection="1">
      <alignment horizontal="center" vertical="top" wrapText="1"/>
      <protection locked="0"/>
    </xf>
    <xf numFmtId="0" fontId="34" fillId="0" borderId="59" xfId="7" applyFont="1" applyBorder="1" applyAlignment="1" applyProtection="1">
      <alignment horizontal="center" vertical="top" wrapText="1"/>
      <protection locked="0"/>
    </xf>
    <xf numFmtId="0" fontId="34" fillId="0" borderId="60" xfId="7" applyFont="1" applyBorder="1" applyAlignment="1" applyProtection="1">
      <alignment horizontal="center" vertical="top" wrapText="1"/>
      <protection locked="0"/>
    </xf>
    <xf numFmtId="17" fontId="31" fillId="0" borderId="50" xfId="7" applyNumberFormat="1" applyFont="1" applyBorder="1" applyAlignment="1" applyProtection="1">
      <alignment horizontal="center" vertical="center" wrapText="1"/>
      <protection locked="0"/>
    </xf>
    <xf numFmtId="17" fontId="31" fillId="0" borderId="53" xfId="7" applyNumberFormat="1" applyFont="1" applyBorder="1" applyAlignment="1" applyProtection="1">
      <alignment horizontal="center" vertical="center" wrapText="1"/>
      <protection locked="0"/>
    </xf>
    <xf numFmtId="17" fontId="31" fillId="0" borderId="52" xfId="7" applyNumberFormat="1" applyFont="1" applyBorder="1" applyAlignment="1" applyProtection="1">
      <alignment horizontal="center" vertical="center" wrapText="1"/>
      <protection locked="0"/>
    </xf>
    <xf numFmtId="0" fontId="31" fillId="0" borderId="53" xfId="7" applyFont="1" applyBorder="1" applyAlignment="1" applyProtection="1">
      <alignment horizontal="center" vertical="center" wrapText="1"/>
      <protection locked="0"/>
    </xf>
    <xf numFmtId="0" fontId="31" fillId="0" borderId="54" xfId="7" applyFont="1" applyBorder="1" applyAlignment="1" applyProtection="1">
      <alignment horizontal="center" vertical="center"/>
      <protection locked="0"/>
    </xf>
    <xf numFmtId="0" fontId="31" fillId="9" borderId="38" xfId="7" applyFont="1" applyFill="1" applyBorder="1" applyAlignment="1">
      <alignment horizontal="center" vertical="center" wrapText="1"/>
    </xf>
    <xf numFmtId="0" fontId="31" fillId="0" borderId="59" xfId="7" applyFont="1" applyBorder="1" applyAlignment="1" applyProtection="1">
      <alignment horizontal="center" vertical="top" wrapText="1"/>
      <protection locked="0"/>
    </xf>
    <xf numFmtId="0" fontId="31" fillId="0" borderId="60" xfId="7" applyFont="1" applyBorder="1" applyAlignment="1" applyProtection="1">
      <alignment horizontal="center" vertical="top" wrapText="1"/>
      <protection locked="0"/>
    </xf>
    <xf numFmtId="0" fontId="31" fillId="0" borderId="65" xfId="7" applyFont="1" applyBorder="1" applyAlignment="1" applyProtection="1">
      <alignment horizontal="center" vertical="top" wrapText="1"/>
      <protection locked="0"/>
    </xf>
    <xf numFmtId="9" fontId="30" fillId="0" borderId="53" xfId="7" applyNumberFormat="1" applyFont="1" applyBorder="1" applyAlignment="1" applyProtection="1">
      <alignment horizontal="center" vertical="top"/>
      <protection hidden="1"/>
    </xf>
    <xf numFmtId="0" fontId="37" fillId="0" borderId="53" xfId="7" applyFont="1" applyBorder="1" applyAlignment="1" applyProtection="1">
      <alignment horizontal="center" vertical="top" textRotation="90"/>
      <protection hidden="1"/>
    </xf>
    <xf numFmtId="164" fontId="31" fillId="0" borderId="53" xfId="8" applyNumberFormat="1" applyFont="1" applyBorder="1" applyAlignment="1">
      <alignment horizontal="center" vertical="top"/>
    </xf>
    <xf numFmtId="0" fontId="37" fillId="0" borderId="53" xfId="7" applyFont="1" applyBorder="1" applyAlignment="1" applyProtection="1">
      <alignment horizontal="center" vertical="top" textRotation="90" wrapText="1"/>
      <protection hidden="1"/>
    </xf>
    <xf numFmtId="0" fontId="27" fillId="0" borderId="53" xfId="7" applyFont="1" applyBorder="1" applyAlignment="1" applyProtection="1">
      <alignment horizontal="center" vertical="center" wrapText="1"/>
      <protection locked="0"/>
    </xf>
    <xf numFmtId="0" fontId="31" fillId="0" borderId="53" xfId="7" applyFont="1" applyBorder="1" applyAlignment="1" applyProtection="1">
      <alignment horizontal="center" vertical="top"/>
      <protection hidden="1"/>
    </xf>
    <xf numFmtId="17" fontId="31" fillId="0" borderId="95" xfId="7" applyNumberFormat="1" applyFont="1" applyBorder="1" applyAlignment="1" applyProtection="1">
      <alignment horizontal="center" vertical="center" wrapText="1"/>
      <protection locked="0"/>
    </xf>
    <xf numFmtId="0" fontId="30" fillId="0" borderId="41" xfId="7" applyFont="1" applyBorder="1" applyAlignment="1" applyProtection="1">
      <alignment horizontal="center" vertical="center"/>
      <protection locked="0"/>
    </xf>
    <xf numFmtId="0" fontId="30" fillId="0" borderId="44" xfId="7" applyFont="1" applyBorder="1" applyAlignment="1" applyProtection="1">
      <alignment horizontal="center" vertical="center"/>
      <protection locked="0"/>
    </xf>
    <xf numFmtId="0" fontId="31" fillId="0" borderId="93" xfId="7" applyFont="1" applyBorder="1" applyAlignment="1" applyProtection="1">
      <alignment horizontal="center" vertical="center" wrapText="1"/>
      <protection locked="0"/>
    </xf>
    <xf numFmtId="0" fontId="31" fillId="0" borderId="94" xfId="7" applyFont="1" applyBorder="1" applyAlignment="1" applyProtection="1">
      <alignment horizontal="center" vertical="center" wrapText="1"/>
      <protection locked="0"/>
    </xf>
    <xf numFmtId="0" fontId="31" fillId="0" borderId="96" xfId="7" applyFont="1" applyBorder="1" applyAlignment="1" applyProtection="1">
      <alignment horizontal="center" vertical="center" wrapText="1"/>
      <protection locked="0"/>
    </xf>
    <xf numFmtId="0" fontId="31" fillId="15" borderId="38" xfId="7" applyFont="1" applyFill="1" applyBorder="1" applyAlignment="1">
      <alignment horizontal="center" vertical="center" wrapText="1"/>
    </xf>
    <xf numFmtId="14" fontId="30" fillId="0" borderId="50" xfId="7" applyNumberFormat="1" applyFont="1" applyBorder="1" applyAlignment="1" applyProtection="1">
      <alignment horizontal="center" vertical="top" wrapText="1"/>
      <protection locked="0"/>
    </xf>
    <xf numFmtId="14" fontId="30" fillId="0" borderId="53" xfId="7" applyNumberFormat="1" applyFont="1" applyBorder="1" applyAlignment="1" applyProtection="1">
      <alignment horizontal="center" vertical="top" wrapText="1"/>
      <protection locked="0"/>
    </xf>
    <xf numFmtId="14" fontId="30" fillId="0" borderId="52" xfId="7" applyNumberFormat="1" applyFont="1" applyBorder="1" applyAlignment="1" applyProtection="1">
      <alignment horizontal="center" vertical="top" wrapText="1"/>
      <protection locked="0"/>
    </xf>
    <xf numFmtId="0" fontId="32" fillId="9" borderId="59" xfId="7" applyFont="1" applyFill="1" applyBorder="1" applyAlignment="1">
      <alignment horizontal="center" vertical="center" wrapText="1"/>
    </xf>
    <xf numFmtId="0" fontId="32" fillId="9" borderId="65" xfId="7" applyFont="1" applyFill="1" applyBorder="1" applyAlignment="1">
      <alignment horizontal="center" vertical="center" wrapText="1"/>
    </xf>
    <xf numFmtId="0" fontId="30" fillId="9" borderId="49" xfId="7" applyFont="1" applyFill="1" applyBorder="1" applyAlignment="1" applyProtection="1">
      <alignment horizontal="left" vertical="top"/>
      <protection locked="0"/>
    </xf>
    <xf numFmtId="0" fontId="31" fillId="0" borderId="50" xfId="7" applyFont="1" applyBorder="1" applyAlignment="1" applyProtection="1">
      <alignment horizontal="center" vertical="top" textRotation="90"/>
      <protection locked="0"/>
    </xf>
    <xf numFmtId="0" fontId="31" fillId="0" borderId="53" xfId="7" applyFont="1" applyBorder="1" applyAlignment="1" applyProtection="1">
      <alignment horizontal="center" vertical="top" textRotation="90"/>
      <protection locked="0"/>
    </xf>
    <xf numFmtId="0" fontId="31" fillId="0" borderId="52" xfId="7" applyFont="1" applyBorder="1" applyAlignment="1" applyProtection="1">
      <alignment horizontal="center" vertical="top" textRotation="90"/>
      <protection locked="0"/>
    </xf>
    <xf numFmtId="0" fontId="31" fillId="0" borderId="53" xfId="7" applyFont="1" applyBorder="1" applyAlignment="1">
      <alignment horizontal="center" vertical="top"/>
    </xf>
    <xf numFmtId="0" fontId="32" fillId="8" borderId="61" xfId="7" applyFont="1" applyFill="1" applyBorder="1" applyAlignment="1">
      <alignment horizontal="center" vertical="center"/>
    </xf>
    <xf numFmtId="0" fontId="29" fillId="8" borderId="61" xfId="7" applyFont="1" applyFill="1" applyBorder="1" applyAlignment="1">
      <alignment horizontal="left" vertical="center"/>
    </xf>
    <xf numFmtId="0" fontId="30" fillId="0" borderId="55" xfId="7" applyFont="1" applyBorder="1" applyAlignment="1" applyProtection="1">
      <alignment horizontal="center" vertical="top" textRotation="90"/>
      <protection locked="0"/>
    </xf>
    <xf numFmtId="0" fontId="30" fillId="0" borderId="57" xfId="7" applyFont="1" applyBorder="1" applyAlignment="1" applyProtection="1">
      <alignment horizontal="center" vertical="top" textRotation="90"/>
      <protection locked="0"/>
    </xf>
    <xf numFmtId="0" fontId="30" fillId="0" borderId="58" xfId="7" applyFont="1" applyBorder="1" applyAlignment="1" applyProtection="1">
      <alignment horizontal="center" vertical="top" textRotation="90"/>
      <protection locked="0"/>
    </xf>
    <xf numFmtId="0" fontId="30" fillId="0" borderId="53" xfId="7" applyFont="1" applyBorder="1" applyAlignment="1" applyProtection="1">
      <alignment horizontal="center" vertical="center" wrapText="1"/>
      <protection locked="0"/>
    </xf>
    <xf numFmtId="0" fontId="31" fillId="0" borderId="73" xfId="7" applyFont="1" applyBorder="1" applyAlignment="1">
      <alignment horizontal="center" vertical="center"/>
    </xf>
    <xf numFmtId="0" fontId="31" fillId="0" borderId="74" xfId="7" applyFont="1" applyBorder="1" applyAlignment="1">
      <alignment horizontal="center" vertical="center"/>
    </xf>
    <xf numFmtId="0" fontId="31" fillId="0" borderId="76" xfId="7" applyFont="1" applyBorder="1" applyAlignment="1">
      <alignment horizontal="center" vertical="center"/>
    </xf>
    <xf numFmtId="9" fontId="31" fillId="0" borderId="73" xfId="7" applyNumberFormat="1" applyFont="1" applyBorder="1" applyAlignment="1">
      <alignment horizontal="center" vertical="top" wrapText="1"/>
    </xf>
    <xf numFmtId="0" fontId="10" fillId="0" borderId="74" xfId="7" applyFont="1" applyBorder="1"/>
    <xf numFmtId="0" fontId="10" fillId="0" borderId="76" xfId="7" applyFont="1" applyBorder="1"/>
    <xf numFmtId="0" fontId="31" fillId="0" borderId="75" xfId="7" applyFont="1" applyBorder="1" applyAlignment="1">
      <alignment horizontal="left" vertical="top" wrapText="1"/>
    </xf>
    <xf numFmtId="0" fontId="31" fillId="0" borderId="37" xfId="7" applyFont="1" applyAlignment="1">
      <alignment horizontal="left" vertical="top" wrapText="1"/>
    </xf>
    <xf numFmtId="0" fontId="31" fillId="0" borderId="80" xfId="7" applyFont="1" applyBorder="1" applyAlignment="1">
      <alignment horizontal="left" vertical="top" wrapText="1"/>
    </xf>
    <xf numFmtId="0" fontId="30" fillId="0" borderId="74" xfId="7" applyFont="1" applyBorder="1" applyAlignment="1">
      <alignment horizontal="center" vertical="top" wrapText="1"/>
    </xf>
    <xf numFmtId="0" fontId="30" fillId="0" borderId="74" xfId="7" applyFont="1" applyBorder="1" applyAlignment="1">
      <alignment horizontal="center" vertical="top"/>
    </xf>
    <xf numFmtId="0" fontId="37" fillId="0" borderId="73" xfId="7" applyFont="1" applyBorder="1" applyAlignment="1">
      <alignment horizontal="center" vertical="top" wrapText="1"/>
    </xf>
    <xf numFmtId="9" fontId="30" fillId="0" borderId="73" xfId="7" applyNumberFormat="1" applyFont="1" applyBorder="1" applyAlignment="1">
      <alignment horizontal="center" vertical="top" wrapText="1"/>
    </xf>
    <xf numFmtId="9" fontId="30" fillId="0" borderId="74" xfId="7" applyNumberFormat="1" applyFont="1" applyBorder="1" applyAlignment="1">
      <alignment horizontal="center" vertical="top" wrapText="1"/>
    </xf>
    <xf numFmtId="0" fontId="32" fillId="0" borderId="74" xfId="7" applyFont="1" applyBorder="1" applyAlignment="1">
      <alignment horizontal="center" vertical="top" wrapText="1"/>
    </xf>
    <xf numFmtId="0" fontId="27" fillId="0" borderId="73" xfId="7" applyFont="1" applyBorder="1" applyAlignment="1">
      <alignment horizontal="left" vertical="top" wrapText="1"/>
    </xf>
    <xf numFmtId="0" fontId="30" fillId="0" borderId="74" xfId="7" applyFont="1" applyBorder="1" applyAlignment="1">
      <alignment horizontal="center" vertical="center" wrapText="1"/>
    </xf>
    <xf numFmtId="0" fontId="30" fillId="0" borderId="73" xfId="7" applyFont="1" applyBorder="1" applyAlignment="1">
      <alignment horizontal="left" vertical="top" wrapText="1"/>
    </xf>
    <xf numFmtId="0" fontId="37" fillId="0" borderId="73" xfId="7" applyFont="1" applyBorder="1" applyAlignment="1">
      <alignment horizontal="center" vertical="top"/>
    </xf>
    <xf numFmtId="0" fontId="31" fillId="0" borderId="82" xfId="7" applyFont="1" applyBorder="1" applyAlignment="1">
      <alignment horizontal="center" vertical="top"/>
    </xf>
    <xf numFmtId="0" fontId="30" fillId="0" borderId="73" xfId="7" applyFont="1" applyBorder="1" applyAlignment="1">
      <alignment horizontal="center" vertical="top" wrapText="1"/>
    </xf>
    <xf numFmtId="9" fontId="30" fillId="0" borderId="73" xfId="7" applyNumberFormat="1" applyFont="1" applyBorder="1" applyAlignment="1">
      <alignment horizontal="center" vertical="top"/>
    </xf>
    <xf numFmtId="0" fontId="30" fillId="0" borderId="73" xfId="7" applyFont="1" applyBorder="1" applyAlignment="1">
      <alignment horizontal="center" vertical="top" textRotation="90"/>
    </xf>
    <xf numFmtId="0" fontId="31" fillId="0" borderId="73" xfId="7" applyFont="1" applyBorder="1" applyAlignment="1">
      <alignment horizontal="left" vertical="top" wrapText="1"/>
    </xf>
    <xf numFmtId="0" fontId="31" fillId="0" borderId="73" xfId="7" applyFont="1" applyBorder="1" applyAlignment="1">
      <alignment horizontal="center" vertical="top" wrapText="1"/>
    </xf>
    <xf numFmtId="0" fontId="37" fillId="0" borderId="74" xfId="7" applyFont="1" applyBorder="1" applyAlignment="1">
      <alignment horizontal="center" vertical="top" wrapText="1"/>
    </xf>
    <xf numFmtId="0" fontId="31" fillId="0" borderId="73" xfId="7" applyFont="1" applyBorder="1" applyAlignment="1">
      <alignment horizontal="center" vertical="top"/>
    </xf>
    <xf numFmtId="0" fontId="37" fillId="0" borderId="73" xfId="7" applyFont="1" applyBorder="1" applyAlignment="1">
      <alignment horizontal="center" vertical="top" textRotation="90" wrapText="1"/>
    </xf>
    <xf numFmtId="0" fontId="37" fillId="0" borderId="73" xfId="7" applyFont="1" applyBorder="1" applyAlignment="1">
      <alignment horizontal="center" vertical="top" textRotation="90"/>
    </xf>
    <xf numFmtId="164" fontId="31" fillId="0" borderId="73" xfId="7" applyNumberFormat="1" applyFont="1" applyBorder="1" applyAlignment="1">
      <alignment horizontal="center" vertical="top"/>
    </xf>
    <xf numFmtId="0" fontId="31" fillId="7" borderId="73" xfId="7" applyFont="1" applyFill="1" applyBorder="1" applyAlignment="1">
      <alignment horizontal="center" vertical="center" wrapText="1"/>
    </xf>
    <xf numFmtId="0" fontId="32" fillId="7" borderId="73" xfId="7" applyFont="1" applyFill="1" applyBorder="1" applyAlignment="1">
      <alignment horizontal="center" vertical="center" wrapText="1"/>
    </xf>
    <xf numFmtId="0" fontId="32" fillId="7" borderId="73" xfId="7" applyFont="1" applyFill="1" applyBorder="1" applyAlignment="1">
      <alignment horizontal="center" vertical="center" textRotation="90" wrapText="1"/>
    </xf>
    <xf numFmtId="0" fontId="17" fillId="6" borderId="34" xfId="7" applyFont="1" applyFill="1" applyBorder="1" applyAlignment="1">
      <alignment horizontal="center" vertical="center" wrapText="1"/>
    </xf>
    <xf numFmtId="0" fontId="10" fillId="0" borderId="9" xfId="7" applyFont="1" applyBorder="1"/>
    <xf numFmtId="0" fontId="32" fillId="7" borderId="67" xfId="7" applyFont="1" applyFill="1" applyBorder="1" applyAlignment="1">
      <alignment horizontal="center" vertical="center" wrapText="1"/>
    </xf>
    <xf numFmtId="0" fontId="10" fillId="0" borderId="68" xfId="7" applyFont="1" applyBorder="1"/>
    <xf numFmtId="0" fontId="10" fillId="0" borderId="69" xfId="7" applyFont="1" applyBorder="1"/>
    <xf numFmtId="0" fontId="32" fillId="7" borderId="70" xfId="7" applyFont="1" applyFill="1" applyBorder="1" applyAlignment="1">
      <alignment horizontal="center" vertical="center"/>
    </xf>
    <xf numFmtId="0" fontId="10" fillId="0" borderId="71" xfId="7" applyFont="1" applyBorder="1"/>
    <xf numFmtId="0" fontId="10" fillId="0" borderId="72" xfId="7" applyFont="1" applyBorder="1"/>
    <xf numFmtId="0" fontId="32" fillId="7" borderId="74" xfId="7" applyFont="1" applyFill="1" applyBorder="1" applyAlignment="1">
      <alignment horizontal="center" vertical="center" wrapText="1"/>
    </xf>
    <xf numFmtId="0" fontId="32" fillId="7" borderId="74" xfId="7" applyFont="1" applyFill="1" applyBorder="1" applyAlignment="1">
      <alignment horizontal="center" vertical="center"/>
    </xf>
    <xf numFmtId="0" fontId="32" fillId="7" borderId="75" xfId="7" applyFont="1" applyFill="1" applyBorder="1" applyAlignment="1">
      <alignment horizontal="center" vertical="center"/>
    </xf>
    <xf numFmtId="0" fontId="10" fillId="0" borderId="70" xfId="7" applyFont="1" applyBorder="1"/>
    <xf numFmtId="0" fontId="35" fillId="0" borderId="59" xfId="0" applyFont="1" applyBorder="1" applyAlignment="1" applyProtection="1">
      <alignment horizontal="center" vertical="top" wrapText="1"/>
      <protection locked="0"/>
    </xf>
    <xf numFmtId="0" fontId="35" fillId="0" borderId="60" xfId="0" applyFont="1" applyBorder="1" applyAlignment="1" applyProtection="1">
      <alignment horizontal="center" vertical="top" wrapText="1"/>
      <protection locked="0"/>
    </xf>
    <xf numFmtId="0" fontId="74" fillId="7" borderId="78" xfId="7" applyFont="1" applyFill="1" applyBorder="1" applyAlignment="1">
      <alignment horizontal="center" vertical="center"/>
    </xf>
    <xf numFmtId="0" fontId="10" fillId="0" borderId="83" xfId="7" applyFont="1" applyBorder="1"/>
    <xf numFmtId="0" fontId="10" fillId="0" borderId="79" xfId="7" applyFont="1" applyBorder="1"/>
    <xf numFmtId="0" fontId="29" fillId="7" borderId="67" xfId="7" applyFont="1" applyFill="1" applyBorder="1" applyAlignment="1">
      <alignment horizontal="left" vertical="center"/>
    </xf>
    <xf numFmtId="0" fontId="30" fillId="6" borderId="67" xfId="7" applyFont="1" applyFill="1" applyBorder="1" applyAlignment="1">
      <alignment vertical="center"/>
    </xf>
    <xf numFmtId="0" fontId="31" fillId="0" borderId="73" xfId="7" applyFont="1" applyBorder="1" applyAlignment="1">
      <alignment horizontal="center" vertical="center" wrapText="1"/>
    </xf>
    <xf numFmtId="9" fontId="31" fillId="0" borderId="73" xfId="7" applyNumberFormat="1" applyFont="1" applyBorder="1" applyAlignment="1">
      <alignment horizontal="center" vertical="center" wrapText="1"/>
    </xf>
    <xf numFmtId="0" fontId="55" fillId="6" borderId="73" xfId="7" applyFont="1" applyFill="1" applyBorder="1" applyAlignment="1">
      <alignment horizontal="center" vertical="center" wrapText="1"/>
    </xf>
    <xf numFmtId="0" fontId="31" fillId="0" borderId="73" xfId="7" applyFont="1" applyBorder="1" applyAlignment="1">
      <alignment horizontal="center" vertical="center" textRotation="90" wrapText="1"/>
    </xf>
    <xf numFmtId="0" fontId="31" fillId="11" borderId="73" xfId="7" applyFont="1" applyFill="1" applyBorder="1" applyAlignment="1">
      <alignment horizontal="center" vertical="center" wrapText="1"/>
    </xf>
    <xf numFmtId="165" fontId="31" fillId="0" borderId="73" xfId="7" applyNumberFormat="1" applyFont="1" applyBorder="1" applyAlignment="1">
      <alignment horizontal="center" vertical="center" wrapText="1"/>
    </xf>
    <xf numFmtId="165" fontId="31" fillId="0" borderId="78" xfId="7" applyNumberFormat="1" applyFont="1" applyBorder="1" applyAlignment="1">
      <alignment horizontal="center" vertical="center" wrapText="1"/>
    </xf>
    <xf numFmtId="0" fontId="10" fillId="0" borderId="75" xfId="7" applyFont="1" applyBorder="1"/>
    <xf numFmtId="0" fontId="31" fillId="7" borderId="67" xfId="7" applyFont="1" applyFill="1" applyBorder="1" applyAlignment="1">
      <alignment horizontal="center" vertical="center" wrapText="1"/>
    </xf>
    <xf numFmtId="0" fontId="31" fillId="7" borderId="76" xfId="7" applyFont="1" applyFill="1" applyBorder="1" applyAlignment="1">
      <alignment horizontal="center" vertical="center" wrapText="1"/>
    </xf>
    <xf numFmtId="0" fontId="31" fillId="7" borderId="73" xfId="7" applyFont="1" applyFill="1" applyBorder="1" applyAlignment="1">
      <alignment horizontal="center" vertical="center" textRotation="90" wrapText="1"/>
    </xf>
    <xf numFmtId="0" fontId="60" fillId="12" borderId="85" xfId="10" applyFont="1" applyFill="1" applyBorder="1" applyAlignment="1">
      <alignment horizontal="center" vertical="center" wrapText="1"/>
    </xf>
    <xf numFmtId="0" fontId="63" fillId="0" borderId="85" xfId="10" applyFont="1" applyBorder="1" applyAlignment="1" applyProtection="1">
      <alignment horizontal="center" vertical="center"/>
      <protection hidden="1"/>
    </xf>
    <xf numFmtId="14" fontId="58" fillId="0" borderId="87" xfId="10" applyNumberFormat="1" applyFont="1" applyBorder="1" applyAlignment="1" applyProtection="1">
      <alignment horizontal="center" vertical="center" wrapText="1"/>
      <protection locked="0"/>
    </xf>
    <xf numFmtId="14" fontId="58" fillId="0" borderId="86" xfId="10" applyNumberFormat="1" applyFont="1" applyBorder="1" applyAlignment="1" applyProtection="1">
      <alignment horizontal="center" vertical="center" wrapText="1"/>
      <protection locked="0"/>
    </xf>
    <xf numFmtId="0" fontId="60" fillId="0" borderId="85" xfId="10" applyFont="1" applyBorder="1" applyAlignment="1" applyProtection="1">
      <alignment horizontal="center" vertical="center"/>
      <protection hidden="1"/>
    </xf>
    <xf numFmtId="14" fontId="59" fillId="0" borderId="87" xfId="10" applyNumberFormat="1" applyFont="1" applyBorder="1" applyAlignment="1" applyProtection="1">
      <alignment horizontal="center" vertical="center" wrapText="1"/>
      <protection locked="0"/>
    </xf>
    <xf numFmtId="14" fontId="59" fillId="0" borderId="88" xfId="10" applyNumberFormat="1" applyFont="1" applyBorder="1" applyAlignment="1" applyProtection="1">
      <alignment horizontal="center" vertical="center" wrapText="1"/>
      <protection locked="0"/>
    </xf>
    <xf numFmtId="0" fontId="60" fillId="0" borderId="85" xfId="10" applyFont="1" applyBorder="1" applyAlignment="1" applyProtection="1">
      <alignment horizontal="center" vertical="top"/>
      <protection hidden="1"/>
    </xf>
    <xf numFmtId="14" fontId="59" fillId="0" borderId="86" xfId="10" applyNumberFormat="1" applyFont="1" applyBorder="1" applyAlignment="1" applyProtection="1">
      <alignment horizontal="center" vertical="center" wrapText="1"/>
      <protection locked="0"/>
    </xf>
    <xf numFmtId="0" fontId="31" fillId="7" borderId="69" xfId="7" applyFont="1" applyFill="1" applyBorder="1" applyAlignment="1">
      <alignment horizontal="center" vertical="center" wrapText="1"/>
    </xf>
    <xf numFmtId="14" fontId="59" fillId="0" borderId="85" xfId="10" applyNumberFormat="1" applyFont="1" applyBorder="1" applyAlignment="1" applyProtection="1">
      <alignment horizontal="center" vertical="center" wrapText="1"/>
      <protection locked="0"/>
    </xf>
    <xf numFmtId="0" fontId="59" fillId="0" borderId="86" xfId="10" applyFont="1" applyBorder="1" applyAlignment="1" applyProtection="1">
      <alignment horizontal="center" vertical="center" wrapText="1"/>
      <protection locked="0"/>
    </xf>
    <xf numFmtId="9" fontId="59" fillId="0" borderId="85" xfId="10" applyNumberFormat="1" applyFont="1" applyBorder="1" applyAlignment="1" applyProtection="1">
      <alignment horizontal="center" vertical="top" wrapText="1"/>
      <protection hidden="1"/>
    </xf>
    <xf numFmtId="0" fontId="60" fillId="0" borderId="85" xfId="10" applyFont="1" applyBorder="1" applyAlignment="1" applyProtection="1">
      <alignment horizontal="center" vertical="top" wrapText="1"/>
      <protection hidden="1"/>
    </xf>
    <xf numFmtId="0" fontId="59" fillId="13" borderId="85" xfId="10" applyFont="1" applyFill="1" applyBorder="1" applyAlignment="1" applyProtection="1">
      <alignment horizontal="left" vertical="center" wrapText="1"/>
      <protection locked="0"/>
    </xf>
    <xf numFmtId="0" fontId="60" fillId="12" borderId="85" xfId="10" applyFont="1" applyFill="1" applyBorder="1" applyAlignment="1">
      <alignment horizontal="center" vertical="center"/>
    </xf>
    <xf numFmtId="0" fontId="60" fillId="12" borderId="86" xfId="10" applyFont="1" applyFill="1" applyBorder="1" applyAlignment="1">
      <alignment horizontal="center" vertical="center"/>
    </xf>
    <xf numFmtId="0" fontId="37" fillId="0" borderId="50" xfId="0" applyFont="1" applyBorder="1" applyAlignment="1" applyProtection="1">
      <alignment horizontal="center" vertical="top"/>
      <protection hidden="1"/>
    </xf>
    <xf numFmtId="0" fontId="37" fillId="0" borderId="53" xfId="0" applyFont="1" applyBorder="1" applyAlignment="1" applyProtection="1">
      <alignment horizontal="center" vertical="top"/>
      <protection hidden="1"/>
    </xf>
    <xf numFmtId="0" fontId="37" fillId="0" borderId="52" xfId="0" applyFont="1" applyBorder="1" applyAlignment="1" applyProtection="1">
      <alignment horizontal="center" vertical="top"/>
      <protection hidden="1"/>
    </xf>
    <xf numFmtId="0" fontId="35" fillId="0" borderId="65" xfId="0" applyFont="1" applyBorder="1" applyAlignment="1" applyProtection="1">
      <alignment horizontal="center" vertical="top" wrapText="1"/>
      <protection locked="0"/>
    </xf>
    <xf numFmtId="0" fontId="32" fillId="0" borderId="50" xfId="0" applyFont="1" applyBorder="1" applyAlignment="1" applyProtection="1">
      <alignment horizontal="center" vertical="top"/>
      <protection hidden="1"/>
    </xf>
    <xf numFmtId="0" fontId="32" fillId="0" borderId="53" xfId="0" applyFont="1" applyBorder="1" applyAlignment="1" applyProtection="1">
      <alignment horizontal="center" vertical="top"/>
      <protection hidden="1"/>
    </xf>
    <xf numFmtId="0" fontId="32" fillId="0" borderId="52" xfId="0" applyFont="1" applyBorder="1" applyAlignment="1" applyProtection="1">
      <alignment horizontal="center" vertical="top"/>
      <protection hidden="1"/>
    </xf>
    <xf numFmtId="0" fontId="60" fillId="0" borderId="85" xfId="10" applyFont="1" applyBorder="1" applyAlignment="1" applyProtection="1">
      <alignment horizontal="center" vertical="center" wrapText="1"/>
      <protection hidden="1"/>
    </xf>
    <xf numFmtId="9" fontId="59" fillId="0" borderId="85" xfId="10" applyNumberFormat="1" applyFont="1" applyBorder="1" applyAlignment="1" applyProtection="1">
      <alignment horizontal="center" vertical="center" wrapText="1"/>
      <protection hidden="1"/>
    </xf>
    <xf numFmtId="9" fontId="59" fillId="0" borderId="85" xfId="10" applyNumberFormat="1" applyFont="1" applyBorder="1" applyAlignment="1" applyProtection="1">
      <alignment horizontal="center" vertical="center" wrapText="1"/>
      <protection locked="0"/>
    </xf>
    <xf numFmtId="14" fontId="59" fillId="0" borderId="87" xfId="10" applyNumberFormat="1" applyFont="1" applyBorder="1" applyAlignment="1" applyProtection="1">
      <alignment horizontal="center" vertical="center"/>
      <protection locked="0"/>
    </xf>
    <xf numFmtId="0" fontId="59" fillId="0" borderId="86" xfId="10" applyFont="1" applyBorder="1" applyAlignment="1" applyProtection="1">
      <alignment horizontal="center" vertical="center"/>
      <protection locked="0"/>
    </xf>
    <xf numFmtId="0" fontId="59" fillId="0" borderId="85" xfId="10" applyFont="1" applyBorder="1" applyAlignment="1" applyProtection="1">
      <alignment horizontal="center" vertical="center" wrapText="1"/>
      <protection locked="0"/>
    </xf>
    <xf numFmtId="0" fontId="59" fillId="0" borderId="85" xfId="10" applyFont="1" applyBorder="1" applyAlignment="1">
      <alignment horizontal="center" vertical="center"/>
    </xf>
    <xf numFmtId="0" fontId="34" fillId="0" borderId="84" xfId="10" applyFont="1" applyBorder="1" applyAlignment="1" applyProtection="1">
      <alignment horizontal="center" vertical="center" wrapText="1"/>
      <protection locked="0"/>
    </xf>
    <xf numFmtId="0" fontId="77" fillId="0" borderId="84" xfId="10" applyFont="1" applyBorder="1" applyAlignment="1" applyProtection="1">
      <alignment horizontal="center" vertical="center" wrapText="1"/>
      <protection locked="0"/>
    </xf>
    <xf numFmtId="0" fontId="59" fillId="0" borderId="85" xfId="10" applyFont="1" applyBorder="1" applyAlignment="1" applyProtection="1">
      <alignment horizontal="center" vertical="top" wrapText="1"/>
      <protection locked="0"/>
    </xf>
    <xf numFmtId="0" fontId="34" fillId="0" borderId="85" xfId="10" applyFont="1" applyBorder="1" applyAlignment="1" applyProtection="1">
      <alignment horizontal="center" vertical="center" wrapText="1"/>
      <protection locked="0"/>
    </xf>
    <xf numFmtId="14" fontId="59" fillId="0" borderId="86" xfId="10" applyNumberFormat="1" applyFont="1" applyBorder="1" applyAlignment="1" applyProtection="1">
      <alignment horizontal="center" vertical="center"/>
      <protection locked="0"/>
    </xf>
    <xf numFmtId="0" fontId="59" fillId="0" borderId="85" xfId="10" applyFont="1" applyBorder="1" applyAlignment="1" applyProtection="1">
      <alignment horizontal="center" vertical="center"/>
      <protection locked="0"/>
    </xf>
    <xf numFmtId="0" fontId="79" fillId="8" borderId="54" xfId="7" applyFont="1" applyFill="1" applyBorder="1" applyAlignment="1">
      <alignment horizontal="center" vertical="center"/>
    </xf>
    <xf numFmtId="0" fontId="79" fillId="8" borderId="37" xfId="7" applyFont="1" applyFill="1" applyAlignment="1">
      <alignment horizontal="center" vertical="center"/>
    </xf>
    <xf numFmtId="0" fontId="26" fillId="8" borderId="91" xfId="7" applyFont="1" applyFill="1" applyBorder="1" applyAlignment="1">
      <alignment horizontal="center" vertical="center"/>
    </xf>
    <xf numFmtId="0" fontId="26" fillId="8" borderId="92" xfId="7" applyFont="1" applyFill="1" applyBorder="1" applyAlignment="1">
      <alignment horizontal="center" vertical="center"/>
    </xf>
    <xf numFmtId="0" fontId="75" fillId="12" borderId="85" xfId="10" applyFont="1" applyFill="1" applyBorder="1" applyAlignment="1">
      <alignment horizontal="center" vertical="center"/>
    </xf>
    <xf numFmtId="0" fontId="30" fillId="9" borderId="49" xfId="0" applyFont="1" applyFill="1" applyBorder="1" applyAlignment="1" applyProtection="1">
      <alignment horizontal="left" vertical="center"/>
      <protection locked="0"/>
    </xf>
    <xf numFmtId="0" fontId="30" fillId="9" borderId="49" xfId="0" applyFont="1" applyFill="1" applyBorder="1" applyAlignment="1" applyProtection="1">
      <alignment horizontal="left" vertical="center" wrapText="1"/>
      <protection locked="0"/>
    </xf>
    <xf numFmtId="0" fontId="32" fillId="8" borderId="50"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2" fillId="8" borderId="51" xfId="0" applyFont="1" applyFill="1" applyBorder="1" applyAlignment="1">
      <alignment horizontal="center" vertical="center" wrapText="1"/>
    </xf>
    <xf numFmtId="0" fontId="39" fillId="8" borderId="47" xfId="7" applyFont="1" applyFill="1" applyBorder="1" applyAlignment="1">
      <alignment horizontal="center" vertical="center"/>
    </xf>
    <xf numFmtId="0" fontId="39" fillId="8" borderId="48" xfId="7" applyFont="1" applyFill="1" applyBorder="1" applyAlignment="1">
      <alignment horizontal="center" vertical="center"/>
    </xf>
    <xf numFmtId="0" fontId="39" fillId="8" borderId="51" xfId="7" applyFont="1" applyFill="1" applyBorder="1" applyAlignment="1">
      <alignment horizontal="center" vertical="center"/>
    </xf>
    <xf numFmtId="0" fontId="39" fillId="8" borderId="50" xfId="7" applyFont="1" applyFill="1" applyBorder="1" applyAlignment="1">
      <alignment horizontal="center" vertical="center"/>
    </xf>
    <xf numFmtId="0" fontId="57" fillId="12" borderId="84" xfId="10" applyFont="1" applyFill="1" applyBorder="1" applyAlignment="1">
      <alignment horizontal="left" vertical="center"/>
    </xf>
    <xf numFmtId="0" fontId="58" fillId="13" borderId="85" xfId="10" applyFont="1" applyFill="1" applyBorder="1" applyAlignment="1" applyProtection="1">
      <alignment horizontal="left" vertical="center"/>
      <protection locked="0"/>
    </xf>
    <xf numFmtId="0" fontId="32" fillId="7" borderId="75" xfId="7" applyFont="1" applyFill="1" applyBorder="1" applyAlignment="1">
      <alignment horizontal="center" vertical="center" wrapText="1"/>
    </xf>
    <xf numFmtId="0" fontId="30" fillId="0" borderId="73" xfId="7" applyFont="1" applyBorder="1" applyAlignment="1">
      <alignment horizontal="center" vertical="top"/>
    </xf>
    <xf numFmtId="0" fontId="12" fillId="0" borderId="68" xfId="7" applyFont="1" applyBorder="1" applyAlignment="1">
      <alignment horizontal="left" vertical="center"/>
    </xf>
    <xf numFmtId="0" fontId="12" fillId="0" borderId="83" xfId="7" applyFont="1" applyBorder="1" applyAlignment="1">
      <alignment horizontal="left" vertical="center"/>
    </xf>
    <xf numFmtId="0" fontId="32" fillId="7" borderId="67" xfId="7" applyFont="1" applyFill="1" applyBorder="1" applyAlignment="1">
      <alignment horizontal="center" vertical="center"/>
    </xf>
    <xf numFmtId="0" fontId="33" fillId="7" borderId="73" xfId="7" applyFont="1" applyFill="1" applyBorder="1" applyAlignment="1">
      <alignment horizontal="center" vertical="center" textRotation="90"/>
    </xf>
    <xf numFmtId="0" fontId="32" fillId="7" borderId="73" xfId="7" applyFont="1" applyFill="1" applyBorder="1" applyAlignment="1">
      <alignment horizontal="center" vertical="center"/>
    </xf>
    <xf numFmtId="0" fontId="62" fillId="0" borderId="85" xfId="10" applyFont="1" applyBorder="1" applyAlignment="1" applyProtection="1">
      <alignment horizontal="center" vertical="center" wrapText="1"/>
      <protection locked="0"/>
    </xf>
    <xf numFmtId="0" fontId="59" fillId="0" borderId="90" xfId="10" applyFont="1" applyBorder="1" applyAlignment="1" applyProtection="1">
      <alignment horizontal="center" vertical="center" wrapText="1"/>
      <protection locked="0"/>
    </xf>
    <xf numFmtId="0" fontId="77" fillId="0" borderId="85" xfId="10" applyFont="1" applyBorder="1" applyAlignment="1" applyProtection="1">
      <alignment horizontal="center" vertical="center"/>
      <protection locked="0"/>
    </xf>
    <xf numFmtId="0" fontId="59" fillId="13" borderId="85" xfId="10" applyFont="1" applyFill="1" applyBorder="1" applyAlignment="1">
      <alignment horizontal="center" vertical="center" wrapText="1"/>
    </xf>
    <xf numFmtId="0" fontId="58" fillId="0" borderId="86" xfId="10" applyFont="1" applyBorder="1" applyAlignment="1" applyProtection="1">
      <alignment horizontal="center" vertical="center" wrapText="1"/>
      <protection locked="0"/>
    </xf>
    <xf numFmtId="0" fontId="31" fillId="7" borderId="78" xfId="7" applyFont="1" applyFill="1" applyBorder="1" applyAlignment="1">
      <alignment horizontal="center" vertical="center" wrapText="1"/>
    </xf>
    <xf numFmtId="14" fontId="58" fillId="0" borderId="87" xfId="10" applyNumberFormat="1" applyFont="1" applyBorder="1" applyAlignment="1" applyProtection="1">
      <alignment horizontal="center" vertical="center"/>
      <protection locked="0"/>
    </xf>
    <xf numFmtId="14" fontId="58" fillId="0" borderId="86" xfId="10" applyNumberFormat="1" applyFont="1" applyBorder="1" applyAlignment="1" applyProtection="1">
      <alignment horizontal="center" vertical="center"/>
      <protection locked="0"/>
    </xf>
    <xf numFmtId="166" fontId="58" fillId="0" borderId="85" xfId="9" applyFont="1" applyBorder="1" applyAlignment="1" applyProtection="1">
      <alignment horizontal="center" vertical="top" textRotation="90" wrapText="1"/>
      <protection locked="0"/>
    </xf>
    <xf numFmtId="164" fontId="31" fillId="0" borderId="73" xfId="7" applyNumberFormat="1" applyFont="1" applyBorder="1" applyAlignment="1">
      <alignment horizontal="center" vertical="center" wrapText="1"/>
    </xf>
    <xf numFmtId="9" fontId="58" fillId="0" borderId="85" xfId="10" applyNumberFormat="1" applyFont="1" applyBorder="1" applyAlignment="1" applyProtection="1">
      <alignment horizontal="center" vertical="center" wrapText="1"/>
      <protection hidden="1"/>
    </xf>
    <xf numFmtId="0" fontId="58" fillId="0" borderId="85" xfId="10" applyFont="1" applyBorder="1" applyAlignment="1" applyProtection="1">
      <alignment horizontal="center" vertical="center" textRotation="90"/>
      <protection locked="0"/>
    </xf>
    <xf numFmtId="0" fontId="59" fillId="13" borderId="87" xfId="10" applyFont="1" applyFill="1" applyBorder="1" applyAlignment="1" applyProtection="1">
      <alignment horizontal="center" vertical="center" wrapText="1"/>
      <protection locked="0"/>
    </xf>
    <xf numFmtId="0" fontId="59" fillId="13" borderId="86" xfId="10" applyFont="1" applyFill="1" applyBorder="1" applyAlignment="1" applyProtection="1">
      <alignment horizontal="center" vertical="center" wrapText="1"/>
      <protection locked="0"/>
    </xf>
    <xf numFmtId="0" fontId="54" fillId="13" borderId="85" xfId="10" applyFont="1" applyFill="1" applyBorder="1" applyAlignment="1" applyProtection="1">
      <alignment horizontal="center" vertical="center"/>
      <protection locked="0"/>
    </xf>
    <xf numFmtId="9" fontId="58" fillId="0" borderId="85" xfId="10" applyNumberFormat="1" applyFont="1" applyBorder="1" applyAlignment="1" applyProtection="1">
      <alignment horizontal="center" vertical="center" wrapText="1"/>
      <protection locked="0"/>
    </xf>
    <xf numFmtId="9" fontId="58" fillId="0" borderId="85" xfId="10" applyNumberFormat="1" applyFont="1" applyBorder="1" applyAlignment="1" applyProtection="1">
      <alignment horizontal="center" vertical="top" wrapText="1"/>
      <protection hidden="1"/>
    </xf>
    <xf numFmtId="0" fontId="63" fillId="0" borderId="85" xfId="10" applyFont="1" applyBorder="1" applyAlignment="1" applyProtection="1">
      <alignment horizontal="center" vertical="center" wrapText="1"/>
      <protection hidden="1"/>
    </xf>
    <xf numFmtId="0" fontId="59" fillId="13" borderId="85" xfId="10" applyFont="1" applyFill="1" applyBorder="1" applyAlignment="1" applyProtection="1">
      <alignment horizontal="center" vertical="center" wrapText="1"/>
      <protection locked="0"/>
    </xf>
    <xf numFmtId="0" fontId="58" fillId="13" borderId="85" xfId="10" applyFont="1" applyFill="1" applyBorder="1" applyAlignment="1" applyProtection="1">
      <alignment horizontal="center" vertical="center" wrapText="1"/>
      <protection locked="0"/>
    </xf>
    <xf numFmtId="0" fontId="34" fillId="13" borderId="86" xfId="10" applyFont="1" applyFill="1" applyBorder="1" applyAlignment="1">
      <alignment horizontal="center" vertical="center" wrapText="1"/>
    </xf>
    <xf numFmtId="0" fontId="34" fillId="13" borderId="85" xfId="10" applyFont="1" applyFill="1" applyBorder="1" applyAlignment="1" applyProtection="1">
      <alignment horizontal="center" vertical="center" wrapText="1"/>
      <protection locked="0"/>
    </xf>
    <xf numFmtId="0" fontId="59" fillId="13" borderId="90" xfId="10" applyFont="1" applyFill="1" applyBorder="1" applyAlignment="1" applyProtection="1">
      <alignment horizontal="center" vertical="center" wrapText="1"/>
      <protection locked="0"/>
    </xf>
    <xf numFmtId="0" fontId="60" fillId="12" borderId="85" xfId="10" applyFont="1" applyFill="1" applyBorder="1" applyAlignment="1">
      <alignment horizontal="center" vertical="center" textRotation="90" wrapText="1"/>
    </xf>
    <xf numFmtId="0" fontId="60" fillId="12" borderId="89" xfId="10" applyFont="1" applyFill="1" applyBorder="1" applyAlignment="1">
      <alignment horizontal="center" vertical="center" wrapText="1"/>
    </xf>
    <xf numFmtId="0" fontId="60" fillId="12" borderId="89" xfId="10" applyFont="1" applyFill="1" applyBorder="1" applyAlignment="1">
      <alignment horizontal="center" vertical="center"/>
    </xf>
    <xf numFmtId="0" fontId="60" fillId="12" borderId="86" xfId="10" applyFont="1" applyFill="1" applyBorder="1" applyAlignment="1">
      <alignment horizontal="center" vertical="center" wrapText="1"/>
    </xf>
    <xf numFmtId="0" fontId="61" fillId="12" borderId="85" xfId="10" applyFont="1" applyFill="1" applyBorder="1" applyAlignment="1">
      <alignment horizontal="center" vertical="center" textRotation="90"/>
    </xf>
    <xf numFmtId="0" fontId="60" fillId="12" borderId="87" xfId="10" applyFont="1" applyFill="1" applyBorder="1" applyAlignment="1">
      <alignment horizontal="center" vertical="center" wrapText="1"/>
    </xf>
    <xf numFmtId="0" fontId="60" fillId="12" borderId="88" xfId="10" applyFont="1" applyFill="1" applyBorder="1" applyAlignment="1">
      <alignment horizontal="center" vertical="center"/>
    </xf>
    <xf numFmtId="9" fontId="31" fillId="0" borderId="50" xfId="0" applyNumberFormat="1" applyFont="1" applyBorder="1" applyAlignment="1" applyProtection="1">
      <alignment horizontal="center" vertical="top" wrapText="1"/>
      <protection hidden="1"/>
    </xf>
    <xf numFmtId="9" fontId="31" fillId="0" borderId="53" xfId="0" applyNumberFormat="1" applyFont="1" applyBorder="1" applyAlignment="1" applyProtection="1">
      <alignment horizontal="center" vertical="top" wrapText="1"/>
      <protection hidden="1"/>
    </xf>
    <xf numFmtId="9" fontId="31" fillId="0" borderId="52" xfId="0" applyNumberFormat="1" applyFont="1" applyBorder="1" applyAlignment="1" applyProtection="1">
      <alignment horizontal="center" vertical="top" wrapText="1"/>
      <protection hidden="1"/>
    </xf>
    <xf numFmtId="0" fontId="31" fillId="0" borderId="50" xfId="0" applyFont="1" applyBorder="1" applyAlignment="1" applyProtection="1">
      <alignment horizontal="center" vertical="top"/>
      <protection locked="0"/>
    </xf>
    <xf numFmtId="0" fontId="31" fillId="0" borderId="53" xfId="0" applyFont="1" applyBorder="1" applyAlignment="1" applyProtection="1">
      <alignment horizontal="center" vertical="top"/>
      <protection locked="0"/>
    </xf>
    <xf numFmtId="0" fontId="31" fillId="0" borderId="52" xfId="0" applyFont="1" applyBorder="1" applyAlignment="1" applyProtection="1">
      <alignment horizontal="center" vertical="top"/>
      <protection locked="0"/>
    </xf>
    <xf numFmtId="0" fontId="32" fillId="0" borderId="50" xfId="0" applyFont="1" applyBorder="1" applyAlignment="1" applyProtection="1">
      <alignment horizontal="center" vertical="top" wrapText="1"/>
      <protection hidden="1"/>
    </xf>
    <xf numFmtId="0" fontId="32" fillId="0" borderId="53" xfId="0" applyFont="1" applyBorder="1" applyAlignment="1" applyProtection="1">
      <alignment horizontal="center" vertical="top" wrapText="1"/>
      <protection hidden="1"/>
    </xf>
    <xf numFmtId="0" fontId="32" fillId="0" borderId="52" xfId="0" applyFont="1" applyBorder="1" applyAlignment="1" applyProtection="1">
      <alignment horizontal="center" vertical="top" wrapText="1"/>
      <protection hidden="1"/>
    </xf>
    <xf numFmtId="9" fontId="31" fillId="0" borderId="50" xfId="0" applyNumberFormat="1" applyFont="1" applyBorder="1" applyAlignment="1" applyProtection="1">
      <alignment horizontal="center" vertical="top" wrapText="1"/>
      <protection locked="0"/>
    </xf>
    <xf numFmtId="9" fontId="31" fillId="0" borderId="53" xfId="0" applyNumberFormat="1" applyFont="1" applyBorder="1" applyAlignment="1" applyProtection="1">
      <alignment horizontal="center" vertical="top" wrapText="1"/>
      <protection locked="0"/>
    </xf>
    <xf numFmtId="9" fontId="31" fillId="0" borderId="52" xfId="0" applyNumberFormat="1" applyFont="1" applyBorder="1" applyAlignment="1" applyProtection="1">
      <alignment horizontal="center" vertical="top" wrapText="1"/>
      <protection locked="0"/>
    </xf>
    <xf numFmtId="0" fontId="32" fillId="8" borderId="51" xfId="0" applyFont="1" applyFill="1" applyBorder="1" applyAlignment="1">
      <alignment horizontal="center" vertical="center" textRotation="90" wrapText="1"/>
    </xf>
    <xf numFmtId="0" fontId="32" fillId="8" borderId="54" xfId="0" applyFont="1" applyFill="1" applyBorder="1" applyAlignment="1">
      <alignment horizontal="center" vertical="center"/>
    </xf>
    <xf numFmtId="0" fontId="32" fillId="8" borderId="44" xfId="0" applyFont="1" applyFill="1" applyBorder="1" applyAlignment="1">
      <alignment horizontal="center" vertical="center"/>
    </xf>
    <xf numFmtId="0" fontId="32" fillId="8" borderId="54" xfId="0" applyFont="1" applyFill="1" applyBorder="1" applyAlignment="1">
      <alignment horizontal="center" vertical="center" wrapText="1"/>
    </xf>
    <xf numFmtId="0" fontId="32" fillId="8" borderId="52" xfId="0" applyFont="1" applyFill="1" applyBorder="1" applyAlignment="1">
      <alignment horizontal="center" vertical="center"/>
    </xf>
    <xf numFmtId="0" fontId="32" fillId="8" borderId="50" xfId="0" applyFont="1" applyFill="1" applyBorder="1" applyAlignment="1">
      <alignment horizontal="center" vertical="center"/>
    </xf>
    <xf numFmtId="0" fontId="32" fillId="8" borderId="53" xfId="0" applyFont="1" applyFill="1" applyBorder="1" applyAlignment="1">
      <alignment horizontal="center" vertical="center" wrapText="1"/>
    </xf>
    <xf numFmtId="9" fontId="30" fillId="0" borderId="50" xfId="0" applyNumberFormat="1" applyFont="1" applyBorder="1" applyAlignment="1" applyProtection="1">
      <alignment horizontal="center" vertical="top" wrapText="1"/>
      <protection hidden="1"/>
    </xf>
    <xf numFmtId="9" fontId="30" fillId="0" borderId="53" xfId="0" applyNumberFormat="1" applyFont="1" applyBorder="1" applyAlignment="1" applyProtection="1">
      <alignment horizontal="center" vertical="top" wrapText="1"/>
      <protection hidden="1"/>
    </xf>
    <xf numFmtId="9" fontId="30" fillId="0" borderId="52" xfId="0" applyNumberFormat="1" applyFont="1" applyBorder="1" applyAlignment="1" applyProtection="1">
      <alignment horizontal="center" vertical="top" wrapText="1"/>
      <protection hidden="1"/>
    </xf>
    <xf numFmtId="0" fontId="37" fillId="0" borderId="50" xfId="0" applyFont="1" applyBorder="1" applyAlignment="1" applyProtection="1">
      <alignment horizontal="center" vertical="top" wrapText="1"/>
      <protection hidden="1"/>
    </xf>
    <xf numFmtId="0" fontId="37" fillId="0" borderId="53" xfId="0" applyFont="1" applyBorder="1" applyAlignment="1" applyProtection="1">
      <alignment horizontal="center" vertical="top" wrapText="1"/>
      <protection hidden="1"/>
    </xf>
    <xf numFmtId="0" fontId="37" fillId="0" borderId="52" xfId="0" applyFont="1" applyBorder="1" applyAlignment="1" applyProtection="1">
      <alignment horizontal="center" vertical="top" wrapText="1"/>
      <protection hidden="1"/>
    </xf>
    <xf numFmtId="0" fontId="31" fillId="0" borderId="50" xfId="0" applyFont="1" applyBorder="1" applyAlignment="1">
      <alignment horizontal="center" vertical="center"/>
    </xf>
    <xf numFmtId="0" fontId="31" fillId="0" borderId="53" xfId="0" applyFont="1" applyBorder="1" applyAlignment="1">
      <alignment horizontal="center" vertical="center"/>
    </xf>
    <xf numFmtId="0" fontId="31" fillId="0" borderId="52" xfId="0" applyFont="1" applyBorder="1" applyAlignment="1">
      <alignment horizontal="center" vertical="center"/>
    </xf>
    <xf numFmtId="0" fontId="31" fillId="0" borderId="50" xfId="0" applyFont="1" applyBorder="1" applyAlignment="1" applyProtection="1">
      <alignment horizontal="center" vertical="top" wrapText="1"/>
      <protection locked="0"/>
    </xf>
    <xf numFmtId="0" fontId="31" fillId="0" borderId="53" xfId="0" applyFont="1" applyBorder="1" applyAlignment="1" applyProtection="1">
      <alignment horizontal="center" vertical="top" wrapText="1"/>
      <protection locked="0"/>
    </xf>
    <xf numFmtId="0" fontId="31" fillId="0" borderId="52" xfId="0" applyFont="1" applyBorder="1" applyAlignment="1" applyProtection="1">
      <alignment horizontal="center" vertical="top" wrapText="1"/>
      <protection locked="0"/>
    </xf>
    <xf numFmtId="0" fontId="31" fillId="0" borderId="41" xfId="0" applyFont="1" applyBorder="1" applyAlignment="1" applyProtection="1">
      <alignment horizontal="center" vertical="top" wrapText="1"/>
      <protection locked="0"/>
    </xf>
    <xf numFmtId="0" fontId="31" fillId="0" borderId="54" xfId="0" applyFont="1" applyBorder="1" applyAlignment="1" applyProtection="1">
      <alignment horizontal="center" vertical="top" wrapText="1"/>
      <protection locked="0"/>
    </xf>
    <xf numFmtId="0" fontId="31" fillId="0" borderId="44" xfId="0" applyFont="1" applyBorder="1" applyAlignment="1" applyProtection="1">
      <alignment horizontal="center" vertical="top" wrapText="1"/>
      <protection locked="0"/>
    </xf>
    <xf numFmtId="0" fontId="34" fillId="0" borderId="49" xfId="0" applyFont="1" applyBorder="1" applyAlignment="1" applyProtection="1">
      <alignment horizontal="center" vertical="top" wrapText="1"/>
      <protection locked="0"/>
    </xf>
    <xf numFmtId="0" fontId="31" fillId="0" borderId="43" xfId="0" applyFont="1" applyBorder="1" applyAlignment="1" applyProtection="1">
      <alignment horizontal="center" vertical="top" wrapText="1"/>
      <protection locked="0"/>
    </xf>
    <xf numFmtId="0" fontId="31" fillId="0" borderId="56" xfId="0" applyFont="1" applyBorder="1" applyAlignment="1" applyProtection="1">
      <alignment horizontal="center" vertical="top" wrapText="1"/>
      <protection locked="0"/>
    </xf>
    <xf numFmtId="0" fontId="31" fillId="0" borderId="46" xfId="0" applyFont="1" applyBorder="1" applyAlignment="1" applyProtection="1">
      <alignment horizontal="center" vertical="top" wrapText="1"/>
      <protection locked="0"/>
    </xf>
    <xf numFmtId="0" fontId="35" fillId="0" borderId="49" xfId="0" applyFont="1" applyBorder="1" applyAlignment="1" applyProtection="1">
      <alignment horizontal="center" vertical="top" wrapText="1"/>
      <protection locked="0"/>
    </xf>
    <xf numFmtId="0" fontId="30" fillId="0" borderId="43" xfId="0" applyFont="1" applyBorder="1" applyAlignment="1" applyProtection="1">
      <alignment horizontal="center" vertical="top" wrapText="1"/>
      <protection locked="0"/>
    </xf>
    <xf numFmtId="0" fontId="30" fillId="0" borderId="56" xfId="0" applyFont="1" applyBorder="1" applyAlignment="1" applyProtection="1">
      <alignment horizontal="center" vertical="top" wrapText="1"/>
      <protection locked="0"/>
    </xf>
    <xf numFmtId="0" fontId="30" fillId="0" borderId="46" xfId="0" applyFont="1" applyBorder="1" applyAlignment="1" applyProtection="1">
      <alignment horizontal="center" vertical="top" wrapText="1"/>
      <protection locked="0"/>
    </xf>
    <xf numFmtId="0" fontId="30" fillId="0" borderId="50" xfId="0" applyFont="1" applyBorder="1" applyAlignment="1" applyProtection="1">
      <alignment horizontal="center" vertical="top"/>
      <protection locked="0"/>
    </xf>
    <xf numFmtId="0" fontId="30" fillId="0" borderId="53" xfId="0" applyFont="1" applyBorder="1" applyAlignment="1" applyProtection="1">
      <alignment horizontal="center" vertical="top"/>
      <protection locked="0"/>
    </xf>
    <xf numFmtId="0" fontId="30" fillId="0" borderId="52" xfId="0" applyFont="1" applyBorder="1" applyAlignment="1" applyProtection="1">
      <alignment horizontal="center" vertical="top"/>
      <protection locked="0"/>
    </xf>
    <xf numFmtId="9" fontId="30" fillId="0" borderId="50" xfId="0" applyNumberFormat="1" applyFont="1" applyBorder="1" applyAlignment="1" applyProtection="1">
      <alignment horizontal="center" vertical="top" wrapText="1"/>
      <protection locked="0"/>
    </xf>
    <xf numFmtId="9" fontId="30" fillId="0" borderId="53" xfId="0" applyNumberFormat="1" applyFont="1" applyBorder="1" applyAlignment="1" applyProtection="1">
      <alignment horizontal="center" vertical="top" wrapText="1"/>
      <protection locked="0"/>
    </xf>
    <xf numFmtId="9" fontId="30" fillId="0" borderId="52" xfId="0" applyNumberFormat="1" applyFont="1" applyBorder="1" applyAlignment="1" applyProtection="1">
      <alignment horizontal="center" vertical="top" wrapText="1"/>
      <protection locked="0"/>
    </xf>
    <xf numFmtId="0" fontId="26" fillId="8" borderId="47" xfId="7" applyFont="1" applyFill="1" applyBorder="1" applyAlignment="1">
      <alignment horizontal="center" vertical="center"/>
    </xf>
    <xf numFmtId="0" fontId="26" fillId="8" borderId="48" xfId="7" applyFont="1" applyFill="1" applyBorder="1" applyAlignment="1">
      <alignment horizontal="center" vertical="center"/>
    </xf>
    <xf numFmtId="0" fontId="26" fillId="8" borderId="45" xfId="7" applyFont="1" applyFill="1" applyBorder="1" applyAlignment="1">
      <alignment horizontal="center" vertical="center"/>
    </xf>
    <xf numFmtId="0" fontId="26" fillId="8" borderId="46" xfId="7" applyFont="1" applyFill="1" applyBorder="1" applyAlignment="1">
      <alignment horizontal="center" vertical="center"/>
    </xf>
    <xf numFmtId="0" fontId="26" fillId="8" borderId="44" xfId="7" applyFont="1" applyFill="1" applyBorder="1" applyAlignment="1">
      <alignment horizontal="center" vertical="center"/>
    </xf>
    <xf numFmtId="0" fontId="33" fillId="8" borderId="50" xfId="0" applyFont="1" applyFill="1" applyBorder="1" applyAlignment="1">
      <alignment horizontal="center" vertical="center" textRotation="90"/>
    </xf>
    <xf numFmtId="0" fontId="33" fillId="8" borderId="52" xfId="0" applyFont="1" applyFill="1" applyBorder="1" applyAlignment="1">
      <alignment horizontal="center" vertical="center" textRotation="90"/>
    </xf>
    <xf numFmtId="0" fontId="32" fillId="8" borderId="51" xfId="0" applyFont="1" applyFill="1" applyBorder="1" applyAlignment="1">
      <alignment horizontal="center" vertical="center"/>
    </xf>
    <xf numFmtId="0" fontId="26" fillId="8" borderId="47" xfId="7" applyFont="1" applyFill="1" applyBorder="1" applyAlignment="1">
      <alignment horizontal="left" vertical="center"/>
    </xf>
    <xf numFmtId="0" fontId="26" fillId="8" borderId="48" xfId="7" applyFont="1" applyFill="1" applyBorder="1" applyAlignment="1">
      <alignment horizontal="left" vertical="center"/>
    </xf>
    <xf numFmtId="0" fontId="26" fillId="8" borderId="41" xfId="14" applyFont="1" applyFill="1" applyBorder="1" applyAlignment="1">
      <alignment horizontal="center" vertical="center"/>
    </xf>
    <xf numFmtId="0" fontId="26" fillId="8" borderId="42" xfId="14" applyFont="1" applyFill="1" applyBorder="1" applyAlignment="1">
      <alignment horizontal="center" vertical="center"/>
    </xf>
    <xf numFmtId="0" fontId="26" fillId="8" borderId="43" xfId="14" applyFont="1" applyFill="1" applyBorder="1" applyAlignment="1">
      <alignment horizontal="center" vertical="center"/>
    </xf>
    <xf numFmtId="0" fontId="26" fillId="8" borderId="44" xfId="14" applyFont="1" applyFill="1" applyBorder="1" applyAlignment="1">
      <alignment horizontal="center" vertical="center"/>
    </xf>
    <xf numFmtId="0" fontId="26" fillId="8" borderId="45" xfId="14" applyFont="1" applyFill="1" applyBorder="1" applyAlignment="1">
      <alignment horizontal="center" vertical="center"/>
    </xf>
    <xf numFmtId="0" fontId="26" fillId="8" borderId="46" xfId="14" applyFont="1" applyFill="1" applyBorder="1" applyAlignment="1">
      <alignment horizontal="center" vertical="center"/>
    </xf>
    <xf numFmtId="0" fontId="26" fillId="8" borderId="47" xfId="14" applyFont="1" applyFill="1" applyBorder="1" applyAlignment="1">
      <alignment horizontal="left" vertical="center"/>
    </xf>
    <xf numFmtId="0" fontId="26" fillId="8" borderId="48" xfId="14" applyFont="1" applyFill="1" applyBorder="1" applyAlignment="1">
      <alignment horizontal="left" vertical="center"/>
    </xf>
    <xf numFmtId="0" fontId="27" fillId="9" borderId="49" xfId="14" applyFont="1" applyFill="1" applyBorder="1" applyAlignment="1" applyProtection="1">
      <alignment horizontal="left" vertical="center"/>
      <protection locked="0"/>
    </xf>
    <xf numFmtId="0" fontId="27" fillId="9" borderId="49" xfId="14" applyFont="1" applyFill="1" applyBorder="1" applyAlignment="1" applyProtection="1">
      <alignment horizontal="left" vertical="center" wrapText="1"/>
      <protection locked="0"/>
    </xf>
    <xf numFmtId="0" fontId="30" fillId="0" borderId="50" xfId="0" applyFont="1" applyBorder="1" applyAlignment="1" applyProtection="1">
      <alignment horizontal="center" vertical="top" wrapText="1"/>
      <protection locked="0"/>
    </xf>
    <xf numFmtId="0" fontId="30" fillId="0" borderId="53" xfId="0" applyFont="1" applyBorder="1" applyAlignment="1" applyProtection="1">
      <alignment horizontal="center" vertical="top" wrapText="1"/>
      <protection locked="0"/>
    </xf>
    <xf numFmtId="0" fontId="30" fillId="0" borderId="52" xfId="0" applyFont="1" applyBorder="1" applyAlignment="1" applyProtection="1">
      <alignment horizontal="center" vertical="top" wrapText="1"/>
      <protection locked="0"/>
    </xf>
    <xf numFmtId="0" fontId="30" fillId="0" borderId="41" xfId="0" applyFont="1" applyBorder="1" applyAlignment="1" applyProtection="1">
      <alignment horizontal="center" vertical="top" wrapText="1"/>
      <protection locked="0"/>
    </xf>
    <xf numFmtId="0" fontId="30" fillId="0" borderId="54" xfId="0" applyFont="1" applyBorder="1" applyAlignment="1" applyProtection="1">
      <alignment horizontal="center" vertical="top" wrapText="1"/>
      <protection locked="0"/>
    </xf>
    <xf numFmtId="0" fontId="30" fillId="0" borderId="44" xfId="0" applyFont="1" applyBorder="1" applyAlignment="1" applyProtection="1">
      <alignment horizontal="center" vertical="top" wrapText="1"/>
      <protection locked="0"/>
    </xf>
    <xf numFmtId="0" fontId="32" fillId="8" borderId="50" xfId="0" applyFont="1" applyFill="1" applyBorder="1" applyAlignment="1">
      <alignment horizontal="center" vertical="center" textRotation="90" wrapText="1"/>
    </xf>
    <xf numFmtId="0" fontId="32" fillId="8" borderId="52" xfId="0" applyFont="1" applyFill="1" applyBorder="1" applyAlignment="1">
      <alignment horizontal="center" vertical="center" textRotation="90" wrapText="1"/>
    </xf>
    <xf numFmtId="0" fontId="26" fillId="8" borderId="47" xfId="14" applyFont="1" applyFill="1" applyBorder="1" applyAlignment="1">
      <alignment horizontal="center" vertical="center"/>
    </xf>
    <xf numFmtId="0" fontId="26" fillId="8" borderId="48" xfId="14" applyFont="1" applyFill="1" applyBorder="1" applyAlignment="1">
      <alignment horizontal="center" vertical="center"/>
    </xf>
    <xf numFmtId="0" fontId="26" fillId="8" borderId="50" xfId="14" applyFont="1" applyFill="1" applyBorder="1" applyAlignment="1">
      <alignment horizontal="center" vertical="center" textRotation="90"/>
    </xf>
    <xf numFmtId="0" fontId="26" fillId="8" borderId="52" xfId="14" applyFont="1" applyFill="1" applyBorder="1" applyAlignment="1">
      <alignment horizontal="center" vertical="center" textRotation="90"/>
    </xf>
    <xf numFmtId="0" fontId="26" fillId="8" borderId="51" xfId="14" applyFont="1" applyFill="1" applyBorder="1" applyAlignment="1">
      <alignment horizontal="center" vertical="center"/>
    </xf>
    <xf numFmtId="0" fontId="26" fillId="8" borderId="52" xfId="14" applyFont="1" applyFill="1" applyBorder="1" applyAlignment="1">
      <alignment horizontal="center" vertical="center" wrapText="1"/>
    </xf>
    <xf numFmtId="0" fontId="26" fillId="8" borderId="51" xfId="14" applyFont="1" applyFill="1" applyBorder="1" applyAlignment="1">
      <alignment horizontal="center" vertical="center" wrapText="1"/>
    </xf>
    <xf numFmtId="0" fontId="26" fillId="8" borderId="50" xfId="14" applyFont="1" applyFill="1" applyBorder="1" applyAlignment="1">
      <alignment horizontal="center" vertical="center" wrapText="1"/>
    </xf>
    <xf numFmtId="0" fontId="26" fillId="8" borderId="53" xfId="14" applyFont="1" applyFill="1" applyBorder="1" applyAlignment="1">
      <alignment horizontal="center" vertical="center" wrapText="1"/>
    </xf>
    <xf numFmtId="0" fontId="26" fillId="8" borderId="52" xfId="14" applyFont="1" applyFill="1" applyBorder="1" applyAlignment="1">
      <alignment horizontal="center" vertical="center"/>
    </xf>
    <xf numFmtId="0" fontId="26" fillId="8" borderId="50" xfId="14" applyFont="1" applyFill="1" applyBorder="1" applyAlignment="1">
      <alignment horizontal="center" vertical="center"/>
    </xf>
    <xf numFmtId="0" fontId="26" fillId="8" borderId="54" xfId="14" applyFont="1" applyFill="1" applyBorder="1" applyAlignment="1">
      <alignment horizontal="center" vertical="center"/>
    </xf>
    <xf numFmtId="0" fontId="26" fillId="8" borderId="54" xfId="14" applyFont="1" applyFill="1" applyBorder="1" applyAlignment="1">
      <alignment horizontal="center" vertical="center" wrapText="1"/>
    </xf>
    <xf numFmtId="0" fontId="26" fillId="8" borderId="50" xfId="14" applyFont="1" applyFill="1" applyBorder="1" applyAlignment="1">
      <alignment horizontal="center" vertical="center" textRotation="90" wrapText="1"/>
    </xf>
    <xf numFmtId="0" fontId="26" fillId="8" borderId="52" xfId="14" applyFont="1" applyFill="1" applyBorder="1" applyAlignment="1">
      <alignment horizontal="center" vertical="center" textRotation="90" wrapText="1"/>
    </xf>
    <xf numFmtId="0" fontId="26" fillId="8" borderId="51" xfId="14" applyFont="1" applyFill="1" applyBorder="1" applyAlignment="1">
      <alignment horizontal="center" vertical="center" textRotation="90" wrapText="1"/>
    </xf>
    <xf numFmtId="0" fontId="26" fillId="8" borderId="115" xfId="14" applyFont="1" applyFill="1" applyBorder="1" applyAlignment="1">
      <alignment horizontal="center" vertical="center" wrapText="1"/>
    </xf>
    <xf numFmtId="0" fontId="27" fillId="0" borderId="50" xfId="14" applyFont="1" applyBorder="1" applyAlignment="1">
      <alignment horizontal="center" vertical="center"/>
    </xf>
    <xf numFmtId="0" fontId="27" fillId="0" borderId="53" xfId="14" applyFont="1" applyBorder="1" applyAlignment="1">
      <alignment horizontal="center" vertical="center"/>
    </xf>
    <xf numFmtId="0" fontId="27" fillId="0" borderId="50" xfId="14" applyFont="1" applyBorder="1" applyAlignment="1" applyProtection="1">
      <alignment horizontal="center" vertical="center" wrapText="1"/>
      <protection locked="0"/>
    </xf>
    <xf numFmtId="0" fontId="27" fillId="0" borderId="53" xfId="14" applyFont="1" applyBorder="1" applyAlignment="1" applyProtection="1">
      <alignment horizontal="center" vertical="center" wrapText="1"/>
      <protection locked="0"/>
    </xf>
    <xf numFmtId="0" fontId="27" fillId="0" borderId="41" xfId="14" applyFont="1" applyBorder="1" applyAlignment="1" applyProtection="1">
      <alignment horizontal="center" vertical="center" wrapText="1"/>
      <protection locked="0"/>
    </xf>
    <xf numFmtId="0" fontId="27" fillId="0" borderId="54" xfId="14" applyFont="1" applyBorder="1" applyAlignment="1" applyProtection="1">
      <alignment horizontal="center" vertical="center" wrapText="1"/>
      <protection locked="0"/>
    </xf>
    <xf numFmtId="0" fontId="28" fillId="0" borderId="49" xfId="14" applyFont="1" applyBorder="1" applyAlignment="1" applyProtection="1">
      <alignment horizontal="center" vertical="center" wrapText="1"/>
      <protection locked="0"/>
    </xf>
    <xf numFmtId="0" fontId="27" fillId="0" borderId="43" xfId="14" applyFont="1" applyBorder="1" applyAlignment="1" applyProtection="1">
      <alignment horizontal="center" vertical="center" wrapText="1"/>
      <protection locked="0"/>
    </xf>
    <xf numFmtId="0" fontId="27" fillId="0" borderId="56" xfId="14" applyFont="1" applyBorder="1" applyAlignment="1" applyProtection="1">
      <alignment horizontal="center" vertical="center" wrapText="1"/>
      <protection locked="0"/>
    </xf>
    <xf numFmtId="0" fontId="27" fillId="0" borderId="50" xfId="14" applyFont="1" applyBorder="1" applyAlignment="1" applyProtection="1">
      <alignment horizontal="center" vertical="center"/>
      <protection locked="0"/>
    </xf>
    <xf numFmtId="0" fontId="27" fillId="0" borderId="53" xfId="14" applyFont="1" applyBorder="1" applyAlignment="1" applyProtection="1">
      <alignment horizontal="center" vertical="center"/>
      <protection locked="0"/>
    </xf>
    <xf numFmtId="0" fontId="26" fillId="0" borderId="50" xfId="14" applyFont="1" applyBorder="1" applyAlignment="1" applyProtection="1">
      <alignment horizontal="center" vertical="center" wrapText="1"/>
      <protection hidden="1"/>
    </xf>
    <xf numFmtId="0" fontId="26" fillId="0" borderId="53" xfId="14" applyFont="1" applyBorder="1" applyAlignment="1" applyProtection="1">
      <alignment horizontal="center" vertical="center" wrapText="1"/>
      <protection hidden="1"/>
    </xf>
    <xf numFmtId="9" fontId="27" fillId="0" borderId="50" xfId="14" applyNumberFormat="1" applyFont="1" applyBorder="1" applyAlignment="1" applyProtection="1">
      <alignment horizontal="center" vertical="center" wrapText="1"/>
      <protection hidden="1"/>
    </xf>
    <xf numFmtId="9" fontId="27" fillId="0" borderId="53" xfId="14" applyNumberFormat="1" applyFont="1" applyBorder="1" applyAlignment="1" applyProtection="1">
      <alignment horizontal="center" vertical="center" wrapText="1"/>
      <protection hidden="1"/>
    </xf>
    <xf numFmtId="9" fontId="27" fillId="0" borderId="50" xfId="14" applyNumberFormat="1" applyFont="1" applyBorder="1" applyAlignment="1" applyProtection="1">
      <alignment horizontal="center" vertical="center" wrapText="1"/>
      <protection locked="0"/>
    </xf>
    <xf numFmtId="9" fontId="27" fillId="0" borderId="53" xfId="14" applyNumberFormat="1" applyFont="1" applyBorder="1" applyAlignment="1" applyProtection="1">
      <alignment horizontal="center" vertical="center" wrapText="1"/>
      <protection locked="0"/>
    </xf>
    <xf numFmtId="9" fontId="27" fillId="0" borderId="50" xfId="14" applyNumberFormat="1" applyFont="1" applyBorder="1" applyAlignment="1" applyProtection="1">
      <alignment horizontal="center" vertical="top" wrapText="1"/>
      <protection hidden="1"/>
    </xf>
    <xf numFmtId="9" fontId="27" fillId="0" borderId="53" xfId="14" applyNumberFormat="1" applyFont="1" applyBorder="1" applyAlignment="1" applyProtection="1">
      <alignment horizontal="center" vertical="top" wrapText="1"/>
      <protection hidden="1"/>
    </xf>
    <xf numFmtId="0" fontId="26" fillId="0" borderId="50" xfId="14" applyFont="1" applyBorder="1" applyAlignment="1" applyProtection="1">
      <alignment horizontal="center" vertical="center"/>
      <protection hidden="1"/>
    </xf>
    <xf numFmtId="0" fontId="26" fillId="0" borderId="53" xfId="14" applyFont="1" applyBorder="1" applyAlignment="1" applyProtection="1">
      <alignment horizontal="center" vertical="center"/>
      <protection hidden="1"/>
    </xf>
    <xf numFmtId="0" fontId="27" fillId="0" borderId="50" xfId="14" applyFont="1" applyBorder="1" applyAlignment="1" applyProtection="1">
      <alignment horizontal="center" vertical="center" textRotation="90"/>
      <protection locked="0"/>
    </xf>
    <xf numFmtId="0" fontId="27" fillId="0" borderId="53" xfId="14" applyFont="1" applyBorder="1" applyAlignment="1" applyProtection="1">
      <alignment horizontal="center" vertical="center" textRotation="90"/>
      <protection locked="0"/>
    </xf>
    <xf numFmtId="0" fontId="27" fillId="0" borderId="52" xfId="14" applyFont="1" applyBorder="1" applyAlignment="1" applyProtection="1">
      <alignment horizontal="center" vertical="center" textRotation="90"/>
      <protection locked="0"/>
    </xf>
    <xf numFmtId="0" fontId="27" fillId="0" borderId="52" xfId="14" applyFont="1" applyBorder="1" applyAlignment="1" applyProtection="1">
      <alignment horizontal="center" vertical="center" wrapText="1"/>
      <protection locked="0"/>
    </xf>
    <xf numFmtId="14" fontId="27" fillId="0" borderId="50" xfId="14" applyNumberFormat="1" applyFont="1" applyBorder="1" applyAlignment="1" applyProtection="1">
      <alignment horizontal="center" vertical="center" wrapText="1"/>
      <protection locked="0"/>
    </xf>
    <xf numFmtId="14" fontId="27" fillId="0" borderId="53" xfId="14" applyNumberFormat="1" applyFont="1" applyBorder="1" applyAlignment="1" applyProtection="1">
      <alignment horizontal="center" vertical="center" wrapText="1"/>
      <protection locked="0"/>
    </xf>
    <xf numFmtId="14" fontId="27" fillId="0" borderId="52" xfId="14" applyNumberFormat="1" applyFont="1" applyBorder="1" applyAlignment="1" applyProtection="1">
      <alignment horizontal="center" vertical="center" wrapText="1"/>
      <protection locked="0"/>
    </xf>
    <xf numFmtId="14" fontId="27" fillId="0" borderId="50" xfId="0" applyNumberFormat="1" applyFont="1" applyBorder="1" applyAlignment="1" applyProtection="1">
      <alignment horizontal="center" vertical="center"/>
      <protection locked="0"/>
    </xf>
    <xf numFmtId="14" fontId="27" fillId="0" borderId="53" xfId="0" applyNumberFormat="1" applyFont="1" applyBorder="1" applyAlignment="1" applyProtection="1">
      <alignment horizontal="center" vertical="center"/>
      <protection locked="0"/>
    </xf>
    <xf numFmtId="14" fontId="27" fillId="0" borderId="52" xfId="0" applyNumberFormat="1" applyFont="1" applyBorder="1" applyAlignment="1" applyProtection="1">
      <alignment horizontal="center" vertical="center"/>
      <protection locked="0"/>
    </xf>
    <xf numFmtId="0" fontId="27" fillId="0" borderId="55" xfId="14" applyFont="1" applyBorder="1" applyAlignment="1" applyProtection="1">
      <alignment horizontal="center" vertical="center"/>
      <protection locked="0"/>
    </xf>
    <xf numFmtId="0" fontId="27" fillId="0" borderId="57" xfId="14" applyFont="1" applyBorder="1" applyAlignment="1" applyProtection="1">
      <alignment horizontal="center" vertical="center"/>
      <protection locked="0"/>
    </xf>
    <xf numFmtId="0" fontId="27" fillId="0" borderId="58" xfId="14" applyFont="1" applyBorder="1" applyAlignment="1" applyProtection="1">
      <alignment horizontal="center" vertical="center"/>
      <protection locked="0"/>
    </xf>
    <xf numFmtId="0" fontId="28" fillId="0" borderId="59" xfId="14" applyFont="1" applyBorder="1" applyAlignment="1" applyProtection="1">
      <alignment horizontal="center" vertical="center" wrapText="1"/>
      <protection locked="0"/>
    </xf>
    <xf numFmtId="0" fontId="28" fillId="0" borderId="60" xfId="14" applyFont="1" applyBorder="1" applyAlignment="1" applyProtection="1">
      <alignment horizontal="center" vertical="center" wrapText="1"/>
      <protection locked="0"/>
    </xf>
    <xf numFmtId="0" fontId="31" fillId="0" borderId="50" xfId="0" applyFont="1" applyBorder="1" applyAlignment="1" applyProtection="1">
      <alignment horizontal="center" vertical="center" textRotation="90"/>
      <protection locked="0"/>
    </xf>
    <xf numFmtId="0" fontId="31" fillId="0" borderId="53" xfId="0" applyFont="1" applyBorder="1" applyAlignment="1" applyProtection="1">
      <alignment horizontal="center" vertical="center" textRotation="90"/>
      <protection locked="0"/>
    </xf>
    <xf numFmtId="0" fontId="31" fillId="0" borderId="52" xfId="0" applyFont="1" applyBorder="1" applyAlignment="1" applyProtection="1">
      <alignment horizontal="center" vertical="center" textRotation="90"/>
      <protection locked="0"/>
    </xf>
    <xf numFmtId="164" fontId="31" fillId="0" borderId="50" xfId="16" applyNumberFormat="1" applyFont="1" applyFill="1" applyBorder="1" applyAlignment="1">
      <alignment horizontal="center" vertical="center"/>
    </xf>
    <xf numFmtId="164" fontId="31" fillId="0" borderId="53" xfId="16" applyNumberFormat="1" applyFont="1" applyFill="1" applyBorder="1" applyAlignment="1">
      <alignment horizontal="center" vertical="center"/>
    </xf>
    <xf numFmtId="164" fontId="31" fillId="0" borderId="52" xfId="16" applyNumberFormat="1" applyFont="1" applyFill="1" applyBorder="1" applyAlignment="1">
      <alignment horizontal="center" vertical="center"/>
    </xf>
    <xf numFmtId="0" fontId="32" fillId="0" borderId="50" xfId="0" applyFont="1" applyBorder="1" applyAlignment="1" applyProtection="1">
      <alignment horizontal="center" vertical="center" textRotation="90" wrapText="1"/>
      <protection hidden="1"/>
    </xf>
    <xf numFmtId="0" fontId="32" fillId="0" borderId="53" xfId="0" applyFont="1" applyBorder="1" applyAlignment="1" applyProtection="1">
      <alignment horizontal="center" vertical="center" textRotation="90" wrapText="1"/>
      <protection hidden="1"/>
    </xf>
    <xf numFmtId="0" fontId="32" fillId="0" borderId="52" xfId="0" applyFont="1" applyBorder="1" applyAlignment="1" applyProtection="1">
      <alignment horizontal="center" vertical="center" textRotation="90" wrapText="1"/>
      <protection hidden="1"/>
    </xf>
    <xf numFmtId="9" fontId="31" fillId="0" borderId="50" xfId="0" applyNumberFormat="1" applyFont="1" applyBorder="1" applyAlignment="1" applyProtection="1">
      <alignment horizontal="center" vertical="center"/>
      <protection hidden="1"/>
    </xf>
    <xf numFmtId="9" fontId="31" fillId="0" borderId="53" xfId="0" applyNumberFormat="1" applyFont="1" applyBorder="1" applyAlignment="1" applyProtection="1">
      <alignment horizontal="center" vertical="center"/>
      <protection hidden="1"/>
    </xf>
    <xf numFmtId="9" fontId="31" fillId="0" borderId="52" xfId="0" applyNumberFormat="1" applyFont="1" applyBorder="1" applyAlignment="1" applyProtection="1">
      <alignment horizontal="center" vertical="center"/>
      <protection hidden="1"/>
    </xf>
    <xf numFmtId="0" fontId="32" fillId="0" borderId="50" xfId="0" applyFont="1" applyBorder="1" applyAlignment="1" applyProtection="1">
      <alignment horizontal="center" vertical="center" textRotation="90"/>
      <protection hidden="1"/>
    </xf>
    <xf numFmtId="0" fontId="32" fillId="0" borderId="53" xfId="0" applyFont="1" applyBorder="1" applyAlignment="1" applyProtection="1">
      <alignment horizontal="center" vertical="center" textRotation="90"/>
      <protection hidden="1"/>
    </xf>
    <xf numFmtId="0" fontId="32" fillId="0" borderId="52" xfId="0" applyFont="1" applyBorder="1" applyAlignment="1" applyProtection="1">
      <alignment horizontal="center" vertical="center" textRotation="90"/>
      <protection hidden="1"/>
    </xf>
    <xf numFmtId="0" fontId="31" fillId="9" borderId="50" xfId="0" applyFont="1" applyFill="1" applyBorder="1" applyAlignment="1" applyProtection="1">
      <alignment horizontal="center" vertical="center" wrapText="1"/>
      <protection locked="0"/>
    </xf>
    <xf numFmtId="0" fontId="31" fillId="9" borderId="53" xfId="0" applyFont="1" applyFill="1" applyBorder="1" applyAlignment="1" applyProtection="1">
      <alignment horizontal="center" vertical="center" wrapText="1"/>
      <protection locked="0"/>
    </xf>
    <xf numFmtId="0" fontId="31" fillId="9" borderId="52" xfId="0" applyFont="1" applyFill="1" applyBorder="1" applyAlignment="1" applyProtection="1">
      <alignment horizontal="center" vertical="center" wrapText="1"/>
      <protection locked="0"/>
    </xf>
    <xf numFmtId="0" fontId="31" fillId="0" borderId="50" xfId="0" applyFont="1" applyBorder="1" applyAlignment="1" applyProtection="1">
      <alignment horizontal="center" vertical="center" wrapText="1"/>
      <protection locked="0"/>
    </xf>
    <xf numFmtId="0" fontId="31" fillId="0" borderId="53" xfId="0" applyFont="1" applyBorder="1" applyAlignment="1" applyProtection="1">
      <alignment horizontal="center" vertical="center" wrapText="1"/>
      <protection locked="0"/>
    </xf>
    <xf numFmtId="0" fontId="31" fillId="0" borderId="52" xfId="0" applyFont="1" applyBorder="1" applyAlignment="1" applyProtection="1">
      <alignment horizontal="center" vertical="center" wrapText="1"/>
      <protection locked="0"/>
    </xf>
    <xf numFmtId="0" fontId="30" fillId="0" borderId="50" xfId="0" applyFont="1" applyBorder="1" applyAlignment="1" applyProtection="1">
      <alignment horizontal="center" vertical="center" wrapText="1"/>
      <protection locked="0"/>
    </xf>
    <xf numFmtId="0" fontId="30" fillId="0" borderId="53" xfId="0" applyFont="1" applyBorder="1" applyAlignment="1" applyProtection="1">
      <alignment horizontal="center" vertical="center" wrapText="1"/>
      <protection locked="0"/>
    </xf>
    <xf numFmtId="0" fontId="27" fillId="0" borderId="50" xfId="0" applyFont="1" applyBorder="1" applyAlignment="1" applyProtection="1">
      <alignment horizontal="center" vertical="center" wrapText="1"/>
      <protection locked="0"/>
    </xf>
    <xf numFmtId="0" fontId="27" fillId="0" borderId="53" xfId="0" applyFont="1" applyBorder="1" applyAlignment="1" applyProtection="1">
      <alignment horizontal="center" vertical="center" wrapText="1"/>
      <protection locked="0"/>
    </xf>
    <xf numFmtId="0" fontId="27" fillId="0" borderId="52" xfId="0" applyFont="1" applyBorder="1" applyAlignment="1" applyProtection="1">
      <alignment horizontal="center" vertical="center" wrapText="1"/>
      <protection locked="0"/>
    </xf>
    <xf numFmtId="0" fontId="95" fillId="0" borderId="50" xfId="0" applyFont="1" applyBorder="1" applyAlignment="1" applyProtection="1">
      <alignment horizontal="center" vertical="center" wrapText="1"/>
      <protection locked="0"/>
    </xf>
    <xf numFmtId="0" fontId="95" fillId="0" borderId="53" xfId="0" applyFont="1" applyBorder="1" applyAlignment="1" applyProtection="1">
      <alignment horizontal="center" vertical="center" wrapText="1"/>
      <protection locked="0"/>
    </xf>
    <xf numFmtId="0" fontId="95" fillId="0" borderId="52" xfId="0" applyFont="1" applyBorder="1" applyAlignment="1" applyProtection="1">
      <alignment horizontal="center" vertical="center" wrapText="1"/>
      <protection locked="0"/>
    </xf>
    <xf numFmtId="0" fontId="95" fillId="0" borderId="81" xfId="0" applyFont="1" applyBorder="1" applyAlignment="1" applyProtection="1">
      <alignment horizontal="center" vertical="center" wrapText="1"/>
      <protection locked="0"/>
    </xf>
    <xf numFmtId="0" fontId="34" fillId="0" borderId="50" xfId="0" applyFont="1" applyBorder="1" applyAlignment="1" applyProtection="1">
      <alignment horizontal="center" vertical="center" wrapText="1"/>
      <protection locked="0"/>
    </xf>
    <xf numFmtId="0" fontId="34" fillId="0" borderId="53" xfId="0" applyFont="1" applyBorder="1" applyAlignment="1" applyProtection="1">
      <alignment horizontal="center" vertical="center" wrapText="1"/>
      <protection locked="0"/>
    </xf>
    <xf numFmtId="0" fontId="34" fillId="0" borderId="52" xfId="0" applyFont="1" applyBorder="1" applyAlignment="1" applyProtection="1">
      <alignment horizontal="center" vertical="center" wrapText="1"/>
      <protection locked="0"/>
    </xf>
    <xf numFmtId="0" fontId="31" fillId="0" borderId="50" xfId="0" applyFont="1" applyBorder="1" applyAlignment="1" applyProtection="1">
      <alignment horizontal="center" vertical="center"/>
      <protection locked="0"/>
    </xf>
    <xf numFmtId="0" fontId="31" fillId="0" borderId="53" xfId="0" applyFont="1" applyBorder="1" applyAlignment="1" applyProtection="1">
      <alignment horizontal="center" vertical="center"/>
      <protection locked="0"/>
    </xf>
    <xf numFmtId="0" fontId="31" fillId="0" borderId="52" xfId="0" applyFont="1" applyBorder="1" applyAlignment="1" applyProtection="1">
      <alignment horizontal="center" vertical="center"/>
      <protection locked="0"/>
    </xf>
    <xf numFmtId="0" fontId="32" fillId="0" borderId="50" xfId="0" applyFont="1" applyBorder="1" applyAlignment="1" applyProtection="1">
      <alignment horizontal="center" vertical="center" wrapText="1"/>
      <protection hidden="1"/>
    </xf>
    <xf numFmtId="0" fontId="32" fillId="0" borderId="53" xfId="0" applyFont="1" applyBorder="1" applyAlignment="1" applyProtection="1">
      <alignment horizontal="center" vertical="center" wrapText="1"/>
      <protection hidden="1"/>
    </xf>
    <xf numFmtId="0" fontId="32" fillId="0" borderId="52" xfId="0" applyFont="1" applyBorder="1" applyAlignment="1" applyProtection="1">
      <alignment horizontal="center" vertical="center" wrapText="1"/>
      <protection hidden="1"/>
    </xf>
    <xf numFmtId="9" fontId="31" fillId="0" borderId="50" xfId="0" applyNumberFormat="1" applyFont="1" applyBorder="1" applyAlignment="1" applyProtection="1">
      <alignment horizontal="center" vertical="center" wrapText="1"/>
      <protection hidden="1"/>
    </xf>
    <xf numFmtId="9" fontId="31" fillId="0" borderId="53" xfId="0" applyNumberFormat="1" applyFont="1" applyBorder="1" applyAlignment="1" applyProtection="1">
      <alignment horizontal="center" vertical="center" wrapText="1"/>
      <protection hidden="1"/>
    </xf>
    <xf numFmtId="9" fontId="31" fillId="0" borderId="52" xfId="0" applyNumberFormat="1" applyFont="1" applyBorder="1" applyAlignment="1" applyProtection="1">
      <alignment horizontal="center" vertical="center" wrapText="1"/>
      <protection hidden="1"/>
    </xf>
    <xf numFmtId="9" fontId="31" fillId="0" borderId="50" xfId="0" applyNumberFormat="1" applyFont="1" applyBorder="1" applyAlignment="1" applyProtection="1">
      <alignment horizontal="center" vertical="center" wrapText="1"/>
      <protection locked="0"/>
    </xf>
    <xf numFmtId="9" fontId="31" fillId="0" borderId="53" xfId="0" applyNumberFormat="1" applyFont="1" applyBorder="1" applyAlignment="1" applyProtection="1">
      <alignment horizontal="center" vertical="center" wrapText="1"/>
      <protection locked="0"/>
    </xf>
    <xf numFmtId="9" fontId="31" fillId="0" borderId="52" xfId="0" applyNumberFormat="1" applyFont="1" applyBorder="1" applyAlignment="1" applyProtection="1">
      <alignment horizontal="center" vertical="center" wrapText="1"/>
      <protection locked="0"/>
    </xf>
    <xf numFmtId="0" fontId="32" fillId="0" borderId="50" xfId="0" applyFont="1" applyBorder="1" applyAlignment="1" applyProtection="1">
      <alignment horizontal="center" vertical="center"/>
      <protection hidden="1"/>
    </xf>
    <xf numFmtId="0" fontId="32" fillId="0" borderId="53" xfId="0" applyFont="1" applyBorder="1" applyAlignment="1" applyProtection="1">
      <alignment horizontal="center" vertical="center"/>
      <protection hidden="1"/>
    </xf>
    <xf numFmtId="0" fontId="32" fillId="0" borderId="52" xfId="0" applyFont="1" applyBorder="1" applyAlignment="1" applyProtection="1">
      <alignment horizontal="center" vertical="center"/>
      <protection hidden="1"/>
    </xf>
    <xf numFmtId="0" fontId="96" fillId="0" borderId="50" xfId="0" applyFont="1" applyBorder="1" applyAlignment="1" applyProtection="1">
      <alignment horizontal="center" vertical="center" wrapText="1"/>
      <protection locked="0"/>
    </xf>
    <xf numFmtId="0" fontId="96" fillId="0" borderId="53" xfId="0" applyFont="1" applyBorder="1" applyAlignment="1" applyProtection="1">
      <alignment horizontal="center" vertical="center" wrapText="1"/>
      <protection locked="0"/>
    </xf>
    <xf numFmtId="0" fontId="96" fillId="0" borderId="52" xfId="0" applyFont="1" applyBorder="1" applyAlignment="1" applyProtection="1">
      <alignment horizontal="center" vertical="center" wrapText="1"/>
      <protection locked="0"/>
    </xf>
    <xf numFmtId="0" fontId="37" fillId="0" borderId="50" xfId="0" applyFont="1" applyBorder="1" applyAlignment="1" applyProtection="1">
      <alignment horizontal="center" vertical="center"/>
      <protection hidden="1"/>
    </xf>
    <xf numFmtId="0" fontId="37" fillId="0" borderId="53" xfId="0" applyFont="1" applyBorder="1" applyAlignment="1" applyProtection="1">
      <alignment horizontal="center" vertical="center"/>
      <protection hidden="1"/>
    </xf>
    <xf numFmtId="0" fontId="37" fillId="0" borderId="52" xfId="0" applyFont="1" applyBorder="1" applyAlignment="1" applyProtection="1">
      <alignment horizontal="center" vertical="center"/>
      <protection hidden="1"/>
    </xf>
    <xf numFmtId="9" fontId="30" fillId="0" borderId="50" xfId="0" applyNumberFormat="1" applyFont="1" applyBorder="1" applyAlignment="1" applyProtection="1">
      <alignment vertical="center"/>
      <protection hidden="1"/>
    </xf>
    <xf numFmtId="9" fontId="30" fillId="0" borderId="53" xfId="0" applyNumberFormat="1" applyFont="1" applyBorder="1" applyAlignment="1" applyProtection="1">
      <alignment vertical="center"/>
      <protection hidden="1"/>
    </xf>
    <xf numFmtId="9" fontId="30" fillId="0" borderId="52" xfId="0" applyNumberFormat="1" applyFont="1" applyBorder="1" applyAlignment="1" applyProtection="1">
      <alignment vertical="center"/>
      <protection hidden="1"/>
    </xf>
    <xf numFmtId="0" fontId="37" fillId="0" borderId="50" xfId="0" applyFont="1" applyBorder="1" applyAlignment="1" applyProtection="1">
      <alignment horizontal="center" vertical="center" textRotation="90" wrapText="1"/>
      <protection hidden="1"/>
    </xf>
    <xf numFmtId="0" fontId="37" fillId="0" borderId="53" xfId="0" applyFont="1" applyBorder="1" applyAlignment="1" applyProtection="1">
      <alignment horizontal="center" vertical="center" textRotation="90" wrapText="1"/>
      <protection hidden="1"/>
    </xf>
    <xf numFmtId="0" fontId="37" fillId="0" borderId="52" xfId="0" applyFont="1" applyBorder="1" applyAlignment="1" applyProtection="1">
      <alignment horizontal="center" vertical="center" textRotation="90" wrapText="1"/>
      <protection hidden="1"/>
    </xf>
    <xf numFmtId="9" fontId="30" fillId="0" borderId="50" xfId="0" applyNumberFormat="1" applyFont="1" applyBorder="1" applyAlignment="1" applyProtection="1">
      <alignment horizontal="center" vertical="center"/>
      <protection hidden="1"/>
    </xf>
    <xf numFmtId="9" fontId="30" fillId="0" borderId="53" xfId="0" applyNumberFormat="1" applyFont="1" applyBorder="1" applyAlignment="1" applyProtection="1">
      <alignment horizontal="center" vertical="center"/>
      <protection hidden="1"/>
    </xf>
    <xf numFmtId="9" fontId="30" fillId="0" borderId="52" xfId="0" applyNumberFormat="1" applyFont="1" applyBorder="1" applyAlignment="1" applyProtection="1">
      <alignment horizontal="center" vertical="center"/>
      <protection hidden="1"/>
    </xf>
    <xf numFmtId="0" fontId="37" fillId="0" borderId="50" xfId="0" applyFont="1" applyBorder="1" applyAlignment="1" applyProtection="1">
      <alignment horizontal="center" vertical="center" textRotation="90"/>
      <protection hidden="1"/>
    </xf>
    <xf numFmtId="0" fontId="37" fillId="0" borderId="53" xfId="0" applyFont="1" applyBorder="1" applyAlignment="1" applyProtection="1">
      <alignment horizontal="center" vertical="center" textRotation="90"/>
      <protection hidden="1"/>
    </xf>
    <xf numFmtId="0" fontId="37" fillId="0" borderId="52" xfId="0" applyFont="1" applyBorder="1" applyAlignment="1" applyProtection="1">
      <alignment horizontal="center" vertical="center" textRotation="90"/>
      <protection hidden="1"/>
    </xf>
    <xf numFmtId="0" fontId="30" fillId="0" borderId="50" xfId="0" applyFont="1" applyBorder="1" applyAlignment="1" applyProtection="1">
      <alignment horizontal="center" vertical="center" textRotation="90"/>
      <protection locked="0"/>
    </xf>
    <xf numFmtId="0" fontId="30" fillId="0" borderId="53" xfId="0" applyFont="1" applyBorder="1" applyAlignment="1" applyProtection="1">
      <alignment horizontal="center" vertical="center" textRotation="90"/>
      <protection locked="0"/>
    </xf>
    <xf numFmtId="0" fontId="30" fillId="0" borderId="52" xfId="0" applyFont="1" applyBorder="1" applyAlignment="1" applyProtection="1">
      <alignment horizontal="center" vertical="center" textRotation="90"/>
      <protection locked="0"/>
    </xf>
    <xf numFmtId="0" fontId="30" fillId="9" borderId="53" xfId="0" applyFont="1" applyFill="1" applyBorder="1" applyAlignment="1" applyProtection="1">
      <alignment horizontal="center" vertical="center" wrapText="1"/>
      <protection locked="0"/>
    </xf>
    <xf numFmtId="0" fontId="30" fillId="9" borderId="52" xfId="0" applyFont="1" applyFill="1" applyBorder="1" applyAlignment="1" applyProtection="1">
      <alignment horizontal="center" vertical="center" wrapText="1"/>
      <protection locked="0"/>
    </xf>
    <xf numFmtId="0" fontId="30" fillId="0" borderId="52" xfId="0" applyFont="1" applyBorder="1" applyAlignment="1" applyProtection="1">
      <alignment horizontal="center" vertical="center" wrapText="1"/>
      <protection locked="0"/>
    </xf>
    <xf numFmtId="0" fontId="28" fillId="0" borderId="53" xfId="0" applyFont="1" applyBorder="1" applyAlignment="1" applyProtection="1">
      <alignment horizontal="center" vertical="center" wrapText="1"/>
      <protection locked="0"/>
    </xf>
    <xf numFmtId="0" fontId="28" fillId="0" borderId="52" xfId="0" applyFont="1" applyBorder="1" applyAlignment="1" applyProtection="1">
      <alignment horizontal="center" vertical="center" wrapText="1"/>
      <protection locked="0"/>
    </xf>
    <xf numFmtId="0" fontId="35" fillId="0" borderId="50"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35" fillId="0" borderId="52" xfId="0" applyFont="1" applyBorder="1" applyAlignment="1" applyProtection="1">
      <alignment horizontal="center" vertical="center" wrapText="1"/>
      <protection locked="0"/>
    </xf>
    <xf numFmtId="0" fontId="30" fillId="0" borderId="50" xfId="0" applyFont="1" applyBorder="1" applyAlignment="1" applyProtection="1">
      <alignment horizontal="center" vertical="center"/>
      <protection locked="0"/>
    </xf>
    <xf numFmtId="0" fontId="30" fillId="0" borderId="53" xfId="0" applyFont="1" applyBorder="1" applyAlignment="1" applyProtection="1">
      <alignment horizontal="center" vertical="center"/>
      <protection locked="0"/>
    </xf>
    <xf numFmtId="0" fontId="37" fillId="0" borderId="50" xfId="0" applyFont="1" applyBorder="1" applyAlignment="1" applyProtection="1">
      <alignment horizontal="center" vertical="center" wrapText="1"/>
      <protection hidden="1"/>
    </xf>
    <xf numFmtId="0" fontId="37" fillId="0" borderId="53" xfId="0" applyFont="1" applyBorder="1" applyAlignment="1" applyProtection="1">
      <alignment horizontal="center" vertical="center" wrapText="1"/>
      <protection hidden="1"/>
    </xf>
    <xf numFmtId="9" fontId="30" fillId="0" borderId="50" xfId="0" applyNumberFormat="1" applyFont="1" applyBorder="1" applyAlignment="1" applyProtection="1">
      <alignment horizontal="center" vertical="center" wrapText="1"/>
      <protection hidden="1"/>
    </xf>
    <xf numFmtId="9" fontId="30" fillId="0" borderId="53" xfId="0" applyNumberFormat="1" applyFont="1" applyBorder="1" applyAlignment="1" applyProtection="1">
      <alignment horizontal="center" vertical="center" wrapText="1"/>
      <protection hidden="1"/>
    </xf>
    <xf numFmtId="9" fontId="30" fillId="0" borderId="50" xfId="0" applyNumberFormat="1" applyFont="1" applyBorder="1" applyAlignment="1" applyProtection="1">
      <alignment horizontal="center" vertical="center" wrapText="1"/>
      <protection locked="0"/>
    </xf>
    <xf numFmtId="9" fontId="30" fillId="0" borderId="53" xfId="0" applyNumberFormat="1" applyFont="1" applyBorder="1" applyAlignment="1" applyProtection="1">
      <alignment horizontal="center" vertical="center" wrapText="1"/>
      <protection locked="0"/>
    </xf>
    <xf numFmtId="0" fontId="28" fillId="0" borderId="50" xfId="0" applyFont="1" applyBorder="1" applyAlignment="1" applyProtection="1">
      <alignment horizontal="center" vertical="center" wrapText="1"/>
      <protection locked="0"/>
    </xf>
    <xf numFmtId="0" fontId="38" fillId="0" borderId="50" xfId="0" applyFont="1" applyBorder="1" applyAlignment="1" applyProtection="1">
      <alignment horizontal="center" vertical="center"/>
      <protection hidden="1"/>
    </xf>
    <xf numFmtId="0" fontId="38" fillId="0" borderId="53" xfId="0" applyFont="1" applyBorder="1" applyAlignment="1" applyProtection="1">
      <alignment horizontal="center" vertical="center"/>
      <protection hidden="1"/>
    </xf>
    <xf numFmtId="0" fontId="38" fillId="0" borderId="52" xfId="0" applyFont="1" applyBorder="1" applyAlignment="1" applyProtection="1">
      <alignment horizontal="center" vertical="center"/>
      <protection hidden="1"/>
    </xf>
    <xf numFmtId="0" fontId="32" fillId="7" borderId="73" xfId="0" applyFont="1" applyFill="1" applyBorder="1" applyAlignment="1">
      <alignment horizontal="center" vertical="center" wrapText="1"/>
    </xf>
    <xf numFmtId="0" fontId="10" fillId="0" borderId="76" xfId="0" applyFont="1" applyBorder="1"/>
    <xf numFmtId="0" fontId="31" fillId="0" borderId="73" xfId="0" applyFont="1" applyBorder="1" applyAlignment="1">
      <alignment horizontal="center" vertical="center"/>
    </xf>
    <xf numFmtId="0" fontId="10" fillId="0" borderId="74" xfId="0" applyFont="1" applyBorder="1"/>
    <xf numFmtId="0" fontId="30" fillId="0" borderId="73" xfId="0" applyFont="1" applyBorder="1" applyAlignment="1">
      <alignment horizontal="center" vertical="center" wrapText="1"/>
    </xf>
    <xf numFmtId="0" fontId="10" fillId="0" borderId="74" xfId="0" applyFont="1" applyBorder="1" applyAlignment="1">
      <alignment vertical="center"/>
    </xf>
    <xf numFmtId="0" fontId="10" fillId="0" borderId="76" xfId="0" applyFont="1" applyBorder="1" applyAlignment="1">
      <alignment vertical="center"/>
    </xf>
    <xf numFmtId="0" fontId="30" fillId="0" borderId="78" xfId="0" applyFont="1" applyBorder="1" applyAlignment="1">
      <alignment horizontal="center" vertical="center" wrapText="1"/>
    </xf>
    <xf numFmtId="0" fontId="10" fillId="0" borderId="75" xfId="0" applyFont="1" applyBorder="1" applyAlignment="1">
      <alignment vertical="center"/>
    </xf>
    <xf numFmtId="0" fontId="10" fillId="0" borderId="70" xfId="0" applyFont="1" applyBorder="1" applyAlignment="1">
      <alignment vertical="center"/>
    </xf>
    <xf numFmtId="0" fontId="30" fillId="0" borderId="73" xfId="0" applyFont="1" applyBorder="1" applyAlignment="1">
      <alignment horizontal="center" vertical="top" wrapText="1"/>
    </xf>
    <xf numFmtId="0" fontId="30" fillId="0" borderId="79" xfId="0" applyFont="1" applyBorder="1" applyAlignment="1">
      <alignment horizontal="center" vertical="top" wrapText="1"/>
    </xf>
    <xf numFmtId="0" fontId="10" fillId="0" borderId="80" xfId="0" applyFont="1" applyBorder="1"/>
    <xf numFmtId="0" fontId="10" fillId="0" borderId="72" xfId="0" applyFont="1" applyBorder="1"/>
    <xf numFmtId="0" fontId="30" fillId="0" borderId="73" xfId="0" applyFont="1" applyBorder="1" applyAlignment="1">
      <alignment horizontal="center" vertical="top"/>
    </xf>
    <xf numFmtId="0" fontId="37" fillId="0" borderId="73" xfId="0" applyFont="1" applyBorder="1" applyAlignment="1">
      <alignment horizontal="center" vertical="top" wrapText="1"/>
    </xf>
    <xf numFmtId="9" fontId="30" fillId="0" borderId="73" xfId="0" applyNumberFormat="1" applyFont="1" applyBorder="1" applyAlignment="1">
      <alignment horizontal="center" vertical="top" wrapText="1"/>
    </xf>
    <xf numFmtId="0" fontId="37" fillId="0" borderId="73" xfId="0" applyFont="1" applyBorder="1" applyAlignment="1">
      <alignment horizontal="center" vertical="top"/>
    </xf>
    <xf numFmtId="0" fontId="32" fillId="7" borderId="67" xfId="0" applyFont="1" applyFill="1" applyBorder="1" applyAlignment="1">
      <alignment horizontal="center" vertical="center"/>
    </xf>
    <xf numFmtId="0" fontId="10" fillId="0" borderId="68" xfId="0" applyFont="1" applyBorder="1"/>
    <xf numFmtId="0" fontId="10" fillId="0" borderId="69" xfId="0" applyFont="1" applyBorder="1"/>
    <xf numFmtId="0" fontId="32" fillId="7" borderId="70" xfId="0" applyFont="1" applyFill="1" applyBorder="1" applyAlignment="1">
      <alignment horizontal="center" vertical="center"/>
    </xf>
    <xf numFmtId="0" fontId="10" fillId="0" borderId="71" xfId="0" applyFont="1" applyBorder="1"/>
    <xf numFmtId="0" fontId="33" fillId="7" borderId="73" xfId="0" applyFont="1" applyFill="1" applyBorder="1" applyAlignment="1">
      <alignment horizontal="center" vertical="center" textRotation="90"/>
    </xf>
    <xf numFmtId="0" fontId="32" fillId="7" borderId="73" xfId="0" applyFont="1" applyFill="1" applyBorder="1" applyAlignment="1">
      <alignment horizontal="center" vertical="center"/>
    </xf>
    <xf numFmtId="0" fontId="32" fillId="7" borderId="74" xfId="0" applyFont="1" applyFill="1" applyBorder="1" applyAlignment="1">
      <alignment horizontal="center" vertical="center" wrapText="1"/>
    </xf>
    <xf numFmtId="0" fontId="32" fillId="7" borderId="74" xfId="0" applyFont="1" applyFill="1" applyBorder="1" applyAlignment="1">
      <alignment horizontal="center" vertical="center"/>
    </xf>
    <xf numFmtId="0" fontId="32" fillId="7" borderId="75" xfId="0" applyFont="1" applyFill="1" applyBorder="1" applyAlignment="1">
      <alignment horizontal="center" vertical="center"/>
    </xf>
    <xf numFmtId="0" fontId="10" fillId="0" borderId="70" xfId="0" applyFont="1" applyBorder="1"/>
    <xf numFmtId="0" fontId="32" fillId="7" borderId="75" xfId="0" applyFont="1" applyFill="1" applyBorder="1" applyAlignment="1">
      <alignment horizontal="center" vertical="center" wrapText="1"/>
    </xf>
    <xf numFmtId="0" fontId="32" fillId="7" borderId="73" xfId="0" applyFont="1" applyFill="1" applyBorder="1" applyAlignment="1">
      <alignment horizontal="center" vertical="center" textRotation="90" wrapText="1"/>
    </xf>
    <xf numFmtId="0" fontId="32" fillId="7" borderId="67" xfId="0" applyFont="1" applyFill="1" applyBorder="1" applyAlignment="1">
      <alignment horizontal="center" vertical="center" wrapText="1"/>
    </xf>
    <xf numFmtId="0" fontId="74" fillId="7" borderId="78" xfId="0" applyFont="1" applyFill="1" applyBorder="1" applyAlignment="1">
      <alignment horizontal="center" vertical="center"/>
    </xf>
    <xf numFmtId="0" fontId="10" fillId="0" borderId="83" xfId="0" applyFont="1" applyBorder="1"/>
    <xf numFmtId="0" fontId="10" fillId="0" borderId="79" xfId="0" applyFont="1" applyBorder="1"/>
    <xf numFmtId="0" fontId="29" fillId="7" borderId="67" xfId="0" applyFont="1" applyFill="1" applyBorder="1" applyAlignment="1">
      <alignment horizontal="left" vertical="center"/>
    </xf>
    <xf numFmtId="0" fontId="30" fillId="6" borderId="67" xfId="0" applyFont="1" applyFill="1" applyBorder="1" applyAlignment="1">
      <alignment horizontal="left" vertical="center"/>
    </xf>
    <xf numFmtId="0" fontId="30" fillId="6" borderId="67" xfId="0" applyFont="1" applyFill="1" applyBorder="1" applyAlignment="1">
      <alignment horizontal="left" vertical="center" wrapText="1"/>
    </xf>
    <xf numFmtId="0" fontId="74" fillId="8" borderId="41" xfId="0" applyFont="1" applyFill="1" applyBorder="1" applyAlignment="1">
      <alignment horizontal="center" vertical="center"/>
    </xf>
    <xf numFmtId="0" fontId="74" fillId="8" borderId="42" xfId="0" applyFont="1" applyFill="1" applyBorder="1" applyAlignment="1">
      <alignment horizontal="center" vertical="center"/>
    </xf>
    <xf numFmtId="0" fontId="74" fillId="8" borderId="43" xfId="0" applyFont="1" applyFill="1" applyBorder="1" applyAlignment="1">
      <alignment horizontal="center" vertical="center"/>
    </xf>
    <xf numFmtId="0" fontId="74" fillId="8" borderId="44" xfId="0" applyFont="1" applyFill="1" applyBorder="1" applyAlignment="1">
      <alignment horizontal="center" vertical="center"/>
    </xf>
    <xf numFmtId="0" fontId="74" fillId="8" borderId="45" xfId="0" applyFont="1" applyFill="1" applyBorder="1" applyAlignment="1">
      <alignment horizontal="center" vertical="center"/>
    </xf>
    <xf numFmtId="0" fontId="74" fillId="8" borderId="46" xfId="0" applyFont="1" applyFill="1" applyBorder="1" applyAlignment="1">
      <alignment horizontal="center" vertical="center"/>
    </xf>
    <xf numFmtId="0" fontId="29" fillId="8" borderId="47" xfId="0" applyFont="1" applyFill="1" applyBorder="1" applyAlignment="1">
      <alignment horizontal="left" vertical="center"/>
    </xf>
    <xf numFmtId="0" fontId="29" fillId="8" borderId="48" xfId="0" applyFont="1" applyFill="1" applyBorder="1" applyAlignment="1">
      <alignment horizontal="left" vertical="center"/>
    </xf>
    <xf numFmtId="0" fontId="32" fillId="8" borderId="47" xfId="0" applyFont="1" applyFill="1" applyBorder="1" applyAlignment="1">
      <alignment horizontal="center" vertical="center"/>
    </xf>
    <xf numFmtId="0" fontId="32" fillId="8" borderId="48" xfId="0" applyFont="1" applyFill="1" applyBorder="1" applyAlignment="1">
      <alignment horizontal="center" vertical="center"/>
    </xf>
    <xf numFmtId="0" fontId="32" fillId="8" borderId="45" xfId="0" applyFont="1" applyFill="1" applyBorder="1" applyAlignment="1">
      <alignment horizontal="center" vertical="center"/>
    </xf>
    <xf numFmtId="0" fontId="32" fillId="8" borderId="46" xfId="0" applyFont="1" applyFill="1" applyBorder="1" applyAlignment="1">
      <alignment horizontal="center" vertical="center"/>
    </xf>
    <xf numFmtId="0" fontId="35" fillId="0" borderId="49" xfId="0" applyFont="1" applyBorder="1" applyAlignment="1" applyProtection="1">
      <alignment horizontal="center" vertical="center" wrapText="1"/>
      <protection locked="0"/>
    </xf>
    <xf numFmtId="0" fontId="35" fillId="0" borderId="59" xfId="0" applyFont="1" applyBorder="1" applyAlignment="1" applyProtection="1">
      <alignment horizontal="center" vertical="center" wrapText="1"/>
      <protection locked="0"/>
    </xf>
    <xf numFmtId="0" fontId="35" fillId="0" borderId="60" xfId="0" applyFont="1" applyBorder="1" applyAlignment="1" applyProtection="1">
      <alignment horizontal="center" vertical="center" wrapText="1"/>
      <protection locked="0"/>
    </xf>
    <xf numFmtId="0" fontId="30" fillId="0" borderId="43" xfId="0" applyFont="1" applyBorder="1" applyAlignment="1" applyProtection="1">
      <alignment horizontal="center" vertical="center" wrapText="1"/>
      <protection locked="0"/>
    </xf>
    <xf numFmtId="0" fontId="30" fillId="0" borderId="56" xfId="0" applyFont="1" applyBorder="1" applyAlignment="1" applyProtection="1">
      <alignment horizontal="center" vertical="center" wrapText="1"/>
      <protection locked="0"/>
    </xf>
    <xf numFmtId="0" fontId="32" fillId="15" borderId="51" xfId="0" applyFont="1" applyFill="1" applyBorder="1" applyAlignment="1">
      <alignment horizontal="center" vertical="center" wrapText="1"/>
    </xf>
    <xf numFmtId="0" fontId="32" fillId="15" borderId="50" xfId="0" applyFont="1" applyFill="1" applyBorder="1" applyAlignment="1">
      <alignment horizontal="center" vertical="center" wrapText="1"/>
    </xf>
    <xf numFmtId="0" fontId="31" fillId="0" borderId="73" xfId="0" applyFont="1" applyBorder="1" applyAlignment="1">
      <alignment horizontal="center" vertical="top" wrapText="1"/>
    </xf>
    <xf numFmtId="14" fontId="31" fillId="0" borderId="73" xfId="0" applyNumberFormat="1" applyFont="1" applyBorder="1" applyAlignment="1">
      <alignment horizontal="center" vertical="top"/>
    </xf>
    <xf numFmtId="14" fontId="31" fillId="0" borderId="132" xfId="0" applyNumberFormat="1" applyFont="1" applyBorder="1" applyAlignment="1">
      <alignment horizontal="center" vertical="top"/>
    </xf>
    <xf numFmtId="0" fontId="31" fillId="0" borderId="132" xfId="0" applyFont="1" applyBorder="1" applyAlignment="1">
      <alignment horizontal="center" vertical="top" wrapText="1"/>
    </xf>
    <xf numFmtId="0" fontId="30" fillId="0" borderId="73" xfId="0" applyFont="1" applyBorder="1" applyAlignment="1">
      <alignment horizontal="center" vertical="top" textRotation="90"/>
    </xf>
    <xf numFmtId="164" fontId="31" fillId="0" borderId="73" xfId="0" applyNumberFormat="1" applyFont="1" applyBorder="1" applyAlignment="1">
      <alignment horizontal="center" vertical="top"/>
    </xf>
    <xf numFmtId="0" fontId="37" fillId="0" borderId="73" xfId="0" applyFont="1" applyBorder="1" applyAlignment="1">
      <alignment horizontal="center" vertical="top" textRotation="90" wrapText="1"/>
    </xf>
    <xf numFmtId="9" fontId="30" fillId="0" borderId="73" xfId="0" applyNumberFormat="1" applyFont="1" applyBorder="1" applyAlignment="1">
      <alignment horizontal="center" vertical="top"/>
    </xf>
    <xf numFmtId="0" fontId="31" fillId="0" borderId="129" xfId="0" applyFont="1" applyBorder="1" applyAlignment="1">
      <alignment horizontal="center" vertical="top" wrapText="1"/>
    </xf>
    <xf numFmtId="0" fontId="10" fillId="0" borderId="130" xfId="0" applyFont="1" applyBorder="1"/>
    <xf numFmtId="0" fontId="37" fillId="0" borderId="73" xfId="0" applyFont="1" applyBorder="1" applyAlignment="1">
      <alignment horizontal="center" vertical="top" textRotation="90"/>
    </xf>
    <xf numFmtId="0" fontId="31" fillId="0" borderId="129" xfId="0" applyFont="1" applyBorder="1" applyAlignment="1">
      <alignment horizontal="center" vertical="top"/>
    </xf>
    <xf numFmtId="0" fontId="32" fillId="0" borderId="73" xfId="0" applyFont="1" applyBorder="1" applyAlignment="1">
      <alignment horizontal="center" vertical="top"/>
    </xf>
    <xf numFmtId="0" fontId="31" fillId="0" borderId="73" xfId="0" applyFont="1" applyBorder="1" applyAlignment="1">
      <alignment horizontal="center" vertical="top"/>
    </xf>
    <xf numFmtId="0" fontId="27" fillId="0" borderId="73" xfId="0" applyFont="1" applyBorder="1" applyAlignment="1">
      <alignment horizontal="center" vertical="top" wrapText="1"/>
    </xf>
    <xf numFmtId="14" fontId="30" fillId="0" borderId="73" xfId="0" applyNumberFormat="1" applyFont="1" applyBorder="1" applyAlignment="1">
      <alignment horizontal="center" vertical="top"/>
    </xf>
    <xf numFmtId="0" fontId="30" fillId="0" borderId="129" xfId="0" applyFont="1" applyBorder="1" applyAlignment="1">
      <alignment horizontal="center" vertical="top"/>
    </xf>
    <xf numFmtId="0" fontId="10" fillId="0" borderId="131" xfId="0" applyFont="1" applyBorder="1"/>
    <xf numFmtId="0" fontId="31" fillId="0" borderId="78" xfId="0" applyFont="1" applyBorder="1" applyAlignment="1">
      <alignment horizontal="center" vertical="top" wrapText="1"/>
    </xf>
    <xf numFmtId="0" fontId="10" fillId="0" borderId="75" xfId="0" applyFont="1" applyBorder="1"/>
    <xf numFmtId="0" fontId="31" fillId="0" borderId="79" xfId="0" applyFont="1" applyBorder="1" applyAlignment="1">
      <alignment horizontal="center" vertical="top" wrapText="1"/>
    </xf>
    <xf numFmtId="0" fontId="32" fillId="0" borderId="73" xfId="0" applyFont="1" applyBorder="1" applyAlignment="1">
      <alignment horizontal="center" vertical="top" wrapText="1"/>
    </xf>
    <xf numFmtId="9" fontId="31" fillId="0" borderId="73" xfId="0" applyNumberFormat="1" applyFont="1" applyBorder="1" applyAlignment="1">
      <alignment horizontal="center" vertical="top" wrapText="1"/>
    </xf>
    <xf numFmtId="0" fontId="30" fillId="0" borderId="78" xfId="0" applyFont="1" applyBorder="1" applyAlignment="1">
      <alignment horizontal="center" vertical="top" wrapText="1"/>
    </xf>
    <xf numFmtId="0" fontId="31" fillId="6" borderId="73" xfId="0" applyFont="1" applyFill="1" applyBorder="1" applyAlignment="1">
      <alignment horizontal="center" vertical="center" wrapText="1"/>
    </xf>
    <xf numFmtId="0" fontId="28" fillId="0" borderId="49" xfId="17" applyFont="1" applyBorder="1" applyAlignment="1" applyProtection="1">
      <alignment horizontal="center" vertical="center" wrapText="1"/>
      <protection locked="0"/>
    </xf>
    <xf numFmtId="0" fontId="27" fillId="0" borderId="43" xfId="17" applyFont="1" applyBorder="1" applyAlignment="1" applyProtection="1">
      <alignment horizontal="center" vertical="center" wrapText="1"/>
      <protection locked="0"/>
    </xf>
    <xf numFmtId="0" fontId="27" fillId="0" borderId="56" xfId="17" applyFont="1" applyBorder="1" applyAlignment="1" applyProtection="1">
      <alignment horizontal="center" vertical="center" wrapText="1"/>
      <protection locked="0"/>
    </xf>
    <xf numFmtId="0" fontId="27" fillId="0" borderId="50" xfId="17" applyFont="1" applyBorder="1" applyAlignment="1" applyProtection="1">
      <alignment horizontal="center" vertical="center"/>
      <protection locked="0"/>
    </xf>
    <xf numFmtId="0" fontId="27" fillId="0" borderId="53" xfId="17" applyFont="1" applyBorder="1" applyAlignment="1" applyProtection="1">
      <alignment horizontal="center" vertical="center"/>
      <protection locked="0"/>
    </xf>
    <xf numFmtId="0" fontId="28" fillId="0" borderId="59" xfId="17" applyFont="1" applyBorder="1" applyAlignment="1" applyProtection="1">
      <alignment horizontal="center" vertical="center" wrapText="1"/>
      <protection locked="0"/>
    </xf>
    <xf numFmtId="0" fontId="28" fillId="0" borderId="60" xfId="17" applyFont="1" applyBorder="1" applyAlignment="1" applyProtection="1">
      <alignment horizontal="center" vertical="center" wrapText="1"/>
      <protection locked="0"/>
    </xf>
    <xf numFmtId="0" fontId="26" fillId="0" borderId="50" xfId="17" applyFont="1" applyBorder="1" applyAlignment="1" applyProtection="1">
      <alignment horizontal="center" vertical="center" wrapText="1"/>
      <protection hidden="1"/>
    </xf>
    <xf numFmtId="0" fontId="26" fillId="0" borderId="53" xfId="17" applyFont="1" applyBorder="1" applyAlignment="1" applyProtection="1">
      <alignment horizontal="center" vertical="center" wrapText="1"/>
      <protection hidden="1"/>
    </xf>
    <xf numFmtId="9" fontId="27" fillId="0" borderId="50" xfId="17" applyNumberFormat="1" applyFont="1" applyBorder="1" applyAlignment="1" applyProtection="1">
      <alignment horizontal="center" vertical="center" wrapText="1"/>
      <protection hidden="1"/>
    </xf>
    <xf numFmtId="9" fontId="27" fillId="0" borderId="53" xfId="17" applyNumberFormat="1" applyFont="1" applyBorder="1" applyAlignment="1" applyProtection="1">
      <alignment horizontal="center" vertical="center" wrapText="1"/>
      <protection hidden="1"/>
    </xf>
    <xf numFmtId="15" fontId="27" fillId="10" borderId="124" xfId="17" applyNumberFormat="1" applyFont="1" applyFill="1" applyBorder="1" applyAlignment="1">
      <alignment horizontal="center" vertical="center" wrapText="1"/>
    </xf>
    <xf numFmtId="15" fontId="27" fillId="10" borderId="126" xfId="17" applyNumberFormat="1" applyFont="1" applyFill="1" applyBorder="1" applyAlignment="1">
      <alignment horizontal="center" vertical="center" wrapText="1"/>
    </xf>
    <xf numFmtId="15" fontId="27" fillId="10" borderId="40" xfId="17" applyNumberFormat="1" applyFont="1" applyFill="1" applyBorder="1" applyAlignment="1">
      <alignment horizontal="center" vertical="center" wrapText="1"/>
    </xf>
    <xf numFmtId="0" fontId="27" fillId="0" borderId="50" xfId="17" applyFont="1" applyBorder="1" applyAlignment="1" applyProtection="1">
      <alignment horizontal="center" vertical="center" wrapText="1"/>
      <protection locked="0"/>
    </xf>
    <xf numFmtId="0" fontId="27" fillId="0" borderId="53" xfId="17" applyFont="1" applyBorder="1" applyAlignment="1" applyProtection="1">
      <alignment horizontal="center" vertical="center" wrapText="1"/>
      <protection locked="0"/>
    </xf>
    <xf numFmtId="14" fontId="27" fillId="0" borderId="50" xfId="17" applyNumberFormat="1" applyFont="1" applyBorder="1" applyAlignment="1" applyProtection="1">
      <alignment horizontal="center" vertical="center" wrapText="1"/>
      <protection locked="0"/>
    </xf>
    <xf numFmtId="14" fontId="27" fillId="0" borderId="53" xfId="17" applyNumberFormat="1" applyFont="1" applyBorder="1" applyAlignment="1" applyProtection="1">
      <alignment horizontal="center" vertical="center" wrapText="1"/>
      <protection locked="0"/>
    </xf>
    <xf numFmtId="14" fontId="27" fillId="0" borderId="52" xfId="17" applyNumberFormat="1" applyFont="1" applyBorder="1" applyAlignment="1" applyProtection="1">
      <alignment horizontal="center" vertical="center" wrapText="1"/>
      <protection locked="0"/>
    </xf>
    <xf numFmtId="14" fontId="27" fillId="0" borderId="50" xfId="17" applyNumberFormat="1" applyFont="1" applyBorder="1" applyAlignment="1" applyProtection="1">
      <alignment horizontal="center" vertical="center"/>
      <protection locked="0"/>
    </xf>
    <xf numFmtId="14" fontId="27" fillId="0" borderId="53" xfId="17" applyNumberFormat="1" applyFont="1" applyBorder="1" applyAlignment="1" applyProtection="1">
      <alignment horizontal="center" vertical="center"/>
      <protection locked="0"/>
    </xf>
    <xf numFmtId="14" fontId="27" fillId="0" borderId="52" xfId="17" applyNumberFormat="1" applyFont="1" applyBorder="1" applyAlignment="1" applyProtection="1">
      <alignment horizontal="center" vertical="center"/>
      <protection locked="0"/>
    </xf>
    <xf numFmtId="0" fontId="27" fillId="0" borderId="52" xfId="17" applyFont="1" applyBorder="1" applyAlignment="1" applyProtection="1">
      <alignment horizontal="center" vertical="center" wrapText="1"/>
      <protection locked="0"/>
    </xf>
    <xf numFmtId="0" fontId="27" fillId="0" borderId="55" xfId="17" applyFont="1" applyBorder="1" applyAlignment="1" applyProtection="1">
      <alignment horizontal="center" vertical="center"/>
      <protection locked="0"/>
    </xf>
    <xf numFmtId="0" fontId="27" fillId="0" borderId="57" xfId="17" applyFont="1" applyBorder="1" applyAlignment="1" applyProtection="1">
      <alignment horizontal="center" vertical="center"/>
      <protection locked="0"/>
    </xf>
    <xf numFmtId="0" fontId="27" fillId="0" borderId="58" xfId="17" applyFont="1" applyBorder="1" applyAlignment="1" applyProtection="1">
      <alignment horizontal="center" vertical="center"/>
      <protection locked="0"/>
    </xf>
    <xf numFmtId="9" fontId="27" fillId="0" borderId="50" xfId="17" applyNumberFormat="1" applyFont="1" applyBorder="1" applyAlignment="1" applyProtection="1">
      <alignment horizontal="center" vertical="center" wrapText="1"/>
      <protection locked="0"/>
    </xf>
    <xf numFmtId="9" fontId="27" fillId="0" borderId="53" xfId="17" applyNumberFormat="1" applyFont="1" applyBorder="1" applyAlignment="1" applyProtection="1">
      <alignment horizontal="center" vertical="center" wrapText="1"/>
      <protection locked="0"/>
    </xf>
    <xf numFmtId="0" fontId="27" fillId="0" borderId="50" xfId="17" applyFont="1" applyBorder="1" applyAlignment="1" applyProtection="1">
      <alignment horizontal="center" vertical="center" textRotation="90"/>
      <protection locked="0"/>
    </xf>
    <xf numFmtId="0" fontId="27" fillId="0" borderId="53" xfId="17" applyFont="1" applyBorder="1" applyAlignment="1" applyProtection="1">
      <alignment horizontal="center" vertical="center" textRotation="90"/>
      <protection locked="0"/>
    </xf>
    <xf numFmtId="0" fontId="30" fillId="0" borderId="50" xfId="20" applyFont="1" applyBorder="1" applyAlignment="1" applyProtection="1">
      <alignment horizontal="center" vertical="top" textRotation="90"/>
      <protection locked="0"/>
    </xf>
    <xf numFmtId="0" fontId="30" fillId="0" borderId="53" xfId="20" applyFont="1" applyBorder="1" applyAlignment="1" applyProtection="1">
      <alignment horizontal="center" vertical="top" textRotation="90"/>
      <protection locked="0"/>
    </xf>
    <xf numFmtId="0" fontId="30" fillId="0" borderId="52" xfId="20" applyFont="1" applyBorder="1" applyAlignment="1" applyProtection="1">
      <alignment horizontal="center" vertical="top" textRotation="90"/>
      <protection locked="0"/>
    </xf>
    <xf numFmtId="0" fontId="31" fillId="0" borderId="50" xfId="20" applyFont="1" applyBorder="1" applyAlignment="1" applyProtection="1">
      <alignment horizontal="center" vertical="center" wrapText="1"/>
      <protection locked="0"/>
    </xf>
    <xf numFmtId="0" fontId="31" fillId="0" borderId="53" xfId="20" applyFont="1" applyBorder="1" applyAlignment="1" applyProtection="1">
      <alignment horizontal="center" vertical="center" wrapText="1"/>
      <protection locked="0"/>
    </xf>
    <xf numFmtId="0" fontId="31" fillId="0" borderId="52" xfId="20" applyFont="1" applyBorder="1" applyAlignment="1" applyProtection="1">
      <alignment horizontal="center" vertical="center" wrapText="1"/>
      <protection locked="0"/>
    </xf>
    <xf numFmtId="17" fontId="31" fillId="0" borderId="50" xfId="20" applyNumberFormat="1" applyFont="1" applyBorder="1" applyAlignment="1" applyProtection="1">
      <alignment horizontal="center" vertical="center" wrapText="1"/>
      <protection locked="0"/>
    </xf>
    <xf numFmtId="17" fontId="31" fillId="0" borderId="53" xfId="20" applyNumberFormat="1" applyFont="1" applyBorder="1" applyAlignment="1" applyProtection="1">
      <alignment horizontal="center" vertical="center" wrapText="1"/>
      <protection locked="0"/>
    </xf>
    <xf numFmtId="17" fontId="31" fillId="0" borderId="52" xfId="20" applyNumberFormat="1" applyFont="1" applyBorder="1" applyAlignment="1" applyProtection="1">
      <alignment horizontal="center" vertical="center" wrapText="1"/>
      <protection locked="0"/>
    </xf>
    <xf numFmtId="0" fontId="26" fillId="8" borderId="54" xfId="17" applyFont="1" applyFill="1" applyBorder="1" applyAlignment="1">
      <alignment horizontal="center" vertical="center" wrapText="1"/>
    </xf>
    <xf numFmtId="0" fontId="26" fillId="8" borderId="44" xfId="17" applyFont="1" applyFill="1" applyBorder="1" applyAlignment="1">
      <alignment horizontal="center" vertical="center"/>
    </xf>
    <xf numFmtId="0" fontId="26" fillId="8" borderId="54" xfId="17" applyFont="1" applyFill="1" applyBorder="1" applyAlignment="1">
      <alignment horizontal="center" vertical="center"/>
    </xf>
    <xf numFmtId="0" fontId="26" fillId="8" borderId="53" xfId="17" applyFont="1" applyFill="1" applyBorder="1" applyAlignment="1">
      <alignment horizontal="center" vertical="center" wrapText="1"/>
    </xf>
    <xf numFmtId="0" fontId="26" fillId="8" borderId="52" xfId="17" applyFont="1" applyFill="1" applyBorder="1" applyAlignment="1">
      <alignment horizontal="center" vertical="center" wrapText="1"/>
    </xf>
    <xf numFmtId="0" fontId="27" fillId="0" borderId="50" xfId="17" applyFont="1" applyBorder="1" applyAlignment="1">
      <alignment horizontal="center" vertical="center"/>
    </xf>
    <xf numFmtId="0" fontId="27" fillId="0" borderId="53" xfId="17" applyFont="1" applyBorder="1" applyAlignment="1">
      <alignment horizontal="center" vertical="center"/>
    </xf>
    <xf numFmtId="0" fontId="27" fillId="0" borderId="41" xfId="17" applyFont="1" applyBorder="1" applyAlignment="1" applyProtection="1">
      <alignment horizontal="center" vertical="center" wrapText="1"/>
      <protection locked="0"/>
    </xf>
    <xf numFmtId="0" fontId="27" fillId="0" borderId="54" xfId="17" applyFont="1" applyBorder="1" applyAlignment="1" applyProtection="1">
      <alignment horizontal="center" vertical="center" wrapText="1"/>
      <protection locked="0"/>
    </xf>
    <xf numFmtId="0" fontId="27" fillId="0" borderId="52" xfId="17" applyFont="1" applyBorder="1" applyAlignment="1" applyProtection="1">
      <alignment horizontal="center" vertical="center" textRotation="90"/>
      <protection locked="0"/>
    </xf>
    <xf numFmtId="9" fontId="27" fillId="0" borderId="50" xfId="17" applyNumberFormat="1" applyFont="1" applyBorder="1" applyAlignment="1" applyProtection="1">
      <alignment horizontal="center" vertical="top" wrapText="1"/>
      <protection hidden="1"/>
    </xf>
    <xf numFmtId="9" fontId="27" fillId="0" borderId="53" xfId="17" applyNumberFormat="1" applyFont="1" applyBorder="1" applyAlignment="1" applyProtection="1">
      <alignment horizontal="center" vertical="top" wrapText="1"/>
      <protection hidden="1"/>
    </xf>
    <xf numFmtId="0" fontId="34" fillId="11" borderId="127" xfId="17" applyFont="1" applyFill="1" applyBorder="1" applyAlignment="1">
      <alignment horizontal="center" vertical="center" wrapText="1"/>
    </xf>
    <xf numFmtId="0" fontId="34" fillId="11" borderId="118" xfId="17" applyFont="1" applyFill="1" applyBorder="1" applyAlignment="1">
      <alignment horizontal="center" vertical="center" wrapText="1"/>
    </xf>
    <xf numFmtId="0" fontId="26" fillId="8" borderId="47" xfId="17" applyFont="1" applyFill="1" applyBorder="1" applyAlignment="1">
      <alignment horizontal="center" vertical="center"/>
    </xf>
    <xf numFmtId="0" fontId="26" fillId="8" borderId="48" xfId="17" applyFont="1" applyFill="1" applyBorder="1" applyAlignment="1">
      <alignment horizontal="center" vertical="center"/>
    </xf>
    <xf numFmtId="0" fontId="26" fillId="8" borderId="45" xfId="17" applyFont="1" applyFill="1" applyBorder="1" applyAlignment="1">
      <alignment horizontal="center" vertical="center"/>
    </xf>
    <xf numFmtId="0" fontId="26" fillId="8" borderId="46" xfId="17" applyFont="1" applyFill="1" applyBorder="1" applyAlignment="1">
      <alignment horizontal="center" vertical="center"/>
    </xf>
    <xf numFmtId="0" fontId="26" fillId="8" borderId="37" xfId="17" applyFont="1" applyFill="1" applyAlignment="1">
      <alignment horizontal="center" vertical="center"/>
    </xf>
    <xf numFmtId="0" fontId="26" fillId="8" borderId="50" xfId="17" applyFont="1" applyFill="1" applyBorder="1" applyAlignment="1">
      <alignment horizontal="center" vertical="center" textRotation="90"/>
    </xf>
    <xf numFmtId="0" fontId="26" fillId="8" borderId="52" xfId="17" applyFont="1" applyFill="1" applyBorder="1" applyAlignment="1">
      <alignment horizontal="center" vertical="center" textRotation="90"/>
    </xf>
    <xf numFmtId="0" fontId="26" fillId="8" borderId="51" xfId="17" applyFont="1" applyFill="1" applyBorder="1" applyAlignment="1">
      <alignment horizontal="center" vertical="center"/>
    </xf>
    <xf numFmtId="0" fontId="26" fillId="8" borderId="51" xfId="17" applyFont="1" applyFill="1" applyBorder="1" applyAlignment="1">
      <alignment horizontal="center" vertical="center" wrapText="1"/>
    </xf>
    <xf numFmtId="0" fontId="26" fillId="8" borderId="50" xfId="17" applyFont="1" applyFill="1" applyBorder="1" applyAlignment="1">
      <alignment horizontal="center" vertical="center" wrapText="1"/>
    </xf>
    <xf numFmtId="0" fontId="32" fillId="8" borderId="50" xfId="17" applyFont="1" applyFill="1" applyBorder="1" applyAlignment="1">
      <alignment horizontal="center" vertical="center"/>
    </xf>
    <xf numFmtId="0" fontId="32" fillId="8" borderId="122" xfId="17" applyFont="1" applyFill="1" applyBorder="1" applyAlignment="1">
      <alignment horizontal="center" vertical="center"/>
    </xf>
    <xf numFmtId="0" fontId="26" fillId="8" borderId="124" xfId="17" applyFont="1" applyFill="1" applyBorder="1" applyAlignment="1">
      <alignment horizontal="center" vertical="center" wrapText="1"/>
    </xf>
    <xf numFmtId="0" fontId="26" fillId="8" borderId="125" xfId="17" applyFont="1" applyFill="1" applyBorder="1" applyAlignment="1">
      <alignment horizontal="center" vertical="center" wrapText="1"/>
    </xf>
    <xf numFmtId="0" fontId="26" fillId="8" borderId="115" xfId="17" applyFont="1" applyFill="1" applyBorder="1" applyAlignment="1">
      <alignment horizontal="center" vertical="center" wrapText="1"/>
    </xf>
    <xf numFmtId="0" fontId="26" fillId="8" borderId="51" xfId="17" applyFont="1" applyFill="1" applyBorder="1" applyAlignment="1">
      <alignment horizontal="center" vertical="center" textRotation="90" wrapText="1"/>
    </xf>
    <xf numFmtId="0" fontId="26" fillId="8" borderId="50" xfId="17" applyFont="1" applyFill="1" applyBorder="1" applyAlignment="1">
      <alignment horizontal="center" vertical="center" textRotation="90" wrapText="1"/>
    </xf>
    <xf numFmtId="0" fontId="26" fillId="8" borderId="52" xfId="17" applyFont="1" applyFill="1" applyBorder="1" applyAlignment="1">
      <alignment horizontal="center" vertical="center" textRotation="90" wrapText="1"/>
    </xf>
    <xf numFmtId="0" fontId="26" fillId="8" borderId="47" xfId="17" applyFont="1" applyFill="1" applyBorder="1" applyAlignment="1">
      <alignment horizontal="left" vertical="center"/>
    </xf>
    <xf numFmtId="0" fontId="26" fillId="8" borderId="48" xfId="17" applyFont="1" applyFill="1" applyBorder="1" applyAlignment="1">
      <alignment horizontal="left" vertical="center"/>
    </xf>
    <xf numFmtId="0" fontId="27" fillId="9" borderId="49" xfId="17" applyFont="1" applyFill="1" applyBorder="1" applyAlignment="1" applyProtection="1">
      <alignment horizontal="left" vertical="center" wrapText="1"/>
      <protection locked="0"/>
    </xf>
    <xf numFmtId="9" fontId="34" fillId="0" borderId="73" xfId="17" applyNumberFormat="1" applyFont="1" applyBorder="1" applyAlignment="1">
      <alignment horizontal="center" vertical="center" wrapText="1"/>
    </xf>
    <xf numFmtId="0" fontId="10" fillId="0" borderId="76" xfId="17" applyFont="1" applyBorder="1" applyAlignment="1">
      <alignment horizontal="center" vertical="center"/>
    </xf>
    <xf numFmtId="0" fontId="34" fillId="0" borderId="73" xfId="17" applyFont="1" applyBorder="1" applyAlignment="1">
      <alignment horizontal="center" vertical="center" textRotation="90" wrapText="1"/>
    </xf>
    <xf numFmtId="0" fontId="31" fillId="0" borderId="44" xfId="17" applyFont="1" applyBorder="1" applyAlignment="1">
      <alignment horizontal="left" vertical="center" wrapText="1"/>
    </xf>
    <xf numFmtId="0" fontId="2" fillId="0" borderId="45" xfId="17" applyBorder="1"/>
    <xf numFmtId="0" fontId="2" fillId="0" borderId="46" xfId="17" applyBorder="1"/>
    <xf numFmtId="164" fontId="34" fillId="0" borderId="73" xfId="17" applyNumberFormat="1" applyFont="1" applyBorder="1" applyAlignment="1">
      <alignment horizontal="center" vertical="center" wrapText="1"/>
    </xf>
    <xf numFmtId="0" fontId="34" fillId="0" borderId="73" xfId="17" applyFont="1" applyBorder="1" applyAlignment="1">
      <alignment horizontal="center" vertical="center" wrapText="1"/>
    </xf>
    <xf numFmtId="0" fontId="10" fillId="0" borderId="74" xfId="17" applyFont="1" applyBorder="1" applyAlignment="1">
      <alignment horizontal="center" vertical="center"/>
    </xf>
    <xf numFmtId="0" fontId="26" fillId="8" borderId="41" xfId="17" applyFont="1" applyFill="1" applyBorder="1" applyAlignment="1">
      <alignment horizontal="center" vertical="center"/>
    </xf>
    <xf numFmtId="0" fontId="26" fillId="8" borderId="42" xfId="17" applyFont="1" applyFill="1" applyBorder="1" applyAlignment="1">
      <alignment horizontal="center" vertical="center"/>
    </xf>
    <xf numFmtId="0" fontId="26" fillId="8" borderId="43" xfId="17" applyFont="1" applyFill="1" applyBorder="1" applyAlignment="1">
      <alignment horizontal="center" vertical="center"/>
    </xf>
    <xf numFmtId="0" fontId="27" fillId="9" borderId="49" xfId="17" applyFont="1" applyFill="1" applyBorder="1" applyAlignment="1" applyProtection="1">
      <alignment horizontal="left" vertical="center"/>
      <protection locked="0"/>
    </xf>
    <xf numFmtId="165" fontId="34" fillId="0" borderId="78" xfId="17" applyNumberFormat="1" applyFont="1" applyBorder="1" applyAlignment="1">
      <alignment horizontal="center" vertical="center" wrapText="1"/>
    </xf>
    <xf numFmtId="0" fontId="10" fillId="0" borderId="75" xfId="17" applyFont="1" applyBorder="1" applyAlignment="1">
      <alignment horizontal="center" vertical="center"/>
    </xf>
    <xf numFmtId="0" fontId="10" fillId="0" borderId="70" xfId="17" applyFont="1" applyBorder="1" applyAlignment="1">
      <alignment horizontal="center" vertical="center"/>
    </xf>
    <xf numFmtId="0" fontId="34" fillId="0" borderId="74" xfId="17" applyFont="1" applyBorder="1" applyAlignment="1">
      <alignment horizontal="center" vertical="center" wrapText="1"/>
    </xf>
    <xf numFmtId="0" fontId="34" fillId="0" borderId="76" xfId="17" applyFont="1" applyBorder="1" applyAlignment="1">
      <alignment horizontal="center" vertical="center" wrapText="1"/>
    </xf>
    <xf numFmtId="0" fontId="34" fillId="6" borderId="73" xfId="17" applyFont="1" applyFill="1" applyBorder="1" applyAlignment="1">
      <alignment horizontal="center" vertical="center" wrapText="1"/>
    </xf>
    <xf numFmtId="0" fontId="34" fillId="0" borderId="123" xfId="17" applyFont="1" applyBorder="1" applyAlignment="1">
      <alignment horizontal="center" vertical="center" textRotation="90" wrapText="1"/>
    </xf>
    <xf numFmtId="0" fontId="34" fillId="0" borderId="74" xfId="17" applyFont="1" applyBorder="1" applyAlignment="1">
      <alignment horizontal="center" vertical="center" textRotation="90" wrapText="1"/>
    </xf>
    <xf numFmtId="0" fontId="34" fillId="0" borderId="76" xfId="17" applyFont="1" applyBorder="1" applyAlignment="1">
      <alignment horizontal="center" vertical="center" textRotation="90" wrapText="1"/>
    </xf>
    <xf numFmtId="9" fontId="34" fillId="0" borderId="123" xfId="17" applyNumberFormat="1" applyFont="1" applyBorder="1" applyAlignment="1">
      <alignment horizontal="center" vertical="center" wrapText="1"/>
    </xf>
    <xf numFmtId="9" fontId="34" fillId="0" borderId="74" xfId="17" applyNumberFormat="1" applyFont="1" applyBorder="1" applyAlignment="1">
      <alignment horizontal="center" vertical="center" wrapText="1"/>
    </xf>
    <xf numFmtId="9" fontId="34" fillId="0" borderId="76" xfId="17" applyNumberFormat="1" applyFont="1" applyBorder="1" applyAlignment="1">
      <alignment horizontal="center" vertical="center" wrapText="1"/>
    </xf>
    <xf numFmtId="165" fontId="34" fillId="0" borderId="73" xfId="17" applyNumberFormat="1" applyFont="1" applyBorder="1" applyAlignment="1">
      <alignment horizontal="center" vertical="center" wrapText="1"/>
    </xf>
    <xf numFmtId="0" fontId="10" fillId="0" borderId="74" xfId="17" applyFont="1" applyBorder="1"/>
    <xf numFmtId="0" fontId="10" fillId="0" borderId="76" xfId="17" applyFont="1" applyBorder="1"/>
    <xf numFmtId="0" fontId="34" fillId="11" borderId="73" xfId="17" applyFont="1" applyFill="1" applyBorder="1" applyAlignment="1">
      <alignment horizontal="center" vertical="center" wrapText="1"/>
    </xf>
    <xf numFmtId="0" fontId="34" fillId="0" borderId="123" xfId="17" applyFont="1" applyBorder="1" applyAlignment="1">
      <alignment horizontal="center" vertical="center" wrapText="1"/>
    </xf>
    <xf numFmtId="0" fontId="32" fillId="8" borderId="51" xfId="17" applyFont="1" applyFill="1" applyBorder="1" applyAlignment="1">
      <alignment horizontal="center" vertical="center" textRotation="90" wrapText="1"/>
    </xf>
    <xf numFmtId="0" fontId="32" fillId="8" borderId="51" xfId="17" applyFont="1" applyFill="1" applyBorder="1" applyAlignment="1">
      <alignment horizontal="center" vertical="center" wrapText="1"/>
    </xf>
    <xf numFmtId="0" fontId="32" fillId="8" borderId="50" xfId="17" applyFont="1" applyFill="1" applyBorder="1" applyAlignment="1">
      <alignment horizontal="center" vertical="center" wrapText="1"/>
    </xf>
    <xf numFmtId="0" fontId="32" fillId="8" borderId="52" xfId="17" applyFont="1" applyFill="1" applyBorder="1" applyAlignment="1">
      <alignment horizontal="center" vertical="center" wrapText="1"/>
    </xf>
    <xf numFmtId="0" fontId="32" fillId="8" borderId="54" xfId="17" applyFont="1" applyFill="1" applyBorder="1" applyAlignment="1">
      <alignment horizontal="center" vertical="center" wrapText="1"/>
    </xf>
    <xf numFmtId="0" fontId="32" fillId="8" borderId="44" xfId="17" applyFont="1" applyFill="1" applyBorder="1" applyAlignment="1">
      <alignment horizontal="center" vertical="center"/>
    </xf>
    <xf numFmtId="0" fontId="32" fillId="8" borderId="54" xfId="17" applyFont="1" applyFill="1" applyBorder="1" applyAlignment="1">
      <alignment horizontal="center" vertical="center"/>
    </xf>
    <xf numFmtId="0" fontId="32" fillId="8" borderId="50" xfId="17" applyFont="1" applyFill="1" applyBorder="1" applyAlignment="1">
      <alignment horizontal="center" vertical="center" textRotation="90" wrapText="1"/>
    </xf>
    <xf numFmtId="0" fontId="32" fillId="8" borderId="52" xfId="17" applyFont="1" applyFill="1" applyBorder="1" applyAlignment="1">
      <alignment horizontal="center" vertical="center" textRotation="90" wrapText="1"/>
    </xf>
    <xf numFmtId="0" fontId="32" fillId="8" borderId="53" xfId="17" applyFont="1" applyFill="1" applyBorder="1" applyAlignment="1">
      <alignment horizontal="center" vertical="center" wrapText="1"/>
    </xf>
    <xf numFmtId="0" fontId="33" fillId="8" borderId="50" xfId="17" applyFont="1" applyFill="1" applyBorder="1" applyAlignment="1">
      <alignment horizontal="center" vertical="center" textRotation="90"/>
    </xf>
    <xf numFmtId="0" fontId="33" fillId="8" borderId="52" xfId="17" applyFont="1" applyFill="1" applyBorder="1" applyAlignment="1">
      <alignment horizontal="center" vertical="center" textRotation="90"/>
    </xf>
    <xf numFmtId="0" fontId="32" fillId="8" borderId="51" xfId="17" applyFont="1" applyFill="1" applyBorder="1" applyAlignment="1">
      <alignment horizontal="center" vertical="center"/>
    </xf>
    <xf numFmtId="0" fontId="74" fillId="8" borderId="41" xfId="17" applyFont="1" applyFill="1" applyBorder="1" applyAlignment="1">
      <alignment horizontal="center" vertical="center"/>
    </xf>
    <xf numFmtId="0" fontId="74" fillId="8" borderId="42" xfId="17" applyFont="1" applyFill="1" applyBorder="1" applyAlignment="1">
      <alignment horizontal="center" vertical="center"/>
    </xf>
    <xf numFmtId="0" fontId="74" fillId="8" borderId="43" xfId="17" applyFont="1" applyFill="1" applyBorder="1" applyAlignment="1">
      <alignment horizontal="center" vertical="center"/>
    </xf>
    <xf numFmtId="0" fontId="74" fillId="8" borderId="44" xfId="17" applyFont="1" applyFill="1" applyBorder="1" applyAlignment="1">
      <alignment horizontal="center" vertical="center"/>
    </xf>
    <xf numFmtId="0" fontId="74" fillId="8" borderId="45" xfId="17" applyFont="1" applyFill="1" applyBorder="1" applyAlignment="1">
      <alignment horizontal="center" vertical="center"/>
    </xf>
    <xf numFmtId="0" fontId="74" fillId="8" borderId="46" xfId="17" applyFont="1" applyFill="1" applyBorder="1" applyAlignment="1">
      <alignment horizontal="center" vertical="center"/>
    </xf>
    <xf numFmtId="0" fontId="29" fillId="8" borderId="47" xfId="17" applyFont="1" applyFill="1" applyBorder="1" applyAlignment="1">
      <alignment horizontal="left" vertical="center"/>
    </xf>
    <xf numFmtId="0" fontId="29" fillId="8" borderId="48" xfId="17" applyFont="1" applyFill="1" applyBorder="1" applyAlignment="1">
      <alignment horizontal="left" vertical="center"/>
    </xf>
    <xf numFmtId="0" fontId="92" fillId="9" borderId="62" xfId="17" applyFont="1" applyFill="1" applyBorder="1" applyAlignment="1" applyProtection="1">
      <alignment horizontal="left" vertical="center" wrapText="1"/>
      <protection locked="0"/>
    </xf>
    <xf numFmtId="0" fontId="92" fillId="9" borderId="63" xfId="17" applyFont="1" applyFill="1" applyBorder="1" applyAlignment="1" applyProtection="1">
      <alignment horizontal="left" vertical="center" wrapText="1"/>
      <protection locked="0"/>
    </xf>
    <xf numFmtId="0" fontId="92" fillId="9" borderId="64" xfId="17" applyFont="1" applyFill="1" applyBorder="1" applyAlignment="1" applyProtection="1">
      <alignment horizontal="left" vertical="center" wrapText="1"/>
      <protection locked="0"/>
    </xf>
    <xf numFmtId="0" fontId="92" fillId="0" borderId="62" xfId="17" applyFont="1" applyBorder="1" applyAlignment="1" applyProtection="1">
      <alignment horizontal="left" vertical="center" wrapText="1"/>
      <protection locked="0"/>
    </xf>
    <xf numFmtId="0" fontId="92" fillId="0" borderId="63" xfId="17" applyFont="1" applyBorder="1" applyAlignment="1" applyProtection="1">
      <alignment horizontal="left" vertical="center" wrapText="1"/>
      <protection locked="0"/>
    </xf>
    <xf numFmtId="0" fontId="92" fillId="0" borderId="64" xfId="17" applyFont="1" applyBorder="1" applyAlignment="1" applyProtection="1">
      <alignment horizontal="left" vertical="center" wrapText="1"/>
      <protection locked="0"/>
    </xf>
    <xf numFmtId="0" fontId="59" fillId="0" borderId="87" xfId="10" applyFont="1" applyBorder="1" applyAlignment="1">
      <alignment horizontal="center" vertical="top"/>
    </xf>
    <xf numFmtId="0" fontId="59" fillId="0" borderId="86" xfId="10" applyFont="1" applyBorder="1" applyAlignment="1">
      <alignment horizontal="center" vertical="top"/>
    </xf>
    <xf numFmtId="0" fontId="30" fillId="0" borderId="121" xfId="19" applyFont="1" applyBorder="1" applyAlignment="1">
      <alignment horizontal="center" vertical="top" wrapText="1"/>
    </xf>
    <xf numFmtId="0" fontId="30" fillId="0" borderId="120" xfId="19" applyFont="1" applyBorder="1" applyAlignment="1">
      <alignment horizontal="center" vertical="top" wrapText="1"/>
    </xf>
    <xf numFmtId="0" fontId="32" fillId="8" borderId="52" xfId="17" applyFont="1" applyFill="1" applyBorder="1" applyAlignment="1">
      <alignment horizontal="center" vertical="center"/>
    </xf>
    <xf numFmtId="0" fontId="92" fillId="9" borderId="49" xfId="17" applyFont="1" applyFill="1" applyBorder="1" applyAlignment="1" applyProtection="1">
      <alignment horizontal="left" vertical="center" wrapText="1"/>
      <protection locked="0"/>
    </xf>
    <xf numFmtId="0" fontId="32" fillId="8" borderId="47" xfId="17" applyFont="1" applyFill="1" applyBorder="1" applyAlignment="1">
      <alignment horizontal="center" vertical="center"/>
    </xf>
    <xf numFmtId="0" fontId="32" fillId="8" borderId="48" xfId="17" applyFont="1" applyFill="1" applyBorder="1" applyAlignment="1">
      <alignment horizontal="center" vertical="center"/>
    </xf>
    <xf numFmtId="0" fontId="32" fillId="8" borderId="45" xfId="17" applyFont="1" applyFill="1" applyBorder="1" applyAlignment="1">
      <alignment horizontal="center" vertical="center"/>
    </xf>
    <xf numFmtId="0" fontId="32" fillId="8" borderId="46" xfId="17" applyFont="1" applyFill="1" applyBorder="1" applyAlignment="1">
      <alignment horizontal="center" vertical="center"/>
    </xf>
    <xf numFmtId="0" fontId="58" fillId="0" borderId="87" xfId="10" applyFont="1" applyBorder="1" applyAlignment="1" applyProtection="1">
      <alignment horizontal="center" vertical="center" wrapText="1"/>
      <protection locked="0"/>
    </xf>
    <xf numFmtId="0" fontId="32" fillId="7" borderId="119" xfId="19" applyFont="1" applyFill="1" applyBorder="1" applyAlignment="1">
      <alignment horizontal="center" vertical="center"/>
    </xf>
    <xf numFmtId="0" fontId="32" fillId="7" borderId="120" xfId="19" applyFont="1" applyFill="1" applyBorder="1" applyAlignment="1">
      <alignment horizontal="center" vertical="center"/>
    </xf>
    <xf numFmtId="0" fontId="31" fillId="0" borderId="73" xfId="19" applyFont="1" applyBorder="1" applyAlignment="1">
      <alignment horizontal="center" vertical="top"/>
    </xf>
    <xf numFmtId="0" fontId="10" fillId="0" borderId="74" xfId="19" applyFont="1" applyBorder="1"/>
    <xf numFmtId="0" fontId="10" fillId="0" borderId="76" xfId="19" applyFont="1" applyBorder="1"/>
    <xf numFmtId="0" fontId="32" fillId="0" borderId="73" xfId="19" applyFont="1" applyBorder="1" applyAlignment="1">
      <alignment horizontal="center" vertical="top"/>
    </xf>
    <xf numFmtId="0" fontId="32" fillId="0" borderId="73" xfId="19" applyFont="1" applyBorder="1" applyAlignment="1">
      <alignment horizontal="center" vertical="top" wrapText="1"/>
    </xf>
    <xf numFmtId="9" fontId="31" fillId="0" borderId="73" xfId="19" applyNumberFormat="1" applyFont="1" applyBorder="1" applyAlignment="1">
      <alignment horizontal="center" vertical="top" wrapText="1"/>
    </xf>
    <xf numFmtId="0" fontId="32" fillId="7" borderId="73" xfId="19" applyFont="1" applyFill="1" applyBorder="1" applyAlignment="1">
      <alignment horizontal="center" vertical="center" wrapText="1"/>
    </xf>
    <xf numFmtId="0" fontId="33" fillId="7" borderId="73" xfId="19" applyFont="1" applyFill="1" applyBorder="1" applyAlignment="1">
      <alignment horizontal="center" vertical="center" textRotation="90"/>
    </xf>
    <xf numFmtId="0" fontId="32" fillId="7" borderId="73" xfId="19" applyFont="1" applyFill="1" applyBorder="1" applyAlignment="1">
      <alignment horizontal="center" vertical="center"/>
    </xf>
    <xf numFmtId="0" fontId="32" fillId="7" borderId="74" xfId="19" applyFont="1" applyFill="1" applyBorder="1" applyAlignment="1">
      <alignment horizontal="center" vertical="center" wrapText="1"/>
    </xf>
    <xf numFmtId="0" fontId="32" fillId="7" borderId="74" xfId="19" applyFont="1" applyFill="1" applyBorder="1" applyAlignment="1">
      <alignment horizontal="center" vertical="center"/>
    </xf>
    <xf numFmtId="0" fontId="31" fillId="0" borderId="73" xfId="19" applyFont="1" applyBorder="1" applyAlignment="1">
      <alignment horizontal="center" vertical="center"/>
    </xf>
    <xf numFmtId="0" fontId="31" fillId="0" borderId="73" xfId="19" applyFont="1" applyBorder="1" applyAlignment="1">
      <alignment horizontal="center" vertical="center" wrapText="1"/>
    </xf>
    <xf numFmtId="0" fontId="10" fillId="0" borderId="74" xfId="19" applyFont="1" applyBorder="1" applyAlignment="1">
      <alignment vertical="center"/>
    </xf>
    <xf numFmtId="0" fontId="10" fillId="0" borderId="76" xfId="19" applyFont="1" applyBorder="1" applyAlignment="1">
      <alignment vertical="center"/>
    </xf>
    <xf numFmtId="0" fontId="31" fillId="0" borderId="73" xfId="19" applyFont="1" applyBorder="1" applyAlignment="1">
      <alignment horizontal="center" vertical="top" wrapText="1"/>
    </xf>
    <xf numFmtId="0" fontId="31" fillId="0" borderId="78" xfId="19" applyFont="1" applyBorder="1" applyAlignment="1">
      <alignment horizontal="center" vertical="top" wrapText="1"/>
    </xf>
    <xf numFmtId="0" fontId="10" fillId="0" borderId="75" xfId="19" applyFont="1" applyBorder="1"/>
    <xf numFmtId="0" fontId="10" fillId="0" borderId="70" xfId="19" applyFont="1" applyBorder="1"/>
    <xf numFmtId="0" fontId="30" fillId="0" borderId="73" xfId="19" applyFont="1" applyBorder="1" applyAlignment="1">
      <alignment horizontal="center" vertical="top" wrapText="1"/>
    </xf>
    <xf numFmtId="0" fontId="31" fillId="0" borderId="79" xfId="19" applyFont="1" applyBorder="1" applyAlignment="1">
      <alignment horizontal="center" vertical="top" wrapText="1"/>
    </xf>
    <xf numFmtId="0" fontId="10" fillId="0" borderId="80" xfId="19" applyFont="1" applyBorder="1"/>
    <xf numFmtId="0" fontId="10" fillId="0" borderId="72" xfId="19" applyFont="1" applyBorder="1"/>
    <xf numFmtId="0" fontId="32" fillId="7" borderId="73" xfId="19" applyFont="1" applyFill="1" applyBorder="1" applyAlignment="1">
      <alignment horizontal="center" vertical="center" textRotation="90" wrapText="1"/>
    </xf>
    <xf numFmtId="0" fontId="32" fillId="7" borderId="75" xfId="19" applyFont="1" applyFill="1" applyBorder="1" applyAlignment="1">
      <alignment horizontal="center" vertical="center" wrapText="1"/>
    </xf>
    <xf numFmtId="0" fontId="32" fillId="7" borderId="75" xfId="19" applyFont="1" applyFill="1" applyBorder="1" applyAlignment="1">
      <alignment horizontal="center" vertical="center"/>
    </xf>
    <xf numFmtId="0" fontId="30" fillId="0" borderId="73" xfId="19" applyFont="1" applyBorder="1" applyAlignment="1">
      <alignment horizontal="center" vertical="top"/>
    </xf>
    <xf numFmtId="9" fontId="30" fillId="0" borderId="73" xfId="19" applyNumberFormat="1" applyFont="1" applyBorder="1" applyAlignment="1">
      <alignment horizontal="center" vertical="top" wrapText="1"/>
    </xf>
    <xf numFmtId="0" fontId="37" fillId="0" borderId="73" xfId="19" applyFont="1" applyBorder="1" applyAlignment="1">
      <alignment horizontal="center" vertical="top"/>
    </xf>
    <xf numFmtId="0" fontId="37" fillId="0" borderId="73" xfId="19" applyFont="1" applyBorder="1" applyAlignment="1">
      <alignment horizontal="center" vertical="top" wrapText="1"/>
    </xf>
    <xf numFmtId="0" fontId="74" fillId="7" borderId="78" xfId="19" applyFont="1" applyFill="1" applyBorder="1" applyAlignment="1">
      <alignment horizontal="center" vertical="center"/>
    </xf>
    <xf numFmtId="0" fontId="10" fillId="0" borderId="83" xfId="19" applyFont="1" applyBorder="1"/>
    <xf numFmtId="0" fontId="10" fillId="0" borderId="79" xfId="19" applyFont="1" applyBorder="1"/>
    <xf numFmtId="0" fontId="10" fillId="0" borderId="71" xfId="19" applyFont="1" applyBorder="1"/>
    <xf numFmtId="0" fontId="29" fillId="7" borderId="67" xfId="19" applyFont="1" applyFill="1" applyBorder="1" applyAlignment="1">
      <alignment horizontal="left" vertical="center"/>
    </xf>
    <xf numFmtId="0" fontId="10" fillId="0" borderId="68" xfId="19" applyFont="1" applyBorder="1"/>
    <xf numFmtId="0" fontId="30" fillId="6" borderId="67" xfId="19" applyFont="1" applyFill="1" applyBorder="1" applyAlignment="1">
      <alignment horizontal="left" vertical="center"/>
    </xf>
    <xf numFmtId="0" fontId="10" fillId="0" borderId="68" xfId="19" applyFont="1" applyBorder="1" applyAlignment="1">
      <alignment horizontal="left"/>
    </xf>
    <xf numFmtId="0" fontId="10" fillId="0" borderId="69" xfId="19" applyFont="1" applyBorder="1" applyAlignment="1">
      <alignment horizontal="left"/>
    </xf>
    <xf numFmtId="0" fontId="27" fillId="0" borderId="37" xfId="7" applyFont="1" applyAlignment="1">
      <alignment horizontal="center" vertical="center" wrapText="1"/>
    </xf>
    <xf numFmtId="0" fontId="27" fillId="0" borderId="42" xfId="7" applyFont="1" applyBorder="1" applyAlignment="1">
      <alignment horizontal="center" vertical="center"/>
    </xf>
    <xf numFmtId="0" fontId="27" fillId="0" borderId="37" xfId="7" applyFont="1" applyAlignment="1">
      <alignment horizontal="center" vertical="center"/>
    </xf>
    <xf numFmtId="9" fontId="27" fillId="0" borderId="42" xfId="16" applyFont="1" applyBorder="1" applyAlignment="1">
      <alignment horizontal="center" vertical="center"/>
    </xf>
    <xf numFmtId="9" fontId="27" fillId="0" borderId="37" xfId="16" applyFont="1" applyBorder="1" applyAlignment="1">
      <alignment horizontal="center" vertical="center"/>
    </xf>
    <xf numFmtId="0" fontId="27" fillId="0" borderId="42" xfId="7" applyFont="1" applyBorder="1" applyAlignment="1">
      <alignment horizontal="center" vertical="center" wrapText="1"/>
    </xf>
    <xf numFmtId="0" fontId="27" fillId="0" borderId="116" xfId="7" applyFont="1" applyBorder="1" applyAlignment="1">
      <alignment horizontal="center" vertical="center" wrapText="1"/>
    </xf>
    <xf numFmtId="0" fontId="27" fillId="0" borderId="117" xfId="7" applyFont="1" applyBorder="1" applyAlignment="1">
      <alignment horizontal="center" vertical="center" wrapText="1"/>
    </xf>
    <xf numFmtId="0" fontId="27" fillId="0" borderId="118" xfId="7" applyFont="1" applyBorder="1" applyAlignment="1">
      <alignment horizontal="center" vertical="center" wrapText="1"/>
    </xf>
    <xf numFmtId="0" fontId="30" fillId="0" borderId="73" xfId="19" applyFont="1" applyBorder="1" applyAlignment="1">
      <alignment horizontal="center" vertical="center" wrapText="1"/>
    </xf>
    <xf numFmtId="0" fontId="30" fillId="0" borderId="78" xfId="19" applyFont="1" applyBorder="1" applyAlignment="1">
      <alignment horizontal="center" vertical="top" wrapText="1"/>
    </xf>
    <xf numFmtId="0" fontId="30" fillId="0" borderId="79" xfId="19" applyFont="1" applyBorder="1" applyAlignment="1">
      <alignment horizontal="center" vertical="top" wrapText="1"/>
    </xf>
    <xf numFmtId="0" fontId="32" fillId="7" borderId="67" xfId="19" applyFont="1" applyFill="1" applyBorder="1" applyAlignment="1">
      <alignment horizontal="center" vertical="center" wrapText="1"/>
    </xf>
    <xf numFmtId="0" fontId="10" fillId="0" borderId="69" xfId="19" applyFont="1" applyBorder="1"/>
    <xf numFmtId="0" fontId="30" fillId="6" borderId="67" xfId="19" applyFont="1" applyFill="1" applyBorder="1" applyAlignment="1">
      <alignment horizontal="left" vertical="center" wrapText="1"/>
    </xf>
    <xf numFmtId="0" fontId="32" fillId="7" borderId="67" xfId="19" applyFont="1" applyFill="1" applyBorder="1" applyAlignment="1">
      <alignment horizontal="center" vertical="center"/>
    </xf>
    <xf numFmtId="0" fontId="32" fillId="7" borderId="70" xfId="19" applyFont="1" applyFill="1" applyBorder="1" applyAlignment="1">
      <alignment horizontal="center" vertical="center"/>
    </xf>
    <xf numFmtId="0" fontId="30" fillId="0" borderId="50" xfId="17" applyFont="1" applyBorder="1" applyAlignment="1" applyProtection="1">
      <alignment horizontal="center" vertical="center" textRotation="90"/>
      <protection locked="0"/>
    </xf>
    <xf numFmtId="0" fontId="30" fillId="0" borderId="52" xfId="17" applyFont="1" applyBorder="1" applyAlignment="1" applyProtection="1">
      <alignment horizontal="center" vertical="center" textRotation="90"/>
      <protection locked="0"/>
    </xf>
    <xf numFmtId="0" fontId="35" fillId="0" borderId="50" xfId="17" applyFont="1" applyBorder="1" applyAlignment="1" applyProtection="1">
      <alignment horizontal="center" vertical="center" wrapText="1"/>
      <protection locked="0"/>
    </xf>
    <xf numFmtId="0" fontId="35" fillId="0" borderId="52" xfId="17" applyFont="1" applyBorder="1" applyAlignment="1" applyProtection="1">
      <alignment horizontal="center" vertical="center" wrapText="1"/>
      <protection locked="0"/>
    </xf>
    <xf numFmtId="14" fontId="35" fillId="0" borderId="50" xfId="17" applyNumberFormat="1" applyFont="1" applyBorder="1" applyAlignment="1" applyProtection="1">
      <alignment horizontal="center" vertical="center"/>
      <protection locked="0"/>
    </xf>
    <xf numFmtId="14" fontId="35" fillId="0" borderId="52" xfId="17" applyNumberFormat="1" applyFont="1" applyBorder="1" applyAlignment="1" applyProtection="1">
      <alignment horizontal="center" vertical="center"/>
      <protection locked="0"/>
    </xf>
    <xf numFmtId="0" fontId="35" fillId="0" borderId="50" xfId="17" applyFont="1" applyBorder="1" applyAlignment="1" applyProtection="1">
      <alignment horizontal="center" vertical="center"/>
      <protection locked="0"/>
    </xf>
    <xf numFmtId="0" fontId="35" fillId="0" borderId="52" xfId="17" applyFont="1" applyBorder="1" applyAlignment="1" applyProtection="1">
      <alignment horizontal="center" vertical="center"/>
      <protection locked="0"/>
    </xf>
    <xf numFmtId="9" fontId="27" fillId="0" borderId="42" xfId="16" applyFont="1" applyBorder="1" applyAlignment="1">
      <alignment horizontal="center" vertical="center" wrapText="1"/>
    </xf>
    <xf numFmtId="9" fontId="27" fillId="0" borderId="37" xfId="16" applyFont="1" applyBorder="1" applyAlignment="1">
      <alignment horizontal="center" vertical="center" wrapText="1"/>
    </xf>
    <xf numFmtId="0" fontId="27" fillId="0" borderId="43" xfId="7" applyFont="1" applyBorder="1" applyAlignment="1">
      <alignment horizontal="center" vertical="center" wrapText="1"/>
    </xf>
    <xf numFmtId="0" fontId="27" fillId="0" borderId="56" xfId="7" applyFont="1" applyBorder="1" applyAlignment="1">
      <alignment horizontal="center" vertical="center" wrapText="1"/>
    </xf>
    <xf numFmtId="0" fontId="30" fillId="9" borderId="62" xfId="17" applyFont="1" applyFill="1" applyBorder="1" applyAlignment="1" applyProtection="1">
      <alignment horizontal="left" vertical="center"/>
      <protection locked="0"/>
    </xf>
    <xf numFmtId="0" fontId="30" fillId="9" borderId="63" xfId="17" applyFont="1" applyFill="1" applyBorder="1" applyAlignment="1" applyProtection="1">
      <alignment horizontal="left" vertical="center"/>
      <protection locked="0"/>
    </xf>
    <xf numFmtId="0" fontId="30" fillId="9" borderId="64" xfId="17" applyFont="1" applyFill="1" applyBorder="1" applyAlignment="1" applyProtection="1">
      <alignment horizontal="left" vertical="center"/>
      <protection locked="0"/>
    </xf>
    <xf numFmtId="0" fontId="30" fillId="9" borderId="62" xfId="17" applyFont="1" applyFill="1" applyBorder="1" applyAlignment="1" applyProtection="1">
      <alignment horizontal="left" vertical="center" wrapText="1"/>
      <protection locked="0"/>
    </xf>
    <xf numFmtId="0" fontId="30" fillId="9" borderId="63" xfId="17" applyFont="1" applyFill="1" applyBorder="1" applyAlignment="1" applyProtection="1">
      <alignment horizontal="left" vertical="center" wrapText="1"/>
      <protection locked="0"/>
    </xf>
    <xf numFmtId="0" fontId="30" fillId="9" borderId="64" xfId="17" applyFont="1" applyFill="1" applyBorder="1" applyAlignment="1" applyProtection="1">
      <alignment horizontal="left" vertical="center" wrapText="1"/>
      <protection locked="0"/>
    </xf>
    <xf numFmtId="0" fontId="31" fillId="0" borderId="50" xfId="20" applyFont="1" applyBorder="1" applyAlignment="1">
      <alignment horizontal="center" vertical="center"/>
    </xf>
    <xf numFmtId="0" fontId="31" fillId="0" borderId="53" xfId="20" applyFont="1" applyBorder="1" applyAlignment="1">
      <alignment horizontal="center" vertical="center"/>
    </xf>
    <xf numFmtId="0" fontId="31" fillId="0" borderId="52" xfId="20" applyFont="1" applyBorder="1" applyAlignment="1">
      <alignment horizontal="center" vertical="center"/>
    </xf>
    <xf numFmtId="0" fontId="30" fillId="0" borderId="50" xfId="20" applyFont="1" applyBorder="1" applyAlignment="1" applyProtection="1">
      <alignment horizontal="center" vertical="top" wrapText="1"/>
      <protection locked="0"/>
    </xf>
    <xf numFmtId="0" fontId="30" fillId="0" borderId="53" xfId="20" applyFont="1" applyBorder="1" applyAlignment="1" applyProtection="1">
      <alignment horizontal="center" vertical="top" wrapText="1"/>
      <protection locked="0"/>
    </xf>
    <xf numFmtId="0" fontId="30" fillId="0" borderId="52" xfId="20" applyFont="1" applyBorder="1" applyAlignment="1" applyProtection="1">
      <alignment horizontal="center" vertical="top" wrapText="1"/>
      <protection locked="0"/>
    </xf>
    <xf numFmtId="0" fontId="29" fillId="8" borderId="47" xfId="20" applyFont="1" applyFill="1" applyBorder="1" applyAlignment="1">
      <alignment horizontal="left" vertical="center"/>
    </xf>
    <xf numFmtId="0" fontId="29" fillId="8" borderId="48" xfId="20" applyFont="1" applyFill="1" applyBorder="1" applyAlignment="1">
      <alignment horizontal="left" vertical="center"/>
    </xf>
    <xf numFmtId="0" fontId="32" fillId="8" borderId="51" xfId="20" applyFont="1" applyFill="1" applyBorder="1" applyAlignment="1">
      <alignment horizontal="center" vertical="center" textRotation="90" wrapText="1"/>
    </xf>
    <xf numFmtId="0" fontId="31" fillId="0" borderId="93" xfId="20" applyFont="1" applyBorder="1" applyAlignment="1" applyProtection="1">
      <alignment horizontal="center" vertical="center" wrapText="1"/>
      <protection locked="0"/>
    </xf>
    <xf numFmtId="0" fontId="31" fillId="0" borderId="94" xfId="20" applyFont="1" applyBorder="1" applyAlignment="1" applyProtection="1">
      <alignment horizontal="center" vertical="center" wrapText="1"/>
      <protection locked="0"/>
    </xf>
    <xf numFmtId="0" fontId="34" fillId="0" borderId="59" xfId="20" applyFont="1" applyBorder="1" applyAlignment="1" applyProtection="1">
      <alignment horizontal="center" vertical="center" wrapText="1"/>
      <protection locked="0"/>
    </xf>
    <xf numFmtId="0" fontId="34" fillId="0" borderId="60" xfId="20" applyFont="1" applyBorder="1" applyAlignment="1" applyProtection="1">
      <alignment horizontal="center" vertical="center" wrapText="1"/>
      <protection locked="0"/>
    </xf>
    <xf numFmtId="0" fontId="35" fillId="0" borderId="59" xfId="20" applyFont="1" applyBorder="1" applyAlignment="1" applyProtection="1">
      <alignment horizontal="center" vertical="top" wrapText="1"/>
      <protection locked="0"/>
    </xf>
    <xf numFmtId="0" fontId="35" fillId="0" borderId="60" xfId="20" applyFont="1" applyBorder="1" applyAlignment="1" applyProtection="1">
      <alignment horizontal="center" vertical="top" wrapText="1"/>
      <protection locked="0"/>
    </xf>
    <xf numFmtId="0" fontId="34" fillId="0" borderId="59" xfId="20" applyFont="1" applyBorder="1" applyAlignment="1" applyProtection="1">
      <alignment horizontal="center" vertical="top" wrapText="1"/>
      <protection locked="0"/>
    </xf>
    <xf numFmtId="0" fontId="34" fillId="0" borderId="60" xfId="20" applyFont="1" applyBorder="1" applyAlignment="1" applyProtection="1">
      <alignment horizontal="center" vertical="top" wrapText="1"/>
      <protection locked="0"/>
    </xf>
    <xf numFmtId="0" fontId="31" fillId="0" borderId="43" xfId="20" applyFont="1" applyBorder="1" applyAlignment="1" applyProtection="1">
      <alignment horizontal="center" vertical="top" wrapText="1"/>
      <protection locked="0"/>
    </xf>
    <xf numFmtId="0" fontId="31" fillId="0" borderId="56" xfId="20" applyFont="1" applyBorder="1" applyAlignment="1" applyProtection="1">
      <alignment horizontal="center" vertical="top" wrapText="1"/>
      <protection locked="0"/>
    </xf>
    <xf numFmtId="0" fontId="30" fillId="0" borderId="50" xfId="20" applyFont="1" applyBorder="1" applyAlignment="1" applyProtection="1">
      <alignment horizontal="center" vertical="top"/>
      <protection locked="0"/>
    </xf>
    <xf numFmtId="0" fontId="30" fillId="0" borderId="53" xfId="20" applyFont="1" applyBorder="1" applyAlignment="1" applyProtection="1">
      <alignment horizontal="center" vertical="top"/>
      <protection locked="0"/>
    </xf>
    <xf numFmtId="0" fontId="37" fillId="0" borderId="50" xfId="20" applyFont="1" applyBorder="1" applyAlignment="1" applyProtection="1">
      <alignment horizontal="center" vertical="top" wrapText="1"/>
      <protection hidden="1"/>
    </xf>
    <xf numFmtId="0" fontId="37" fillId="0" borderId="53" xfId="20" applyFont="1" applyBorder="1" applyAlignment="1" applyProtection="1">
      <alignment horizontal="center" vertical="top" wrapText="1"/>
      <protection hidden="1"/>
    </xf>
    <xf numFmtId="9" fontId="30" fillId="0" borderId="50" xfId="20" applyNumberFormat="1" applyFont="1" applyBorder="1" applyAlignment="1" applyProtection="1">
      <alignment horizontal="center" vertical="top" wrapText="1"/>
      <protection hidden="1"/>
    </xf>
    <xf numFmtId="9" fontId="30" fillId="0" borderId="53" xfId="20" applyNumberFormat="1" applyFont="1" applyBorder="1" applyAlignment="1" applyProtection="1">
      <alignment horizontal="center" vertical="top" wrapText="1"/>
      <protection hidden="1"/>
    </xf>
    <xf numFmtId="9" fontId="30" fillId="0" borderId="50" xfId="20" applyNumberFormat="1" applyFont="1" applyBorder="1" applyAlignment="1" applyProtection="1">
      <alignment horizontal="center" vertical="top" wrapText="1"/>
      <protection locked="0"/>
    </xf>
    <xf numFmtId="9" fontId="30" fillId="0" borderId="53" xfId="20" applyNumberFormat="1" applyFont="1" applyBorder="1" applyAlignment="1" applyProtection="1">
      <alignment horizontal="center" vertical="top" wrapText="1"/>
      <protection locked="0"/>
    </xf>
    <xf numFmtId="0" fontId="32" fillId="8" borderId="51" xfId="20" applyFont="1" applyFill="1" applyBorder="1" applyAlignment="1">
      <alignment horizontal="center" vertical="center" wrapText="1"/>
    </xf>
    <xf numFmtId="0" fontId="37" fillId="0" borderId="50" xfId="20" applyFont="1" applyBorder="1" applyAlignment="1" applyProtection="1">
      <alignment horizontal="center" vertical="top"/>
      <protection hidden="1"/>
    </xf>
    <xf numFmtId="0" fontId="37" fillId="0" borderId="53" xfId="20" applyFont="1" applyBorder="1" applyAlignment="1" applyProtection="1">
      <alignment horizontal="center" vertical="top"/>
      <protection hidden="1"/>
    </xf>
    <xf numFmtId="0" fontId="31" fillId="0" borderId="50" xfId="20" applyFont="1" applyBorder="1" applyAlignment="1" applyProtection="1">
      <alignment horizontal="center" vertical="top" wrapText="1"/>
      <protection locked="0"/>
    </xf>
    <xf numFmtId="0" fontId="31" fillId="0" borderId="53" xfId="20" applyFont="1" applyBorder="1" applyAlignment="1" applyProtection="1">
      <alignment horizontal="center" vertical="top" wrapText="1"/>
      <protection locked="0"/>
    </xf>
    <xf numFmtId="0" fontId="32" fillId="8" borderId="50" xfId="20" applyFont="1" applyFill="1" applyBorder="1" applyAlignment="1">
      <alignment horizontal="center" vertical="center" textRotation="90" wrapText="1"/>
    </xf>
    <xf numFmtId="0" fontId="32" fillId="8" borderId="52" xfId="20" applyFont="1" applyFill="1" applyBorder="1" applyAlignment="1">
      <alignment horizontal="center" vertical="center" textRotation="90" wrapText="1"/>
    </xf>
    <xf numFmtId="0" fontId="26" fillId="0" borderId="50" xfId="17" applyFont="1" applyBorder="1" applyAlignment="1" applyProtection="1">
      <alignment horizontal="center" vertical="center"/>
      <protection hidden="1"/>
    </xf>
    <xf numFmtId="0" fontId="26" fillId="0" borderId="53" xfId="17" applyFont="1" applyBorder="1" applyAlignment="1" applyProtection="1">
      <alignment horizontal="center" vertical="center"/>
      <protection hidden="1"/>
    </xf>
    <xf numFmtId="0" fontId="27" fillId="10" borderId="124" xfId="17" applyFont="1" applyFill="1" applyBorder="1" applyAlignment="1">
      <alignment horizontal="center" vertical="center" wrapText="1"/>
    </xf>
    <xf numFmtId="0" fontId="27" fillId="10" borderId="126" xfId="17" applyFont="1" applyFill="1" applyBorder="1" applyAlignment="1">
      <alignment horizontal="center" vertical="center" wrapText="1"/>
    </xf>
    <xf numFmtId="0" fontId="27" fillId="10" borderId="40" xfId="17" applyFont="1" applyFill="1" applyBorder="1" applyAlignment="1">
      <alignment horizontal="center" vertical="center" wrapText="1"/>
    </xf>
    <xf numFmtId="0" fontId="12" fillId="0" borderId="68" xfId="19" applyFont="1" applyBorder="1" applyAlignment="1">
      <alignment horizontal="left" vertical="center"/>
    </xf>
    <xf numFmtId="0" fontId="12" fillId="0" borderId="83" xfId="19" applyFont="1" applyBorder="1" applyAlignment="1">
      <alignment horizontal="left" vertical="center"/>
    </xf>
    <xf numFmtId="0" fontId="26" fillId="8" borderId="52" xfId="17" applyFont="1" applyFill="1" applyBorder="1" applyAlignment="1">
      <alignment horizontal="center" vertical="center"/>
    </xf>
    <xf numFmtId="0" fontId="26" fillId="8" borderId="50" xfId="17" applyFont="1" applyFill="1" applyBorder="1" applyAlignment="1">
      <alignment horizontal="center" vertical="center"/>
    </xf>
    <xf numFmtId="0" fontId="14" fillId="0" borderId="73" xfId="19" applyFont="1" applyBorder="1" applyAlignment="1">
      <alignment horizontal="center" vertical="center" wrapText="1"/>
    </xf>
    <xf numFmtId="0" fontId="14" fillId="0" borderId="76" xfId="19" applyFont="1" applyBorder="1" applyAlignment="1">
      <alignment horizontal="center" vertical="center" wrapText="1"/>
    </xf>
    <xf numFmtId="0" fontId="31" fillId="0" borderId="82" xfId="19" applyFont="1" applyBorder="1" applyAlignment="1">
      <alignment horizontal="center" vertical="top"/>
    </xf>
    <xf numFmtId="0" fontId="30" fillId="0" borderId="73" xfId="19" applyFont="1" applyBorder="1" applyAlignment="1">
      <alignment horizontal="center" vertical="top" textRotation="90"/>
    </xf>
    <xf numFmtId="0" fontId="37" fillId="0" borderId="73" xfId="19" applyFont="1" applyBorder="1" applyAlignment="1">
      <alignment horizontal="center" vertical="top" textRotation="90"/>
    </xf>
    <xf numFmtId="0" fontId="30" fillId="0" borderId="76" xfId="19" applyFont="1" applyBorder="1" applyAlignment="1">
      <alignment horizontal="center" vertical="center" wrapText="1"/>
    </xf>
    <xf numFmtId="165" fontId="30" fillId="0" borderId="73" xfId="19" applyNumberFormat="1" applyFont="1" applyBorder="1" applyAlignment="1">
      <alignment horizontal="center" vertical="center" wrapText="1"/>
    </xf>
    <xf numFmtId="165" fontId="30" fillId="0" borderId="76" xfId="19" applyNumberFormat="1" applyFont="1" applyBorder="1" applyAlignment="1">
      <alignment horizontal="center" vertical="center" wrapText="1"/>
    </xf>
    <xf numFmtId="0" fontId="17" fillId="6" borderId="34" xfId="19" applyFont="1" applyFill="1" applyBorder="1" applyAlignment="1">
      <alignment horizontal="center" vertical="center" wrapText="1"/>
    </xf>
    <xf numFmtId="0" fontId="10" fillId="0" borderId="9" xfId="19" applyFont="1" applyBorder="1"/>
    <xf numFmtId="9" fontId="30" fillId="0" borderId="73" xfId="19" applyNumberFormat="1" applyFont="1" applyBorder="1" applyAlignment="1">
      <alignment horizontal="center" vertical="top"/>
    </xf>
    <xf numFmtId="164" fontId="31" fillId="0" borderId="73" xfId="19" applyNumberFormat="1" applyFont="1" applyBorder="1" applyAlignment="1">
      <alignment horizontal="center" vertical="top"/>
    </xf>
    <xf numFmtId="0" fontId="37" fillId="0" borderId="73" xfId="19" applyFont="1" applyBorder="1" applyAlignment="1">
      <alignment horizontal="center" vertical="top" textRotation="90" wrapText="1"/>
    </xf>
    <xf numFmtId="0" fontId="30" fillId="0" borderId="73" xfId="19" applyFont="1" applyBorder="1" applyAlignment="1">
      <alignment horizontal="left" vertical="top" wrapText="1"/>
    </xf>
    <xf numFmtId="0" fontId="30" fillId="0" borderId="74" xfId="19" applyFont="1" applyBorder="1" applyAlignment="1">
      <alignment horizontal="center" vertical="top" wrapText="1"/>
    </xf>
    <xf numFmtId="0" fontId="27" fillId="0" borderId="73" xfId="19" applyFont="1" applyBorder="1" applyAlignment="1">
      <alignment horizontal="left" vertical="top" wrapText="1"/>
    </xf>
    <xf numFmtId="0" fontId="30" fillId="0" borderId="74" xfId="19" applyFont="1" applyBorder="1" applyAlignment="1">
      <alignment horizontal="center" vertical="top"/>
    </xf>
    <xf numFmtId="9" fontId="30" fillId="0" borderId="74" xfId="19" applyNumberFormat="1" applyFont="1" applyBorder="1" applyAlignment="1">
      <alignment horizontal="center" vertical="top" wrapText="1"/>
    </xf>
    <xf numFmtId="0" fontId="37" fillId="0" borderId="74" xfId="19" applyFont="1" applyBorder="1" applyAlignment="1">
      <alignment horizontal="center" vertical="top" wrapText="1"/>
    </xf>
    <xf numFmtId="0" fontId="31" fillId="0" borderId="73" xfId="19" applyFont="1" applyBorder="1" applyAlignment="1">
      <alignment horizontal="left" vertical="top" wrapText="1"/>
    </xf>
    <xf numFmtId="0" fontId="31" fillId="0" borderId="76" xfId="19" applyFont="1" applyBorder="1" applyAlignment="1">
      <alignment horizontal="center" vertical="center" wrapText="1"/>
    </xf>
    <xf numFmtId="0" fontId="32" fillId="0" borderId="74" xfId="19" applyFont="1" applyBorder="1" applyAlignment="1">
      <alignment horizontal="center" vertical="top" wrapText="1"/>
    </xf>
    <xf numFmtId="0" fontId="31" fillId="0" borderId="75" xfId="19" applyFont="1" applyBorder="1" applyAlignment="1">
      <alignment horizontal="left" vertical="top" wrapText="1"/>
    </xf>
    <xf numFmtId="0" fontId="31" fillId="0" borderId="37" xfId="19" applyFont="1" applyAlignment="1">
      <alignment horizontal="left" vertical="top" wrapText="1"/>
    </xf>
    <xf numFmtId="0" fontId="31" fillId="0" borderId="80" xfId="19" applyFont="1" applyBorder="1" applyAlignment="1">
      <alignment horizontal="left" vertical="top" wrapText="1"/>
    </xf>
    <xf numFmtId="0" fontId="74" fillId="8" borderId="41" xfId="20" applyFont="1" applyFill="1" applyBorder="1" applyAlignment="1">
      <alignment horizontal="center" vertical="center"/>
    </xf>
    <xf numFmtId="0" fontId="74" fillId="8" borderId="42" xfId="20" applyFont="1" applyFill="1" applyBorder="1" applyAlignment="1">
      <alignment horizontal="center" vertical="center"/>
    </xf>
    <xf numFmtId="0" fontId="74" fillId="8" borderId="43" xfId="20" applyFont="1" applyFill="1" applyBorder="1" applyAlignment="1">
      <alignment horizontal="center" vertical="center"/>
    </xf>
    <xf numFmtId="0" fontId="74" fillId="8" borderId="44" xfId="20" applyFont="1" applyFill="1" applyBorder="1" applyAlignment="1">
      <alignment horizontal="center" vertical="center"/>
    </xf>
    <xf numFmtId="0" fontId="74" fillId="8" borderId="45" xfId="20" applyFont="1" applyFill="1" applyBorder="1" applyAlignment="1">
      <alignment horizontal="center" vertical="center"/>
    </xf>
    <xf numFmtId="0" fontId="74" fillId="8" borderId="46" xfId="20" applyFont="1" applyFill="1" applyBorder="1" applyAlignment="1">
      <alignment horizontal="center" vertical="center"/>
    </xf>
    <xf numFmtId="0" fontId="30" fillId="9" borderId="49" xfId="20" applyFont="1" applyFill="1" applyBorder="1" applyAlignment="1" applyProtection="1">
      <alignment horizontal="left" vertical="center"/>
      <protection locked="0"/>
    </xf>
    <xf numFmtId="0" fontId="30" fillId="9" borderId="49" xfId="20" applyFont="1" applyFill="1" applyBorder="1" applyAlignment="1" applyProtection="1">
      <alignment horizontal="left" vertical="center" wrapText="1"/>
      <protection locked="0"/>
    </xf>
    <xf numFmtId="0" fontId="30" fillId="0" borderId="74" xfId="19" applyFont="1" applyBorder="1" applyAlignment="1">
      <alignment horizontal="center" vertical="center" wrapText="1"/>
    </xf>
    <xf numFmtId="0" fontId="32" fillId="8" borderId="47" xfId="20" applyFont="1" applyFill="1" applyBorder="1" applyAlignment="1">
      <alignment horizontal="center" vertical="center"/>
    </xf>
    <xf numFmtId="0" fontId="32" fillId="8" borderId="48" xfId="20" applyFont="1" applyFill="1" applyBorder="1" applyAlignment="1">
      <alignment horizontal="center" vertical="center"/>
    </xf>
    <xf numFmtId="0" fontId="32" fillId="8" borderId="45" xfId="20" applyFont="1" applyFill="1" applyBorder="1" applyAlignment="1">
      <alignment horizontal="center" vertical="center"/>
    </xf>
    <xf numFmtId="0" fontId="32" fillId="8" borderId="46" xfId="20" applyFont="1" applyFill="1" applyBorder="1" applyAlignment="1">
      <alignment horizontal="center" vertical="center"/>
    </xf>
    <xf numFmtId="0" fontId="32" fillId="8" borderId="44" xfId="20" applyFont="1" applyFill="1" applyBorder="1" applyAlignment="1">
      <alignment horizontal="center" vertical="center"/>
    </xf>
    <xf numFmtId="0" fontId="33" fillId="8" borderId="50" xfId="20" applyFont="1" applyFill="1" applyBorder="1" applyAlignment="1">
      <alignment horizontal="center" vertical="center" textRotation="90"/>
    </xf>
    <xf numFmtId="0" fontId="33" fillId="8" borderId="52" xfId="20" applyFont="1" applyFill="1" applyBorder="1" applyAlignment="1">
      <alignment horizontal="center" vertical="center" textRotation="90"/>
    </xf>
    <xf numFmtId="0" fontId="32" fillId="8" borderId="51" xfId="20" applyFont="1" applyFill="1" applyBorder="1" applyAlignment="1">
      <alignment horizontal="center" vertical="center"/>
    </xf>
    <xf numFmtId="0" fontId="32" fillId="8" borderId="52" xfId="20" applyFont="1" applyFill="1" applyBorder="1" applyAlignment="1">
      <alignment horizontal="center" vertical="center" wrapText="1"/>
    </xf>
    <xf numFmtId="0" fontId="32" fillId="8" borderId="50" xfId="20" applyFont="1" applyFill="1" applyBorder="1" applyAlignment="1">
      <alignment horizontal="center" vertical="center" wrapText="1"/>
    </xf>
    <xf numFmtId="0" fontId="32" fillId="8" borderId="53" xfId="20" applyFont="1" applyFill="1" applyBorder="1" applyAlignment="1">
      <alignment horizontal="center" vertical="center" wrapText="1"/>
    </xf>
    <xf numFmtId="0" fontId="32" fillId="8" borderId="52" xfId="20" applyFont="1" applyFill="1" applyBorder="1" applyAlignment="1">
      <alignment horizontal="center" vertical="center"/>
    </xf>
    <xf numFmtId="0" fontId="32" fillId="8" borderId="50" xfId="20" applyFont="1" applyFill="1" applyBorder="1" applyAlignment="1">
      <alignment horizontal="center" vertical="center"/>
    </xf>
    <xf numFmtId="0" fontId="32" fillId="8" borderId="54" xfId="20" applyFont="1" applyFill="1" applyBorder="1" applyAlignment="1">
      <alignment horizontal="center" vertical="center"/>
    </xf>
    <xf numFmtId="0" fontId="32" fillId="8" borderId="54" xfId="20" applyFont="1" applyFill="1" applyBorder="1" applyAlignment="1">
      <alignment horizontal="center" vertical="center" wrapText="1"/>
    </xf>
    <xf numFmtId="0" fontId="32" fillId="8" borderId="47" xfId="20" applyFont="1" applyFill="1" applyBorder="1" applyAlignment="1">
      <alignment horizontal="center" vertical="center" wrapText="1"/>
    </xf>
    <xf numFmtId="0" fontId="30" fillId="0" borderId="50" xfId="20" applyFont="1" applyBorder="1" applyAlignment="1" applyProtection="1">
      <alignment horizontal="center" vertical="center" wrapText="1"/>
      <protection locked="0"/>
    </xf>
    <xf numFmtId="0" fontId="30" fillId="0" borderId="53" xfId="20" applyFont="1" applyBorder="1" applyAlignment="1" applyProtection="1">
      <alignment horizontal="center" vertical="center" wrapText="1"/>
      <protection locked="0"/>
    </xf>
    <xf numFmtId="0" fontId="30" fillId="0" borderId="93" xfId="20" applyFont="1" applyBorder="1" applyAlignment="1" applyProtection="1">
      <alignment horizontal="center" vertical="top" wrapText="1"/>
      <protection locked="0"/>
    </xf>
    <xf numFmtId="0" fontId="30" fillId="0" borderId="94" xfId="20" applyFont="1" applyBorder="1" applyAlignment="1" applyProtection="1">
      <alignment horizontal="center" vertical="top" wrapText="1"/>
      <protection locked="0"/>
    </xf>
    <xf numFmtId="0" fontId="30" fillId="9" borderId="59" xfId="20" applyFont="1" applyFill="1" applyBorder="1" applyAlignment="1">
      <alignment horizontal="center" vertical="center" wrapText="1"/>
    </xf>
    <xf numFmtId="0" fontId="30" fillId="9" borderId="65" xfId="20" applyFont="1" applyFill="1" applyBorder="1" applyAlignment="1">
      <alignment horizontal="center" vertical="center" wrapText="1"/>
    </xf>
    <xf numFmtId="0" fontId="35" fillId="0" borderId="49" xfId="20" applyFont="1" applyBorder="1" applyAlignment="1" applyProtection="1">
      <alignment horizontal="center" vertical="top" wrapText="1"/>
      <protection locked="0"/>
    </xf>
    <xf numFmtId="0" fontId="30" fillId="0" borderId="43" xfId="20" applyFont="1" applyBorder="1" applyAlignment="1" applyProtection="1">
      <alignment horizontal="center" vertical="top" wrapText="1"/>
      <protection locked="0"/>
    </xf>
    <xf numFmtId="0" fontId="30" fillId="0" borderId="56" xfId="20" applyFont="1" applyBorder="1" applyAlignment="1" applyProtection="1">
      <alignment horizontal="center" vertical="top" wrapText="1"/>
      <protection locked="0"/>
    </xf>
    <xf numFmtId="0" fontId="30" fillId="0" borderId="55" xfId="20" applyFont="1" applyBorder="1" applyAlignment="1" applyProtection="1">
      <alignment horizontal="center" vertical="top" textRotation="90"/>
      <protection locked="0"/>
    </xf>
    <xf numFmtId="0" fontId="30" fillId="0" borderId="57" xfId="20" applyFont="1" applyBorder="1" applyAlignment="1" applyProtection="1">
      <alignment horizontal="center" vertical="top" textRotation="90"/>
      <protection locked="0"/>
    </xf>
    <xf numFmtId="0" fontId="30" fillId="0" borderId="58" xfId="20" applyFont="1" applyBorder="1" applyAlignment="1" applyProtection="1">
      <alignment horizontal="center" vertical="top" textRotation="90"/>
      <protection locked="0"/>
    </xf>
    <xf numFmtId="0" fontId="31" fillId="0" borderId="41" xfId="20" applyFont="1" applyBorder="1" applyAlignment="1" applyProtection="1">
      <alignment horizontal="center" vertical="top" wrapText="1"/>
      <protection locked="0"/>
    </xf>
    <xf numFmtId="0" fontId="31" fillId="0" borderId="54" xfId="20" applyFont="1" applyBorder="1" applyAlignment="1" applyProtection="1">
      <alignment horizontal="center" vertical="top" wrapText="1"/>
      <protection locked="0"/>
    </xf>
    <xf numFmtId="0" fontId="34" fillId="0" borderId="49" xfId="20" applyFont="1" applyBorder="1" applyAlignment="1" applyProtection="1">
      <alignment horizontal="center" vertical="top" wrapText="1"/>
      <protection locked="0"/>
    </xf>
    <xf numFmtId="0" fontId="31" fillId="0" borderId="50" xfId="20" applyFont="1" applyBorder="1" applyAlignment="1" applyProtection="1">
      <alignment horizontal="center" vertical="top"/>
      <protection locked="0"/>
    </xf>
    <xf numFmtId="0" fontId="31" fillId="0" borderId="53" xfId="20" applyFont="1" applyBorder="1" applyAlignment="1" applyProtection="1">
      <alignment horizontal="center" vertical="top"/>
      <protection locked="0"/>
    </xf>
    <xf numFmtId="0" fontId="32" fillId="0" borderId="50" xfId="20" applyFont="1" applyBorder="1" applyAlignment="1" applyProtection="1">
      <alignment horizontal="center" vertical="top" wrapText="1"/>
      <protection hidden="1"/>
    </xf>
    <xf numFmtId="0" fontId="32" fillId="0" borderId="53" xfId="20" applyFont="1" applyBorder="1" applyAlignment="1" applyProtection="1">
      <alignment horizontal="center" vertical="top" wrapText="1"/>
      <protection hidden="1"/>
    </xf>
    <xf numFmtId="9" fontId="31" fillId="0" borderId="50" xfId="20" applyNumberFormat="1" applyFont="1" applyBorder="1" applyAlignment="1" applyProtection="1">
      <alignment horizontal="center" vertical="top" wrapText="1"/>
      <protection hidden="1"/>
    </xf>
    <xf numFmtId="9" fontId="31" fillId="0" borderId="53" xfId="20" applyNumberFormat="1" applyFont="1" applyBorder="1" applyAlignment="1" applyProtection="1">
      <alignment horizontal="center" vertical="top" wrapText="1"/>
      <protection hidden="1"/>
    </xf>
    <xf numFmtId="9" fontId="31" fillId="0" borderId="50" xfId="20" applyNumberFormat="1" applyFont="1" applyBorder="1" applyAlignment="1" applyProtection="1">
      <alignment horizontal="center" vertical="top" wrapText="1"/>
      <protection locked="0"/>
    </xf>
    <xf numFmtId="9" fontId="31" fillId="0" borderId="53" xfId="20" applyNumberFormat="1" applyFont="1" applyBorder="1" applyAlignment="1" applyProtection="1">
      <alignment horizontal="center" vertical="top" wrapText="1"/>
      <protection locked="0"/>
    </xf>
    <xf numFmtId="0" fontId="32" fillId="0" borderId="50" xfId="20" applyFont="1" applyBorder="1" applyAlignment="1" applyProtection="1">
      <alignment horizontal="center" vertical="top"/>
      <protection hidden="1"/>
    </xf>
    <xf numFmtId="0" fontId="32" fillId="0" borderId="53" xfId="20" applyFont="1" applyBorder="1" applyAlignment="1" applyProtection="1">
      <alignment horizontal="center" vertical="top"/>
      <protection hidden="1"/>
    </xf>
    <xf numFmtId="0" fontId="31" fillId="0" borderId="47" xfId="20" applyFont="1" applyBorder="1" applyAlignment="1">
      <alignment horizontal="left" vertical="center" wrapText="1"/>
    </xf>
    <xf numFmtId="0" fontId="31" fillId="0" borderId="48" xfId="20" applyFont="1" applyBorder="1" applyAlignment="1">
      <alignment horizontal="left" vertical="center" wrapText="1"/>
    </xf>
    <xf numFmtId="0" fontId="31" fillId="0" borderId="61" xfId="20" applyFont="1" applyBorder="1" applyAlignment="1">
      <alignment horizontal="left" vertical="center" wrapText="1"/>
    </xf>
    <xf numFmtId="0" fontId="30" fillId="9" borderId="49" xfId="20" applyFont="1" applyFill="1" applyBorder="1" applyAlignment="1" applyProtection="1">
      <alignment horizontal="left" vertical="top"/>
      <protection locked="0"/>
    </xf>
    <xf numFmtId="0" fontId="30" fillId="9" borderId="49" xfId="20" applyFont="1" applyFill="1" applyBorder="1" applyAlignment="1" applyProtection="1">
      <alignment horizontal="left" vertical="top" wrapText="1"/>
      <protection locked="0"/>
    </xf>
    <xf numFmtId="0" fontId="30" fillId="0" borderId="41" xfId="20" applyFont="1" applyBorder="1" applyAlignment="1" applyProtection="1">
      <alignment horizontal="center" vertical="top" wrapText="1"/>
      <protection locked="0"/>
    </xf>
    <xf numFmtId="0" fontId="30" fillId="0" borderId="54" xfId="20" applyFont="1" applyBorder="1" applyAlignment="1" applyProtection="1">
      <alignment horizontal="center" vertical="top" wrapText="1"/>
      <protection locked="0"/>
    </xf>
    <xf numFmtId="0" fontId="30" fillId="0" borderId="44" xfId="20" applyFont="1" applyBorder="1" applyAlignment="1" applyProtection="1">
      <alignment horizontal="center" vertical="top" wrapText="1"/>
      <protection locked="0"/>
    </xf>
    <xf numFmtId="0" fontId="32" fillId="9" borderId="59" xfId="20" applyFont="1" applyFill="1" applyBorder="1" applyAlignment="1">
      <alignment horizontal="center" vertical="center" wrapText="1"/>
    </xf>
    <xf numFmtId="0" fontId="32" fillId="9" borderId="65" xfId="20" applyFont="1" applyFill="1" applyBorder="1" applyAlignment="1">
      <alignment horizontal="center" vertical="center" wrapText="1"/>
    </xf>
    <xf numFmtId="0" fontId="35" fillId="0" borderId="66" xfId="20" applyFont="1" applyBorder="1" applyAlignment="1" applyProtection="1">
      <alignment horizontal="center" vertical="top" wrapText="1"/>
      <protection locked="0"/>
    </xf>
    <xf numFmtId="0" fontId="35" fillId="0" borderId="118" xfId="20" applyFont="1" applyBorder="1" applyAlignment="1" applyProtection="1">
      <alignment horizontal="center" vertical="top" wrapText="1"/>
      <protection locked="0"/>
    </xf>
    <xf numFmtId="0" fontId="30" fillId="0" borderId="46" xfId="20" applyFont="1" applyBorder="1" applyAlignment="1" applyProtection="1">
      <alignment horizontal="center" vertical="top" wrapText="1"/>
      <protection locked="0"/>
    </xf>
    <xf numFmtId="0" fontId="30" fillId="0" borderId="52" xfId="20" applyFont="1" applyBorder="1" applyAlignment="1" applyProtection="1">
      <alignment horizontal="center" vertical="top"/>
      <protection locked="0"/>
    </xf>
    <xf numFmtId="0" fontId="37" fillId="0" borderId="52" xfId="20" applyFont="1" applyBorder="1" applyAlignment="1" applyProtection="1">
      <alignment horizontal="center" vertical="top" wrapText="1"/>
      <protection hidden="1"/>
    </xf>
    <xf numFmtId="9" fontId="30" fillId="0" borderId="52" xfId="20" applyNumberFormat="1" applyFont="1" applyBorder="1" applyAlignment="1" applyProtection="1">
      <alignment horizontal="center" vertical="top" wrapText="1"/>
      <protection hidden="1"/>
    </xf>
    <xf numFmtId="9" fontId="30" fillId="0" borderId="52" xfId="20" applyNumberFormat="1" applyFont="1" applyBorder="1" applyAlignment="1" applyProtection="1">
      <alignment horizontal="center" vertical="top" wrapText="1"/>
      <protection locked="0"/>
    </xf>
    <xf numFmtId="0" fontId="37" fillId="0" borderId="52" xfId="20" applyFont="1" applyBorder="1" applyAlignment="1" applyProtection="1">
      <alignment horizontal="center" vertical="top"/>
      <protection hidden="1"/>
    </xf>
    <xf numFmtId="14" fontId="30" fillId="0" borderId="50" xfId="20" applyNumberFormat="1" applyFont="1" applyBorder="1" applyAlignment="1" applyProtection="1">
      <alignment horizontal="center" vertical="top" wrapText="1"/>
      <protection locked="0"/>
    </xf>
    <xf numFmtId="14" fontId="30" fillId="0" borderId="53" xfId="20" applyNumberFormat="1" applyFont="1" applyBorder="1" applyAlignment="1" applyProtection="1">
      <alignment horizontal="center" vertical="top" wrapText="1"/>
      <protection locked="0"/>
    </xf>
    <xf numFmtId="14" fontId="30" fillId="0" borderId="52" xfId="20" applyNumberFormat="1" applyFont="1" applyBorder="1" applyAlignment="1" applyProtection="1">
      <alignment horizontal="center" vertical="top" wrapText="1"/>
      <protection locked="0"/>
    </xf>
    <xf numFmtId="0" fontId="32" fillId="8" borderId="81" xfId="20" applyFont="1" applyFill="1" applyBorder="1" applyAlignment="1">
      <alignment horizontal="center" vertical="center"/>
    </xf>
    <xf numFmtId="0" fontId="30" fillId="0" borderId="52" xfId="20" applyFont="1" applyBorder="1" applyAlignment="1" applyProtection="1">
      <alignment horizontal="center" vertical="center" wrapText="1"/>
      <protection locked="0"/>
    </xf>
    <xf numFmtId="17" fontId="31" fillId="0" borderId="95" xfId="20" applyNumberFormat="1" applyFont="1" applyBorder="1" applyAlignment="1" applyProtection="1">
      <alignment horizontal="center" vertical="center" wrapText="1"/>
      <protection locked="0"/>
    </xf>
    <xf numFmtId="0" fontId="30" fillId="9" borderId="62" xfId="20" applyFont="1" applyFill="1" applyBorder="1" applyAlignment="1" applyProtection="1">
      <alignment horizontal="left" vertical="center"/>
      <protection locked="0"/>
    </xf>
    <xf numFmtId="0" fontId="30" fillId="9" borderId="63" xfId="20" applyFont="1" applyFill="1" applyBorder="1" applyAlignment="1" applyProtection="1">
      <alignment horizontal="left" vertical="center"/>
      <protection locked="0"/>
    </xf>
    <xf numFmtId="0" fontId="30" fillId="9" borderId="64" xfId="20" applyFont="1" applyFill="1" applyBorder="1" applyAlignment="1" applyProtection="1">
      <alignment horizontal="left" vertical="center"/>
      <protection locked="0"/>
    </xf>
    <xf numFmtId="0" fontId="30" fillId="0" borderId="41" xfId="20" applyFont="1" applyBorder="1" applyAlignment="1" applyProtection="1">
      <alignment horizontal="center" vertical="center"/>
      <protection locked="0"/>
    </xf>
    <xf numFmtId="0" fontId="30" fillId="0" borderId="44" xfId="20" applyFont="1" applyBorder="1" applyAlignment="1" applyProtection="1">
      <alignment horizontal="center" vertical="center"/>
      <protection locked="0"/>
    </xf>
    <xf numFmtId="164" fontId="31" fillId="0" borderId="50" xfId="21" applyNumberFormat="1" applyFont="1" applyBorder="1" applyAlignment="1">
      <alignment horizontal="center" vertical="top"/>
    </xf>
    <xf numFmtId="164" fontId="31" fillId="0" borderId="53" xfId="21" applyNumberFormat="1" applyFont="1" applyBorder="1" applyAlignment="1">
      <alignment horizontal="center" vertical="top"/>
    </xf>
    <xf numFmtId="164" fontId="31" fillId="0" borderId="52" xfId="21" applyNumberFormat="1" applyFont="1" applyBorder="1" applyAlignment="1">
      <alignment horizontal="center" vertical="top"/>
    </xf>
    <xf numFmtId="0" fontId="37" fillId="0" borderId="50" xfId="20" applyFont="1" applyBorder="1" applyAlignment="1" applyProtection="1">
      <alignment horizontal="center" vertical="top" textRotation="90" wrapText="1"/>
      <protection hidden="1"/>
    </xf>
    <xf numFmtId="0" fontId="37" fillId="0" borderId="53" xfId="20" applyFont="1" applyBorder="1" applyAlignment="1" applyProtection="1">
      <alignment horizontal="center" vertical="top" textRotation="90" wrapText="1"/>
      <protection hidden="1"/>
    </xf>
    <xf numFmtId="0" fontId="37" fillId="0" borderId="52" xfId="20" applyFont="1" applyBorder="1" applyAlignment="1" applyProtection="1">
      <alignment horizontal="center" vertical="top" textRotation="90" wrapText="1"/>
      <protection hidden="1"/>
    </xf>
    <xf numFmtId="9" fontId="30" fillId="0" borderId="50" xfId="20" applyNumberFormat="1" applyFont="1" applyBorder="1" applyAlignment="1" applyProtection="1">
      <alignment horizontal="center" vertical="top"/>
      <protection hidden="1"/>
    </xf>
    <xf numFmtId="9" fontId="30" fillId="0" borderId="53" xfId="20" applyNumberFormat="1" applyFont="1" applyBorder="1" applyAlignment="1" applyProtection="1">
      <alignment horizontal="center" vertical="top"/>
      <protection hidden="1"/>
    </xf>
    <xf numFmtId="9" fontId="30" fillId="0" borderId="52" xfId="20" applyNumberFormat="1" applyFont="1" applyBorder="1" applyAlignment="1" applyProtection="1">
      <alignment horizontal="center" vertical="top"/>
      <protection hidden="1"/>
    </xf>
    <xf numFmtId="0" fontId="37" fillId="0" borderId="50" xfId="20" applyFont="1" applyBorder="1" applyAlignment="1" applyProtection="1">
      <alignment horizontal="center" vertical="top" textRotation="90"/>
      <protection hidden="1"/>
    </xf>
    <xf numFmtId="0" fontId="37" fillId="0" borderId="53" xfId="20" applyFont="1" applyBorder="1" applyAlignment="1" applyProtection="1">
      <alignment horizontal="center" vertical="top" textRotation="90"/>
      <protection hidden="1"/>
    </xf>
    <xf numFmtId="0" fontId="37" fillId="0" borderId="52" xfId="20" applyFont="1" applyBorder="1" applyAlignment="1" applyProtection="1">
      <alignment horizontal="center" vertical="top" textRotation="90"/>
      <protection hidden="1"/>
    </xf>
    <xf numFmtId="0" fontId="35" fillId="0" borderId="59" xfId="20" applyFont="1" applyBorder="1" applyAlignment="1" applyProtection="1">
      <alignment horizontal="center" vertical="center" wrapText="1"/>
      <protection locked="0"/>
    </xf>
    <xf numFmtId="0" fontId="35" fillId="0" borderId="60" xfId="20" applyFont="1" applyBorder="1" applyAlignment="1" applyProtection="1">
      <alignment horizontal="center" vertical="center" wrapText="1"/>
      <protection locked="0"/>
    </xf>
    <xf numFmtId="9" fontId="31" fillId="0" borderId="52" xfId="20" applyNumberFormat="1" applyFont="1" applyBorder="1" applyAlignment="1" applyProtection="1">
      <alignment horizontal="center" vertical="top" wrapText="1"/>
      <protection hidden="1"/>
    </xf>
    <xf numFmtId="9" fontId="31" fillId="0" borderId="52" xfId="20" applyNumberFormat="1" applyFont="1" applyBorder="1" applyAlignment="1" applyProtection="1">
      <alignment horizontal="center" vertical="top" wrapText="1"/>
      <protection locked="0"/>
    </xf>
    <xf numFmtId="0" fontId="32" fillId="0" borderId="52" xfId="20" applyFont="1" applyBorder="1" applyAlignment="1" applyProtection="1">
      <alignment horizontal="center" vertical="top" wrapText="1"/>
      <protection hidden="1"/>
    </xf>
    <xf numFmtId="0" fontId="32" fillId="0" borderId="52" xfId="20" applyFont="1" applyBorder="1" applyAlignment="1" applyProtection="1">
      <alignment horizontal="center" vertical="top"/>
      <protection hidden="1"/>
    </xf>
    <xf numFmtId="0" fontId="27" fillId="0" borderId="50" xfId="20" applyFont="1" applyBorder="1" applyAlignment="1" applyProtection="1">
      <alignment horizontal="center" vertical="center" wrapText="1"/>
      <protection locked="0"/>
    </xf>
    <xf numFmtId="0" fontId="27" fillId="0" borderId="53" xfId="20" applyFont="1" applyBorder="1" applyAlignment="1" applyProtection="1">
      <alignment horizontal="center" vertical="center" wrapText="1"/>
      <protection locked="0"/>
    </xf>
    <xf numFmtId="0" fontId="27" fillId="0" borderId="52" xfId="20" applyFont="1" applyBorder="1" applyAlignment="1" applyProtection="1">
      <alignment horizontal="center" vertical="center" wrapText="1"/>
      <protection locked="0"/>
    </xf>
    <xf numFmtId="0" fontId="31" fillId="0" borderId="50" xfId="20" applyFont="1" applyBorder="1" applyAlignment="1" applyProtection="1">
      <alignment horizontal="center" vertical="top"/>
      <protection hidden="1"/>
    </xf>
    <xf numFmtId="0" fontId="31" fillId="0" borderId="53" xfId="20" applyFont="1" applyBorder="1" applyAlignment="1" applyProtection="1">
      <alignment horizontal="center" vertical="top"/>
      <protection hidden="1"/>
    </xf>
    <xf numFmtId="0" fontId="31" fillId="0" borderId="52" xfId="20" applyFont="1" applyBorder="1" applyAlignment="1" applyProtection="1">
      <alignment horizontal="center" vertical="top"/>
      <protection hidden="1"/>
    </xf>
    <xf numFmtId="0" fontId="31" fillId="0" borderId="52" xfId="20" applyFont="1" applyBorder="1" applyAlignment="1" applyProtection="1">
      <alignment horizontal="center" vertical="top" wrapText="1"/>
      <protection locked="0"/>
    </xf>
    <xf numFmtId="0" fontId="31" fillId="0" borderId="96" xfId="20" applyFont="1" applyBorder="1" applyAlignment="1" applyProtection="1">
      <alignment horizontal="center" vertical="center" wrapText="1"/>
      <protection locked="0"/>
    </xf>
    <xf numFmtId="0" fontId="31" fillId="0" borderId="59" xfId="20" applyFont="1" applyBorder="1" applyAlignment="1" applyProtection="1">
      <alignment horizontal="center" vertical="top" wrapText="1"/>
      <protection locked="0"/>
    </xf>
    <xf numFmtId="0" fontId="31" fillId="0" borderId="60" xfId="20" applyFont="1" applyBorder="1" applyAlignment="1" applyProtection="1">
      <alignment horizontal="center" vertical="top" wrapText="1"/>
      <protection locked="0"/>
    </xf>
    <xf numFmtId="0" fontId="31" fillId="0" borderId="65" xfId="20" applyFont="1" applyBorder="1" applyAlignment="1" applyProtection="1">
      <alignment horizontal="center" vertical="top" wrapText="1"/>
      <protection locked="0"/>
    </xf>
    <xf numFmtId="0" fontId="34" fillId="0" borderId="65" xfId="20" applyFont="1" applyBorder="1" applyAlignment="1" applyProtection="1">
      <alignment horizontal="center" vertical="center" wrapText="1"/>
      <protection locked="0"/>
    </xf>
    <xf numFmtId="0" fontId="35" fillId="0" borderId="65" xfId="20" applyFont="1" applyBorder="1" applyAlignment="1" applyProtection="1">
      <alignment horizontal="center" vertical="center" wrapText="1"/>
      <protection locked="0"/>
    </xf>
    <xf numFmtId="0" fontId="31" fillId="0" borderId="46" xfId="20" applyFont="1" applyBorder="1" applyAlignment="1" applyProtection="1">
      <alignment horizontal="center" vertical="top" wrapText="1"/>
      <protection locked="0"/>
    </xf>
    <xf numFmtId="0" fontId="31" fillId="0" borderId="52" xfId="20" applyFont="1" applyBorder="1" applyAlignment="1" applyProtection="1">
      <alignment horizontal="center" vertical="top"/>
      <protection locked="0"/>
    </xf>
    <xf numFmtId="0" fontId="31" fillId="0" borderId="41" xfId="20" applyFont="1" applyBorder="1" applyAlignment="1" applyProtection="1">
      <alignment horizontal="center" vertical="center"/>
      <protection locked="0"/>
    </xf>
    <xf numFmtId="0" fontId="31" fillId="0" borderId="54" xfId="20" applyFont="1" applyBorder="1" applyAlignment="1" applyProtection="1">
      <alignment horizontal="center" vertical="center"/>
      <protection locked="0"/>
    </xf>
    <xf numFmtId="0" fontId="31" fillId="0" borderId="44" xfId="20" applyFont="1" applyBorder="1" applyAlignment="1" applyProtection="1">
      <alignment horizontal="center" vertical="center"/>
      <protection locked="0"/>
    </xf>
    <xf numFmtId="0" fontId="74" fillId="8" borderId="54" xfId="0" applyFont="1" applyFill="1" applyBorder="1" applyAlignment="1">
      <alignment horizontal="center" vertical="center"/>
    </xf>
    <xf numFmtId="0" fontId="74" fillId="8" borderId="0" xfId="0" applyFont="1" applyFill="1" applyAlignment="1">
      <alignment horizontal="center" vertical="center"/>
    </xf>
    <xf numFmtId="0" fontId="32" fillId="8" borderId="44" xfId="0" applyFont="1" applyFill="1" applyBorder="1" applyAlignment="1">
      <alignment horizontal="center" vertical="center" wrapText="1"/>
    </xf>
    <xf numFmtId="0" fontId="30" fillId="9" borderId="59" xfId="0" applyFont="1" applyFill="1" applyBorder="1" applyAlignment="1">
      <alignment horizontal="center" vertical="center" wrapText="1"/>
    </xf>
    <xf numFmtId="0" fontId="30" fillId="9" borderId="65" xfId="0" applyFont="1" applyFill="1" applyBorder="1" applyAlignment="1">
      <alignment horizontal="center" vertical="center" wrapText="1"/>
    </xf>
    <xf numFmtId="0" fontId="31" fillId="0" borderId="50" xfId="0" applyFont="1" applyBorder="1" applyAlignment="1">
      <alignment horizontal="center" vertical="top"/>
    </xf>
    <xf numFmtId="0" fontId="31" fillId="0" borderId="52" xfId="0" applyFont="1" applyBorder="1" applyAlignment="1">
      <alignment horizontal="center" vertical="top"/>
    </xf>
    <xf numFmtId="9" fontId="30" fillId="0" borderId="50" xfId="0" applyNumberFormat="1" applyFont="1" applyBorder="1" applyAlignment="1" applyProtection="1">
      <alignment horizontal="center" vertical="top"/>
      <protection hidden="1"/>
    </xf>
    <xf numFmtId="9" fontId="30" fillId="0" borderId="52" xfId="0" applyNumberFormat="1" applyFont="1" applyBorder="1" applyAlignment="1" applyProtection="1">
      <alignment horizontal="center" vertical="top"/>
      <protection hidden="1"/>
    </xf>
    <xf numFmtId="0" fontId="37" fillId="0" borderId="50" xfId="0" applyFont="1" applyBorder="1" applyAlignment="1" applyProtection="1">
      <alignment horizontal="center" vertical="top" textRotation="90" wrapText="1"/>
      <protection hidden="1"/>
    </xf>
    <xf numFmtId="0" fontId="37" fillId="0" borderId="52" xfId="0" applyFont="1" applyBorder="1" applyAlignment="1" applyProtection="1">
      <alignment horizontal="center" vertical="top" textRotation="90" wrapText="1"/>
      <protection hidden="1"/>
    </xf>
    <xf numFmtId="0" fontId="37" fillId="0" borderId="50" xfId="0" applyFont="1" applyBorder="1" applyAlignment="1" applyProtection="1">
      <alignment horizontal="center" vertical="top" textRotation="90"/>
      <protection hidden="1"/>
    </xf>
    <xf numFmtId="0" fontId="37" fillId="0" borderId="52" xfId="0" applyFont="1" applyBorder="1" applyAlignment="1" applyProtection="1">
      <alignment horizontal="center" vertical="top" textRotation="90"/>
      <protection hidden="1"/>
    </xf>
    <xf numFmtId="0" fontId="30" fillId="0" borderId="50" xfId="0" applyFont="1" applyBorder="1" applyAlignment="1" applyProtection="1">
      <alignment horizontal="center" vertical="top" textRotation="90"/>
      <protection locked="0"/>
    </xf>
    <xf numFmtId="0" fontId="30" fillId="0" borderId="52" xfId="0" applyFont="1" applyBorder="1" applyAlignment="1" applyProtection="1">
      <alignment horizontal="center" vertical="top" textRotation="90"/>
      <protection locked="0"/>
    </xf>
    <xf numFmtId="0" fontId="30" fillId="9" borderId="50" xfId="0" applyFont="1" applyFill="1" applyBorder="1" applyAlignment="1" applyProtection="1">
      <alignment horizontal="center" vertical="center" wrapText="1"/>
      <protection locked="0"/>
    </xf>
    <xf numFmtId="14" fontId="30" fillId="0" borderId="50" xfId="0" applyNumberFormat="1" applyFont="1" applyBorder="1" applyAlignment="1" applyProtection="1">
      <alignment horizontal="center" vertical="center"/>
      <protection locked="0"/>
    </xf>
    <xf numFmtId="14" fontId="30" fillId="0" borderId="52" xfId="0" applyNumberFormat="1" applyFont="1" applyBorder="1" applyAlignment="1" applyProtection="1">
      <alignment horizontal="center" vertical="center"/>
      <protection locked="0"/>
    </xf>
    <xf numFmtId="14" fontId="31" fillId="0" borderId="50" xfId="0" applyNumberFormat="1" applyFont="1" applyBorder="1" applyAlignment="1" applyProtection="1">
      <alignment horizontal="center" vertical="center"/>
      <protection locked="0"/>
    </xf>
    <xf numFmtId="14" fontId="31" fillId="0" borderId="52" xfId="0" applyNumberFormat="1"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44" xfId="0" applyFont="1" applyBorder="1" applyAlignment="1" applyProtection="1">
      <alignment horizontal="center" vertical="center"/>
      <protection locked="0"/>
    </xf>
    <xf numFmtId="0" fontId="31" fillId="9" borderId="39" xfId="0" applyFont="1" applyFill="1" applyBorder="1" applyAlignment="1">
      <alignment horizontal="left" vertical="center" wrapText="1"/>
    </xf>
    <xf numFmtId="0" fontId="31" fillId="9" borderId="40" xfId="0" applyFont="1" applyFill="1" applyBorder="1" applyAlignment="1">
      <alignment horizontal="left" vertical="center" wrapText="1"/>
    </xf>
    <xf numFmtId="0" fontId="31" fillId="9" borderId="40" xfId="0" applyFont="1" applyFill="1" applyBorder="1" applyAlignment="1">
      <alignment horizontal="left" vertical="center"/>
    </xf>
    <xf numFmtId="0" fontId="34" fillId="9" borderId="39" xfId="0" applyFont="1" applyFill="1" applyBorder="1" applyAlignment="1">
      <alignment horizontal="left" vertical="center" wrapText="1"/>
    </xf>
    <xf numFmtId="0" fontId="34" fillId="9" borderId="40" xfId="0" applyFont="1" applyFill="1" applyBorder="1" applyAlignment="1">
      <alignment horizontal="left" vertical="center" wrapText="1"/>
    </xf>
    <xf numFmtId="0" fontId="30" fillId="9" borderId="41" xfId="0" applyFont="1" applyFill="1" applyBorder="1" applyAlignment="1" applyProtection="1">
      <alignment horizontal="center" vertical="top" wrapText="1"/>
      <protection locked="0"/>
    </xf>
    <xf numFmtId="0" fontId="30" fillId="9" borderId="54" xfId="0" applyFont="1" applyFill="1" applyBorder="1" applyAlignment="1" applyProtection="1">
      <alignment horizontal="center" vertical="top" wrapText="1"/>
      <protection locked="0"/>
    </xf>
    <xf numFmtId="0" fontId="35" fillId="9" borderId="59" xfId="0" applyFont="1" applyFill="1" applyBorder="1" applyAlignment="1" applyProtection="1">
      <alignment horizontal="center" vertical="top" wrapText="1"/>
      <protection locked="0"/>
    </xf>
    <xf numFmtId="0" fontId="35" fillId="9" borderId="60" xfId="0" applyFont="1" applyFill="1" applyBorder="1" applyAlignment="1" applyProtection="1">
      <alignment horizontal="center" vertical="top" wrapText="1"/>
      <protection locked="0"/>
    </xf>
    <xf numFmtId="0" fontId="31" fillId="0" borderId="50" xfId="0" applyFont="1" applyBorder="1" applyAlignment="1" applyProtection="1">
      <alignment horizontal="center" vertical="top"/>
      <protection hidden="1"/>
    </xf>
    <xf numFmtId="0" fontId="31" fillId="0" borderId="52" xfId="0" applyFont="1" applyBorder="1" applyAlignment="1" applyProtection="1">
      <alignment horizontal="center" vertical="top"/>
      <protection hidden="1"/>
    </xf>
    <xf numFmtId="164" fontId="31" fillId="0" borderId="50" xfId="16" applyNumberFormat="1" applyFont="1" applyBorder="1" applyAlignment="1">
      <alignment horizontal="center" vertical="top"/>
    </xf>
    <xf numFmtId="164" fontId="31" fillId="0" borderId="52" xfId="16" applyNumberFormat="1" applyFont="1" applyBorder="1" applyAlignment="1">
      <alignment horizontal="center" vertical="top"/>
    </xf>
    <xf numFmtId="0" fontId="30" fillId="9" borderId="62" xfId="0" applyFont="1" applyFill="1" applyBorder="1" applyAlignment="1" applyProtection="1">
      <alignment horizontal="left" vertical="center" wrapText="1"/>
      <protection locked="0"/>
    </xf>
    <xf numFmtId="0" fontId="30" fillId="9" borderId="63" xfId="0" applyFont="1" applyFill="1" applyBorder="1" applyAlignment="1" applyProtection="1">
      <alignment horizontal="left" vertical="center" wrapText="1"/>
      <protection locked="0"/>
    </xf>
    <xf numFmtId="0" fontId="30" fillId="9" borderId="64" xfId="0" applyFont="1" applyFill="1" applyBorder="1" applyAlignment="1" applyProtection="1">
      <alignment horizontal="left" vertical="center" wrapText="1"/>
      <protection locked="0"/>
    </xf>
    <xf numFmtId="0" fontId="31" fillId="0" borderId="107" xfId="0" applyFont="1" applyBorder="1" applyAlignment="1" applyProtection="1">
      <alignment horizontal="left" vertical="center" wrapText="1"/>
      <protection locked="0"/>
    </xf>
    <xf numFmtId="0" fontId="31" fillId="0" borderId="53" xfId="0" applyFont="1" applyBorder="1" applyAlignment="1" applyProtection="1">
      <alignment horizontal="left" vertical="center" wrapText="1"/>
      <protection locked="0"/>
    </xf>
    <xf numFmtId="0" fontId="31" fillId="0" borderId="52" xfId="0" applyFont="1" applyBorder="1" applyAlignment="1" applyProtection="1">
      <alignment horizontal="left" vertical="center" wrapText="1"/>
      <protection locked="0"/>
    </xf>
    <xf numFmtId="15" fontId="30" fillId="0" borderId="50" xfId="0" applyNumberFormat="1" applyFont="1" applyBorder="1" applyAlignment="1" applyProtection="1">
      <alignment horizontal="center" vertical="top" wrapText="1"/>
      <protection locked="0"/>
    </xf>
    <xf numFmtId="0" fontId="32" fillId="14" borderId="38" xfId="0" applyFont="1" applyFill="1" applyBorder="1" applyAlignment="1">
      <alignment horizontal="center" vertical="center" wrapText="1"/>
    </xf>
    <xf numFmtId="0" fontId="30" fillId="9" borderId="62" xfId="0" applyFont="1" applyFill="1" applyBorder="1" applyAlignment="1" applyProtection="1">
      <alignment horizontal="left" vertical="center"/>
      <protection locked="0"/>
    </xf>
    <xf numFmtId="0" fontId="30" fillId="9" borderId="63" xfId="0" applyFont="1" applyFill="1" applyBorder="1" applyAlignment="1" applyProtection="1">
      <alignment horizontal="left" vertical="center"/>
      <protection locked="0"/>
    </xf>
    <xf numFmtId="0" fontId="30" fillId="9" borderId="64" xfId="0" applyFont="1" applyFill="1" applyBorder="1" applyAlignment="1" applyProtection="1">
      <alignment horizontal="left" vertical="center"/>
      <protection locked="0"/>
    </xf>
    <xf numFmtId="0" fontId="39" fillId="8" borderId="41" xfId="0" applyFont="1" applyFill="1" applyBorder="1" applyAlignment="1">
      <alignment horizontal="center" vertical="center"/>
    </xf>
    <xf numFmtId="0" fontId="39" fillId="8" borderId="42" xfId="0" applyFont="1" applyFill="1" applyBorder="1" applyAlignment="1">
      <alignment horizontal="center" vertical="center"/>
    </xf>
    <xf numFmtId="0" fontId="39" fillId="8" borderId="43" xfId="0" applyFont="1" applyFill="1" applyBorder="1" applyAlignment="1">
      <alignment horizontal="center" vertical="center"/>
    </xf>
    <xf numFmtId="0" fontId="39" fillId="8" borderId="44" xfId="0" applyFont="1" applyFill="1" applyBorder="1" applyAlignment="1">
      <alignment horizontal="center" vertical="center"/>
    </xf>
    <xf numFmtId="0" fontId="39" fillId="8" borderId="45" xfId="0" applyFont="1" applyFill="1" applyBorder="1" applyAlignment="1">
      <alignment horizontal="center" vertical="center"/>
    </xf>
    <xf numFmtId="0" fontId="39" fillId="8" borderId="46" xfId="0" applyFont="1" applyFill="1" applyBorder="1" applyAlignment="1">
      <alignment horizontal="center" vertical="center"/>
    </xf>
    <xf numFmtId="0" fontId="39" fillId="8" borderId="47" xfId="0" applyFont="1" applyFill="1" applyBorder="1" applyAlignment="1">
      <alignment horizontal="left" vertical="center"/>
    </xf>
    <xf numFmtId="0" fontId="39" fillId="8" borderId="48" xfId="0" applyFont="1" applyFill="1" applyBorder="1" applyAlignment="1">
      <alignment horizontal="left" vertical="center"/>
    </xf>
    <xf numFmtId="0" fontId="40" fillId="9" borderId="49" xfId="0" applyFont="1" applyFill="1" applyBorder="1" applyAlignment="1" applyProtection="1">
      <alignment horizontal="left" vertical="center"/>
      <protection locked="0"/>
    </xf>
    <xf numFmtId="0" fontId="32" fillId="8" borderId="47" xfId="0" applyFont="1" applyFill="1" applyBorder="1" applyAlignment="1">
      <alignment horizontal="center" vertical="center" wrapText="1"/>
    </xf>
    <xf numFmtId="0" fontId="40" fillId="9" borderId="49" xfId="0" applyFont="1" applyFill="1" applyBorder="1" applyAlignment="1" applyProtection="1">
      <alignment horizontal="left" vertical="center" wrapText="1"/>
      <protection locked="0"/>
    </xf>
    <xf numFmtId="0" fontId="39" fillId="8" borderId="47" xfId="0" applyFont="1" applyFill="1" applyBorder="1" applyAlignment="1">
      <alignment horizontal="center" vertical="center"/>
    </xf>
    <xf numFmtId="0" fontId="39" fillId="8" borderId="48" xfId="0" applyFont="1" applyFill="1" applyBorder="1" applyAlignment="1">
      <alignment horizontal="center" vertical="center"/>
    </xf>
    <xf numFmtId="0" fontId="39" fillId="8" borderId="50" xfId="0" applyFont="1" applyFill="1" applyBorder="1" applyAlignment="1">
      <alignment horizontal="center" vertical="center" textRotation="90"/>
    </xf>
    <xf numFmtId="0" fontId="39" fillId="8" borderId="52" xfId="0" applyFont="1" applyFill="1" applyBorder="1" applyAlignment="1">
      <alignment horizontal="center" vertical="center" textRotation="90"/>
    </xf>
    <xf numFmtId="0" fontId="39" fillId="8" borderId="51" xfId="0" applyFont="1" applyFill="1" applyBorder="1" applyAlignment="1">
      <alignment horizontal="center" vertical="center"/>
    </xf>
    <xf numFmtId="0" fontId="39" fillId="8" borderId="52" xfId="0" applyFont="1" applyFill="1" applyBorder="1" applyAlignment="1">
      <alignment horizontal="center" vertical="center" wrapText="1"/>
    </xf>
    <xf numFmtId="0" fontId="39" fillId="8" borderId="51" xfId="0" applyFont="1" applyFill="1" applyBorder="1" applyAlignment="1">
      <alignment horizontal="center" vertical="center" wrapText="1"/>
    </xf>
    <xf numFmtId="0" fontId="39" fillId="8" borderId="50" xfId="0" applyFont="1" applyFill="1" applyBorder="1" applyAlignment="1">
      <alignment horizontal="center" vertical="center" wrapText="1"/>
    </xf>
    <xf numFmtId="0" fontId="39" fillId="8" borderId="53" xfId="0" applyFont="1" applyFill="1" applyBorder="1" applyAlignment="1">
      <alignment horizontal="center" vertical="center" wrapText="1"/>
    </xf>
    <xf numFmtId="0" fontId="39" fillId="8" borderId="50" xfId="0" applyFont="1" applyFill="1" applyBorder="1" applyAlignment="1">
      <alignment horizontal="center" vertical="center"/>
    </xf>
    <xf numFmtId="0" fontId="39" fillId="8" borderId="81" xfId="0" applyFont="1" applyFill="1" applyBorder="1" applyAlignment="1">
      <alignment horizontal="center" vertical="center" wrapText="1"/>
    </xf>
    <xf numFmtId="0" fontId="39" fillId="8" borderId="54" xfId="0" applyFont="1" applyFill="1" applyBorder="1" applyAlignment="1">
      <alignment horizontal="center" vertical="center"/>
    </xf>
    <xf numFmtId="0" fontId="39" fillId="8" borderId="54" xfId="0" applyFont="1" applyFill="1" applyBorder="1" applyAlignment="1">
      <alignment horizontal="center" vertical="center" wrapText="1"/>
    </xf>
    <xf numFmtId="0" fontId="39" fillId="8" borderId="50" xfId="0" applyFont="1" applyFill="1" applyBorder="1" applyAlignment="1">
      <alignment horizontal="center" vertical="center" textRotation="90" wrapText="1"/>
    </xf>
    <xf numFmtId="0" fontId="39" fillId="8" borderId="52" xfId="0" applyFont="1" applyFill="1" applyBorder="1" applyAlignment="1">
      <alignment horizontal="center" vertical="center" textRotation="90" wrapText="1"/>
    </xf>
    <xf numFmtId="0" fontId="39" fillId="8" borderId="51" xfId="0" applyFont="1" applyFill="1" applyBorder="1" applyAlignment="1">
      <alignment horizontal="center" vertical="center" textRotation="90" wrapText="1"/>
    </xf>
    <xf numFmtId="0" fontId="40" fillId="0" borderId="50" xfId="0" applyFont="1" applyBorder="1" applyAlignment="1" applyProtection="1">
      <alignment horizontal="center" vertical="center" textRotation="90"/>
      <protection locked="0"/>
    </xf>
    <xf numFmtId="0" fontId="40" fillId="0" borderId="53" xfId="0" applyFont="1" applyBorder="1" applyAlignment="1" applyProtection="1">
      <alignment horizontal="center" vertical="center" textRotation="90"/>
      <protection locked="0"/>
    </xf>
    <xf numFmtId="0" fontId="40" fillId="0" borderId="52" xfId="0" applyFont="1" applyBorder="1" applyAlignment="1" applyProtection="1">
      <alignment horizontal="center" vertical="center" textRotation="90"/>
      <protection locked="0"/>
    </xf>
    <xf numFmtId="164" fontId="40" fillId="0" borderId="50" xfId="16" applyNumberFormat="1" applyFont="1" applyBorder="1" applyAlignment="1">
      <alignment horizontal="center" vertical="center"/>
    </xf>
    <xf numFmtId="164" fontId="40" fillId="0" borderId="53" xfId="16" applyNumberFormat="1" applyFont="1" applyBorder="1" applyAlignment="1">
      <alignment horizontal="center" vertical="center"/>
    </xf>
    <xf numFmtId="164" fontId="40" fillId="0" borderId="52" xfId="16" applyNumberFormat="1" applyFont="1" applyBorder="1" applyAlignment="1">
      <alignment horizontal="center" vertical="center"/>
    </xf>
    <xf numFmtId="0" fontId="39" fillId="0" borderId="50" xfId="0" applyFont="1" applyBorder="1" applyAlignment="1" applyProtection="1">
      <alignment horizontal="center" vertical="center" textRotation="90" wrapText="1"/>
      <protection hidden="1"/>
    </xf>
    <xf numFmtId="0" fontId="39" fillId="0" borderId="53" xfId="0" applyFont="1" applyBorder="1" applyAlignment="1" applyProtection="1">
      <alignment horizontal="center" vertical="center" textRotation="90" wrapText="1"/>
      <protection hidden="1"/>
    </xf>
    <xf numFmtId="0" fontId="39" fillId="0" borderId="52" xfId="0" applyFont="1" applyBorder="1" applyAlignment="1" applyProtection="1">
      <alignment horizontal="center" vertical="center" textRotation="90" wrapText="1"/>
      <protection hidden="1"/>
    </xf>
    <xf numFmtId="9" fontId="40" fillId="0" borderId="50" xfId="0" applyNumberFormat="1" applyFont="1" applyBorder="1" applyAlignment="1" applyProtection="1">
      <alignment horizontal="center" vertical="center"/>
      <protection hidden="1"/>
    </xf>
    <xf numFmtId="9" fontId="40" fillId="0" borderId="53" xfId="0" applyNumberFormat="1" applyFont="1" applyBorder="1" applyAlignment="1" applyProtection="1">
      <alignment horizontal="center" vertical="center"/>
      <protection hidden="1"/>
    </xf>
    <xf numFmtId="9" fontId="40" fillId="0" borderId="52" xfId="0" applyNumberFormat="1" applyFont="1" applyBorder="1" applyAlignment="1" applyProtection="1">
      <alignment horizontal="center" vertical="center"/>
      <protection hidden="1"/>
    </xf>
    <xf numFmtId="0" fontId="40" fillId="18" borderId="108" xfId="0" applyFont="1" applyFill="1" applyBorder="1" applyAlignment="1">
      <alignment horizontal="justify" vertical="top" wrapText="1"/>
    </xf>
    <xf numFmtId="0" fontId="40" fillId="18" borderId="109" xfId="0" applyFont="1" applyFill="1" applyBorder="1" applyAlignment="1">
      <alignment horizontal="justify" vertical="top"/>
    </xf>
    <xf numFmtId="0" fontId="40" fillId="18" borderId="111" xfId="0" applyFont="1" applyFill="1" applyBorder="1" applyAlignment="1">
      <alignment horizontal="justify" vertical="top"/>
    </xf>
    <xf numFmtId="0" fontId="39" fillId="8" borderId="47" xfId="0" applyFont="1" applyFill="1" applyBorder="1" applyAlignment="1">
      <alignment horizontal="center" vertical="center" wrapText="1"/>
    </xf>
    <xf numFmtId="0" fontId="81" fillId="17" borderId="108" xfId="0" applyFont="1" applyFill="1" applyBorder="1" applyAlignment="1">
      <alignment horizontal="center" vertical="center" wrapText="1"/>
    </xf>
    <xf numFmtId="0" fontId="81" fillId="17" borderId="109" xfId="0" applyFont="1" applyFill="1" applyBorder="1" applyAlignment="1">
      <alignment horizontal="center" vertical="center"/>
    </xf>
    <xf numFmtId="0" fontId="39" fillId="0" borderId="50" xfId="0" applyFont="1" applyBorder="1" applyAlignment="1" applyProtection="1">
      <alignment horizontal="center" vertical="center" textRotation="90"/>
      <protection hidden="1"/>
    </xf>
    <xf numFmtId="0" fontId="39" fillId="0" borderId="53" xfId="0" applyFont="1" applyBorder="1" applyAlignment="1" applyProtection="1">
      <alignment horizontal="center" vertical="center" textRotation="90"/>
      <protection hidden="1"/>
    </xf>
    <xf numFmtId="0" fontId="39" fillId="0" borderId="52" xfId="0" applyFont="1" applyBorder="1" applyAlignment="1" applyProtection="1">
      <alignment horizontal="center" vertical="center" textRotation="90"/>
      <protection hidden="1"/>
    </xf>
    <xf numFmtId="0" fontId="40" fillId="0" borderId="50" xfId="0" applyFont="1" applyBorder="1" applyAlignment="1" applyProtection="1">
      <alignment horizontal="center" vertical="center" wrapText="1"/>
      <protection locked="0"/>
    </xf>
    <xf numFmtId="0" fontId="40" fillId="0" borderId="53" xfId="0" applyFont="1" applyBorder="1" applyAlignment="1" applyProtection="1">
      <alignment horizontal="center" vertical="center" wrapText="1"/>
      <protection locked="0"/>
    </xf>
    <xf numFmtId="0" fontId="40" fillId="0" borderId="52" xfId="0" applyFont="1" applyBorder="1" applyAlignment="1" applyProtection="1">
      <alignment horizontal="center" vertical="center" wrapText="1"/>
      <protection locked="0"/>
    </xf>
    <xf numFmtId="0" fontId="40" fillId="0" borderId="50" xfId="0" applyFont="1" applyBorder="1" applyAlignment="1" applyProtection="1">
      <alignment horizontal="center" vertical="top" wrapText="1"/>
      <protection locked="0"/>
    </xf>
    <xf numFmtId="0" fontId="40" fillId="0" borderId="53" xfId="0" applyFont="1" applyBorder="1" applyAlignment="1" applyProtection="1">
      <alignment horizontal="center" vertical="top" wrapText="1"/>
      <protection locked="0"/>
    </xf>
    <xf numFmtId="0" fontId="40" fillId="0" borderId="52" xfId="0" applyFont="1" applyBorder="1" applyAlignment="1" applyProtection="1">
      <alignment horizontal="center" vertical="top" wrapText="1"/>
      <protection locked="0"/>
    </xf>
    <xf numFmtId="14" fontId="40" fillId="0" borderId="50" xfId="0" applyNumberFormat="1" applyFont="1" applyBorder="1" applyAlignment="1" applyProtection="1">
      <alignment horizontal="center" vertical="top"/>
      <protection locked="0"/>
    </xf>
    <xf numFmtId="14" fontId="40" fillId="0" borderId="53" xfId="0" applyNumberFormat="1" applyFont="1" applyBorder="1" applyAlignment="1" applyProtection="1">
      <alignment horizontal="center" vertical="top"/>
      <protection locked="0"/>
    </xf>
    <xf numFmtId="14" fontId="40" fillId="0" borderId="52" xfId="0" applyNumberFormat="1" applyFont="1" applyBorder="1" applyAlignment="1" applyProtection="1">
      <alignment horizontal="center" vertical="top"/>
      <protection locked="0"/>
    </xf>
    <xf numFmtId="0" fontId="40" fillId="0" borderId="47" xfId="0" applyFont="1" applyBorder="1" applyAlignment="1" applyProtection="1">
      <alignment horizontal="center" vertical="top"/>
      <protection locked="0"/>
    </xf>
    <xf numFmtId="0" fontId="40" fillId="0" borderId="50" xfId="0" applyFont="1" applyBorder="1" applyAlignment="1">
      <alignment horizontal="left" vertical="top"/>
    </xf>
    <xf numFmtId="0" fontId="40" fillId="0" borderId="53" xfId="0" applyFont="1" applyBorder="1" applyAlignment="1">
      <alignment horizontal="left" vertical="top"/>
    </xf>
    <xf numFmtId="0" fontId="40" fillId="0" borderId="52" xfId="0" applyFont="1" applyBorder="1" applyAlignment="1">
      <alignment horizontal="left" vertical="top"/>
    </xf>
    <xf numFmtId="9" fontId="40" fillId="0" borderId="50" xfId="0" applyNumberFormat="1" applyFont="1" applyBorder="1" applyAlignment="1" applyProtection="1">
      <alignment horizontal="center" vertical="center" wrapText="1"/>
      <protection hidden="1"/>
    </xf>
    <xf numFmtId="9" fontId="40" fillId="0" borderId="53" xfId="0" applyNumberFormat="1" applyFont="1" applyBorder="1" applyAlignment="1" applyProtection="1">
      <alignment horizontal="center" vertical="center" wrapText="1"/>
      <protection hidden="1"/>
    </xf>
    <xf numFmtId="9" fontId="40" fillId="0" borderId="52" xfId="0" applyNumberFormat="1" applyFont="1" applyBorder="1" applyAlignment="1" applyProtection="1">
      <alignment horizontal="center" vertical="center" wrapText="1"/>
      <protection hidden="1"/>
    </xf>
    <xf numFmtId="9" fontId="40" fillId="0" borderId="50" xfId="0" applyNumberFormat="1" applyFont="1" applyBorder="1" applyAlignment="1" applyProtection="1">
      <alignment horizontal="center" vertical="center" wrapText="1"/>
      <protection locked="0"/>
    </xf>
    <xf numFmtId="9" fontId="40" fillId="0" borderId="53" xfId="0" applyNumberFormat="1" applyFont="1" applyBorder="1" applyAlignment="1" applyProtection="1">
      <alignment horizontal="center" vertical="center" wrapText="1"/>
      <protection locked="0"/>
    </xf>
    <xf numFmtId="9" fontId="40" fillId="0" borderId="52" xfId="0" applyNumberFormat="1" applyFont="1" applyBorder="1" applyAlignment="1" applyProtection="1">
      <alignment horizontal="center" vertical="center" wrapText="1"/>
      <protection locked="0"/>
    </xf>
    <xf numFmtId="0" fontId="39" fillId="0" borderId="50" xfId="0" applyFont="1" applyBorder="1" applyAlignment="1" applyProtection="1">
      <alignment horizontal="center" vertical="center" wrapText="1"/>
      <protection hidden="1"/>
    </xf>
    <xf numFmtId="0" fontId="39" fillId="0" borderId="53" xfId="0" applyFont="1" applyBorder="1" applyAlignment="1" applyProtection="1">
      <alignment horizontal="center" vertical="center" wrapText="1"/>
      <protection hidden="1"/>
    </xf>
    <xf numFmtId="0" fontId="39" fillId="0" borderId="52" xfId="0" applyFont="1" applyBorder="1" applyAlignment="1" applyProtection="1">
      <alignment horizontal="center" vertical="center" wrapText="1"/>
      <protection hidden="1"/>
    </xf>
    <xf numFmtId="0" fontId="39" fillId="0" borderId="50" xfId="0" applyFont="1" applyBorder="1" applyAlignment="1" applyProtection="1">
      <alignment horizontal="center" vertical="center"/>
      <protection hidden="1"/>
    </xf>
    <xf numFmtId="0" fontId="39" fillId="0" borderId="53" xfId="0" applyFont="1" applyBorder="1" applyAlignment="1" applyProtection="1">
      <alignment horizontal="center" vertical="center"/>
      <protection hidden="1"/>
    </xf>
    <xf numFmtId="0" fontId="39" fillId="0" borderId="52" xfId="0" applyFont="1" applyBorder="1" applyAlignment="1" applyProtection="1">
      <alignment horizontal="center" vertical="center"/>
      <protection hidden="1"/>
    </xf>
    <xf numFmtId="0" fontId="40" fillId="0" borderId="50" xfId="0" applyFont="1" applyBorder="1" applyAlignment="1">
      <alignment horizontal="center" vertical="center"/>
    </xf>
    <xf numFmtId="0" fontId="40" fillId="0" borderId="53" xfId="0" applyFont="1" applyBorder="1" applyAlignment="1">
      <alignment horizontal="center" vertical="center"/>
    </xf>
    <xf numFmtId="0" fontId="40" fillId="0" borderId="52" xfId="0" applyFont="1" applyBorder="1" applyAlignment="1">
      <alignment horizontal="center" vertical="center"/>
    </xf>
    <xf numFmtId="0" fontId="49" fillId="0" borderId="50" xfId="0" applyFont="1" applyBorder="1" applyAlignment="1" applyProtection="1">
      <alignment horizontal="center" vertical="center" wrapText="1"/>
      <protection locked="0"/>
    </xf>
    <xf numFmtId="0" fontId="49" fillId="0" borderId="53" xfId="0" applyFont="1" applyBorder="1" applyAlignment="1" applyProtection="1">
      <alignment horizontal="center" vertical="center" wrapText="1"/>
      <protection locked="0"/>
    </xf>
    <xf numFmtId="0" fontId="49" fillId="0" borderId="52" xfId="0" applyFont="1" applyBorder="1" applyAlignment="1" applyProtection="1">
      <alignment horizontal="center" vertical="center" wrapText="1"/>
      <protection locked="0"/>
    </xf>
    <xf numFmtId="0" fontId="51" fillId="0" borderId="41" xfId="0" applyFont="1" applyBorder="1" applyAlignment="1" applyProtection="1">
      <alignment horizontal="center" vertical="center" wrapText="1"/>
      <protection locked="0"/>
    </xf>
    <xf numFmtId="0" fontId="40" fillId="0" borderId="54" xfId="0" applyFont="1" applyBorder="1" applyAlignment="1" applyProtection="1">
      <alignment horizontal="center" vertical="center" wrapText="1"/>
      <protection locked="0"/>
    </xf>
    <xf numFmtId="0" fontId="40" fillId="0" borderId="44" xfId="0" applyFont="1" applyBorder="1" applyAlignment="1" applyProtection="1">
      <alignment horizontal="center" vertical="center" wrapText="1"/>
      <protection locked="0"/>
    </xf>
    <xf numFmtId="0" fontId="40" fillId="0" borderId="59" xfId="0" applyFont="1" applyBorder="1" applyAlignment="1" applyProtection="1">
      <alignment horizontal="center" vertical="center" wrapText="1"/>
      <protection locked="0"/>
    </xf>
    <xf numFmtId="0" fontId="40" fillId="0" borderId="60" xfId="0" applyFont="1" applyBorder="1" applyAlignment="1" applyProtection="1">
      <alignment horizontal="center" vertical="center" wrapText="1"/>
      <protection locked="0"/>
    </xf>
    <xf numFmtId="0" fontId="40" fillId="0" borderId="65" xfId="0" applyFont="1" applyBorder="1" applyAlignment="1" applyProtection="1">
      <alignment horizontal="center" vertical="center" wrapText="1"/>
      <protection locked="0"/>
    </xf>
    <xf numFmtId="0" fontId="43" fillId="0" borderId="49" xfId="0" applyFont="1" applyBorder="1" applyAlignment="1" applyProtection="1">
      <alignment horizontal="center" vertical="center" wrapText="1"/>
      <protection locked="0"/>
    </xf>
    <xf numFmtId="0" fontId="46" fillId="0" borderId="59" xfId="0" applyFont="1" applyBorder="1" applyAlignment="1" applyProtection="1">
      <alignment horizontal="center" vertical="center" wrapText="1"/>
      <protection locked="0"/>
    </xf>
    <xf numFmtId="0" fontId="46" fillId="0" borderId="60" xfId="0" applyFont="1" applyBorder="1" applyAlignment="1" applyProtection="1">
      <alignment horizontal="center" vertical="center" wrapText="1"/>
      <protection locked="0"/>
    </xf>
    <xf numFmtId="0" fontId="46" fillId="0" borderId="65" xfId="0" applyFont="1" applyBorder="1" applyAlignment="1" applyProtection="1">
      <alignment horizontal="center" vertical="center" wrapText="1"/>
      <protection locked="0"/>
    </xf>
    <xf numFmtId="0" fontId="40" fillId="0" borderId="43" xfId="0" applyFont="1" applyBorder="1" applyAlignment="1" applyProtection="1">
      <alignment horizontal="center" vertical="center" wrapText="1"/>
      <protection locked="0"/>
    </xf>
    <xf numFmtId="0" fontId="40" fillId="0" borderId="56" xfId="0" applyFont="1" applyBorder="1" applyAlignment="1" applyProtection="1">
      <alignment horizontal="center" vertical="center" wrapText="1"/>
      <protection locked="0"/>
    </xf>
    <xf numFmtId="0" fontId="40" fillId="0" borderId="46" xfId="0" applyFont="1" applyBorder="1" applyAlignment="1" applyProtection="1">
      <alignment horizontal="center" vertical="center" wrapText="1"/>
      <protection locked="0"/>
    </xf>
    <xf numFmtId="0" fontId="40" fillId="0" borderId="50" xfId="0" applyFont="1" applyBorder="1" applyAlignment="1" applyProtection="1">
      <alignment horizontal="center" vertical="center"/>
      <protection locked="0"/>
    </xf>
    <xf numFmtId="0" fontId="40" fillId="0" borderId="53" xfId="0" applyFont="1" applyBorder="1" applyAlignment="1" applyProtection="1">
      <alignment horizontal="center" vertical="center"/>
      <protection locked="0"/>
    </xf>
    <xf numFmtId="0" fontId="40" fillId="0" borderId="52" xfId="0" applyFont="1" applyBorder="1" applyAlignment="1" applyProtection="1">
      <alignment horizontal="center" vertical="center"/>
      <protection locked="0"/>
    </xf>
    <xf numFmtId="0" fontId="44" fillId="0" borderId="50" xfId="0" applyFont="1" applyBorder="1" applyAlignment="1" applyProtection="1">
      <alignment horizontal="center" vertical="center" wrapText="1"/>
      <protection locked="0"/>
    </xf>
    <xf numFmtId="0" fontId="39" fillId="0" borderId="53" xfId="0" applyFont="1" applyBorder="1" applyAlignment="1" applyProtection="1">
      <alignment horizontal="center" vertical="center" wrapText="1"/>
      <protection locked="0"/>
    </xf>
    <xf numFmtId="0" fontId="39" fillId="0" borderId="52" xfId="0" applyFont="1" applyBorder="1" applyAlignment="1" applyProtection="1">
      <alignment horizontal="center" vertical="center" wrapText="1"/>
      <protection locked="0"/>
    </xf>
    <xf numFmtId="0" fontId="40" fillId="0" borderId="50" xfId="0" applyFont="1" applyBorder="1" applyAlignment="1" applyProtection="1">
      <alignment horizontal="center" vertical="center"/>
      <protection hidden="1"/>
    </xf>
    <xf numFmtId="0" fontId="40" fillId="0" borderId="53" xfId="0" applyFont="1" applyBorder="1" applyAlignment="1" applyProtection="1">
      <alignment horizontal="center" vertical="center"/>
      <protection hidden="1"/>
    </xf>
    <xf numFmtId="0" fontId="40" fillId="0" borderId="52" xfId="0" applyFont="1" applyBorder="1" applyAlignment="1" applyProtection="1">
      <alignment horizontal="center" vertical="center"/>
      <protection hidden="1"/>
    </xf>
    <xf numFmtId="0" fontId="40" fillId="9" borderId="50" xfId="0" applyFont="1" applyFill="1" applyBorder="1" applyAlignment="1" applyProtection="1">
      <alignment horizontal="center" vertical="center" textRotation="90"/>
      <protection locked="0"/>
    </xf>
    <xf numFmtId="0" fontId="40" fillId="9" borderId="53" xfId="0" applyFont="1" applyFill="1" applyBorder="1" applyAlignment="1" applyProtection="1">
      <alignment horizontal="center" vertical="center" textRotation="90"/>
      <protection locked="0"/>
    </xf>
    <xf numFmtId="0" fontId="40" fillId="9" borderId="52" xfId="0" applyFont="1" applyFill="1" applyBorder="1" applyAlignment="1" applyProtection="1">
      <alignment horizontal="center" vertical="center" textRotation="90"/>
      <protection locked="0"/>
    </xf>
    <xf numFmtId="0" fontId="40" fillId="0" borderId="50" xfId="0" applyFont="1" applyBorder="1" applyAlignment="1" applyProtection="1">
      <alignment horizontal="center" vertical="top"/>
      <protection locked="0"/>
    </xf>
    <xf numFmtId="0" fontId="40" fillId="0" borderId="53" xfId="0" applyFont="1" applyBorder="1" applyAlignment="1" applyProtection="1">
      <alignment horizontal="center" vertical="top"/>
      <protection locked="0"/>
    </xf>
    <xf numFmtId="0" fontId="40" fillId="0" borderId="52" xfId="0" applyFont="1" applyBorder="1" applyAlignment="1" applyProtection="1">
      <alignment horizontal="center" vertical="top"/>
      <protection locked="0"/>
    </xf>
    <xf numFmtId="0" fontId="40" fillId="0" borderId="41" xfId="0" applyFont="1" applyBorder="1" applyAlignment="1" applyProtection="1">
      <alignment horizontal="center" vertical="top"/>
      <protection locked="0"/>
    </xf>
    <xf numFmtId="0" fontId="40" fillId="0" borderId="54" xfId="0" applyFont="1" applyBorder="1" applyAlignment="1" applyProtection="1">
      <alignment horizontal="center" vertical="top"/>
      <protection locked="0"/>
    </xf>
    <xf numFmtId="0" fontId="40" fillId="0" borderId="44" xfId="0" applyFont="1" applyBorder="1" applyAlignment="1" applyProtection="1">
      <alignment horizontal="center" vertical="top"/>
      <protection locked="0"/>
    </xf>
    <xf numFmtId="0" fontId="40" fillId="18" borderId="108" xfId="0" applyFont="1" applyFill="1" applyBorder="1" applyAlignment="1">
      <alignment horizontal="left" vertical="top" wrapText="1"/>
    </xf>
    <xf numFmtId="0" fontId="40" fillId="18" borderId="109" xfId="0" applyFont="1" applyFill="1" applyBorder="1" applyAlignment="1">
      <alignment horizontal="left" vertical="top"/>
    </xf>
    <xf numFmtId="0" fontId="40" fillId="18" borderId="111" xfId="0" applyFont="1" applyFill="1" applyBorder="1" applyAlignment="1">
      <alignment horizontal="left" vertical="top"/>
    </xf>
    <xf numFmtId="0" fontId="33" fillId="9" borderId="49" xfId="0" applyFont="1" applyFill="1" applyBorder="1" applyAlignment="1" applyProtection="1">
      <alignment horizontal="left" vertical="top"/>
      <protection locked="0"/>
    </xf>
    <xf numFmtId="0" fontId="30" fillId="9" borderId="49" xfId="0" applyFont="1" applyFill="1" applyBorder="1" applyAlignment="1" applyProtection="1">
      <alignment horizontal="left" vertical="top"/>
      <protection locked="0"/>
    </xf>
    <xf numFmtId="0" fontId="30" fillId="9" borderId="49" xfId="0" applyFont="1" applyFill="1" applyBorder="1" applyAlignment="1" applyProtection="1">
      <alignment horizontal="left" vertical="top" wrapText="1"/>
      <protection locked="0"/>
    </xf>
    <xf numFmtId="0" fontId="39" fillId="0" borderId="50" xfId="0" applyFont="1" applyBorder="1" applyAlignment="1" applyProtection="1">
      <alignment horizontal="center" vertical="center" wrapText="1"/>
      <protection locked="0"/>
    </xf>
    <xf numFmtId="0" fontId="40" fillId="0" borderId="41" xfId="0" applyFont="1" applyBorder="1" applyAlignment="1" applyProtection="1">
      <alignment horizontal="center" vertical="center" wrapText="1"/>
      <protection locked="0"/>
    </xf>
    <xf numFmtId="0" fontId="30" fillId="9" borderId="49" xfId="0" applyFont="1" applyFill="1" applyBorder="1" applyAlignment="1" applyProtection="1">
      <alignment horizontal="center" vertical="center" wrapText="1"/>
      <protection locked="0"/>
    </xf>
    <xf numFmtId="0" fontId="32" fillId="8" borderId="91" xfId="0" applyFont="1" applyFill="1" applyBorder="1" applyAlignment="1">
      <alignment horizontal="center" vertical="center"/>
    </xf>
    <xf numFmtId="0" fontId="32" fillId="8" borderId="92" xfId="0" applyFont="1" applyFill="1" applyBorder="1" applyAlignment="1">
      <alignment horizontal="center" vertical="center"/>
    </xf>
    <xf numFmtId="0" fontId="27" fillId="0" borderId="53" xfId="0" applyFont="1" applyBorder="1" applyAlignment="1" applyProtection="1">
      <alignment horizontal="center" vertical="top" wrapText="1"/>
      <protection locked="0"/>
    </xf>
    <xf numFmtId="0" fontId="27" fillId="0" borderId="81" xfId="0" applyFont="1" applyBorder="1" applyAlignment="1" applyProtection="1">
      <alignment horizontal="center" vertical="top" wrapText="1"/>
      <protection locked="0"/>
    </xf>
    <xf numFmtId="0" fontId="27" fillId="0" borderId="50" xfId="0" applyFont="1" applyBorder="1" applyAlignment="1" applyProtection="1">
      <alignment horizontal="center" vertical="top" wrapText="1"/>
      <protection locked="0"/>
    </xf>
    <xf numFmtId="0" fontId="27" fillId="0" borderId="52" xfId="0" applyFont="1" applyBorder="1" applyAlignment="1" applyProtection="1">
      <alignment horizontal="center" vertical="top" wrapText="1"/>
      <protection locked="0"/>
    </xf>
    <xf numFmtId="0" fontId="31" fillId="0" borderId="93" xfId="0" applyFont="1" applyBorder="1" applyAlignment="1" applyProtection="1">
      <alignment horizontal="center" vertical="top" wrapText="1"/>
      <protection locked="0"/>
    </xf>
    <xf numFmtId="0" fontId="31" fillId="0" borderId="94" xfId="0" applyFont="1" applyBorder="1" applyAlignment="1" applyProtection="1">
      <alignment horizontal="center" vertical="top" wrapText="1"/>
      <protection locked="0"/>
    </xf>
    <xf numFmtId="0" fontId="31" fillId="0" borderId="96" xfId="0" applyFont="1" applyBorder="1" applyAlignment="1" applyProtection="1">
      <alignment horizontal="center" vertical="top" wrapText="1"/>
      <protection locked="0"/>
    </xf>
    <xf numFmtId="0" fontId="35" fillId="0" borderId="65" xfId="0" applyFont="1" applyBorder="1" applyAlignment="1" applyProtection="1">
      <alignment horizontal="center" vertical="center" wrapText="1"/>
      <protection locked="0"/>
    </xf>
    <xf numFmtId="0" fontId="34" fillId="0" borderId="59" xfId="0" applyFont="1" applyBorder="1" applyAlignment="1" applyProtection="1">
      <alignment horizontal="center" vertical="center" wrapText="1"/>
      <protection locked="0"/>
    </xf>
    <xf numFmtId="0" fontId="34" fillId="0" borderId="60" xfId="0" applyFont="1" applyBorder="1" applyAlignment="1" applyProtection="1">
      <alignment horizontal="center" vertical="center" wrapText="1"/>
      <protection locked="0"/>
    </xf>
    <xf numFmtId="0" fontId="34" fillId="0" borderId="65" xfId="0" applyFont="1" applyBorder="1" applyAlignment="1" applyProtection="1">
      <alignment horizontal="center" vertical="center" wrapText="1"/>
      <protection locked="0"/>
    </xf>
    <xf numFmtId="0" fontId="30" fillId="0" borderId="93"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0" fontId="30" fillId="0" borderId="112" xfId="0" applyFont="1" applyBorder="1" applyAlignment="1" applyProtection="1">
      <alignment horizontal="center" vertical="center" wrapText="1"/>
      <protection locked="0"/>
    </xf>
    <xf numFmtId="0" fontId="30" fillId="0" borderId="113" xfId="0" applyFont="1" applyBorder="1" applyAlignment="1" applyProtection="1">
      <alignment horizontal="center" vertical="center" wrapText="1"/>
      <protection locked="0"/>
    </xf>
    <xf numFmtId="0" fontId="74" fillId="7" borderId="78" xfId="0" applyFont="1" applyFill="1" applyBorder="1" applyAlignment="1">
      <alignment horizontal="left" vertical="center"/>
    </xf>
    <xf numFmtId="0" fontId="30" fillId="0" borderId="52" xfId="0" applyFont="1" applyBorder="1" applyAlignment="1" applyProtection="1">
      <alignment horizontal="center" vertical="center"/>
      <protection locked="0"/>
    </xf>
    <xf numFmtId="9" fontId="30" fillId="0" borderId="52" xfId="0" applyNumberFormat="1" applyFont="1" applyBorder="1" applyAlignment="1" applyProtection="1">
      <alignment horizontal="center" vertical="center" wrapText="1"/>
      <protection hidden="1"/>
    </xf>
    <xf numFmtId="9" fontId="30" fillId="0" borderId="52" xfId="0" applyNumberFormat="1" applyFont="1" applyBorder="1" applyAlignment="1" applyProtection="1">
      <alignment horizontal="center" vertical="center" wrapText="1"/>
      <protection locked="0"/>
    </xf>
    <xf numFmtId="0" fontId="30" fillId="0" borderId="79" xfId="0" applyFont="1" applyBorder="1" applyAlignment="1">
      <alignment horizontal="center" vertical="center" wrapText="1"/>
    </xf>
    <xf numFmtId="0" fontId="30" fillId="0" borderId="73" xfId="0" applyFont="1" applyBorder="1" applyAlignment="1">
      <alignment horizontal="center" vertical="center"/>
    </xf>
    <xf numFmtId="0" fontId="37" fillId="0" borderId="73" xfId="0" applyFont="1" applyBorder="1" applyAlignment="1">
      <alignment horizontal="center" vertical="center" wrapText="1"/>
    </xf>
    <xf numFmtId="9" fontId="30" fillId="0" borderId="73" xfId="0" applyNumberFormat="1" applyFont="1" applyBorder="1" applyAlignment="1">
      <alignment horizontal="center" vertical="center" wrapText="1"/>
    </xf>
    <xf numFmtId="0" fontId="37" fillId="0" borderId="73" xfId="0" applyFont="1" applyBorder="1" applyAlignment="1">
      <alignment horizontal="center" vertical="center"/>
    </xf>
    <xf numFmtId="0" fontId="31" fillId="6" borderId="74" xfId="0" applyFont="1" applyFill="1" applyBorder="1" applyAlignment="1">
      <alignment horizontal="center" vertical="center" wrapText="1"/>
    </xf>
    <xf numFmtId="0" fontId="31" fillId="6" borderId="76" xfId="0" applyFont="1" applyFill="1" applyBorder="1" applyAlignment="1">
      <alignment horizontal="center" vertical="center" wrapText="1"/>
    </xf>
    <xf numFmtId="0" fontId="31" fillId="0" borderId="73"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74" xfId="0" applyFont="1" applyBorder="1" applyAlignment="1">
      <alignment horizontal="center" vertical="center"/>
    </xf>
    <xf numFmtId="0" fontId="31" fillId="0" borderId="76" xfId="0" applyFont="1" applyBorder="1" applyAlignment="1">
      <alignment horizontal="center" vertical="center"/>
    </xf>
    <xf numFmtId="0" fontId="30" fillId="0" borderId="73" xfId="0" applyFont="1" applyBorder="1" applyAlignment="1">
      <alignment horizontal="center" vertical="center" textRotation="90"/>
    </xf>
    <xf numFmtId="0" fontId="30" fillId="0" borderId="74" xfId="0" applyFont="1" applyBorder="1" applyAlignment="1">
      <alignment horizontal="center" vertical="center" textRotation="90"/>
    </xf>
    <xf numFmtId="0" fontId="30" fillId="0" borderId="76" xfId="0" applyFont="1" applyBorder="1" applyAlignment="1">
      <alignment horizontal="center" vertical="center" textRotation="90"/>
    </xf>
    <xf numFmtId="0" fontId="31" fillId="0" borderId="79" xfId="0" applyFont="1" applyBorder="1" applyAlignment="1">
      <alignment horizontal="center" vertical="center" wrapText="1"/>
    </xf>
    <xf numFmtId="0" fontId="37" fillId="0" borderId="74" xfId="0" applyFont="1" applyBorder="1" applyAlignment="1">
      <alignment horizontal="center" vertical="top" textRotation="90" wrapText="1"/>
    </xf>
    <xf numFmtId="0" fontId="37" fillId="0" borderId="76" xfId="0" applyFont="1" applyBorder="1" applyAlignment="1">
      <alignment horizontal="center" vertical="top" textRotation="90" wrapText="1"/>
    </xf>
    <xf numFmtId="0" fontId="31" fillId="0" borderId="74" xfId="0" applyFont="1" applyBorder="1" applyAlignment="1">
      <alignment horizontal="center" vertical="top" wrapText="1"/>
    </xf>
    <xf numFmtId="0" fontId="31" fillId="0" borderId="76" xfId="0" applyFont="1" applyBorder="1" applyAlignment="1">
      <alignment horizontal="center" vertical="top" wrapText="1"/>
    </xf>
    <xf numFmtId="0" fontId="31" fillId="0" borderId="78" xfId="0" applyFont="1" applyBorder="1" applyAlignment="1">
      <alignment horizontal="center" vertical="center" wrapText="1"/>
    </xf>
    <xf numFmtId="0" fontId="31" fillId="0" borderId="75" xfId="0" applyFont="1" applyBorder="1" applyAlignment="1">
      <alignment horizontal="center" vertical="center" wrapText="1"/>
    </xf>
    <xf numFmtId="0" fontId="31" fillId="0" borderId="70" xfId="0" applyFont="1" applyBorder="1" applyAlignment="1">
      <alignment horizontal="center" vertical="center" wrapText="1"/>
    </xf>
    <xf numFmtId="0" fontId="30" fillId="0" borderId="74" xfId="0" applyFont="1" applyBorder="1" applyAlignment="1">
      <alignment horizontal="center" vertical="top" textRotation="90"/>
    </xf>
    <xf numFmtId="0" fontId="30" fillId="0" borderId="76" xfId="0" applyFont="1" applyBorder="1" applyAlignment="1">
      <alignment horizontal="center" vertical="top" textRotation="90"/>
    </xf>
    <xf numFmtId="9" fontId="30" fillId="0" borderId="73" xfId="0" applyNumberFormat="1" applyFont="1" applyBorder="1" applyAlignment="1">
      <alignment horizontal="center" vertical="center"/>
    </xf>
    <xf numFmtId="9" fontId="30" fillId="0" borderId="74" xfId="0" applyNumberFormat="1" applyFont="1" applyBorder="1" applyAlignment="1">
      <alignment horizontal="center" vertical="center"/>
    </xf>
    <xf numFmtId="9" fontId="30" fillId="0" borderId="76" xfId="0" applyNumberFormat="1" applyFont="1" applyBorder="1" applyAlignment="1">
      <alignment horizontal="center" vertical="center"/>
    </xf>
    <xf numFmtId="9" fontId="30" fillId="0" borderId="74" xfId="0" applyNumberFormat="1" applyFont="1" applyBorder="1" applyAlignment="1">
      <alignment horizontal="center" vertical="top"/>
    </xf>
    <xf numFmtId="9" fontId="30" fillId="0" borderId="76" xfId="0" applyNumberFormat="1" applyFont="1" applyBorder="1" applyAlignment="1">
      <alignment horizontal="center" vertical="top"/>
    </xf>
    <xf numFmtId="0" fontId="31" fillId="0" borderId="74" xfId="0" applyFont="1" applyBorder="1" applyAlignment="1">
      <alignment horizontal="center" vertical="top"/>
    </xf>
    <xf numFmtId="0" fontId="31" fillId="0" borderId="76" xfId="0" applyFont="1" applyBorder="1" applyAlignment="1">
      <alignment horizontal="center" vertical="top"/>
    </xf>
    <xf numFmtId="0" fontId="31" fillId="0" borderId="73" xfId="0" applyFont="1" applyBorder="1" applyAlignment="1">
      <alignment horizontal="left" vertical="top" wrapText="1"/>
    </xf>
    <xf numFmtId="0" fontId="31" fillId="0" borderId="74" xfId="0" applyFont="1" applyBorder="1" applyAlignment="1">
      <alignment horizontal="left" vertical="top" wrapText="1"/>
    </xf>
    <xf numFmtId="0" fontId="31" fillId="0" borderId="76" xfId="0" applyFont="1" applyBorder="1" applyAlignment="1">
      <alignment horizontal="left" vertical="top" wrapText="1"/>
    </xf>
    <xf numFmtId="0" fontId="37" fillId="0" borderId="74" xfId="0" applyFont="1" applyBorder="1" applyAlignment="1">
      <alignment horizontal="center" vertical="top" textRotation="90"/>
    </xf>
    <xf numFmtId="0" fontId="37" fillId="0" borderId="76" xfId="0" applyFont="1" applyBorder="1" applyAlignment="1">
      <alignment horizontal="center" vertical="top" textRotation="90"/>
    </xf>
    <xf numFmtId="165" fontId="30" fillId="0" borderId="73" xfId="0" applyNumberFormat="1" applyFont="1" applyBorder="1" applyAlignment="1">
      <alignment horizontal="center" vertical="center"/>
    </xf>
    <xf numFmtId="165" fontId="30" fillId="0" borderId="74" xfId="0" applyNumberFormat="1" applyFont="1" applyBorder="1" applyAlignment="1">
      <alignment horizontal="center" vertical="center"/>
    </xf>
    <xf numFmtId="165" fontId="30" fillId="0" borderId="76" xfId="0" applyNumberFormat="1" applyFont="1" applyBorder="1" applyAlignment="1">
      <alignment horizontal="center" vertical="center"/>
    </xf>
    <xf numFmtId="0" fontId="30" fillId="0" borderId="74" xfId="0" applyFont="1" applyBorder="1" applyAlignment="1">
      <alignment horizontal="center" vertical="center" wrapText="1"/>
    </xf>
    <xf numFmtId="0" fontId="30" fillId="0" borderId="76" xfId="0" applyFont="1" applyBorder="1" applyAlignment="1">
      <alignment horizontal="center" vertical="center" wrapText="1"/>
    </xf>
    <xf numFmtId="164" fontId="31" fillId="0" borderId="73" xfId="0" applyNumberFormat="1" applyFont="1" applyBorder="1" applyAlignment="1">
      <alignment horizontal="center" vertical="center"/>
    </xf>
    <xf numFmtId="164" fontId="31" fillId="0" borderId="74" xfId="0" applyNumberFormat="1" applyFont="1" applyBorder="1" applyAlignment="1">
      <alignment horizontal="center" vertical="center"/>
    </xf>
    <xf numFmtId="164" fontId="31" fillId="0" borderId="76" xfId="0" applyNumberFormat="1" applyFont="1" applyBorder="1" applyAlignment="1">
      <alignment horizontal="center" vertical="center"/>
    </xf>
    <xf numFmtId="164" fontId="31" fillId="0" borderId="74" xfId="0" applyNumberFormat="1" applyFont="1" applyBorder="1" applyAlignment="1">
      <alignment horizontal="center" vertical="top"/>
    </xf>
    <xf numFmtId="164" fontId="31" fillId="0" borderId="76" xfId="0" applyNumberFormat="1" applyFont="1" applyBorder="1" applyAlignment="1">
      <alignment horizontal="center" vertical="top"/>
    </xf>
    <xf numFmtId="0" fontId="37" fillId="0" borderId="73" xfId="0" applyFont="1" applyBorder="1" applyAlignment="1">
      <alignment horizontal="center" vertical="center" textRotation="90" wrapText="1"/>
    </xf>
    <xf numFmtId="0" fontId="37" fillId="0" borderId="74" xfId="0" applyFont="1" applyBorder="1" applyAlignment="1">
      <alignment horizontal="center" vertical="center" textRotation="90" wrapText="1"/>
    </xf>
    <xf numFmtId="0" fontId="37" fillId="0" borderId="76" xfId="0" applyFont="1" applyBorder="1" applyAlignment="1">
      <alignment horizontal="center" vertical="center" textRotation="90" wrapText="1"/>
    </xf>
    <xf numFmtId="0" fontId="32" fillId="8" borderId="53" xfId="1" applyFont="1" applyFill="1" applyBorder="1" applyAlignment="1">
      <alignment horizontal="center" vertical="center" wrapText="1"/>
    </xf>
    <xf numFmtId="0" fontId="32" fillId="8" borderId="52" xfId="1" applyFont="1" applyFill="1" applyBorder="1" applyAlignment="1">
      <alignment horizontal="center" vertical="center" wrapText="1"/>
    </xf>
    <xf numFmtId="0" fontId="32" fillId="8" borderId="54" xfId="1" applyFont="1" applyFill="1" applyBorder="1" applyAlignment="1">
      <alignment horizontal="center" vertical="center"/>
    </xf>
    <xf numFmtId="0" fontId="32" fillId="8" borderId="44" xfId="1" applyFont="1" applyFill="1" applyBorder="1" applyAlignment="1">
      <alignment horizontal="center" vertical="center"/>
    </xf>
    <xf numFmtId="0" fontId="32" fillId="8" borderId="50" xfId="1" applyFont="1" applyFill="1" applyBorder="1" applyAlignment="1">
      <alignment horizontal="center" vertical="center" wrapText="1"/>
    </xf>
    <xf numFmtId="0" fontId="32" fillId="8" borderId="54" xfId="1" applyFont="1" applyFill="1" applyBorder="1" applyAlignment="1">
      <alignment horizontal="center" vertical="center" wrapText="1"/>
    </xf>
    <xf numFmtId="0" fontId="32" fillId="8" borderId="51" xfId="1" applyFont="1" applyFill="1" applyBorder="1" applyAlignment="1">
      <alignment horizontal="center" vertical="center" wrapText="1"/>
    </xf>
    <xf numFmtId="0" fontId="32" fillId="8" borderId="50" xfId="1" applyFont="1" applyFill="1" applyBorder="1" applyAlignment="1">
      <alignment horizontal="center" vertical="center" textRotation="90" wrapText="1"/>
    </xf>
    <xf numFmtId="0" fontId="32" fillId="8" borderId="52" xfId="1" applyFont="1" applyFill="1" applyBorder="1" applyAlignment="1">
      <alignment horizontal="center" vertical="center" textRotation="90" wrapText="1"/>
    </xf>
    <xf numFmtId="0" fontId="27" fillId="0" borderId="74" xfId="0" applyFont="1" applyBorder="1" applyAlignment="1">
      <alignment horizontal="center" vertical="top" wrapText="1"/>
    </xf>
    <xf numFmtId="0" fontId="27" fillId="0" borderId="76" xfId="0" applyFont="1" applyBorder="1" applyAlignment="1">
      <alignment horizontal="center" vertical="top" wrapText="1"/>
    </xf>
    <xf numFmtId="0" fontId="27" fillId="0" borderId="73" xfId="0" applyFont="1" applyBorder="1" applyAlignment="1">
      <alignment horizontal="center" vertical="center" wrapText="1"/>
    </xf>
    <xf numFmtId="0" fontId="27" fillId="0" borderId="74" xfId="0" applyFont="1" applyBorder="1" applyAlignment="1">
      <alignment horizontal="center" vertical="center" wrapText="1"/>
    </xf>
    <xf numFmtId="0" fontId="27" fillId="0" borderId="76" xfId="0" applyFont="1" applyBorder="1" applyAlignment="1">
      <alignment horizontal="center" vertical="center" wrapText="1"/>
    </xf>
    <xf numFmtId="0" fontId="74" fillId="8" borderId="41" xfId="1" applyFont="1" applyFill="1" applyBorder="1" applyAlignment="1">
      <alignment horizontal="center" vertical="center"/>
    </xf>
    <xf numFmtId="0" fontId="74" fillId="8" borderId="42" xfId="1" applyFont="1" applyFill="1" applyBorder="1" applyAlignment="1">
      <alignment horizontal="center" vertical="center"/>
    </xf>
    <xf numFmtId="0" fontId="74" fillId="8" borderId="43" xfId="1" applyFont="1" applyFill="1" applyBorder="1" applyAlignment="1">
      <alignment horizontal="center" vertical="center"/>
    </xf>
    <xf numFmtId="0" fontId="74" fillId="8" borderId="44" xfId="1" applyFont="1" applyFill="1" applyBorder="1" applyAlignment="1">
      <alignment horizontal="center" vertical="center"/>
    </xf>
    <xf numFmtId="0" fontId="74" fillId="8" borderId="45" xfId="1" applyFont="1" applyFill="1" applyBorder="1" applyAlignment="1">
      <alignment horizontal="center" vertical="center"/>
    </xf>
    <xf numFmtId="0" fontId="74" fillId="8" borderId="46" xfId="1" applyFont="1" applyFill="1" applyBorder="1" applyAlignment="1">
      <alignment horizontal="center" vertical="center"/>
    </xf>
    <xf numFmtId="0" fontId="29" fillId="8" borderId="47" xfId="1" applyFont="1" applyFill="1" applyBorder="1" applyAlignment="1">
      <alignment horizontal="center" vertical="center"/>
    </xf>
    <xf numFmtId="0" fontId="29" fillId="8" borderId="48" xfId="1" applyFont="1" applyFill="1" applyBorder="1" applyAlignment="1">
      <alignment horizontal="center" vertical="center"/>
    </xf>
    <xf numFmtId="0" fontId="30" fillId="9" borderId="49" xfId="1" applyFont="1" applyFill="1" applyBorder="1" applyAlignment="1" applyProtection="1">
      <alignment horizontal="left" vertical="center" wrapText="1"/>
      <protection locked="0"/>
    </xf>
    <xf numFmtId="0" fontId="32" fillId="8" borderId="47" xfId="1" applyFont="1" applyFill="1" applyBorder="1" applyAlignment="1">
      <alignment horizontal="center" vertical="center"/>
    </xf>
    <xf numFmtId="0" fontId="32" fillId="8" borderId="48" xfId="1" applyFont="1" applyFill="1" applyBorder="1" applyAlignment="1">
      <alignment horizontal="center" vertical="center"/>
    </xf>
    <xf numFmtId="0" fontId="32" fillId="8" borderId="45" xfId="1" applyFont="1" applyFill="1" applyBorder="1" applyAlignment="1">
      <alignment horizontal="center" vertical="center"/>
    </xf>
    <xf numFmtId="0" fontId="32" fillId="8" borderId="46" xfId="1" applyFont="1" applyFill="1" applyBorder="1" applyAlignment="1">
      <alignment horizontal="center" vertical="center"/>
    </xf>
    <xf numFmtId="0" fontId="37" fillId="0" borderId="73" xfId="0" applyFont="1" applyBorder="1" applyAlignment="1">
      <alignment horizontal="center" vertical="center" textRotation="90"/>
    </xf>
    <xf numFmtId="0" fontId="37" fillId="0" borderId="74" xfId="0" applyFont="1" applyBorder="1" applyAlignment="1">
      <alignment horizontal="center" vertical="center" textRotation="90"/>
    </xf>
    <xf numFmtId="0" fontId="37" fillId="0" borderId="76" xfId="0" applyFont="1" applyBorder="1" applyAlignment="1">
      <alignment horizontal="center" vertical="center" textRotation="90"/>
    </xf>
    <xf numFmtId="0" fontId="32" fillId="8" borderId="51" xfId="1" applyFont="1" applyFill="1" applyBorder="1" applyAlignment="1">
      <alignment horizontal="center" vertical="center" textRotation="90" wrapText="1"/>
    </xf>
    <xf numFmtId="0" fontId="32" fillId="10" borderId="51" xfId="1" applyFont="1" applyFill="1" applyBorder="1" applyAlignment="1">
      <alignment horizontal="center" vertical="center" wrapText="1"/>
    </xf>
    <xf numFmtId="0" fontId="31" fillId="0" borderId="50" xfId="1" applyFont="1" applyBorder="1" applyAlignment="1">
      <alignment horizontal="center" vertical="center"/>
    </xf>
    <xf numFmtId="0" fontId="31" fillId="0" borderId="53" xfId="1" applyFont="1" applyBorder="1" applyAlignment="1">
      <alignment horizontal="center" vertical="center"/>
    </xf>
    <xf numFmtId="0" fontId="31" fillId="0" borderId="52" xfId="1" applyFont="1" applyBorder="1" applyAlignment="1">
      <alignment horizontal="center" vertical="center"/>
    </xf>
    <xf numFmtId="0" fontId="30" fillId="0" borderId="50" xfId="1" applyFont="1" applyBorder="1" applyAlignment="1" applyProtection="1">
      <alignment horizontal="center" vertical="center" wrapText="1"/>
      <protection locked="0"/>
    </xf>
    <xf numFmtId="0" fontId="30" fillId="0" borderId="53" xfId="1" applyFont="1" applyBorder="1" applyAlignment="1" applyProtection="1">
      <alignment horizontal="center" vertical="center" wrapText="1"/>
      <protection locked="0"/>
    </xf>
    <xf numFmtId="0" fontId="30" fillId="0" borderId="52" xfId="1" applyFont="1" applyBorder="1" applyAlignment="1" applyProtection="1">
      <alignment horizontal="center" vertical="center" wrapText="1"/>
      <protection locked="0"/>
    </xf>
    <xf numFmtId="0" fontId="30" fillId="0" borderId="41" xfId="1" applyFont="1" applyBorder="1" applyAlignment="1" applyProtection="1">
      <alignment horizontal="center" vertical="center" wrapText="1"/>
      <protection locked="0"/>
    </xf>
    <xf numFmtId="0" fontId="30" fillId="0" borderId="54" xfId="1" applyFont="1" applyBorder="1" applyAlignment="1" applyProtection="1">
      <alignment horizontal="center" vertical="center" wrapText="1"/>
      <protection locked="0"/>
    </xf>
    <xf numFmtId="0" fontId="30" fillId="0" borderId="44" xfId="1" applyFont="1" applyBorder="1" applyAlignment="1" applyProtection="1">
      <alignment horizontal="center" vertical="center" wrapText="1"/>
      <protection locked="0"/>
    </xf>
    <xf numFmtId="0" fontId="35" fillId="0" borderId="49" xfId="1" applyFont="1" applyBorder="1" applyAlignment="1" applyProtection="1">
      <alignment horizontal="center" vertical="center" wrapText="1"/>
      <protection locked="0"/>
    </xf>
    <xf numFmtId="0" fontId="35" fillId="0" borderId="59" xfId="1" applyFont="1" applyBorder="1" applyAlignment="1" applyProtection="1">
      <alignment horizontal="center" vertical="center" wrapText="1"/>
      <protection locked="0"/>
    </xf>
    <xf numFmtId="0" fontId="0" fillId="0" borderId="60" xfId="0" applyBorder="1" applyAlignment="1">
      <alignment horizontal="center" vertical="center" wrapText="1"/>
    </xf>
    <xf numFmtId="0" fontId="0" fillId="0" borderId="65" xfId="0" applyBorder="1" applyAlignment="1">
      <alignment horizontal="center" vertical="center" wrapText="1"/>
    </xf>
    <xf numFmtId="0" fontId="30" fillId="0" borderId="43" xfId="1" applyFont="1" applyBorder="1" applyAlignment="1" applyProtection="1">
      <alignment horizontal="center" vertical="center" wrapText="1"/>
      <protection locked="0"/>
    </xf>
    <xf numFmtId="0" fontId="30" fillId="0" borderId="56" xfId="1" applyFont="1" applyBorder="1" applyAlignment="1" applyProtection="1">
      <alignment horizontal="center" vertical="center" wrapText="1"/>
      <protection locked="0"/>
    </xf>
    <xf numFmtId="0" fontId="30" fillId="0" borderId="46" xfId="1" applyFont="1" applyBorder="1" applyAlignment="1" applyProtection="1">
      <alignment horizontal="center" vertical="center" wrapText="1"/>
      <protection locked="0"/>
    </xf>
    <xf numFmtId="0" fontId="30" fillId="0" borderId="50" xfId="1" applyFont="1" applyBorder="1" applyAlignment="1" applyProtection="1">
      <alignment horizontal="center" vertical="center"/>
      <protection locked="0"/>
    </xf>
    <xf numFmtId="0" fontId="30" fillId="0" borderId="53" xfId="1" applyFont="1" applyBorder="1" applyAlignment="1" applyProtection="1">
      <alignment horizontal="center" vertical="center"/>
      <protection locked="0"/>
    </xf>
    <xf numFmtId="0" fontId="30" fillId="0" borderId="52" xfId="1" applyFont="1" applyBorder="1" applyAlignment="1" applyProtection="1">
      <alignment horizontal="center" vertical="center"/>
      <protection locked="0"/>
    </xf>
    <xf numFmtId="0" fontId="37" fillId="0" borderId="50" xfId="1" applyFont="1" applyBorder="1" applyAlignment="1" applyProtection="1">
      <alignment horizontal="center" vertical="center" wrapText="1"/>
      <protection hidden="1"/>
    </xf>
    <xf numFmtId="0" fontId="37" fillId="0" borderId="53" xfId="1" applyFont="1" applyBorder="1" applyAlignment="1" applyProtection="1">
      <alignment horizontal="center" vertical="center" wrapText="1"/>
      <protection hidden="1"/>
    </xf>
    <xf numFmtId="0" fontId="37" fillId="0" borderId="52" xfId="1" applyFont="1" applyBorder="1" applyAlignment="1" applyProtection="1">
      <alignment horizontal="center" vertical="center" wrapText="1"/>
      <protection hidden="1"/>
    </xf>
    <xf numFmtId="9" fontId="30" fillId="0" borderId="50" xfId="1" applyNumberFormat="1" applyFont="1" applyBorder="1" applyAlignment="1" applyProtection="1">
      <alignment horizontal="center" vertical="center" wrapText="1"/>
      <protection hidden="1"/>
    </xf>
    <xf numFmtId="9" fontId="30" fillId="0" borderId="53" xfId="1" applyNumberFormat="1" applyFont="1" applyBorder="1" applyAlignment="1" applyProtection="1">
      <alignment horizontal="center" vertical="center" wrapText="1"/>
      <protection hidden="1"/>
    </xf>
    <xf numFmtId="9" fontId="30" fillId="0" borderId="52" xfId="1" applyNumberFormat="1" applyFont="1" applyBorder="1" applyAlignment="1" applyProtection="1">
      <alignment horizontal="center" vertical="center" wrapText="1"/>
      <protection hidden="1"/>
    </xf>
    <xf numFmtId="9" fontId="30" fillId="0" borderId="50" xfId="1" applyNumberFormat="1" applyFont="1" applyBorder="1" applyAlignment="1" applyProtection="1">
      <alignment horizontal="center" vertical="center" wrapText="1"/>
      <protection locked="0"/>
    </xf>
    <xf numFmtId="9" fontId="30" fillId="0" borderId="53" xfId="1" applyNumberFormat="1" applyFont="1" applyBorder="1" applyAlignment="1" applyProtection="1">
      <alignment horizontal="center" vertical="center" wrapText="1"/>
      <protection locked="0"/>
    </xf>
    <xf numFmtId="9" fontId="30" fillId="0" borderId="52" xfId="1" applyNumberFormat="1" applyFont="1" applyBorder="1" applyAlignment="1" applyProtection="1">
      <alignment horizontal="center" vertical="center" wrapText="1"/>
      <protection locked="0"/>
    </xf>
    <xf numFmtId="0" fontId="37" fillId="0" borderId="50" xfId="1" applyFont="1" applyBorder="1" applyAlignment="1" applyProtection="1">
      <alignment horizontal="center" vertical="center"/>
      <protection hidden="1"/>
    </xf>
    <xf numFmtId="0" fontId="37" fillId="0" borderId="53" xfId="1" applyFont="1" applyBorder="1" applyAlignment="1" applyProtection="1">
      <alignment horizontal="center" vertical="center"/>
      <protection hidden="1"/>
    </xf>
    <xf numFmtId="0" fontId="37" fillId="0" borderId="52" xfId="1" applyFont="1" applyBorder="1" applyAlignment="1" applyProtection="1">
      <alignment horizontal="center" vertical="center"/>
      <protection hidden="1"/>
    </xf>
    <xf numFmtId="0" fontId="33" fillId="8" borderId="50" xfId="1" applyFont="1" applyFill="1" applyBorder="1" applyAlignment="1">
      <alignment horizontal="center" vertical="center" textRotation="90"/>
    </xf>
    <xf numFmtId="0" fontId="33" fillId="8" borderId="52" xfId="1" applyFont="1" applyFill="1" applyBorder="1" applyAlignment="1">
      <alignment horizontal="center" vertical="center" textRotation="90"/>
    </xf>
    <xf numFmtId="0" fontId="32" fillId="8" borderId="51" xfId="1" applyFont="1" applyFill="1" applyBorder="1" applyAlignment="1">
      <alignment horizontal="center" vertical="center"/>
    </xf>
    <xf numFmtId="0" fontId="32" fillId="8" borderId="52" xfId="1" applyFont="1" applyFill="1" applyBorder="1" applyAlignment="1">
      <alignment horizontal="center" vertical="center"/>
    </xf>
    <xf numFmtId="0" fontId="32" fillId="8" borderId="50" xfId="1" applyFont="1" applyFill="1" applyBorder="1" applyAlignment="1">
      <alignment horizontal="center" vertical="center"/>
    </xf>
    <xf numFmtId="0" fontId="31" fillId="0" borderId="50" xfId="1" applyFont="1" applyBorder="1" applyAlignment="1" applyProtection="1">
      <alignment horizontal="center" vertical="center"/>
      <protection hidden="1"/>
    </xf>
    <xf numFmtId="0" fontId="31" fillId="0" borderId="53" xfId="1" applyFont="1" applyBorder="1" applyAlignment="1" applyProtection="1">
      <alignment horizontal="center" vertical="center"/>
      <protection hidden="1"/>
    </xf>
    <xf numFmtId="0" fontId="31" fillId="0" borderId="52" xfId="1" applyFont="1" applyBorder="1" applyAlignment="1" applyProtection="1">
      <alignment horizontal="center" vertical="center"/>
      <protection hidden="1"/>
    </xf>
    <xf numFmtId="0" fontId="30" fillId="0" borderId="50" xfId="1" applyFont="1" applyBorder="1" applyAlignment="1" applyProtection="1">
      <alignment horizontal="center" vertical="center" textRotation="90"/>
      <protection locked="0"/>
    </xf>
    <xf numFmtId="0" fontId="30" fillId="0" borderId="53" xfId="1" applyFont="1" applyBorder="1" applyAlignment="1" applyProtection="1">
      <alignment horizontal="center" vertical="center" textRotation="90"/>
      <protection locked="0"/>
    </xf>
    <xf numFmtId="0" fontId="30" fillId="0" borderId="52" xfId="1" applyFont="1" applyBorder="1" applyAlignment="1" applyProtection="1">
      <alignment horizontal="center" vertical="center" textRotation="90"/>
      <protection locked="0"/>
    </xf>
    <xf numFmtId="9" fontId="30" fillId="0" borderId="50" xfId="1" applyNumberFormat="1" applyFont="1" applyBorder="1" applyAlignment="1" applyProtection="1">
      <alignment horizontal="center" vertical="center"/>
      <protection hidden="1"/>
    </xf>
    <xf numFmtId="9" fontId="30" fillId="0" borderId="53" xfId="1" applyNumberFormat="1" applyFont="1" applyBorder="1" applyAlignment="1" applyProtection="1">
      <alignment horizontal="center" vertical="center"/>
      <protection hidden="1"/>
    </xf>
    <xf numFmtId="9" fontId="30" fillId="0" borderId="52" xfId="1" applyNumberFormat="1" applyFont="1" applyBorder="1" applyAlignment="1" applyProtection="1">
      <alignment horizontal="center" vertical="center"/>
      <protection hidden="1"/>
    </xf>
    <xf numFmtId="164" fontId="31" fillId="0" borderId="50" xfId="8" applyNumberFormat="1" applyFont="1" applyBorder="1" applyAlignment="1">
      <alignment horizontal="center" vertical="center"/>
    </xf>
    <xf numFmtId="164" fontId="31" fillId="0" borderId="53" xfId="8" applyNumberFormat="1" applyFont="1" applyBorder="1" applyAlignment="1">
      <alignment horizontal="center" vertical="center"/>
    </xf>
    <xf numFmtId="164" fontId="31" fillId="0" borderId="52" xfId="8" applyNumberFormat="1" applyFont="1" applyBorder="1" applyAlignment="1">
      <alignment horizontal="center" vertical="center"/>
    </xf>
    <xf numFmtId="0" fontId="37" fillId="0" borderId="50" xfId="1" applyFont="1" applyBorder="1" applyAlignment="1" applyProtection="1">
      <alignment horizontal="center" vertical="center" textRotation="90" wrapText="1"/>
      <protection hidden="1"/>
    </xf>
    <xf numFmtId="0" fontId="37" fillId="0" borderId="53" xfId="1" applyFont="1" applyBorder="1" applyAlignment="1" applyProtection="1">
      <alignment horizontal="center" vertical="center" textRotation="90" wrapText="1"/>
      <protection hidden="1"/>
    </xf>
    <xf numFmtId="0" fontId="37" fillId="0" borderId="52" xfId="1" applyFont="1" applyBorder="1" applyAlignment="1" applyProtection="1">
      <alignment horizontal="center" vertical="center" textRotation="90" wrapText="1"/>
      <protection hidden="1"/>
    </xf>
    <xf numFmtId="0" fontId="31" fillId="0" borderId="50" xfId="1" applyFont="1" applyBorder="1" applyAlignment="1" applyProtection="1">
      <alignment horizontal="center" vertical="center" wrapText="1"/>
      <protection locked="0"/>
    </xf>
    <xf numFmtId="0" fontId="31" fillId="0" borderId="53" xfId="1" applyFont="1" applyBorder="1" applyAlignment="1" applyProtection="1">
      <alignment horizontal="center" vertical="center" wrapText="1"/>
      <protection locked="0"/>
    </xf>
    <xf numFmtId="0" fontId="31" fillId="0" borderId="52" xfId="1" applyFont="1" applyBorder="1" applyAlignment="1" applyProtection="1">
      <alignment horizontal="center" vertical="center" wrapText="1"/>
      <protection locked="0"/>
    </xf>
    <xf numFmtId="0" fontId="31" fillId="0" borderId="41" xfId="1" applyFont="1" applyBorder="1" applyAlignment="1" applyProtection="1">
      <alignment horizontal="center" vertical="center" wrapText="1"/>
      <protection locked="0"/>
    </xf>
    <xf numFmtId="0" fontId="31" fillId="0" borderId="54" xfId="1" applyFont="1" applyBorder="1" applyAlignment="1" applyProtection="1">
      <alignment horizontal="center" vertical="center" wrapText="1"/>
      <protection locked="0"/>
    </xf>
    <xf numFmtId="0" fontId="31" fillId="0" borderId="44" xfId="1" applyFont="1" applyBorder="1" applyAlignment="1" applyProtection="1">
      <alignment horizontal="center" vertical="center" wrapText="1"/>
      <protection locked="0"/>
    </xf>
    <xf numFmtId="0" fontId="31" fillId="0" borderId="59" xfId="1" applyFont="1" applyBorder="1" applyAlignment="1" applyProtection="1">
      <alignment horizontal="center" vertical="center" wrapText="1"/>
      <protection locked="0"/>
    </xf>
    <xf numFmtId="0" fontId="31" fillId="0" borderId="60" xfId="1" applyFont="1" applyBorder="1" applyAlignment="1" applyProtection="1">
      <alignment horizontal="center" vertical="center" wrapText="1"/>
      <protection locked="0"/>
    </xf>
    <xf numFmtId="0" fontId="31" fillId="0" borderId="65" xfId="1" applyFont="1" applyBorder="1" applyAlignment="1" applyProtection="1">
      <alignment horizontal="center" vertical="center" wrapText="1"/>
      <protection locked="0"/>
    </xf>
    <xf numFmtId="0" fontId="34" fillId="0" borderId="49" xfId="1" applyFont="1" applyBorder="1" applyAlignment="1" applyProtection="1">
      <alignment horizontal="center" vertical="center" wrapText="1"/>
      <protection locked="0"/>
    </xf>
    <xf numFmtId="0" fontId="34" fillId="0" borderId="59" xfId="1" applyFont="1" applyBorder="1" applyAlignment="1" applyProtection="1">
      <alignment horizontal="center" vertical="center" wrapText="1"/>
      <protection locked="0"/>
    </xf>
    <xf numFmtId="0" fontId="34" fillId="0" borderId="60" xfId="1" applyFont="1" applyBorder="1" applyAlignment="1" applyProtection="1">
      <alignment horizontal="center" vertical="center" wrapText="1"/>
      <protection locked="0"/>
    </xf>
    <xf numFmtId="0" fontId="34" fillId="0" borderId="65" xfId="1" applyFont="1" applyBorder="1" applyAlignment="1" applyProtection="1">
      <alignment horizontal="center" vertical="center" wrapText="1"/>
      <protection locked="0"/>
    </xf>
    <xf numFmtId="0" fontId="31" fillId="0" borderId="43" xfId="1" applyFont="1" applyBorder="1" applyAlignment="1" applyProtection="1">
      <alignment horizontal="center" vertical="center" wrapText="1"/>
      <protection locked="0"/>
    </xf>
    <xf numFmtId="0" fontId="31" fillId="0" borderId="56" xfId="1" applyFont="1" applyBorder="1" applyAlignment="1" applyProtection="1">
      <alignment horizontal="center" vertical="center" wrapText="1"/>
      <protection locked="0"/>
    </xf>
    <xf numFmtId="0" fontId="31" fillId="0" borderId="46" xfId="1" applyFont="1" applyBorder="1" applyAlignment="1" applyProtection="1">
      <alignment horizontal="center" vertical="center" wrapText="1"/>
      <protection locked="0"/>
    </xf>
    <xf numFmtId="0" fontId="31" fillId="0" borderId="50" xfId="1" applyFont="1" applyBorder="1" applyAlignment="1" applyProtection="1">
      <alignment horizontal="center" vertical="center"/>
      <protection locked="0"/>
    </xf>
    <xf numFmtId="0" fontId="31" fillId="0" borderId="53" xfId="1" applyFont="1" applyBorder="1" applyAlignment="1" applyProtection="1">
      <alignment horizontal="center" vertical="center"/>
      <protection locked="0"/>
    </xf>
    <xf numFmtId="0" fontId="31" fillId="0" borderId="52" xfId="1" applyFont="1" applyBorder="1" applyAlignment="1" applyProtection="1">
      <alignment horizontal="center" vertical="center"/>
      <protection locked="0"/>
    </xf>
    <xf numFmtId="0" fontId="32" fillId="0" borderId="50" xfId="1" applyFont="1" applyBorder="1" applyAlignment="1" applyProtection="1">
      <alignment horizontal="center" vertical="center" wrapText="1"/>
      <protection hidden="1"/>
    </xf>
    <xf numFmtId="0" fontId="32" fillId="0" borderId="53" xfId="1" applyFont="1" applyBorder="1" applyAlignment="1" applyProtection="1">
      <alignment horizontal="center" vertical="center" wrapText="1"/>
      <protection hidden="1"/>
    </xf>
    <xf numFmtId="0" fontId="32" fillId="0" borderId="52" xfId="1" applyFont="1" applyBorder="1" applyAlignment="1" applyProtection="1">
      <alignment horizontal="center" vertical="center" wrapText="1"/>
      <protection hidden="1"/>
    </xf>
    <xf numFmtId="9" fontId="31" fillId="0" borderId="50" xfId="1" applyNumberFormat="1" applyFont="1" applyBorder="1" applyAlignment="1" applyProtection="1">
      <alignment horizontal="center" vertical="center" wrapText="1"/>
      <protection hidden="1"/>
    </xf>
    <xf numFmtId="9" fontId="31" fillId="0" borderId="53" xfId="1" applyNumberFormat="1" applyFont="1" applyBorder="1" applyAlignment="1" applyProtection="1">
      <alignment horizontal="center" vertical="center" wrapText="1"/>
      <protection hidden="1"/>
    </xf>
    <xf numFmtId="9" fontId="31" fillId="0" borderId="52" xfId="1" applyNumberFormat="1" applyFont="1" applyBorder="1" applyAlignment="1" applyProtection="1">
      <alignment horizontal="center" vertical="center" wrapText="1"/>
      <protection hidden="1"/>
    </xf>
    <xf numFmtId="9" fontId="31" fillId="0" borderId="50" xfId="1" applyNumberFormat="1" applyFont="1" applyBorder="1" applyAlignment="1" applyProtection="1">
      <alignment horizontal="center" vertical="center" wrapText="1"/>
      <protection locked="0"/>
    </xf>
    <xf numFmtId="9" fontId="31" fillId="0" borderId="53" xfId="1" applyNumberFormat="1" applyFont="1" applyBorder="1" applyAlignment="1" applyProtection="1">
      <alignment horizontal="center" vertical="center" wrapText="1"/>
      <protection locked="0"/>
    </xf>
    <xf numFmtId="9" fontId="31" fillId="0" borderId="52" xfId="1" applyNumberFormat="1" applyFont="1" applyBorder="1" applyAlignment="1" applyProtection="1">
      <alignment horizontal="center" vertical="center" wrapText="1"/>
      <protection locked="0"/>
    </xf>
    <xf numFmtId="0" fontId="32" fillId="0" borderId="50" xfId="1" applyFont="1" applyBorder="1" applyAlignment="1" applyProtection="1">
      <alignment horizontal="center" vertical="center"/>
      <protection hidden="1"/>
    </xf>
    <xf numFmtId="0" fontId="32" fillId="0" borderId="53" xfId="1" applyFont="1" applyBorder="1" applyAlignment="1" applyProtection="1">
      <alignment horizontal="center" vertical="center"/>
      <protection hidden="1"/>
    </xf>
    <xf numFmtId="0" fontId="32" fillId="0" borderId="52" xfId="1" applyFont="1" applyBorder="1" applyAlignment="1" applyProtection="1">
      <alignment horizontal="center" vertical="center"/>
      <protection hidden="1"/>
    </xf>
    <xf numFmtId="0" fontId="37" fillId="0" borderId="50" xfId="1" applyFont="1" applyBorder="1" applyAlignment="1" applyProtection="1">
      <alignment horizontal="center" vertical="center" textRotation="90"/>
      <protection hidden="1"/>
    </xf>
    <xf numFmtId="0" fontId="37" fillId="0" borderId="53" xfId="1" applyFont="1" applyBorder="1" applyAlignment="1" applyProtection="1">
      <alignment horizontal="center" vertical="center" textRotation="90"/>
      <protection hidden="1"/>
    </xf>
    <xf numFmtId="0" fontId="37" fillId="0" borderId="52" xfId="1" applyFont="1" applyBorder="1" applyAlignment="1" applyProtection="1">
      <alignment horizontal="center" vertical="center" textRotation="90"/>
      <protection hidden="1"/>
    </xf>
    <xf numFmtId="0" fontId="30" fillId="0" borderId="50" xfId="1" applyFont="1" applyBorder="1" applyAlignment="1" applyProtection="1">
      <alignment horizontal="center" vertical="center" textRotation="90" wrapText="1"/>
      <protection locked="0"/>
    </xf>
    <xf numFmtId="0" fontId="30" fillId="0" borderId="53" xfId="1" applyFont="1" applyBorder="1" applyAlignment="1" applyProtection="1">
      <alignment horizontal="center" vertical="center" textRotation="90" wrapText="1"/>
      <protection locked="0"/>
    </xf>
    <xf numFmtId="49" fontId="31" fillId="0" borderId="50" xfId="1" applyNumberFormat="1" applyFont="1" applyBorder="1" applyAlignment="1" applyProtection="1">
      <alignment horizontal="center" vertical="center" wrapText="1"/>
      <protection locked="0"/>
    </xf>
    <xf numFmtId="49" fontId="31" fillId="0" borderId="53" xfId="1" applyNumberFormat="1" applyFont="1" applyBorder="1" applyAlignment="1" applyProtection="1">
      <alignment horizontal="center" vertical="center" wrapText="1"/>
      <protection locked="0"/>
    </xf>
    <xf numFmtId="49" fontId="31" fillId="0" borderId="52" xfId="1" applyNumberFormat="1" applyFont="1" applyBorder="1" applyAlignment="1" applyProtection="1">
      <alignment horizontal="center" vertical="center" wrapText="1"/>
      <protection locked="0"/>
    </xf>
    <xf numFmtId="14" fontId="30" fillId="0" borderId="50" xfId="1" applyNumberFormat="1" applyFont="1" applyBorder="1" applyAlignment="1" applyProtection="1">
      <alignment horizontal="center" vertical="center" wrapText="1"/>
      <protection locked="0"/>
    </xf>
    <xf numFmtId="14" fontId="30" fillId="0" borderId="53" xfId="1" applyNumberFormat="1" applyFont="1" applyBorder="1" applyAlignment="1" applyProtection="1">
      <alignment horizontal="center" vertical="center" wrapText="1"/>
      <protection locked="0"/>
    </xf>
    <xf numFmtId="14" fontId="30" fillId="0" borderId="52" xfId="1" applyNumberFormat="1" applyFont="1" applyBorder="1" applyAlignment="1" applyProtection="1">
      <alignment horizontal="center" vertical="center" wrapText="1"/>
      <protection locked="0"/>
    </xf>
    <xf numFmtId="14" fontId="31" fillId="0" borderId="50" xfId="1" applyNumberFormat="1" applyFont="1" applyBorder="1" applyAlignment="1" applyProtection="1">
      <alignment horizontal="center" vertical="center" wrapText="1"/>
      <protection locked="0"/>
    </xf>
    <xf numFmtId="14" fontId="31" fillId="0" borderId="53" xfId="1" applyNumberFormat="1" applyFont="1" applyBorder="1" applyAlignment="1" applyProtection="1">
      <alignment horizontal="center" vertical="center" wrapText="1"/>
      <protection locked="0"/>
    </xf>
    <xf numFmtId="14" fontId="31" fillId="0" borderId="52" xfId="1" applyNumberFormat="1" applyFont="1" applyBorder="1" applyAlignment="1" applyProtection="1">
      <alignment horizontal="center" vertical="center" wrapText="1"/>
      <protection locked="0"/>
    </xf>
    <xf numFmtId="0" fontId="16" fillId="0" borderId="5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2" xfId="0" applyFont="1" applyBorder="1" applyAlignment="1">
      <alignment horizontal="center" vertical="center" wrapText="1"/>
    </xf>
    <xf numFmtId="0" fontId="27" fillId="0" borderId="50" xfId="1" applyFont="1" applyBorder="1" applyAlignment="1" applyProtection="1">
      <alignment horizontal="center" vertical="center" wrapText="1"/>
      <protection locked="0"/>
    </xf>
    <xf numFmtId="0" fontId="27" fillId="0" borderId="53" xfId="1" applyFont="1" applyBorder="1" applyAlignment="1" applyProtection="1">
      <alignment horizontal="center" vertical="center" wrapText="1"/>
      <protection locked="0"/>
    </xf>
    <xf numFmtId="0" fontId="27" fillId="0" borderId="52" xfId="1" applyFont="1" applyBorder="1" applyAlignment="1" applyProtection="1">
      <alignment horizontal="center" vertical="center" wrapText="1"/>
      <protection locked="0"/>
    </xf>
    <xf numFmtId="0" fontId="30" fillId="0" borderId="52" xfId="1" applyFont="1" applyBorder="1" applyAlignment="1" applyProtection="1">
      <alignment horizontal="center" vertical="center" textRotation="90" wrapText="1"/>
      <protection locked="0"/>
    </xf>
    <xf numFmtId="0" fontId="0" fillId="0" borderId="53" xfId="0" applyBorder="1" applyAlignment="1">
      <alignment horizontal="center" vertical="center" textRotation="90"/>
    </xf>
    <xf numFmtId="0" fontId="0" fillId="0" borderId="52" xfId="0" applyBorder="1" applyAlignment="1">
      <alignment horizontal="center" vertical="center" textRotation="90"/>
    </xf>
    <xf numFmtId="0" fontId="24" fillId="0" borderId="53" xfId="1" applyBorder="1" applyAlignment="1">
      <alignment horizontal="center" vertical="center" textRotation="90" wrapText="1"/>
    </xf>
    <xf numFmtId="0" fontId="24" fillId="0" borderId="52" xfId="1" applyBorder="1" applyAlignment="1">
      <alignment horizontal="center" vertical="center" textRotation="90" wrapText="1"/>
    </xf>
    <xf numFmtId="0" fontId="10" fillId="0" borderId="76" xfId="0" applyFont="1" applyBorder="1" applyAlignment="1">
      <alignment horizontal="center" vertical="center"/>
    </xf>
    <xf numFmtId="0" fontId="10" fillId="0" borderId="74" xfId="0" applyFont="1" applyBorder="1" applyAlignment="1">
      <alignment horizontal="center" vertical="center"/>
    </xf>
    <xf numFmtId="0" fontId="29" fillId="8" borderId="47" xfId="1" applyFont="1" applyFill="1" applyBorder="1" applyAlignment="1">
      <alignment horizontal="left" vertical="center"/>
    </xf>
    <xf numFmtId="0" fontId="29" fillId="8" borderId="48" xfId="1" applyFont="1" applyFill="1" applyBorder="1" applyAlignment="1">
      <alignment horizontal="left" vertical="center"/>
    </xf>
    <xf numFmtId="0" fontId="30" fillId="9" borderId="49" xfId="1" applyFont="1" applyFill="1" applyBorder="1" applyAlignment="1" applyProtection="1">
      <alignment horizontal="justify" vertical="top" wrapText="1"/>
      <protection locked="0"/>
    </xf>
    <xf numFmtId="0" fontId="10" fillId="0" borderId="80" xfId="0" applyFont="1" applyBorder="1" applyAlignment="1">
      <alignment horizontal="center" vertical="center"/>
    </xf>
    <xf numFmtId="0" fontId="32" fillId="0" borderId="73" xfId="0" applyFont="1" applyBorder="1" applyAlignment="1">
      <alignment horizontal="center" vertical="center" wrapText="1"/>
    </xf>
    <xf numFmtId="9" fontId="31" fillId="0" borderId="73" xfId="0" applyNumberFormat="1" applyFont="1" applyBorder="1" applyAlignment="1">
      <alignment horizontal="center" vertical="center" wrapText="1"/>
    </xf>
    <xf numFmtId="0" fontId="32" fillId="0" borderId="73" xfId="0" applyFont="1" applyBorder="1" applyAlignment="1">
      <alignment horizontal="center" vertical="center"/>
    </xf>
    <xf numFmtId="0" fontId="10" fillId="0" borderId="75" xfId="0" applyFont="1" applyBorder="1" applyAlignment="1">
      <alignment horizontal="center" vertical="center"/>
    </xf>
    <xf numFmtId="0" fontId="10" fillId="0" borderId="70"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37" fillId="0" borderId="52" xfId="0" applyFont="1" applyBorder="1" applyAlignment="1" applyProtection="1">
      <alignment horizontal="center" vertical="center" wrapText="1"/>
      <protection hidden="1"/>
    </xf>
    <xf numFmtId="0" fontId="10" fillId="0" borderId="68" xfId="0" applyFont="1" applyBorder="1" applyAlignment="1">
      <alignment vertical="center"/>
    </xf>
    <xf numFmtId="0" fontId="10" fillId="0" borderId="69" xfId="0" applyFont="1" applyBorder="1" applyAlignment="1">
      <alignment vertical="center"/>
    </xf>
    <xf numFmtId="0" fontId="32" fillId="8" borderId="54" xfId="0" applyFont="1" applyFill="1" applyBorder="1" applyAlignment="1">
      <alignment horizontal="center" vertical="center" textRotation="180" wrapText="1"/>
    </xf>
    <xf numFmtId="0" fontId="32" fillId="8" borderId="44" xfId="0" applyFont="1" applyFill="1" applyBorder="1" applyAlignment="1">
      <alignment horizontal="center" vertical="center" textRotation="180"/>
    </xf>
    <xf numFmtId="0" fontId="32" fillId="8" borderId="52" xfId="0" applyFont="1" applyFill="1" applyBorder="1" applyAlignment="1">
      <alignment horizontal="center" vertical="center" textRotation="180" wrapText="1"/>
    </xf>
    <xf numFmtId="0" fontId="32" fillId="8" borderId="51" xfId="0" applyFont="1" applyFill="1" applyBorder="1" applyAlignment="1">
      <alignment horizontal="center" vertical="center" textRotation="180" wrapText="1"/>
    </xf>
    <xf numFmtId="9" fontId="27" fillId="0" borderId="50" xfId="0" applyNumberFormat="1" applyFont="1" applyBorder="1" applyAlignment="1" applyProtection="1">
      <alignment horizontal="center" vertical="center" wrapText="1"/>
      <protection hidden="1"/>
    </xf>
    <xf numFmtId="9" fontId="27" fillId="0" borderId="53" xfId="0" applyNumberFormat="1" applyFont="1" applyBorder="1" applyAlignment="1" applyProtection="1">
      <alignment horizontal="center" vertical="center" wrapText="1"/>
      <protection hidden="1"/>
    </xf>
    <xf numFmtId="0" fontId="10" fillId="0" borderId="83" xfId="0" applyFont="1" applyBorder="1" applyAlignment="1">
      <alignment horizontal="center"/>
    </xf>
    <xf numFmtId="0" fontId="10" fillId="0" borderId="79" xfId="0" applyFont="1" applyBorder="1" applyAlignment="1">
      <alignment horizontal="center"/>
    </xf>
    <xf numFmtId="0" fontId="10" fillId="0" borderId="70" xfId="0" applyFont="1" applyBorder="1" applyAlignment="1">
      <alignment horizontal="center"/>
    </xf>
    <xf numFmtId="0" fontId="10" fillId="0" borderId="71" xfId="0" applyFont="1" applyBorder="1" applyAlignment="1">
      <alignment horizontal="center"/>
    </xf>
    <xf numFmtId="0" fontId="10" fillId="0" borderId="72" xfId="0" applyFont="1" applyBorder="1" applyAlignment="1">
      <alignment horizontal="center"/>
    </xf>
    <xf numFmtId="0" fontId="27" fillId="0" borderId="50" xfId="0" applyFont="1" applyBorder="1" applyAlignment="1">
      <alignment horizontal="center" vertical="center"/>
    </xf>
    <xf numFmtId="0" fontId="27" fillId="0" borderId="53" xfId="0" applyFont="1" applyBorder="1" applyAlignment="1">
      <alignment horizontal="center" vertical="center"/>
    </xf>
    <xf numFmtId="0" fontId="27" fillId="25" borderId="50" xfId="0" applyFont="1" applyFill="1" applyBorder="1" applyAlignment="1" applyProtection="1">
      <alignment horizontal="center" vertical="center" wrapText="1"/>
      <protection locked="0"/>
    </xf>
    <xf numFmtId="0" fontId="27" fillId="25" borderId="53" xfId="0" applyFont="1" applyFill="1" applyBorder="1" applyAlignment="1" applyProtection="1">
      <alignment horizontal="center" vertical="center" wrapText="1"/>
      <protection locked="0"/>
    </xf>
    <xf numFmtId="0" fontId="104" fillId="25" borderId="50" xfId="0" applyFont="1" applyFill="1" applyBorder="1" applyAlignment="1" applyProtection="1">
      <alignment horizontal="center" vertical="center" wrapText="1"/>
      <protection locked="0"/>
    </xf>
    <xf numFmtId="0" fontId="100" fillId="25" borderId="41" xfId="0" applyFont="1" applyFill="1" applyBorder="1" applyAlignment="1" applyProtection="1">
      <alignment horizontal="center" vertical="center" wrapText="1"/>
      <protection locked="0"/>
    </xf>
    <xf numFmtId="0" fontId="27" fillId="25" borderId="54" xfId="0" applyFont="1" applyFill="1" applyBorder="1" applyAlignment="1" applyProtection="1">
      <alignment horizontal="center" vertical="center" wrapText="1"/>
      <protection locked="0"/>
    </xf>
    <xf numFmtId="0" fontId="98" fillId="25" borderId="49" xfId="0" applyFont="1" applyFill="1" applyBorder="1" applyAlignment="1" applyProtection="1">
      <alignment horizontal="center" vertical="center" wrapText="1"/>
      <protection locked="0"/>
    </xf>
    <xf numFmtId="0" fontId="98" fillId="25" borderId="59" xfId="0" applyFont="1" applyFill="1" applyBorder="1" applyAlignment="1" applyProtection="1">
      <alignment horizontal="center" vertical="center" textRotation="180" wrapText="1"/>
      <protection locked="0"/>
    </xf>
    <xf numFmtId="0" fontId="98" fillId="25" borderId="60" xfId="0" applyFont="1" applyFill="1" applyBorder="1" applyAlignment="1" applyProtection="1">
      <alignment horizontal="center" vertical="center" textRotation="180" wrapText="1"/>
      <protection locked="0"/>
    </xf>
    <xf numFmtId="0" fontId="27" fillId="0" borderId="43" xfId="0" applyFont="1" applyBorder="1" applyAlignment="1" applyProtection="1">
      <alignment horizontal="center" vertical="center" wrapText="1"/>
      <protection locked="0"/>
    </xf>
    <xf numFmtId="0" fontId="27" fillId="0" borderId="56" xfId="0" applyFont="1" applyBorder="1" applyAlignment="1" applyProtection="1">
      <alignment horizontal="center" vertical="center" wrapText="1"/>
      <protection locked="0"/>
    </xf>
    <xf numFmtId="164" fontId="31" fillId="0" borderId="50" xfId="16" applyNumberFormat="1" applyFont="1" applyBorder="1" applyAlignment="1">
      <alignment horizontal="center" vertical="center"/>
    </xf>
    <xf numFmtId="164" fontId="31" fillId="0" borderId="53" xfId="16" applyNumberFormat="1" applyFont="1" applyBorder="1" applyAlignment="1">
      <alignment horizontal="center" vertical="center"/>
    </xf>
    <xf numFmtId="164" fontId="31" fillId="0" borderId="52" xfId="16" applyNumberFormat="1" applyFont="1" applyBorder="1" applyAlignment="1">
      <alignment horizontal="center" vertical="center"/>
    </xf>
    <xf numFmtId="0" fontId="32" fillId="8" borderId="53" xfId="0" applyFont="1" applyFill="1" applyBorder="1" applyAlignment="1">
      <alignment horizontal="center" vertical="center" textRotation="180" wrapText="1"/>
    </xf>
    <xf numFmtId="0" fontId="30" fillId="0" borderId="41" xfId="0" applyFont="1" applyBorder="1" applyAlignment="1" applyProtection="1">
      <alignment horizontal="center" vertical="center" wrapText="1"/>
      <protection locked="0"/>
    </xf>
    <xf numFmtId="0" fontId="30" fillId="0" borderId="54" xfId="0" applyFont="1" applyBorder="1" applyAlignment="1" applyProtection="1">
      <alignment horizontal="center" vertical="center" wrapText="1"/>
      <protection locked="0"/>
    </xf>
    <xf numFmtId="0" fontId="30" fillId="0" borderId="44" xfId="0" applyFont="1" applyBorder="1" applyAlignment="1" applyProtection="1">
      <alignment horizontal="center" vertical="center" wrapText="1"/>
      <protection locked="0"/>
    </xf>
    <xf numFmtId="0" fontId="30" fillId="0" borderId="46" xfId="0" applyFont="1" applyBorder="1" applyAlignment="1" applyProtection="1">
      <alignment horizontal="center" vertical="center" wrapText="1"/>
      <protection locked="0"/>
    </xf>
    <xf numFmtId="0" fontId="35" fillId="9" borderId="62" xfId="0" applyFont="1" applyFill="1" applyBorder="1" applyAlignment="1" applyProtection="1">
      <alignment horizontal="left" vertical="center"/>
      <protection locked="0"/>
    </xf>
    <xf numFmtId="0" fontId="35" fillId="9" borderId="63" xfId="0" applyFont="1" applyFill="1" applyBorder="1" applyAlignment="1" applyProtection="1">
      <alignment horizontal="left" vertical="center"/>
      <protection locked="0"/>
    </xf>
    <xf numFmtId="0" fontId="35" fillId="9" borderId="64" xfId="0" applyFont="1" applyFill="1" applyBorder="1" applyAlignment="1" applyProtection="1">
      <alignment horizontal="left" vertical="center"/>
      <protection locked="0"/>
    </xf>
    <xf numFmtId="0" fontId="32" fillId="10" borderId="51" xfId="0" applyFont="1" applyFill="1" applyBorder="1" applyAlignment="1">
      <alignment horizontal="center" vertical="center" wrapText="1"/>
    </xf>
    <xf numFmtId="0" fontId="31" fillId="0" borderId="50" xfId="0" applyFont="1" applyBorder="1" applyAlignment="1" applyProtection="1">
      <alignment horizontal="center" vertical="center"/>
      <protection hidden="1"/>
    </xf>
    <xf numFmtId="0" fontId="31" fillId="0" borderId="52" xfId="0" applyFont="1" applyBorder="1" applyAlignment="1" applyProtection="1">
      <alignment horizontal="center" vertical="center"/>
      <protection hidden="1"/>
    </xf>
    <xf numFmtId="0" fontId="32" fillId="10" borderId="44" xfId="0" applyFont="1" applyFill="1" applyBorder="1" applyAlignment="1">
      <alignment horizontal="center" vertical="center"/>
    </xf>
    <xf numFmtId="0" fontId="32" fillId="10" borderId="45" xfId="0" applyFont="1" applyFill="1" applyBorder="1" applyAlignment="1">
      <alignment horizontal="center" vertical="center"/>
    </xf>
    <xf numFmtId="0" fontId="32" fillId="10" borderId="46" xfId="0" applyFont="1" applyFill="1" applyBorder="1" applyAlignment="1">
      <alignment horizontal="center" vertical="center"/>
    </xf>
    <xf numFmtId="0" fontId="31" fillId="9" borderId="39" xfId="0" applyFont="1" applyFill="1" applyBorder="1" applyAlignment="1">
      <alignment horizontal="center" vertical="center"/>
    </xf>
    <xf numFmtId="0" fontId="31" fillId="9" borderId="40" xfId="0" applyFont="1" applyFill="1" applyBorder="1" applyAlignment="1">
      <alignment horizontal="center" vertical="center"/>
    </xf>
    <xf numFmtId="0" fontId="30" fillId="9" borderId="41" xfId="0" applyFont="1" applyFill="1" applyBorder="1" applyAlignment="1" applyProtection="1">
      <alignment horizontal="center" vertical="center" wrapText="1"/>
      <protection locked="0"/>
    </xf>
    <xf numFmtId="0" fontId="30" fillId="9" borderId="54" xfId="0" applyFont="1" applyFill="1" applyBorder="1" applyAlignment="1" applyProtection="1">
      <alignment horizontal="center" vertical="center" wrapText="1"/>
      <protection locked="0"/>
    </xf>
    <xf numFmtId="0" fontId="35" fillId="9" borderId="59" xfId="0" applyFont="1" applyFill="1" applyBorder="1" applyAlignment="1" applyProtection="1">
      <alignment horizontal="center" vertical="center" wrapText="1"/>
      <protection locked="0"/>
    </xf>
    <xf numFmtId="0" fontId="35" fillId="9" borderId="60" xfId="0" applyFont="1" applyFill="1" applyBorder="1" applyAlignment="1" applyProtection="1">
      <alignment horizontal="center" vertical="center" wrapText="1"/>
      <protection locked="0"/>
    </xf>
    <xf numFmtId="0" fontId="31" fillId="9" borderId="39" xfId="0" applyFont="1" applyFill="1" applyBorder="1" applyAlignment="1">
      <alignment horizontal="center" vertical="center" wrapText="1"/>
    </xf>
    <xf numFmtId="0" fontId="31" fillId="9" borderId="40" xfId="0" applyFont="1" applyFill="1" applyBorder="1" applyAlignment="1">
      <alignment horizontal="center" vertical="center" wrapText="1"/>
    </xf>
    <xf numFmtId="0" fontId="34" fillId="9" borderId="39" xfId="0" applyFont="1" applyFill="1" applyBorder="1" applyAlignment="1">
      <alignment horizontal="center" vertical="center" wrapText="1"/>
    </xf>
    <xf numFmtId="0" fontId="34" fillId="9" borderId="40" xfId="0" applyFont="1" applyFill="1" applyBorder="1" applyAlignment="1">
      <alignment horizontal="center" vertical="center" wrapText="1"/>
    </xf>
    <xf numFmtId="0" fontId="30" fillId="9" borderId="118" xfId="0" applyFont="1" applyFill="1" applyBorder="1" applyAlignment="1" applyProtection="1">
      <alignment horizontal="left" vertical="center"/>
      <protection locked="0"/>
    </xf>
    <xf numFmtId="0" fontId="30" fillId="9" borderId="0" xfId="0" applyFont="1" applyFill="1" applyAlignment="1" applyProtection="1">
      <alignment horizontal="left" vertical="center"/>
      <protection locked="0"/>
    </xf>
    <xf numFmtId="0" fontId="30" fillId="9" borderId="118" xfId="0" applyFont="1" applyFill="1" applyBorder="1" applyAlignment="1" applyProtection="1">
      <alignment horizontal="left" vertical="center" wrapText="1"/>
      <protection locked="0"/>
    </xf>
    <xf numFmtId="0" fontId="30" fillId="9" borderId="0" xfId="0" applyFont="1" applyFill="1" applyAlignment="1" applyProtection="1">
      <alignment horizontal="left" vertical="center" wrapText="1"/>
      <protection locked="0"/>
    </xf>
    <xf numFmtId="0" fontId="31" fillId="9" borderId="37" xfId="0" applyFont="1" applyFill="1" applyBorder="1" applyAlignment="1">
      <alignment horizontal="center" vertical="center"/>
    </xf>
    <xf numFmtId="0" fontId="31" fillId="0" borderId="55" xfId="0" applyFont="1" applyBorder="1" applyAlignment="1">
      <alignment horizontal="center" vertical="center"/>
    </xf>
    <xf numFmtId="0" fontId="31" fillId="0" borderId="57" xfId="0" applyFont="1" applyBorder="1" applyAlignment="1">
      <alignment horizontal="center" vertical="center"/>
    </xf>
    <xf numFmtId="0" fontId="30" fillId="0" borderId="38" xfId="0" applyFont="1" applyBorder="1" applyAlignment="1" applyProtection="1">
      <alignment horizontal="center" vertical="center" wrapText="1"/>
      <protection locked="0"/>
    </xf>
    <xf numFmtId="0" fontId="31" fillId="0" borderId="38" xfId="0" applyFont="1" applyBorder="1" applyAlignment="1" applyProtection="1">
      <alignment horizontal="center" vertical="center" wrapText="1"/>
      <protection locked="0"/>
    </xf>
    <xf numFmtId="0" fontId="35" fillId="0" borderId="38" xfId="0" applyFont="1" applyBorder="1" applyAlignment="1" applyProtection="1">
      <alignment horizontal="center" vertical="center" wrapText="1"/>
      <protection locked="0"/>
    </xf>
    <xf numFmtId="0" fontId="30" fillId="0" borderId="38" xfId="0" applyFont="1" applyBorder="1" applyAlignment="1" applyProtection="1">
      <alignment horizontal="center" vertical="center"/>
      <protection locked="0"/>
    </xf>
    <xf numFmtId="0" fontId="37" fillId="0" borderId="38" xfId="0" applyFont="1" applyBorder="1" applyAlignment="1" applyProtection="1">
      <alignment horizontal="center" vertical="center" wrapText="1"/>
      <protection hidden="1"/>
    </xf>
    <xf numFmtId="9" fontId="30" fillId="0" borderId="38" xfId="0" applyNumberFormat="1" applyFont="1" applyBorder="1" applyAlignment="1" applyProtection="1">
      <alignment horizontal="center" vertical="center" wrapText="1"/>
      <protection hidden="1"/>
    </xf>
    <xf numFmtId="9" fontId="30" fillId="0" borderId="38" xfId="0" applyNumberFormat="1" applyFont="1" applyBorder="1" applyAlignment="1" applyProtection="1">
      <alignment horizontal="center" vertical="center" wrapText="1"/>
      <protection locked="0"/>
    </xf>
    <xf numFmtId="9" fontId="30" fillId="0" borderId="43" xfId="0" applyNumberFormat="1" applyFont="1" applyBorder="1" applyAlignment="1" applyProtection="1">
      <alignment horizontal="center" vertical="center" wrapText="1"/>
      <protection hidden="1"/>
    </xf>
    <xf numFmtId="9" fontId="30" fillId="0" borderId="56" xfId="0" applyNumberFormat="1" applyFont="1" applyBorder="1" applyAlignment="1" applyProtection="1">
      <alignment horizontal="center" vertical="center" wrapText="1"/>
      <protection hidden="1"/>
    </xf>
    <xf numFmtId="0" fontId="37" fillId="0" borderId="41" xfId="0" applyFont="1" applyBorder="1" applyAlignment="1" applyProtection="1">
      <alignment horizontal="center" vertical="center" wrapText="1"/>
      <protection hidden="1"/>
    </xf>
    <xf numFmtId="0" fontId="37" fillId="0" borderId="54" xfId="0" applyFont="1" applyBorder="1" applyAlignment="1" applyProtection="1">
      <alignment horizontal="center" vertical="center" wrapText="1"/>
      <protection hidden="1"/>
    </xf>
    <xf numFmtId="0" fontId="37" fillId="0" borderId="38" xfId="0" applyFont="1" applyBorder="1" applyAlignment="1" applyProtection="1">
      <alignment horizontal="center" vertical="center"/>
      <protection hidden="1"/>
    </xf>
    <xf numFmtId="0" fontId="30" fillId="9" borderId="59" xfId="0" applyFont="1" applyFill="1" applyBorder="1" applyAlignment="1" applyProtection="1">
      <alignment horizontal="left" vertical="center" wrapText="1"/>
      <protection locked="0"/>
    </xf>
    <xf numFmtId="0" fontId="32" fillId="8" borderId="38" xfId="0" applyFont="1" applyFill="1" applyBorder="1" applyAlignment="1">
      <alignment horizontal="center" vertical="center"/>
    </xf>
    <xf numFmtId="0" fontId="32" fillId="15" borderId="52" xfId="0" applyFont="1" applyFill="1" applyBorder="1" applyAlignment="1">
      <alignment horizontal="center" vertical="center" wrapText="1"/>
    </xf>
    <xf numFmtId="0" fontId="34" fillId="0" borderId="49" xfId="0" applyFont="1" applyBorder="1" applyAlignment="1" applyProtection="1">
      <alignment horizontal="center" vertical="center" wrapText="1"/>
      <protection locked="0"/>
    </xf>
    <xf numFmtId="0" fontId="31" fillId="0" borderId="43" xfId="0" applyFont="1" applyBorder="1" applyAlignment="1" applyProtection="1">
      <alignment horizontal="center" vertical="center" wrapText="1"/>
      <protection locked="0"/>
    </xf>
    <xf numFmtId="0" fontId="31" fillId="0" borderId="56" xfId="0" applyFont="1" applyBorder="1" applyAlignment="1" applyProtection="1">
      <alignment horizontal="center" vertical="center" wrapText="1"/>
      <protection locked="0"/>
    </xf>
    <xf numFmtId="14" fontId="30" fillId="0" borderId="139" xfId="0" applyNumberFormat="1" applyFont="1" applyBorder="1" applyAlignment="1" applyProtection="1">
      <alignment horizontal="center" vertical="center"/>
      <protection locked="0"/>
    </xf>
    <xf numFmtId="14" fontId="30" fillId="0" borderId="141" xfId="0" applyNumberFormat="1" applyFont="1" applyBorder="1" applyAlignment="1" applyProtection="1">
      <alignment horizontal="center" vertical="center"/>
      <protection locked="0"/>
    </xf>
    <xf numFmtId="0" fontId="32" fillId="8" borderId="81" xfId="0" applyFont="1" applyFill="1" applyBorder="1" applyAlignment="1">
      <alignment horizontal="center" vertical="center"/>
    </xf>
    <xf numFmtId="14" fontId="30" fillId="0" borderId="50" xfId="0" applyNumberFormat="1" applyFont="1" applyBorder="1" applyAlignment="1" applyProtection="1">
      <alignment horizontal="center" vertical="center" wrapText="1"/>
      <protection locked="0"/>
    </xf>
    <xf numFmtId="14" fontId="30" fillId="0" borderId="53" xfId="0" applyNumberFormat="1" applyFont="1" applyBorder="1" applyAlignment="1" applyProtection="1">
      <alignment horizontal="center" vertical="center" wrapText="1"/>
      <protection locked="0"/>
    </xf>
    <xf numFmtId="14" fontId="30" fillId="0" borderId="52" xfId="0" applyNumberFormat="1" applyFont="1" applyBorder="1" applyAlignment="1" applyProtection="1">
      <alignment horizontal="center" vertical="center" wrapText="1"/>
      <protection locked="0"/>
    </xf>
    <xf numFmtId="0" fontId="74" fillId="8" borderId="37" xfId="0" applyFont="1" applyFill="1" applyBorder="1" applyAlignment="1">
      <alignment horizontal="center" vertical="center"/>
    </xf>
    <xf numFmtId="0" fontId="58" fillId="13" borderId="133" xfId="0" applyFont="1" applyFill="1" applyBorder="1" applyAlignment="1" applyProtection="1">
      <alignment horizontal="left" vertical="center"/>
      <protection locked="0"/>
    </xf>
    <xf numFmtId="0" fontId="58" fillId="13" borderId="134" xfId="0" applyFont="1" applyFill="1" applyBorder="1" applyAlignment="1" applyProtection="1">
      <alignment horizontal="left" vertical="center"/>
      <protection locked="0"/>
    </xf>
    <xf numFmtId="0" fontId="58" fillId="13" borderId="135" xfId="0" applyFont="1" applyFill="1" applyBorder="1" applyAlignment="1" applyProtection="1">
      <alignment horizontal="left" vertical="center"/>
      <protection locked="0"/>
    </xf>
    <xf numFmtId="0" fontId="59" fillId="13" borderId="136" xfId="0" applyFont="1" applyFill="1" applyBorder="1" applyAlignment="1" applyProtection="1">
      <alignment horizontal="left" vertical="center" wrapText="1"/>
      <protection locked="0"/>
    </xf>
    <xf numFmtId="0" fontId="59" fillId="13" borderId="137" xfId="0" applyFont="1" applyFill="1" applyBorder="1" applyAlignment="1" applyProtection="1">
      <alignment horizontal="left" vertical="center" wrapText="1"/>
      <protection locked="0"/>
    </xf>
    <xf numFmtId="0" fontId="59" fillId="13" borderId="138" xfId="0" applyFont="1" applyFill="1" applyBorder="1" applyAlignment="1" applyProtection="1">
      <alignment horizontal="left" vertical="center" wrapText="1"/>
      <protection locked="0"/>
    </xf>
    <xf numFmtId="0" fontId="32" fillId="9" borderId="59" xfId="0" applyFont="1" applyFill="1" applyBorder="1" applyAlignment="1">
      <alignment horizontal="center" vertical="center" wrapText="1"/>
    </xf>
    <xf numFmtId="0" fontId="32" fillId="9" borderId="65" xfId="0" applyFont="1" applyFill="1" applyBorder="1" applyAlignment="1">
      <alignment horizontal="center" vertical="center" wrapText="1"/>
    </xf>
    <xf numFmtId="14" fontId="59" fillId="0" borderId="87" xfId="0" applyNumberFormat="1" applyFont="1" applyBorder="1" applyAlignment="1" applyProtection="1">
      <alignment horizontal="center" vertical="center"/>
      <protection locked="0"/>
    </xf>
    <xf numFmtId="0" fontId="59" fillId="0" borderId="86" xfId="0" applyFont="1" applyBorder="1" applyAlignment="1" applyProtection="1">
      <alignment horizontal="center" vertical="center"/>
      <protection locked="0"/>
    </xf>
    <xf numFmtId="14" fontId="59" fillId="0" borderId="85" xfId="0" applyNumberFormat="1" applyFont="1" applyBorder="1" applyAlignment="1" applyProtection="1">
      <alignment horizontal="center" vertical="center" wrapText="1"/>
      <protection locked="0"/>
    </xf>
    <xf numFmtId="166" fontId="58" fillId="0" borderId="85" xfId="9" applyFont="1" applyBorder="1" applyAlignment="1" applyProtection="1">
      <alignment horizontal="center" vertical="center" textRotation="90" wrapText="1"/>
      <protection locked="0"/>
    </xf>
    <xf numFmtId="0" fontId="34" fillId="0" borderId="85" xfId="0" applyFont="1" applyBorder="1" applyAlignment="1" applyProtection="1">
      <alignment horizontal="center" vertical="center" wrapText="1"/>
      <protection locked="0"/>
    </xf>
    <xf numFmtId="0" fontId="59" fillId="0" borderId="85" xfId="0" applyFont="1" applyBorder="1" applyAlignment="1" applyProtection="1">
      <alignment horizontal="center" vertical="center" wrapText="1"/>
      <protection locked="0"/>
    </xf>
    <xf numFmtId="0" fontId="59" fillId="0" borderId="85" xfId="0" applyFont="1" applyBorder="1" applyAlignment="1" applyProtection="1">
      <alignment horizontal="center" vertical="center"/>
      <protection locked="0"/>
    </xf>
    <xf numFmtId="14" fontId="59" fillId="0" borderId="87" xfId="0" applyNumberFormat="1" applyFont="1" applyBorder="1" applyAlignment="1" applyProtection="1">
      <alignment horizontal="center" vertical="center" wrapText="1"/>
      <protection locked="0"/>
    </xf>
    <xf numFmtId="14" fontId="59" fillId="0" borderId="86" xfId="0" applyNumberFormat="1" applyFont="1" applyBorder="1" applyAlignment="1" applyProtection="1">
      <alignment horizontal="center" vertical="center" wrapText="1"/>
      <protection locked="0"/>
    </xf>
    <xf numFmtId="0" fontId="59" fillId="0" borderId="86" xfId="0" applyFont="1" applyBorder="1" applyAlignment="1" applyProtection="1">
      <alignment horizontal="center" vertical="center" wrapText="1"/>
      <protection locked="0"/>
    </xf>
    <xf numFmtId="0" fontId="59" fillId="0" borderId="85" xfId="0" applyFont="1" applyBorder="1" applyAlignment="1">
      <alignment horizontal="center" vertical="center"/>
    </xf>
    <xf numFmtId="0" fontId="34" fillId="0" borderId="84" xfId="0" applyFont="1" applyBorder="1" applyAlignment="1" applyProtection="1">
      <alignment horizontal="center" vertical="center" wrapText="1"/>
      <protection locked="0"/>
    </xf>
    <xf numFmtId="0" fontId="77" fillId="0" borderId="84" xfId="0" applyFont="1" applyBorder="1" applyAlignment="1" applyProtection="1">
      <alignment horizontal="center" vertical="center" wrapText="1"/>
      <protection locked="0"/>
    </xf>
    <xf numFmtId="0" fontId="34" fillId="13" borderId="88" xfId="0" applyFont="1" applyFill="1" applyBorder="1" applyAlignment="1">
      <alignment horizontal="center" vertical="center" wrapText="1"/>
    </xf>
    <xf numFmtId="0" fontId="34" fillId="13" borderId="86" xfId="0" applyFont="1" applyFill="1" applyBorder="1" applyAlignment="1">
      <alignment horizontal="center" vertical="center" wrapText="1"/>
    </xf>
    <xf numFmtId="0" fontId="62" fillId="0" borderId="85" xfId="0" applyFont="1" applyBorder="1" applyAlignment="1" applyProtection="1">
      <alignment horizontal="center" vertical="center" wrapText="1"/>
      <protection locked="0"/>
    </xf>
    <xf numFmtId="0" fontId="59" fillId="0" borderId="90" xfId="0" applyFont="1" applyBorder="1" applyAlignment="1" applyProtection="1">
      <alignment horizontal="center" vertical="center" wrapText="1"/>
      <protection locked="0"/>
    </xf>
    <xf numFmtId="0" fontId="77" fillId="0" borderId="85" xfId="0" applyFont="1" applyBorder="1" applyAlignment="1" applyProtection="1">
      <alignment horizontal="center" vertical="center"/>
      <protection locked="0"/>
    </xf>
    <xf numFmtId="0" fontId="60" fillId="0" borderId="85" xfId="0" applyFont="1" applyBorder="1" applyAlignment="1" applyProtection="1">
      <alignment horizontal="center" vertical="center" wrapText="1"/>
      <protection hidden="1"/>
    </xf>
    <xf numFmtId="9" fontId="59" fillId="0" borderId="85" xfId="0" applyNumberFormat="1" applyFont="1" applyBorder="1" applyAlignment="1" applyProtection="1">
      <alignment horizontal="center" vertical="center" wrapText="1"/>
      <protection hidden="1"/>
    </xf>
    <xf numFmtId="9" fontId="59" fillId="0" borderId="85" xfId="0" applyNumberFormat="1" applyFont="1" applyBorder="1" applyAlignment="1" applyProtection="1">
      <alignment horizontal="center" vertical="center" wrapText="1"/>
      <protection locked="0"/>
    </xf>
    <xf numFmtId="0" fontId="60" fillId="0" borderId="85" xfId="0" applyFont="1" applyBorder="1" applyAlignment="1" applyProtection="1">
      <alignment horizontal="center" vertical="center"/>
      <protection hidden="1"/>
    </xf>
    <xf numFmtId="0" fontId="59" fillId="0" borderId="87" xfId="0" applyFont="1" applyBorder="1" applyAlignment="1">
      <alignment horizontal="center" vertical="center"/>
    </xf>
    <xf numFmtId="0" fontId="59" fillId="0" borderId="86" xfId="0" applyFont="1" applyBorder="1" applyAlignment="1">
      <alignment horizontal="center" vertical="center"/>
    </xf>
    <xf numFmtId="14" fontId="58" fillId="0" borderId="87" xfId="0" applyNumberFormat="1" applyFont="1" applyBorder="1" applyAlignment="1" applyProtection="1">
      <alignment horizontal="center" vertical="center" wrapText="1"/>
      <protection locked="0"/>
    </xf>
    <xf numFmtId="14" fontId="58" fillId="0" borderId="86" xfId="0" applyNumberFormat="1" applyFont="1" applyBorder="1" applyAlignment="1" applyProtection="1">
      <alignment horizontal="center" vertical="center" wrapText="1"/>
      <protection locked="0"/>
    </xf>
    <xf numFmtId="0" fontId="59" fillId="13" borderId="85" xfId="0" applyFont="1" applyFill="1" applyBorder="1" applyAlignment="1">
      <alignment horizontal="center" vertical="center" wrapText="1"/>
    </xf>
    <xf numFmtId="0" fontId="58" fillId="0" borderId="85" xfId="0" applyFont="1" applyBorder="1" applyAlignment="1" applyProtection="1">
      <alignment horizontal="center" vertical="center" textRotation="90"/>
      <protection locked="0"/>
    </xf>
    <xf numFmtId="14" fontId="59" fillId="0" borderId="88" xfId="0" applyNumberFormat="1" applyFont="1" applyBorder="1" applyAlignment="1" applyProtection="1">
      <alignment horizontal="center" vertical="center" wrapText="1"/>
      <protection locked="0"/>
    </xf>
    <xf numFmtId="14" fontId="59" fillId="0" borderId="86" xfId="0" applyNumberFormat="1" applyFont="1" applyBorder="1" applyAlignment="1" applyProtection="1">
      <alignment horizontal="center" vertical="center"/>
      <protection locked="0"/>
    </xf>
    <xf numFmtId="0" fontId="60" fillId="12" borderId="85" xfId="0" applyFont="1" applyFill="1" applyBorder="1" applyAlignment="1">
      <alignment horizontal="center" vertical="center" wrapText="1"/>
    </xf>
    <xf numFmtId="0" fontId="58" fillId="13" borderId="85" xfId="0" applyFont="1" applyFill="1" applyBorder="1" applyAlignment="1" applyProtection="1">
      <alignment horizontal="center" vertical="center" wrapText="1"/>
      <protection locked="0"/>
    </xf>
    <xf numFmtId="0" fontId="34" fillId="13" borderId="85" xfId="0" applyFont="1" applyFill="1" applyBorder="1" applyAlignment="1" applyProtection="1">
      <alignment horizontal="center" vertical="center" wrapText="1"/>
      <protection locked="0"/>
    </xf>
    <xf numFmtId="0" fontId="54" fillId="13" borderId="85" xfId="0" applyFont="1" applyFill="1" applyBorder="1" applyAlignment="1" applyProtection="1">
      <alignment horizontal="center" vertical="center"/>
      <protection locked="0"/>
    </xf>
    <xf numFmtId="9" fontId="58" fillId="0" borderId="85" xfId="0" applyNumberFormat="1" applyFont="1" applyBorder="1" applyAlignment="1" applyProtection="1">
      <alignment horizontal="center" vertical="center" wrapText="1"/>
      <protection locked="0"/>
    </xf>
    <xf numFmtId="9" fontId="58" fillId="0" borderId="85" xfId="0" applyNumberFormat="1" applyFont="1" applyBorder="1" applyAlignment="1" applyProtection="1">
      <alignment horizontal="center" vertical="center" wrapText="1"/>
      <protection hidden="1"/>
    </xf>
    <xf numFmtId="0" fontId="63" fillId="0" borderId="85" xfId="0" applyFont="1" applyBorder="1" applyAlignment="1" applyProtection="1">
      <alignment horizontal="center" vertical="center" wrapText="1"/>
      <protection hidden="1"/>
    </xf>
    <xf numFmtId="0" fontId="63" fillId="0" borderId="85" xfId="0" applyFont="1" applyBorder="1" applyAlignment="1" applyProtection="1">
      <alignment horizontal="center" vertical="center"/>
      <protection hidden="1"/>
    </xf>
    <xf numFmtId="14" fontId="58" fillId="0" borderId="87" xfId="0" applyNumberFormat="1" applyFont="1" applyBorder="1" applyAlignment="1" applyProtection="1">
      <alignment horizontal="center" vertical="center"/>
      <protection locked="0"/>
    </xf>
    <xf numFmtId="14" fontId="58" fillId="0" borderId="86" xfId="0" applyNumberFormat="1" applyFont="1" applyBorder="1" applyAlignment="1" applyProtection="1">
      <alignment horizontal="center" vertical="center"/>
      <protection locked="0"/>
    </xf>
    <xf numFmtId="0" fontId="58" fillId="0" borderId="86" xfId="0" applyFont="1" applyBorder="1" applyAlignment="1" applyProtection="1">
      <alignment horizontal="center" vertical="center" wrapText="1"/>
      <protection locked="0"/>
    </xf>
    <xf numFmtId="0" fontId="58" fillId="0" borderId="87" xfId="0" applyFont="1" applyBorder="1" applyAlignment="1" applyProtection="1">
      <alignment horizontal="center" vertical="center" wrapText="1"/>
      <protection locked="0"/>
    </xf>
    <xf numFmtId="0" fontId="60" fillId="12" borderId="85" xfId="0" applyFont="1" applyFill="1" applyBorder="1" applyAlignment="1">
      <alignment horizontal="center" vertical="center" textRotation="90" wrapText="1"/>
    </xf>
    <xf numFmtId="0" fontId="57" fillId="12" borderId="84" xfId="0" applyFont="1" applyFill="1" applyBorder="1" applyAlignment="1">
      <alignment horizontal="left" vertical="center"/>
    </xf>
    <xf numFmtId="0" fontId="59" fillId="13" borderId="85" xfId="0" applyFont="1" applyFill="1" applyBorder="1" applyAlignment="1" applyProtection="1">
      <alignment horizontal="left" vertical="center" wrapText="1"/>
      <protection locked="0"/>
    </xf>
    <xf numFmtId="0" fontId="60" fillId="12" borderId="85" xfId="0" applyFont="1" applyFill="1" applyBorder="1" applyAlignment="1">
      <alignment horizontal="center" vertical="center"/>
    </xf>
    <xf numFmtId="0" fontId="60" fillId="12" borderId="86" xfId="0" applyFont="1" applyFill="1" applyBorder="1" applyAlignment="1">
      <alignment horizontal="center" vertical="center"/>
    </xf>
    <xf numFmtId="0" fontId="61" fillId="12" borderId="85" xfId="0" applyFont="1" applyFill="1" applyBorder="1" applyAlignment="1">
      <alignment horizontal="center" vertical="center" textRotation="90"/>
    </xf>
    <xf numFmtId="0" fontId="60" fillId="12" borderId="86" xfId="0" applyFont="1" applyFill="1" applyBorder="1" applyAlignment="1">
      <alignment horizontal="center" vertical="center" wrapText="1"/>
    </xf>
    <xf numFmtId="0" fontId="60" fillId="12" borderId="87" xfId="0" applyFont="1" applyFill="1" applyBorder="1" applyAlignment="1">
      <alignment horizontal="center" vertical="center" wrapText="1"/>
    </xf>
    <xf numFmtId="0" fontId="60" fillId="12" borderId="88" xfId="0" applyFont="1" applyFill="1" applyBorder="1" applyAlignment="1">
      <alignment horizontal="center" vertical="center"/>
    </xf>
    <xf numFmtId="0" fontId="60" fillId="12" borderId="89" xfId="0" applyFont="1" applyFill="1" applyBorder="1" applyAlignment="1">
      <alignment horizontal="center" vertical="center"/>
    </xf>
    <xf numFmtId="0" fontId="60" fillId="12" borderId="89" xfId="0" applyFont="1" applyFill="1" applyBorder="1" applyAlignment="1">
      <alignment horizontal="center" vertical="center" wrapText="1"/>
    </xf>
    <xf numFmtId="0" fontId="10" fillId="0" borderId="80" xfId="0" applyFont="1" applyBorder="1" applyAlignment="1">
      <alignment vertical="center"/>
    </xf>
    <xf numFmtId="0" fontId="75" fillId="12" borderId="85" xfId="0" applyFont="1" applyFill="1" applyBorder="1" applyAlignment="1">
      <alignment horizontal="center" vertical="center"/>
    </xf>
    <xf numFmtId="0" fontId="58" fillId="13" borderId="85" xfId="0" applyFont="1" applyFill="1" applyBorder="1" applyAlignment="1" applyProtection="1">
      <alignment horizontal="left" vertical="center"/>
      <protection locked="0"/>
    </xf>
    <xf numFmtId="14" fontId="35" fillId="0" borderId="50" xfId="0" applyNumberFormat="1" applyFont="1" applyBorder="1" applyAlignment="1" applyProtection="1">
      <alignment horizontal="center" vertical="center"/>
      <protection locked="0"/>
    </xf>
    <xf numFmtId="14" fontId="35" fillId="0" borderId="52" xfId="0" applyNumberFormat="1" applyFont="1" applyBorder="1" applyAlignment="1" applyProtection="1">
      <alignment horizontal="center" vertical="center"/>
      <protection locked="0"/>
    </xf>
    <xf numFmtId="0" fontId="35" fillId="0" borderId="41" xfId="0" applyFont="1" applyBorder="1" applyAlignment="1" applyProtection="1">
      <alignment horizontal="center" vertical="center"/>
      <protection locked="0"/>
    </xf>
    <xf numFmtId="0" fontId="35" fillId="0" borderId="44" xfId="0" applyFont="1" applyBorder="1" applyAlignment="1" applyProtection="1">
      <alignment horizontal="center" vertical="center"/>
      <protection locked="0"/>
    </xf>
    <xf numFmtId="14" fontId="31" fillId="9" borderId="38" xfId="0" applyNumberFormat="1" applyFont="1" applyFill="1" applyBorder="1" applyAlignment="1">
      <alignment horizontal="center" vertical="center"/>
    </xf>
    <xf numFmtId="0" fontId="31" fillId="9" borderId="38" xfId="0" applyFont="1" applyFill="1" applyBorder="1" applyAlignment="1">
      <alignment horizontal="center" vertical="center"/>
    </xf>
    <xf numFmtId="0" fontId="31" fillId="9" borderId="38" xfId="0" applyFont="1" applyFill="1" applyBorder="1" applyAlignment="1">
      <alignment horizontal="center" vertical="center" wrapText="1"/>
    </xf>
    <xf numFmtId="0" fontId="35" fillId="0" borderId="43" xfId="0" applyFont="1" applyBorder="1" applyAlignment="1" applyProtection="1">
      <alignment horizontal="center" vertical="center"/>
      <protection locked="0"/>
    </xf>
    <xf numFmtId="0" fontId="35" fillId="0" borderId="46" xfId="0" applyFont="1" applyBorder="1" applyAlignment="1" applyProtection="1">
      <alignment horizontal="center" vertical="center"/>
      <protection locked="0"/>
    </xf>
    <xf numFmtId="0" fontId="10" fillId="0" borderId="68" xfId="0" applyFont="1" applyBorder="1" applyAlignment="1">
      <alignment horizontal="left"/>
    </xf>
    <xf numFmtId="0" fontId="10" fillId="0" borderId="69" xfId="0" applyFont="1" applyBorder="1" applyAlignment="1">
      <alignment horizontal="left"/>
    </xf>
    <xf numFmtId="0" fontId="35" fillId="0" borderId="49" xfId="0" applyFont="1" applyBorder="1" applyAlignment="1" applyProtection="1">
      <alignment vertical="center" wrapText="1"/>
      <protection locked="0"/>
    </xf>
    <xf numFmtId="0" fontId="30" fillId="0" borderId="93" xfId="0" applyFont="1" applyBorder="1" applyAlignment="1" applyProtection="1">
      <alignment horizontal="center" vertical="top" wrapText="1"/>
      <protection locked="0"/>
    </xf>
    <xf numFmtId="0" fontId="30" fillId="0" borderId="94" xfId="0" applyFont="1" applyBorder="1" applyAlignment="1" applyProtection="1">
      <alignment horizontal="center" vertical="top" wrapText="1"/>
      <protection locked="0"/>
    </xf>
    <xf numFmtId="0" fontId="30" fillId="0" borderId="112" xfId="0" applyFont="1" applyBorder="1" applyAlignment="1" applyProtection="1">
      <alignment horizontal="center" vertical="top" wrapText="1"/>
      <protection locked="0"/>
    </xf>
    <xf numFmtId="0" fontId="30" fillId="0" borderId="113" xfId="0" applyFont="1" applyBorder="1" applyAlignment="1" applyProtection="1">
      <alignment horizontal="center" vertical="top" wrapText="1"/>
      <protection locked="0"/>
    </xf>
    <xf numFmtId="0" fontId="31" fillId="0" borderId="37" xfId="17" applyFont="1" applyAlignment="1">
      <alignment horizontal="center" vertical="center" wrapText="1"/>
    </xf>
    <xf numFmtId="0" fontId="31" fillId="0" borderId="37" xfId="17" applyFont="1" applyAlignment="1">
      <alignment horizontal="center" vertical="center"/>
    </xf>
    <xf numFmtId="0" fontId="27" fillId="25" borderId="50" xfId="0" applyFont="1" applyFill="1" applyBorder="1" applyAlignment="1" applyProtection="1">
      <alignment horizontal="justify" vertical="top" wrapText="1"/>
      <protection locked="0"/>
    </xf>
    <xf numFmtId="0" fontId="27" fillId="25" borderId="53" xfId="0" applyFont="1" applyFill="1" applyBorder="1" applyAlignment="1" applyProtection="1">
      <alignment horizontal="justify" vertical="top" wrapText="1"/>
      <protection locked="0"/>
    </xf>
    <xf numFmtId="0" fontId="104" fillId="25" borderId="50" xfId="0" applyFont="1" applyFill="1" applyBorder="1" applyAlignment="1" applyProtection="1">
      <alignment horizontal="justify" vertical="top" wrapText="1"/>
      <protection locked="0"/>
    </xf>
    <xf numFmtId="0" fontId="100" fillId="25" borderId="41" xfId="0" applyFont="1" applyFill="1" applyBorder="1" applyAlignment="1" applyProtection="1">
      <alignment horizontal="justify" vertical="top" wrapText="1"/>
      <protection locked="0"/>
    </xf>
    <xf numFmtId="0" fontId="27" fillId="25" borderId="54" xfId="0" applyFont="1" applyFill="1" applyBorder="1" applyAlignment="1" applyProtection="1">
      <alignment horizontal="justify" vertical="top" wrapText="1"/>
      <protection locked="0"/>
    </xf>
    <xf numFmtId="0" fontId="98" fillId="25" borderId="49" xfId="0" applyFont="1" applyFill="1" applyBorder="1" applyAlignment="1" applyProtection="1">
      <alignment horizontal="justify" vertical="top" wrapText="1"/>
      <protection locked="0"/>
    </xf>
    <xf numFmtId="0" fontId="98" fillId="25" borderId="59" xfId="0" applyFont="1" applyFill="1" applyBorder="1" applyAlignment="1" applyProtection="1">
      <alignment horizontal="center" vertical="center" wrapText="1"/>
      <protection locked="0"/>
    </xf>
    <xf numFmtId="0" fontId="98" fillId="25" borderId="60" xfId="0" applyFont="1" applyFill="1" applyBorder="1" applyAlignment="1" applyProtection="1">
      <alignment horizontal="center" vertical="center" wrapText="1"/>
      <protection locked="0"/>
    </xf>
    <xf numFmtId="0" fontId="27" fillId="25" borderId="43" xfId="0" applyFont="1" applyFill="1" applyBorder="1" applyAlignment="1" applyProtection="1">
      <alignment horizontal="justify" vertical="top" wrapText="1"/>
      <protection locked="0"/>
    </xf>
    <xf numFmtId="0" fontId="27" fillId="25" borderId="56" xfId="0" applyFont="1" applyFill="1" applyBorder="1" applyAlignment="1" applyProtection="1">
      <alignment horizontal="justify" vertical="top" wrapText="1"/>
      <protection locked="0"/>
    </xf>
    <xf numFmtId="9" fontId="27" fillId="0" borderId="50" xfId="0" applyNumberFormat="1" applyFont="1" applyBorder="1" applyAlignment="1" applyProtection="1">
      <alignment horizontal="justify" vertical="top" wrapText="1"/>
      <protection hidden="1"/>
    </xf>
    <xf numFmtId="9" fontId="27" fillId="0" borderId="53" xfId="0" applyNumberFormat="1" applyFont="1" applyBorder="1" applyAlignment="1" applyProtection="1">
      <alignment horizontal="justify" vertical="top" wrapText="1"/>
      <protection hidden="1"/>
    </xf>
    <xf numFmtId="0" fontId="32" fillId="8" borderId="52" xfId="0" applyFont="1" applyFill="1" applyBorder="1" applyAlignment="1">
      <alignment horizontal="left" vertical="center" wrapText="1"/>
    </xf>
    <xf numFmtId="0" fontId="32" fillId="8" borderId="51" xfId="0" applyFont="1" applyFill="1" applyBorder="1" applyAlignment="1">
      <alignment horizontal="left" vertical="center" wrapText="1"/>
    </xf>
    <xf numFmtId="0" fontId="32" fillId="8" borderId="50" xfId="0" applyFont="1" applyFill="1" applyBorder="1" applyAlignment="1">
      <alignment horizontal="left" vertical="top" wrapText="1"/>
    </xf>
    <xf numFmtId="0" fontId="32" fillId="8" borderId="53" xfId="0" applyFont="1" applyFill="1" applyBorder="1" applyAlignment="1">
      <alignment horizontal="left" vertical="top" wrapText="1"/>
    </xf>
    <xf numFmtId="0" fontId="32" fillId="8" borderId="52" xfId="0" applyFont="1" applyFill="1" applyBorder="1" applyAlignment="1">
      <alignment horizontal="left" vertical="center"/>
    </xf>
    <xf numFmtId="0" fontId="32" fillId="8" borderId="50" xfId="0" applyFont="1" applyFill="1" applyBorder="1" applyAlignment="1">
      <alignment horizontal="left" vertical="center"/>
    </xf>
    <xf numFmtId="0" fontId="31" fillId="0" borderId="73" xfId="0" applyFont="1" applyBorder="1" applyAlignment="1">
      <alignment horizontal="center" vertical="center" textRotation="90" wrapText="1"/>
    </xf>
    <xf numFmtId="0" fontId="10" fillId="0" borderId="73" xfId="0" applyFont="1" applyBorder="1" applyAlignment="1">
      <alignment horizontal="center"/>
    </xf>
    <xf numFmtId="0" fontId="10" fillId="0" borderId="76" xfId="0" applyFont="1" applyBorder="1" applyAlignment="1">
      <alignment horizontal="center"/>
    </xf>
    <xf numFmtId="0" fontId="31" fillId="14" borderId="73" xfId="0" applyFont="1" applyFill="1" applyBorder="1" applyAlignment="1">
      <alignment horizontal="center" vertical="center" wrapText="1"/>
    </xf>
    <xf numFmtId="0" fontId="31" fillId="14" borderId="76" xfId="0" applyFont="1" applyFill="1" applyBorder="1" applyAlignment="1">
      <alignment horizontal="center" vertical="center" wrapText="1"/>
    </xf>
    <xf numFmtId="9" fontId="31" fillId="0" borderId="76" xfId="0" applyNumberFormat="1" applyFont="1" applyBorder="1" applyAlignment="1">
      <alignment horizontal="center" vertical="center" wrapText="1"/>
    </xf>
    <xf numFmtId="165" fontId="31" fillId="0" borderId="73" xfId="0" applyNumberFormat="1" applyFont="1" applyBorder="1" applyAlignment="1">
      <alignment horizontal="center" vertical="center" wrapText="1"/>
    </xf>
    <xf numFmtId="165" fontId="31" fillId="0" borderId="78" xfId="0" applyNumberFormat="1" applyFont="1" applyBorder="1" applyAlignment="1">
      <alignment horizontal="center" vertical="center" wrapText="1"/>
    </xf>
    <xf numFmtId="164" fontId="31" fillId="0" borderId="73" xfId="0" applyNumberFormat="1" applyFont="1" applyBorder="1" applyAlignment="1">
      <alignment horizontal="center" vertical="center" wrapText="1"/>
    </xf>
    <xf numFmtId="0" fontId="31" fillId="11" borderId="73" xfId="0" applyFont="1" applyFill="1" applyBorder="1" applyAlignment="1">
      <alignment horizontal="center" vertical="center" wrapText="1"/>
    </xf>
    <xf numFmtId="0" fontId="10" fillId="0" borderId="83" xfId="0" applyFont="1" applyBorder="1" applyAlignment="1">
      <alignment horizontal="left"/>
    </xf>
    <xf numFmtId="0" fontId="10" fillId="0" borderId="79" xfId="0" applyFont="1" applyBorder="1" applyAlignment="1">
      <alignment horizontal="left"/>
    </xf>
    <xf numFmtId="0" fontId="10" fillId="0" borderId="70" xfId="0" applyFont="1" applyBorder="1" applyAlignment="1">
      <alignment horizontal="left"/>
    </xf>
    <xf numFmtId="0" fontId="10" fillId="0" borderId="71" xfId="0" applyFont="1" applyBorder="1" applyAlignment="1">
      <alignment horizontal="left"/>
    </xf>
    <xf numFmtId="0" fontId="10" fillId="0" borderId="72" xfId="0" applyFont="1" applyBorder="1" applyAlignment="1">
      <alignment horizontal="left"/>
    </xf>
    <xf numFmtId="0" fontId="114" fillId="6" borderId="67" xfId="0" applyFont="1" applyFill="1" applyBorder="1" applyAlignment="1">
      <alignment horizontal="left" vertical="center" wrapText="1"/>
    </xf>
    <xf numFmtId="0" fontId="114" fillId="0" borderId="67" xfId="0" applyFont="1" applyBorder="1" applyAlignment="1">
      <alignment horizontal="left" vertical="center" wrapText="1"/>
    </xf>
    <xf numFmtId="0" fontId="74" fillId="8" borderId="54" xfId="0" applyFont="1" applyFill="1" applyBorder="1" applyAlignment="1">
      <alignment horizontal="left" vertical="center"/>
    </xf>
    <xf numFmtId="0" fontId="74" fillId="8" borderId="0" xfId="0" applyFont="1" applyFill="1" applyAlignment="1">
      <alignment horizontal="left" vertical="center"/>
    </xf>
    <xf numFmtId="0" fontId="37" fillId="0" borderId="74" xfId="0" applyFont="1" applyBorder="1" applyAlignment="1">
      <alignment horizontal="center" vertical="top"/>
    </xf>
    <xf numFmtId="0" fontId="37" fillId="0" borderId="74" xfId="0" applyFont="1" applyBorder="1" applyAlignment="1">
      <alignment horizontal="center" vertical="top" wrapText="1"/>
    </xf>
    <xf numFmtId="0" fontId="75" fillId="12" borderId="85" xfId="0" applyFont="1" applyFill="1" applyBorder="1" applyAlignment="1">
      <alignment horizontal="left" vertical="center"/>
    </xf>
    <xf numFmtId="9" fontId="58" fillId="0" borderId="85" xfId="0" applyNumberFormat="1" applyFont="1" applyBorder="1" applyAlignment="1" applyProtection="1">
      <alignment horizontal="center" vertical="top" wrapText="1"/>
      <protection hidden="1"/>
    </xf>
    <xf numFmtId="0" fontId="30" fillId="0" borderId="142" xfId="0" applyFont="1" applyBorder="1" applyAlignment="1">
      <alignment horizontal="center" vertical="center" wrapText="1"/>
    </xf>
    <xf numFmtId="0" fontId="30" fillId="0" borderId="88" xfId="0" applyFont="1" applyBorder="1" applyAlignment="1">
      <alignment horizontal="center" vertical="center" wrapText="1"/>
    </xf>
    <xf numFmtId="0" fontId="30" fillId="0" borderId="87" xfId="0" applyFont="1" applyBorder="1" applyAlignment="1">
      <alignment horizontal="center" vertical="center" wrapText="1"/>
    </xf>
    <xf numFmtId="0" fontId="32" fillId="8" borderId="41" xfId="0" applyFont="1" applyFill="1" applyBorder="1" applyAlignment="1">
      <alignment horizontal="left" vertical="center"/>
    </xf>
    <xf numFmtId="0" fontId="32" fillId="8" borderId="42" xfId="0" applyFont="1" applyFill="1" applyBorder="1" applyAlignment="1">
      <alignment horizontal="left" vertical="center"/>
    </xf>
    <xf numFmtId="0" fontId="32" fillId="8" borderId="43" xfId="0" applyFont="1" applyFill="1" applyBorder="1" applyAlignment="1">
      <alignment horizontal="left" vertical="center"/>
    </xf>
    <xf numFmtId="0" fontId="32" fillId="8" borderId="44" xfId="0" applyFont="1" applyFill="1" applyBorder="1" applyAlignment="1">
      <alignment horizontal="left" vertical="center"/>
    </xf>
    <xf numFmtId="0" fontId="32" fillId="8" borderId="45" xfId="0" applyFont="1" applyFill="1" applyBorder="1" applyAlignment="1">
      <alignment horizontal="left" vertical="center"/>
    </xf>
    <xf numFmtId="0" fontId="32" fillId="8" borderId="46" xfId="0" applyFont="1" applyFill="1" applyBorder="1" applyAlignment="1">
      <alignment horizontal="left" vertical="center"/>
    </xf>
    <xf numFmtId="0" fontId="26" fillId="8" borderId="47" xfId="0" applyFont="1" applyFill="1" applyBorder="1" applyAlignment="1">
      <alignment horizontal="left" vertical="center"/>
    </xf>
    <xf numFmtId="0" fontId="26" fillId="8" borderId="48" xfId="0" applyFont="1" applyFill="1" applyBorder="1" applyAlignment="1">
      <alignment horizontal="left" vertical="center"/>
    </xf>
    <xf numFmtId="0" fontId="27" fillId="9" borderId="49" xfId="0" applyFont="1" applyFill="1" applyBorder="1" applyAlignment="1" applyProtection="1">
      <alignment horizontal="left" vertical="center"/>
      <protection locked="0"/>
    </xf>
    <xf numFmtId="0" fontId="59" fillId="0" borderId="87" xfId="0" applyFont="1" applyBorder="1" applyAlignment="1">
      <alignment horizontal="center" vertical="top"/>
    </xf>
    <xf numFmtId="0" fontId="59" fillId="0" borderId="86" xfId="0" applyFont="1" applyBorder="1" applyAlignment="1">
      <alignment horizontal="center" vertical="top"/>
    </xf>
    <xf numFmtId="9" fontId="59" fillId="0" borderId="85" xfId="0" applyNumberFormat="1" applyFont="1" applyBorder="1" applyAlignment="1" applyProtection="1">
      <alignment horizontal="center" vertical="top" wrapText="1"/>
      <protection hidden="1"/>
    </xf>
    <xf numFmtId="0" fontId="26" fillId="8" borderId="50" xfId="0" applyFont="1" applyFill="1" applyBorder="1" applyAlignment="1">
      <alignment horizontal="center" vertical="center" textRotation="90" wrapText="1"/>
    </xf>
    <xf numFmtId="0" fontId="26" fillId="8" borderId="52" xfId="0" applyFont="1" applyFill="1" applyBorder="1" applyAlignment="1">
      <alignment horizontal="center" vertical="center" textRotation="90" wrapText="1"/>
    </xf>
    <xf numFmtId="0" fontId="26" fillId="8" borderId="51" xfId="0" applyFont="1" applyFill="1" applyBorder="1" applyAlignment="1">
      <alignment horizontal="center" vertical="center" wrapText="1"/>
    </xf>
    <xf numFmtId="0" fontId="26" fillId="8" borderId="50" xfId="0" applyFont="1" applyFill="1" applyBorder="1" applyAlignment="1">
      <alignment horizontal="center" vertical="center"/>
    </xf>
    <xf numFmtId="0" fontId="26" fillId="8" borderId="81" xfId="0" applyFont="1" applyFill="1" applyBorder="1" applyAlignment="1">
      <alignment horizontal="center" vertical="center"/>
    </xf>
    <xf numFmtId="0" fontId="26" fillId="8" borderId="50" xfId="0" applyFont="1" applyFill="1" applyBorder="1" applyAlignment="1">
      <alignment horizontal="center" vertical="center" wrapText="1"/>
    </xf>
    <xf numFmtId="0" fontId="26" fillId="8" borderId="52" xfId="0" applyFont="1" applyFill="1" applyBorder="1" applyAlignment="1">
      <alignment horizontal="center" vertical="center" wrapText="1"/>
    </xf>
    <xf numFmtId="0" fontId="26" fillId="8" borderId="53" xfId="0" applyFont="1" applyFill="1" applyBorder="1" applyAlignment="1">
      <alignment horizontal="center" vertical="center" wrapText="1"/>
    </xf>
    <xf numFmtId="0" fontId="26" fillId="8" borderId="54" xfId="0" applyFont="1" applyFill="1" applyBorder="1" applyAlignment="1">
      <alignment horizontal="center" vertical="center"/>
    </xf>
    <xf numFmtId="0" fontId="26" fillId="8" borderId="44" xfId="0" applyFont="1" applyFill="1" applyBorder="1" applyAlignment="1">
      <alignment horizontal="center" vertical="center"/>
    </xf>
    <xf numFmtId="0" fontId="26" fillId="8" borderId="50" xfId="0" applyFont="1" applyFill="1" applyBorder="1" applyAlignment="1">
      <alignment horizontal="center" vertical="center" textRotation="90"/>
    </xf>
    <xf numFmtId="0" fontId="26" fillId="8" borderId="52" xfId="0" applyFont="1" applyFill="1" applyBorder="1" applyAlignment="1">
      <alignment horizontal="center" vertical="center" textRotation="90"/>
    </xf>
    <xf numFmtId="0" fontId="26" fillId="8" borderId="51" xfId="0" applyFont="1" applyFill="1" applyBorder="1" applyAlignment="1">
      <alignment horizontal="center" vertical="center"/>
    </xf>
    <xf numFmtId="0" fontId="26" fillId="8" borderId="52" xfId="0" applyFont="1" applyFill="1" applyBorder="1" applyAlignment="1">
      <alignment horizontal="center" vertical="center"/>
    </xf>
    <xf numFmtId="0" fontId="27" fillId="9" borderId="49" xfId="0" applyFont="1" applyFill="1" applyBorder="1" applyAlignment="1" applyProtection="1">
      <alignment horizontal="left" vertical="center" wrapText="1"/>
      <protection locked="0"/>
    </xf>
    <xf numFmtId="0" fontId="27" fillId="9" borderId="59" xfId="0" applyFont="1" applyFill="1" applyBorder="1" applyAlignment="1" applyProtection="1">
      <alignment horizontal="left" vertical="center" wrapText="1"/>
      <protection locked="0"/>
    </xf>
    <xf numFmtId="0" fontId="26" fillId="8" borderId="47" xfId="0" applyFont="1" applyFill="1" applyBorder="1" applyAlignment="1">
      <alignment horizontal="center" vertical="center"/>
    </xf>
    <xf numFmtId="0" fontId="26" fillId="8" borderId="48"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38" xfId="0" applyFont="1" applyFill="1" applyBorder="1" applyAlignment="1">
      <alignment horizontal="center" vertical="center"/>
    </xf>
    <xf numFmtId="0" fontId="26" fillId="8" borderId="126" xfId="0" applyFont="1" applyFill="1" applyBorder="1" applyAlignment="1">
      <alignment horizontal="center" vertical="center" wrapText="1"/>
    </xf>
    <xf numFmtId="0" fontId="26" fillId="8" borderId="125" xfId="0" applyFont="1" applyFill="1" applyBorder="1" applyAlignment="1">
      <alignment horizontal="center" vertical="center" wrapText="1"/>
    </xf>
    <xf numFmtId="0" fontId="111" fillId="0" borderId="50" xfId="0" applyFont="1" applyBorder="1" applyAlignment="1" applyProtection="1">
      <alignment horizontal="center" vertical="center" wrapText="1"/>
      <protection locked="0"/>
    </xf>
    <xf numFmtId="0" fontId="111" fillId="0" borderId="53" xfId="0" applyFont="1" applyBorder="1" applyAlignment="1" applyProtection="1">
      <alignment horizontal="center" vertical="center" wrapText="1"/>
      <protection locked="0"/>
    </xf>
    <xf numFmtId="0" fontId="112" fillId="0" borderId="41" xfId="0" applyFont="1" applyBorder="1" applyAlignment="1" applyProtection="1">
      <alignment horizontal="center" vertical="center" wrapText="1"/>
      <protection locked="0"/>
    </xf>
    <xf numFmtId="0" fontId="112" fillId="0" borderId="54" xfId="0" applyFont="1" applyBorder="1" applyAlignment="1" applyProtection="1">
      <alignment horizontal="center" vertical="center" wrapText="1"/>
      <protection locked="0"/>
    </xf>
    <xf numFmtId="0" fontId="28" fillId="0" borderId="49" xfId="0" applyFont="1" applyBorder="1" applyAlignment="1" applyProtection="1">
      <alignment horizontal="center" vertical="center" wrapText="1"/>
      <protection locked="0"/>
    </xf>
    <xf numFmtId="0" fontId="28" fillId="0" borderId="59" xfId="0" applyFont="1" applyBorder="1" applyAlignment="1" applyProtection="1">
      <alignment horizontal="center" vertical="center" wrapText="1"/>
      <protection locked="0"/>
    </xf>
    <xf numFmtId="0" fontId="28" fillId="0" borderId="60" xfId="0" applyFont="1" applyBorder="1" applyAlignment="1" applyProtection="1">
      <alignment horizontal="center" vertical="center" wrapText="1"/>
      <protection locked="0"/>
    </xf>
    <xf numFmtId="0" fontId="28" fillId="0" borderId="65" xfId="0" applyFont="1" applyBorder="1" applyAlignment="1" applyProtection="1">
      <alignment horizontal="center" vertical="center" wrapText="1"/>
      <protection locked="0"/>
    </xf>
    <xf numFmtId="0" fontId="26" fillId="8" borderId="58" xfId="0" applyFont="1" applyFill="1" applyBorder="1" applyAlignment="1">
      <alignment horizontal="center" vertical="center" wrapText="1"/>
    </xf>
    <xf numFmtId="0" fontId="26" fillId="8" borderId="115" xfId="0" applyFont="1" applyFill="1" applyBorder="1" applyAlignment="1">
      <alignment horizontal="center" vertical="center" wrapText="1"/>
    </xf>
    <xf numFmtId="0" fontId="26" fillId="8" borderId="51" xfId="0" applyFont="1" applyFill="1" applyBorder="1" applyAlignment="1">
      <alignment horizontal="center" vertical="center" textRotation="90" wrapText="1"/>
    </xf>
    <xf numFmtId="0" fontId="26" fillId="8" borderId="54" xfId="0" applyFont="1" applyFill="1" applyBorder="1" applyAlignment="1">
      <alignment horizontal="center" vertical="center" wrapText="1"/>
    </xf>
    <xf numFmtId="14" fontId="27" fillId="0" borderId="50" xfId="0" applyNumberFormat="1" applyFont="1" applyBorder="1" applyAlignment="1" applyProtection="1">
      <alignment horizontal="center" vertical="center" wrapText="1"/>
      <protection locked="0"/>
    </xf>
    <xf numFmtId="14" fontId="27" fillId="0" borderId="53" xfId="0" applyNumberFormat="1" applyFont="1" applyBorder="1" applyAlignment="1" applyProtection="1">
      <alignment horizontal="center" vertical="center" wrapText="1"/>
      <protection locked="0"/>
    </xf>
    <xf numFmtId="14" fontId="27" fillId="0" borderId="52" xfId="0" applyNumberFormat="1" applyFont="1" applyBorder="1" applyAlignment="1" applyProtection="1">
      <alignment horizontal="center" vertical="center" wrapText="1"/>
      <protection locked="0"/>
    </xf>
    <xf numFmtId="0" fontId="27" fillId="0" borderId="55" xfId="0" applyFont="1" applyBorder="1" applyAlignment="1" applyProtection="1">
      <alignment horizontal="center" vertical="center"/>
      <protection locked="0"/>
    </xf>
    <xf numFmtId="0" fontId="27" fillId="0" borderId="57" xfId="0" applyFont="1" applyBorder="1" applyAlignment="1" applyProtection="1">
      <alignment horizontal="center" vertical="center"/>
      <protection locked="0"/>
    </xf>
    <xf numFmtId="0" fontId="27" fillId="0" borderId="58" xfId="0" applyFont="1" applyBorder="1" applyAlignment="1" applyProtection="1">
      <alignment horizontal="center" vertical="center"/>
      <protection locked="0"/>
    </xf>
    <xf numFmtId="0" fontId="26" fillId="0" borderId="50" xfId="0" applyFont="1" applyBorder="1" applyAlignment="1" applyProtection="1">
      <alignment horizontal="center" vertical="center" wrapText="1"/>
      <protection hidden="1"/>
    </xf>
    <xf numFmtId="0" fontId="26" fillId="0" borderId="53" xfId="0" applyFont="1" applyBorder="1" applyAlignment="1" applyProtection="1">
      <alignment horizontal="center" vertical="center" wrapText="1"/>
      <protection hidden="1"/>
    </xf>
    <xf numFmtId="0" fontId="26" fillId="0" borderId="50" xfId="0" applyFont="1" applyBorder="1" applyAlignment="1" applyProtection="1">
      <alignment horizontal="center" vertical="center"/>
      <protection hidden="1"/>
    </xf>
    <xf numFmtId="0" fontId="26" fillId="0" borderId="53" xfId="0" applyFont="1" applyBorder="1" applyAlignment="1" applyProtection="1">
      <alignment horizontal="center" vertical="center"/>
      <protection hidden="1"/>
    </xf>
    <xf numFmtId="0" fontId="27" fillId="0" borderId="50" xfId="0" applyFont="1" applyBorder="1" applyAlignment="1" applyProtection="1">
      <alignment horizontal="center" vertical="center" textRotation="90"/>
      <protection locked="0"/>
    </xf>
    <xf numFmtId="0" fontId="27" fillId="0" borderId="53" xfId="0" applyFont="1" applyBorder="1" applyAlignment="1" applyProtection="1">
      <alignment horizontal="center" vertical="center" textRotation="90"/>
      <protection locked="0"/>
    </xf>
    <xf numFmtId="0" fontId="27" fillId="0" borderId="52" xfId="0" applyFont="1" applyBorder="1" applyAlignment="1" applyProtection="1">
      <alignment horizontal="center" vertical="center" textRotation="90"/>
      <protection locked="0"/>
    </xf>
    <xf numFmtId="0" fontId="27" fillId="0" borderId="50" xfId="0" applyFont="1" applyBorder="1" applyAlignment="1" applyProtection="1">
      <alignment horizontal="center" vertical="center"/>
      <protection locked="0"/>
    </xf>
    <xf numFmtId="0" fontId="27" fillId="0" borderId="53" xfId="0" applyFont="1" applyBorder="1" applyAlignment="1" applyProtection="1">
      <alignment horizontal="center" vertical="center"/>
      <protection locked="0"/>
    </xf>
    <xf numFmtId="9" fontId="27" fillId="0" borderId="50" xfId="0" applyNumberFormat="1" applyFont="1" applyBorder="1" applyAlignment="1" applyProtection="1">
      <alignment horizontal="center" vertical="center" wrapText="1"/>
      <protection locked="0"/>
    </xf>
    <xf numFmtId="9" fontId="27" fillId="0" borderId="53" xfId="0" applyNumberFormat="1" applyFont="1" applyBorder="1" applyAlignment="1" applyProtection="1">
      <alignment horizontal="center" vertical="center" wrapText="1"/>
      <protection locked="0"/>
    </xf>
    <xf numFmtId="0" fontId="12" fillId="0" borderId="68" xfId="0" applyFont="1" applyBorder="1" applyAlignment="1">
      <alignment horizontal="left" vertical="center"/>
    </xf>
    <xf numFmtId="0" fontId="12" fillId="0" borderId="83" xfId="0" applyFont="1" applyBorder="1" applyAlignment="1">
      <alignment horizontal="left" vertical="center"/>
    </xf>
    <xf numFmtId="15" fontId="27" fillId="10" borderId="124" xfId="0" applyNumberFormat="1" applyFont="1" applyFill="1" applyBorder="1" applyAlignment="1">
      <alignment horizontal="center" vertical="center" wrapText="1"/>
    </xf>
    <xf numFmtId="15" fontId="27" fillId="10" borderId="126" xfId="0" applyNumberFormat="1" applyFont="1" applyFill="1" applyBorder="1" applyAlignment="1">
      <alignment horizontal="center" vertical="center" wrapText="1"/>
    </xf>
    <xf numFmtId="15" fontId="27" fillId="10" borderId="40" xfId="0" applyNumberFormat="1" applyFont="1" applyFill="1" applyBorder="1" applyAlignment="1">
      <alignment horizontal="center" vertical="center" wrapText="1"/>
    </xf>
    <xf numFmtId="0" fontId="27" fillId="10" borderId="124" xfId="0" applyFont="1" applyFill="1" applyBorder="1" applyAlignment="1">
      <alignment horizontal="center" vertical="center" wrapText="1"/>
    </xf>
    <xf numFmtId="0" fontId="27" fillId="10" borderId="126" xfId="0" applyFont="1" applyFill="1" applyBorder="1" applyAlignment="1">
      <alignment horizontal="center" vertical="center" wrapText="1"/>
    </xf>
    <xf numFmtId="0" fontId="27" fillId="10" borderId="40" xfId="0" applyFont="1" applyFill="1" applyBorder="1" applyAlignment="1">
      <alignment horizontal="center" vertical="center" wrapText="1"/>
    </xf>
    <xf numFmtId="0" fontId="32" fillId="7" borderId="78" xfId="0" applyFont="1" applyFill="1" applyBorder="1" applyAlignment="1">
      <alignment horizontal="center" vertical="center" wrapText="1"/>
    </xf>
    <xf numFmtId="0" fontId="14" fillId="0" borderId="73" xfId="0" applyFont="1" applyBorder="1" applyAlignment="1">
      <alignment horizontal="center" vertical="center" wrapText="1"/>
    </xf>
    <xf numFmtId="0" fontId="14" fillId="0" borderId="76" xfId="0" applyFont="1" applyBorder="1" applyAlignment="1">
      <alignment horizontal="center" vertical="center" wrapText="1"/>
    </xf>
    <xf numFmtId="0" fontId="31" fillId="0" borderId="82" xfId="0" applyFont="1" applyBorder="1" applyAlignment="1">
      <alignment horizontal="center" vertical="top"/>
    </xf>
    <xf numFmtId="9" fontId="30" fillId="0" borderId="74" xfId="0" applyNumberFormat="1" applyFont="1" applyBorder="1" applyAlignment="1">
      <alignment horizontal="center" vertical="top" wrapText="1"/>
    </xf>
    <xf numFmtId="0" fontId="30" fillId="0" borderId="73" xfId="0" applyFont="1" applyBorder="1" applyAlignment="1">
      <alignment horizontal="left" vertical="top" wrapText="1"/>
    </xf>
    <xf numFmtId="0" fontId="30" fillId="0" borderId="74" xfId="0" applyFont="1" applyBorder="1" applyAlignment="1">
      <alignment horizontal="center" vertical="top" wrapText="1"/>
    </xf>
    <xf numFmtId="0" fontId="27" fillId="0" borderId="73" xfId="0" applyFont="1" applyBorder="1" applyAlignment="1">
      <alignment horizontal="left" vertical="top" wrapText="1"/>
    </xf>
    <xf numFmtId="0" fontId="30" fillId="0" borderId="74" xfId="0" applyFont="1" applyBorder="1" applyAlignment="1">
      <alignment horizontal="center" vertical="top"/>
    </xf>
    <xf numFmtId="0" fontId="74" fillId="8" borderId="41" xfId="0" applyFont="1" applyFill="1" applyBorder="1" applyAlignment="1">
      <alignment horizontal="left" vertical="center"/>
    </xf>
    <xf numFmtId="0" fontId="74" fillId="8" borderId="42" xfId="0" applyFont="1" applyFill="1" applyBorder="1" applyAlignment="1">
      <alignment horizontal="left" vertical="center"/>
    </xf>
    <xf numFmtId="0" fontId="74" fillId="8" borderId="43" xfId="0" applyFont="1" applyFill="1" applyBorder="1" applyAlignment="1">
      <alignment horizontal="left" vertical="center"/>
    </xf>
    <xf numFmtId="0" fontId="74" fillId="8" borderId="44" xfId="0" applyFont="1" applyFill="1" applyBorder="1" applyAlignment="1">
      <alignment horizontal="left" vertical="center"/>
    </xf>
    <xf numFmtId="0" fontId="74" fillId="8" borderId="45" xfId="0" applyFont="1" applyFill="1" applyBorder="1" applyAlignment="1">
      <alignment horizontal="left" vertical="center"/>
    </xf>
    <xf numFmtId="0" fontId="74" fillId="8" borderId="46" xfId="0" applyFont="1" applyFill="1" applyBorder="1" applyAlignment="1">
      <alignment horizontal="left" vertical="center"/>
    </xf>
    <xf numFmtId="165" fontId="30" fillId="0" borderId="73" xfId="0" applyNumberFormat="1" applyFont="1" applyBorder="1" applyAlignment="1">
      <alignment horizontal="center" vertical="center" wrapText="1"/>
    </xf>
    <xf numFmtId="165" fontId="30" fillId="0" borderId="76" xfId="0" applyNumberFormat="1" applyFont="1" applyBorder="1" applyAlignment="1">
      <alignment horizontal="center" vertical="center" wrapText="1"/>
    </xf>
    <xf numFmtId="0" fontId="30" fillId="0" borderId="60" xfId="0" applyFont="1" applyBorder="1" applyAlignment="1">
      <alignment horizontal="center" vertical="center" wrapText="1"/>
    </xf>
    <xf numFmtId="0" fontId="30" fillId="0" borderId="50" xfId="0" applyFont="1" applyBorder="1" applyAlignment="1" applyProtection="1">
      <alignment horizontal="center" vertical="center" textRotation="90" wrapText="1"/>
      <protection locked="0"/>
    </xf>
    <xf numFmtId="0" fontId="30" fillId="0" borderId="53" xfId="0" applyFont="1" applyBorder="1" applyAlignment="1" applyProtection="1">
      <alignment horizontal="center" vertical="center" textRotation="90" wrapText="1"/>
      <protection locked="0"/>
    </xf>
    <xf numFmtId="14" fontId="30" fillId="0" borderId="50" xfId="0" applyNumberFormat="1" applyFont="1" applyBorder="1" applyAlignment="1" applyProtection="1">
      <alignment horizontal="center" vertical="top"/>
      <protection locked="0"/>
    </xf>
    <xf numFmtId="14" fontId="30" fillId="0" borderId="52" xfId="0" applyNumberFormat="1" applyFont="1" applyBorder="1" applyAlignment="1" applyProtection="1">
      <alignment horizontal="center" vertical="top"/>
      <protection locked="0"/>
    </xf>
    <xf numFmtId="0" fontId="34" fillId="0" borderId="59" xfId="0" applyFont="1" applyBorder="1" applyAlignment="1" applyProtection="1">
      <alignment horizontal="center" vertical="top" wrapText="1"/>
      <protection locked="0"/>
    </xf>
    <xf numFmtId="0" fontId="34" fillId="0" borderId="60" xfId="0" applyFont="1" applyBorder="1" applyAlignment="1" applyProtection="1">
      <alignment horizontal="center" vertical="top" wrapText="1"/>
      <protection locked="0"/>
    </xf>
    <xf numFmtId="0" fontId="32" fillId="15" borderId="38" xfId="0" applyFont="1" applyFill="1" applyBorder="1" applyAlignment="1">
      <alignment horizontal="center" vertical="center" wrapText="1"/>
    </xf>
    <xf numFmtId="0" fontId="32" fillId="8" borderId="38" xfId="0" applyFont="1" applyFill="1" applyBorder="1" applyAlignment="1">
      <alignment horizontal="center" vertical="center" wrapText="1"/>
    </xf>
    <xf numFmtId="0" fontId="32" fillId="8" borderId="41" xfId="0" applyFont="1" applyFill="1" applyBorder="1" applyAlignment="1">
      <alignment horizontal="center" vertical="center" textRotation="90" wrapText="1"/>
    </xf>
    <xf numFmtId="0" fontId="32" fillId="8" borderId="44" xfId="0" applyFont="1" applyFill="1" applyBorder="1" applyAlignment="1">
      <alignment horizontal="center" vertical="center" textRotation="90" wrapText="1"/>
    </xf>
    <xf numFmtId="0" fontId="32" fillId="10" borderId="146" xfId="0" applyFont="1" applyFill="1" applyBorder="1" applyAlignment="1">
      <alignment horizontal="center" vertical="center"/>
    </xf>
    <xf numFmtId="0" fontId="32" fillId="10" borderId="137" xfId="0" applyFont="1" applyFill="1" applyBorder="1" applyAlignment="1">
      <alignment horizontal="center" vertical="center"/>
    </xf>
    <xf numFmtId="0" fontId="32" fillId="10" borderId="147" xfId="0" applyFont="1" applyFill="1" applyBorder="1" applyAlignment="1">
      <alignment horizontal="center" vertical="center"/>
    </xf>
    <xf numFmtId="0" fontId="118" fillId="9" borderId="49" xfId="0" applyFont="1" applyFill="1" applyBorder="1" applyAlignment="1" applyProtection="1">
      <alignment horizontal="left" vertical="center"/>
      <protection locked="0"/>
    </xf>
    <xf numFmtId="0" fontId="30" fillId="9" borderId="49" xfId="0" applyFont="1" applyFill="1" applyBorder="1" applyAlignment="1" applyProtection="1">
      <alignment horizontal="justify" vertical="center" wrapText="1"/>
      <protection locked="0"/>
    </xf>
    <xf numFmtId="0" fontId="30" fillId="0" borderId="50" xfId="0" applyFont="1" applyBorder="1" applyAlignment="1" applyProtection="1">
      <alignment horizontal="justify" vertical="top" wrapText="1"/>
      <protection locked="0"/>
    </xf>
    <xf numFmtId="0" fontId="30" fillId="0" borderId="53" xfId="0" applyFont="1" applyBorder="1" applyAlignment="1" applyProtection="1">
      <alignment horizontal="justify" vertical="top" wrapText="1"/>
      <protection locked="0"/>
    </xf>
    <xf numFmtId="0" fontId="30" fillId="0" borderId="41" xfId="0" applyFont="1" applyBorder="1" applyAlignment="1" applyProtection="1">
      <alignment horizontal="justify" vertical="top" wrapText="1"/>
      <protection locked="0"/>
    </xf>
    <xf numFmtId="0" fontId="30" fillId="0" borderId="54" xfId="0" applyFont="1" applyBorder="1" applyAlignment="1" applyProtection="1">
      <alignment horizontal="justify" vertical="top" wrapText="1"/>
      <protection locked="0"/>
    </xf>
    <xf numFmtId="0" fontId="35" fillId="0" borderId="49" xfId="0" applyFont="1" applyBorder="1" applyAlignment="1" applyProtection="1">
      <alignment horizontal="justify" vertical="top" wrapText="1"/>
      <protection locked="0"/>
    </xf>
    <xf numFmtId="0" fontId="35" fillId="0" borderId="59" xfId="0" applyFont="1" applyBorder="1" applyAlignment="1" applyProtection="1">
      <alignment horizontal="justify" vertical="top" wrapText="1"/>
      <protection locked="0"/>
    </xf>
    <xf numFmtId="0" fontId="35" fillId="0" borderId="60" xfId="0" applyFont="1" applyBorder="1" applyAlignment="1" applyProtection="1">
      <alignment horizontal="justify" vertical="top" wrapText="1"/>
      <protection locked="0"/>
    </xf>
    <xf numFmtId="0" fontId="35" fillId="0" borderId="62" xfId="0" applyFont="1" applyBorder="1" applyAlignment="1" applyProtection="1">
      <alignment horizontal="justify" vertical="top" wrapText="1"/>
      <protection locked="0"/>
    </xf>
    <xf numFmtId="9" fontId="30" fillId="0" borderId="149" xfId="0" applyNumberFormat="1" applyFont="1" applyBorder="1" applyAlignment="1" applyProtection="1">
      <alignment horizontal="center" vertical="top" wrapText="1"/>
      <protection locked="0"/>
    </xf>
    <xf numFmtId="9" fontId="30" fillId="0" borderId="152" xfId="0" applyNumberFormat="1" applyFont="1" applyBorder="1" applyAlignment="1" applyProtection="1">
      <alignment horizontal="center" vertical="top" wrapText="1"/>
      <protection locked="0"/>
    </xf>
    <xf numFmtId="0" fontId="0" fillId="0" borderId="53" xfId="0" applyBorder="1" applyAlignment="1">
      <alignment horizontal="center" vertical="top" textRotation="90"/>
    </xf>
    <xf numFmtId="0" fontId="0" fillId="0" borderId="52" xfId="0" applyBorder="1" applyAlignment="1">
      <alignment horizontal="center" vertical="top" textRotation="90"/>
    </xf>
    <xf numFmtId="0" fontId="17" fillId="8" borderId="50" xfId="0" applyFont="1" applyFill="1" applyBorder="1" applyAlignment="1">
      <alignment horizontal="center" vertical="center" textRotation="90"/>
    </xf>
    <xf numFmtId="0" fontId="17" fillId="8" borderId="52" xfId="0" applyFont="1" applyFill="1" applyBorder="1" applyAlignment="1">
      <alignment horizontal="center" vertical="center" textRotation="90"/>
    </xf>
    <xf numFmtId="0" fontId="17" fillId="8" borderId="51" xfId="0" applyFont="1" applyFill="1" applyBorder="1" applyAlignment="1">
      <alignment horizontal="center" vertical="center"/>
    </xf>
    <xf numFmtId="0" fontId="17" fillId="8" borderId="52" xfId="0" applyFont="1" applyFill="1" applyBorder="1" applyAlignment="1">
      <alignment horizontal="center" vertical="center" wrapText="1"/>
    </xf>
    <xf numFmtId="0" fontId="17" fillId="8" borderId="51" xfId="0" applyFont="1" applyFill="1" applyBorder="1" applyAlignment="1">
      <alignment horizontal="center" vertical="center" wrapText="1"/>
    </xf>
    <xf numFmtId="0" fontId="17" fillId="8" borderId="50" xfId="0" applyFont="1" applyFill="1" applyBorder="1" applyAlignment="1">
      <alignment horizontal="center" vertical="center" wrapText="1"/>
    </xf>
    <xf numFmtId="0" fontId="17" fillId="8" borderId="53" xfId="0" applyFont="1" applyFill="1" applyBorder="1" applyAlignment="1">
      <alignment horizontal="center" vertical="center" wrapText="1"/>
    </xf>
    <xf numFmtId="0" fontId="17" fillId="8" borderId="52" xfId="0" applyFont="1" applyFill="1" applyBorder="1" applyAlignment="1">
      <alignment horizontal="center" vertical="center"/>
    </xf>
    <xf numFmtId="0" fontId="17" fillId="8" borderId="50" xfId="0" applyFont="1" applyFill="1" applyBorder="1" applyAlignment="1">
      <alignment horizontal="center" vertical="center"/>
    </xf>
    <xf numFmtId="0" fontId="17" fillId="8" borderId="41" xfId="0" applyFont="1" applyFill="1" applyBorder="1" applyAlignment="1">
      <alignment horizontal="center" vertical="center"/>
    </xf>
    <xf numFmtId="0" fontId="17" fillId="8" borderId="42" xfId="0" applyFont="1" applyFill="1" applyBorder="1" applyAlignment="1">
      <alignment horizontal="center" vertical="center"/>
    </xf>
    <xf numFmtId="0" fontId="17" fillId="8" borderId="44" xfId="0" applyFont="1" applyFill="1" applyBorder="1" applyAlignment="1">
      <alignment horizontal="center" vertical="center"/>
    </xf>
    <xf numFmtId="0" fontId="17" fillId="8" borderId="45" xfId="0" applyFont="1" applyFill="1" applyBorder="1" applyAlignment="1">
      <alignment horizontal="center" vertical="center"/>
    </xf>
    <xf numFmtId="0" fontId="17" fillId="8" borderId="47" xfId="0" applyFont="1" applyFill="1" applyBorder="1" applyAlignment="1">
      <alignment horizontal="left" vertical="center"/>
    </xf>
    <xf numFmtId="0" fontId="17" fillId="8" borderId="48" xfId="0" applyFont="1" applyFill="1" applyBorder="1" applyAlignment="1">
      <alignment horizontal="left" vertical="center"/>
    </xf>
    <xf numFmtId="0" fontId="17" fillId="9" borderId="49" xfId="0" applyFont="1" applyFill="1" applyBorder="1" applyAlignment="1" applyProtection="1">
      <alignment horizontal="left" vertical="top"/>
      <protection locked="0"/>
    </xf>
    <xf numFmtId="0" fontId="120" fillId="9" borderId="49" xfId="0" applyFont="1" applyFill="1" applyBorder="1" applyAlignment="1" applyProtection="1">
      <alignment horizontal="left" vertical="top"/>
      <protection locked="0"/>
    </xf>
    <xf numFmtId="0" fontId="120" fillId="9" borderId="49" xfId="0" applyFont="1" applyFill="1" applyBorder="1" applyAlignment="1" applyProtection="1">
      <alignment horizontal="left" vertical="top" wrapText="1"/>
      <protection locked="0"/>
    </xf>
    <xf numFmtId="0" fontId="120" fillId="9" borderId="49" xfId="0" applyFont="1" applyFill="1" applyBorder="1" applyAlignment="1" applyProtection="1">
      <alignment horizontal="left" vertical="center" wrapText="1"/>
      <protection locked="0"/>
    </xf>
    <xf numFmtId="0" fontId="17" fillId="8" borderId="47" xfId="0" applyFont="1" applyFill="1" applyBorder="1" applyAlignment="1">
      <alignment horizontal="center" vertical="center"/>
    </xf>
    <xf numFmtId="0" fontId="17" fillId="8" borderId="48" xfId="0" applyFont="1" applyFill="1" applyBorder="1" applyAlignment="1">
      <alignment horizontal="center" vertical="center"/>
    </xf>
    <xf numFmtId="0" fontId="17" fillId="8" borderId="46" xfId="0" applyFont="1" applyFill="1" applyBorder="1" applyAlignment="1">
      <alignment horizontal="center" vertical="center"/>
    </xf>
    <xf numFmtId="0" fontId="17" fillId="8" borderId="91" xfId="0" applyFont="1" applyFill="1" applyBorder="1" applyAlignment="1">
      <alignment horizontal="center" vertical="center"/>
    </xf>
    <xf numFmtId="0" fontId="17" fillId="8" borderId="92" xfId="0" applyFont="1" applyFill="1" applyBorder="1" applyAlignment="1">
      <alignment horizontal="center" vertical="center"/>
    </xf>
    <xf numFmtId="0" fontId="17" fillId="8" borderId="51" xfId="0" applyFont="1" applyFill="1" applyBorder="1" applyAlignment="1">
      <alignment horizontal="center" vertical="center" textRotation="90" wrapText="1"/>
    </xf>
    <xf numFmtId="0" fontId="17" fillId="8" borderId="50" xfId="0" applyFont="1" applyFill="1" applyBorder="1" applyAlignment="1">
      <alignment horizontal="center" vertical="center" textRotation="90" wrapText="1"/>
    </xf>
    <xf numFmtId="0" fontId="17" fillId="8" borderId="52" xfId="0" applyFont="1" applyFill="1" applyBorder="1" applyAlignment="1">
      <alignment horizontal="center" vertical="center" textRotation="90" wrapText="1"/>
    </xf>
    <xf numFmtId="0" fontId="17" fillId="8" borderId="54" xfId="0" applyFont="1" applyFill="1" applyBorder="1" applyAlignment="1">
      <alignment horizontal="center" vertical="center"/>
    </xf>
    <xf numFmtId="0" fontId="17" fillId="8" borderId="54" xfId="0" applyFont="1" applyFill="1" applyBorder="1" applyAlignment="1">
      <alignment horizontal="center" vertical="center" wrapText="1"/>
    </xf>
    <xf numFmtId="0" fontId="120" fillId="0" borderId="53" xfId="0" applyFont="1" applyBorder="1" applyAlignment="1" applyProtection="1">
      <alignment horizontal="center" vertical="center" wrapText="1"/>
      <protection locked="0"/>
    </xf>
    <xf numFmtId="0" fontId="120" fillId="0" borderId="52" xfId="0" applyFont="1" applyBorder="1" applyAlignment="1" applyProtection="1">
      <alignment horizontal="center" vertical="center" wrapText="1"/>
      <protection locked="0"/>
    </xf>
    <xf numFmtId="0" fontId="120" fillId="0" borderId="50" xfId="0" applyFont="1" applyBorder="1" applyAlignment="1" applyProtection="1">
      <alignment horizontal="center" vertical="center" textRotation="90"/>
      <protection locked="0"/>
    </xf>
    <xf numFmtId="0" fontId="120" fillId="0" borderId="53" xfId="0" applyFont="1" applyBorder="1" applyAlignment="1" applyProtection="1">
      <alignment horizontal="center" vertical="center" textRotation="90"/>
      <protection locked="0"/>
    </xf>
    <xf numFmtId="0" fontId="120" fillId="0" borderId="52" xfId="0" applyFont="1" applyBorder="1" applyAlignment="1" applyProtection="1">
      <alignment horizontal="center" vertical="center" textRotation="90"/>
      <protection locked="0"/>
    </xf>
    <xf numFmtId="9" fontId="120" fillId="0" borderId="50" xfId="0" applyNumberFormat="1" applyFont="1" applyBorder="1" applyAlignment="1" applyProtection="1">
      <alignment horizontal="center" vertical="center"/>
      <protection hidden="1"/>
    </xf>
    <xf numFmtId="9" fontId="120" fillId="0" borderId="53" xfId="0" applyNumberFormat="1" applyFont="1" applyBorder="1" applyAlignment="1" applyProtection="1">
      <alignment horizontal="center" vertical="center"/>
      <protection hidden="1"/>
    </xf>
    <xf numFmtId="9" fontId="120" fillId="0" borderId="52" xfId="0" applyNumberFormat="1" applyFont="1" applyBorder="1" applyAlignment="1" applyProtection="1">
      <alignment horizontal="center" vertical="center"/>
      <protection hidden="1"/>
    </xf>
    <xf numFmtId="164" fontId="120" fillId="0" borderId="50" xfId="16" applyNumberFormat="1" applyFont="1" applyFill="1" applyBorder="1" applyAlignment="1">
      <alignment horizontal="center" vertical="center"/>
    </xf>
    <xf numFmtId="164" fontId="120" fillId="0" borderId="53" xfId="16" applyNumberFormat="1" applyFont="1" applyFill="1" applyBorder="1" applyAlignment="1">
      <alignment horizontal="center" vertical="center"/>
    </xf>
    <xf numFmtId="164" fontId="120" fillId="0" borderId="52" xfId="16" applyNumberFormat="1" applyFont="1" applyFill="1" applyBorder="1" applyAlignment="1">
      <alignment horizontal="center" vertical="center"/>
    </xf>
    <xf numFmtId="0" fontId="17" fillId="0" borderId="50" xfId="0" applyFont="1" applyBorder="1" applyAlignment="1" applyProtection="1">
      <alignment horizontal="center" vertical="center"/>
      <protection hidden="1"/>
    </xf>
    <xf numFmtId="0" fontId="17" fillId="0" borderId="53" xfId="0" applyFont="1" applyBorder="1" applyAlignment="1" applyProtection="1">
      <alignment horizontal="center" vertical="center"/>
      <protection hidden="1"/>
    </xf>
    <xf numFmtId="0" fontId="17" fillId="0" borderId="52" xfId="0" applyFont="1" applyBorder="1" applyAlignment="1" applyProtection="1">
      <alignment horizontal="center" vertical="center"/>
      <protection hidden="1"/>
    </xf>
    <xf numFmtId="9" fontId="120" fillId="0" borderId="50" xfId="0" applyNumberFormat="1" applyFont="1" applyBorder="1" applyAlignment="1" applyProtection="1">
      <alignment vertical="center"/>
      <protection hidden="1"/>
    </xf>
    <xf numFmtId="9" fontId="120" fillId="0" borderId="53" xfId="0" applyNumberFormat="1" applyFont="1" applyBorder="1" applyAlignment="1" applyProtection="1">
      <alignment vertical="center"/>
      <protection hidden="1"/>
    </xf>
    <xf numFmtId="9" fontId="120" fillId="0" borderId="52" xfId="0" applyNumberFormat="1" applyFont="1" applyBorder="1" applyAlignment="1" applyProtection="1">
      <alignment vertical="center"/>
      <protection hidden="1"/>
    </xf>
    <xf numFmtId="0" fontId="120" fillId="0" borderId="50" xfId="0" applyFont="1" applyBorder="1" applyAlignment="1">
      <alignment horizontal="center" vertical="center"/>
    </xf>
    <xf numFmtId="0" fontId="120" fillId="0" borderId="53" xfId="0" applyFont="1" applyBorder="1" applyAlignment="1">
      <alignment horizontal="center" vertical="center"/>
    </xf>
    <xf numFmtId="0" fontId="120" fillId="0" borderId="50" xfId="0" applyFont="1" applyBorder="1" applyAlignment="1" applyProtection="1">
      <alignment horizontal="center" vertical="center" wrapText="1"/>
      <protection locked="0"/>
    </xf>
    <xf numFmtId="0" fontId="121" fillId="0" borderId="50" xfId="0" applyFont="1" applyBorder="1" applyAlignment="1" applyProtection="1">
      <alignment horizontal="center" vertical="center" wrapText="1"/>
      <protection locked="0"/>
    </xf>
    <xf numFmtId="0" fontId="121" fillId="0" borderId="53" xfId="0" applyFont="1" applyBorder="1" applyAlignment="1" applyProtection="1">
      <alignment horizontal="center" vertical="center" wrapText="1"/>
      <protection locked="0"/>
    </xf>
    <xf numFmtId="0" fontId="121" fillId="0" borderId="52" xfId="0" applyFont="1" applyBorder="1" applyAlignment="1" applyProtection="1">
      <alignment horizontal="center" vertical="center" wrapText="1"/>
      <protection locked="0"/>
    </xf>
    <xf numFmtId="0" fontId="120" fillId="0" borderId="50" xfId="0" applyFont="1" applyBorder="1" applyAlignment="1" applyProtection="1">
      <alignment horizontal="center" vertical="center"/>
      <protection locked="0"/>
    </xf>
    <xf numFmtId="0" fontId="120" fillId="0" borderId="53" xfId="0" applyFont="1" applyBorder="1" applyAlignment="1" applyProtection="1">
      <alignment horizontal="center" vertical="center"/>
      <protection locked="0"/>
    </xf>
    <xf numFmtId="0" fontId="17" fillId="0" borderId="50" xfId="0" applyFont="1" applyBorder="1" applyAlignment="1" applyProtection="1">
      <alignment horizontal="center" vertical="center" wrapText="1"/>
      <protection hidden="1"/>
    </xf>
    <xf numFmtId="0" fontId="17" fillId="0" borderId="53" xfId="0" applyFont="1" applyBorder="1" applyAlignment="1" applyProtection="1">
      <alignment horizontal="center" vertical="center" wrapText="1"/>
      <protection hidden="1"/>
    </xf>
    <xf numFmtId="9" fontId="120" fillId="0" borderId="50" xfId="0" applyNumberFormat="1" applyFont="1" applyBorder="1" applyAlignment="1" applyProtection="1">
      <alignment horizontal="center" vertical="center" wrapText="1"/>
      <protection hidden="1"/>
    </xf>
    <xf numFmtId="9" fontId="120" fillId="0" borderId="53" xfId="0" applyNumberFormat="1" applyFont="1" applyBorder="1" applyAlignment="1" applyProtection="1">
      <alignment horizontal="center" vertical="center" wrapText="1"/>
      <protection hidden="1"/>
    </xf>
    <xf numFmtId="9" fontId="120" fillId="0" borderId="50" xfId="0" applyNumberFormat="1" applyFont="1" applyBorder="1" applyAlignment="1" applyProtection="1">
      <alignment horizontal="center" vertical="center" wrapText="1"/>
      <protection locked="0"/>
    </xf>
    <xf numFmtId="9" fontId="120" fillId="0" borderId="53" xfId="0" applyNumberFormat="1" applyFont="1" applyBorder="1" applyAlignment="1" applyProtection="1">
      <alignment horizontal="center" vertical="center" wrapText="1"/>
      <protection locked="0"/>
    </xf>
    <xf numFmtId="0" fontId="17" fillId="0" borderId="50" xfId="0" applyFont="1" applyBorder="1" applyAlignment="1" applyProtection="1">
      <alignment horizontal="center" vertical="center" textRotation="90" wrapText="1"/>
      <protection hidden="1"/>
    </xf>
    <xf numFmtId="0" fontId="17" fillId="0" borderId="53" xfId="0" applyFont="1" applyBorder="1" applyAlignment="1" applyProtection="1">
      <alignment horizontal="center" vertical="center" textRotation="90" wrapText="1"/>
      <protection hidden="1"/>
    </xf>
    <xf numFmtId="0" fontId="17" fillId="0" borderId="52" xfId="0" applyFont="1" applyBorder="1" applyAlignment="1" applyProtection="1">
      <alignment horizontal="center" vertical="center" textRotation="90" wrapText="1"/>
      <protection hidden="1"/>
    </xf>
    <xf numFmtId="0" fontId="17" fillId="0" borderId="50" xfId="0" applyFont="1" applyBorder="1" applyAlignment="1" applyProtection="1">
      <alignment horizontal="center" vertical="center" textRotation="90"/>
      <protection hidden="1"/>
    </xf>
    <xf numFmtId="0" fontId="17" fillId="0" borderId="53" xfId="0" applyFont="1" applyBorder="1" applyAlignment="1" applyProtection="1">
      <alignment horizontal="center" vertical="center" textRotation="90"/>
      <protection hidden="1"/>
    </xf>
    <xf numFmtId="0" fontId="17" fillId="0" borderId="52" xfId="0" applyFont="1" applyBorder="1" applyAlignment="1" applyProtection="1">
      <alignment horizontal="center" vertical="center" textRotation="90"/>
      <protection hidden="1"/>
    </xf>
    <xf numFmtId="0" fontId="120" fillId="9" borderId="53" xfId="0" applyFont="1" applyFill="1" applyBorder="1" applyAlignment="1" applyProtection="1">
      <alignment horizontal="left" vertical="center" wrapText="1"/>
      <protection locked="0"/>
    </xf>
    <xf numFmtId="0" fontId="120" fillId="9" borderId="52" xfId="0" applyFont="1" applyFill="1" applyBorder="1" applyAlignment="1" applyProtection="1">
      <alignment horizontal="left" vertical="center" wrapText="1"/>
      <protection locked="0"/>
    </xf>
    <xf numFmtId="0" fontId="120" fillId="0" borderId="52" xfId="0" applyFont="1" applyBorder="1" applyAlignment="1">
      <alignment horizontal="center" vertical="center"/>
    </xf>
    <xf numFmtId="0" fontId="122" fillId="0" borderId="50" xfId="0" applyFont="1" applyBorder="1" applyAlignment="1" applyProtection="1">
      <alignment horizontal="center" vertical="center"/>
      <protection hidden="1"/>
    </xf>
    <xf numFmtId="0" fontId="122" fillId="0" borderId="53" xfId="0" applyFont="1" applyBorder="1" applyAlignment="1" applyProtection="1">
      <alignment horizontal="center" vertical="center"/>
      <protection hidden="1"/>
    </xf>
    <xf numFmtId="0" fontId="122" fillId="0" borderId="52" xfId="0" applyFont="1" applyBorder="1" applyAlignment="1" applyProtection="1">
      <alignment horizontal="center" vertical="center"/>
      <protection hidden="1"/>
    </xf>
    <xf numFmtId="0" fontId="122" fillId="0" borderId="50" xfId="0" applyFont="1" applyBorder="1" applyAlignment="1" applyProtection="1">
      <alignment horizontal="center" vertical="center" wrapText="1"/>
      <protection locked="0"/>
    </xf>
    <xf numFmtId="0" fontId="122" fillId="0" borderId="53" xfId="0" applyFont="1" applyBorder="1" applyAlignment="1" applyProtection="1">
      <alignment horizontal="center" vertical="center" wrapText="1"/>
      <protection locked="0"/>
    </xf>
    <xf numFmtId="0" fontId="121" fillId="0" borderId="81" xfId="0" applyFont="1" applyBorder="1" applyAlignment="1" applyProtection="1">
      <alignment horizontal="center" vertical="center" wrapText="1"/>
      <protection locked="0"/>
    </xf>
    <xf numFmtId="0" fontId="120" fillId="0" borderId="52" xfId="0" applyFont="1" applyBorder="1" applyAlignment="1" applyProtection="1">
      <alignment horizontal="center" vertical="center"/>
      <protection locked="0"/>
    </xf>
    <xf numFmtId="0" fontId="17" fillId="0" borderId="52" xfId="0" applyFont="1" applyBorder="1" applyAlignment="1" applyProtection="1">
      <alignment horizontal="center" vertical="center" wrapText="1"/>
      <protection hidden="1"/>
    </xf>
    <xf numFmtId="9" fontId="120" fillId="0" borderId="52" xfId="0" applyNumberFormat="1" applyFont="1" applyBorder="1" applyAlignment="1" applyProtection="1">
      <alignment horizontal="center" vertical="center" wrapText="1"/>
      <protection hidden="1"/>
    </xf>
    <xf numFmtId="9" fontId="120" fillId="0" borderId="52" xfId="0" applyNumberFormat="1" applyFont="1" applyBorder="1" applyAlignment="1" applyProtection="1">
      <alignment horizontal="center" vertical="center" wrapText="1"/>
      <protection locked="0"/>
    </xf>
    <xf numFmtId="0" fontId="122" fillId="0" borderId="52" xfId="0" applyFont="1" applyBorder="1" applyAlignment="1" applyProtection="1">
      <alignment horizontal="center" vertical="center" wrapText="1"/>
      <protection locked="0"/>
    </xf>
    <xf numFmtId="0" fontId="120" fillId="9" borderId="50" xfId="0" applyFont="1" applyFill="1" applyBorder="1" applyAlignment="1" applyProtection="1">
      <alignment horizontal="center" vertical="center" wrapText="1"/>
      <protection locked="0"/>
    </xf>
    <xf numFmtId="0" fontId="120" fillId="9" borderId="52" xfId="0" applyFont="1" applyFill="1" applyBorder="1" applyAlignment="1" applyProtection="1">
      <alignment horizontal="center" vertical="center" wrapText="1"/>
      <protection locked="0"/>
    </xf>
    <xf numFmtId="0" fontId="31" fillId="9" borderId="59" xfId="0" applyFont="1" applyFill="1" applyBorder="1" applyAlignment="1">
      <alignment horizontal="center" vertical="center" wrapText="1"/>
    </xf>
    <xf numFmtId="0" fontId="31" fillId="9" borderId="60" xfId="0" applyFont="1" applyFill="1" applyBorder="1" applyAlignment="1">
      <alignment horizontal="center" vertical="center" wrapText="1"/>
    </xf>
    <xf numFmtId="0" fontId="31" fillId="9" borderId="65" xfId="0" applyFont="1" applyFill="1" applyBorder="1" applyAlignment="1">
      <alignment horizontal="center" vertical="center" wrapText="1"/>
    </xf>
    <xf numFmtId="0" fontId="31" fillId="0" borderId="53" xfId="0" applyFont="1" applyBorder="1" applyAlignment="1">
      <alignment horizontal="center" vertical="top"/>
    </xf>
    <xf numFmtId="14" fontId="31" fillId="0" borderId="50" xfId="0" applyNumberFormat="1" applyFont="1" applyBorder="1" applyAlignment="1" applyProtection="1">
      <alignment horizontal="center" vertical="top"/>
      <protection locked="0"/>
    </xf>
    <xf numFmtId="14" fontId="31" fillId="0" borderId="52" xfId="0" applyNumberFormat="1" applyFont="1" applyBorder="1" applyAlignment="1" applyProtection="1">
      <alignment horizontal="center" vertical="top"/>
      <protection locked="0"/>
    </xf>
    <xf numFmtId="0" fontId="37" fillId="0" borderId="53" xfId="0" applyFont="1" applyBorder="1" applyAlignment="1" applyProtection="1">
      <alignment horizontal="center" vertical="top" textRotation="90" wrapText="1"/>
      <protection hidden="1"/>
    </xf>
    <xf numFmtId="9" fontId="30" fillId="0" borderId="53" xfId="0" applyNumberFormat="1" applyFont="1" applyBorder="1" applyAlignment="1" applyProtection="1">
      <alignment horizontal="center" vertical="top"/>
      <protection hidden="1"/>
    </xf>
    <xf numFmtId="0" fontId="37" fillId="0" borderId="53" xfId="0" applyFont="1" applyBorder="1" applyAlignment="1" applyProtection="1">
      <alignment horizontal="center" vertical="top" textRotation="90"/>
      <protection hidden="1"/>
    </xf>
    <xf numFmtId="0" fontId="30" fillId="0" borderId="53" xfId="0" applyFont="1" applyBorder="1" applyAlignment="1" applyProtection="1">
      <alignment horizontal="center" vertical="top" textRotation="90"/>
      <protection locked="0"/>
    </xf>
    <xf numFmtId="14" fontId="30" fillId="0" borderId="53" xfId="0" applyNumberFormat="1" applyFont="1" applyBorder="1" applyAlignment="1" applyProtection="1">
      <alignment horizontal="center" vertical="top"/>
      <protection locked="0"/>
    </xf>
    <xf numFmtId="0" fontId="31" fillId="0" borderId="53" xfId="0" applyFont="1" applyBorder="1" applyAlignment="1" applyProtection="1">
      <alignment horizontal="center" vertical="top"/>
      <protection hidden="1"/>
    </xf>
    <xf numFmtId="164" fontId="31" fillId="0" borderId="53" xfId="16" applyNumberFormat="1" applyFont="1" applyBorder="1" applyAlignment="1">
      <alignment horizontal="center" vertical="top"/>
    </xf>
    <xf numFmtId="0" fontId="30" fillId="0" borderId="59" xfId="0" applyFont="1" applyBorder="1" applyAlignment="1" applyProtection="1">
      <alignment horizontal="center" vertical="top" wrapText="1"/>
      <protection locked="0"/>
    </xf>
    <xf numFmtId="0" fontId="30" fillId="0" borderId="65" xfId="0" applyFont="1" applyBorder="1" applyAlignment="1" applyProtection="1">
      <alignment horizontal="center" vertical="top" wrapText="1"/>
      <protection locked="0"/>
    </xf>
    <xf numFmtId="0" fontId="31" fillId="0" borderId="41" xfId="0" applyFont="1" applyBorder="1" applyAlignment="1" applyProtection="1">
      <alignment horizontal="center" vertical="center" wrapText="1"/>
      <protection locked="0"/>
    </xf>
    <xf numFmtId="0" fontId="31" fillId="0" borderId="54" xfId="0" applyFont="1" applyBorder="1" applyAlignment="1" applyProtection="1">
      <alignment horizontal="center" vertical="center" wrapText="1"/>
      <protection locked="0"/>
    </xf>
    <xf numFmtId="0" fontId="31" fillId="0" borderId="44" xfId="0" applyFont="1" applyBorder="1" applyAlignment="1" applyProtection="1">
      <alignment horizontal="center" vertical="center" wrapText="1"/>
      <protection locked="0"/>
    </xf>
    <xf numFmtId="0" fontId="31" fillId="0" borderId="59" xfId="0" applyFont="1" applyBorder="1" applyAlignment="1" applyProtection="1">
      <alignment horizontal="center" vertical="top" wrapText="1"/>
      <protection locked="0"/>
    </xf>
    <xf numFmtId="0" fontId="31" fillId="0" borderId="65" xfId="0" applyFont="1" applyBorder="1" applyAlignment="1" applyProtection="1">
      <alignment horizontal="center" vertical="top" wrapText="1"/>
      <protection locked="0"/>
    </xf>
    <xf numFmtId="0" fontId="34" fillId="0" borderId="65" xfId="0" applyFont="1" applyBorder="1" applyAlignment="1" applyProtection="1">
      <alignment horizontal="center" vertical="top" wrapText="1"/>
      <protection locked="0"/>
    </xf>
    <xf numFmtId="14" fontId="35" fillId="0" borderId="73" xfId="0" applyNumberFormat="1" applyFont="1" applyBorder="1" applyAlignment="1">
      <alignment horizontal="center" vertical="top"/>
    </xf>
    <xf numFmtId="14" fontId="35" fillId="0" borderId="74" xfId="0" applyNumberFormat="1" applyFont="1" applyBorder="1" applyAlignment="1">
      <alignment horizontal="center" vertical="top"/>
    </xf>
    <xf numFmtId="14" fontId="35" fillId="0" borderId="76" xfId="0" applyNumberFormat="1" applyFont="1" applyBorder="1" applyAlignment="1">
      <alignment horizontal="center" vertical="top"/>
    </xf>
    <xf numFmtId="0" fontId="28" fillId="0" borderId="169" xfId="0" applyFont="1" applyBorder="1" applyAlignment="1">
      <alignment horizontal="center" vertical="top" wrapText="1"/>
    </xf>
    <xf numFmtId="0" fontId="28" fillId="0" borderId="164" xfId="0" applyFont="1" applyBorder="1" applyAlignment="1">
      <alignment horizontal="center" vertical="top" wrapText="1"/>
    </xf>
    <xf numFmtId="0" fontId="28" fillId="0" borderId="170" xfId="0" applyFont="1" applyBorder="1" applyAlignment="1">
      <alignment horizontal="center" vertical="top" wrapText="1"/>
    </xf>
    <xf numFmtId="0" fontId="30" fillId="0" borderId="39" xfId="0" applyFont="1" applyBorder="1" applyAlignment="1">
      <alignment horizontal="center" vertical="top"/>
    </xf>
    <xf numFmtId="0" fontId="30" fillId="0" borderId="126" xfId="0" applyFont="1" applyBorder="1" applyAlignment="1">
      <alignment horizontal="center" vertical="top"/>
    </xf>
    <xf numFmtId="0" fontId="30" fillId="0" borderId="40" xfId="0" applyFont="1" applyBorder="1" applyAlignment="1">
      <alignment horizontal="center" vertical="top"/>
    </xf>
    <xf numFmtId="14" fontId="30" fillId="0" borderId="74" xfId="0" applyNumberFormat="1" applyFont="1" applyBorder="1" applyAlignment="1">
      <alignment horizontal="center" vertical="top"/>
    </xf>
    <xf numFmtId="14" fontId="30" fillId="0" borderId="165" xfId="0" applyNumberFormat="1" applyFont="1" applyBorder="1" applyAlignment="1">
      <alignment horizontal="center" vertical="top"/>
    </xf>
    <xf numFmtId="0" fontId="27" fillId="0" borderId="163" xfId="0" applyFont="1" applyBorder="1" applyAlignment="1">
      <alignment horizontal="center" vertical="top" wrapText="1"/>
    </xf>
    <xf numFmtId="0" fontId="27" fillId="0" borderId="164" xfId="0" applyFont="1" applyBorder="1" applyAlignment="1">
      <alignment horizontal="center" vertical="top" wrapText="1"/>
    </xf>
    <xf numFmtId="0" fontId="27" fillId="0" borderId="166" xfId="0" applyFont="1" applyBorder="1" applyAlignment="1">
      <alignment horizontal="center" vertical="top" wrapText="1"/>
    </xf>
    <xf numFmtId="0" fontId="35" fillId="0" borderId="158" xfId="0" applyFont="1" applyBorder="1" applyAlignment="1">
      <alignment horizontal="center" vertical="top"/>
    </xf>
    <xf numFmtId="0" fontId="35" fillId="0" borderId="159" xfId="0" applyFont="1" applyBorder="1" applyAlignment="1">
      <alignment horizontal="center" vertical="top"/>
    </xf>
    <xf numFmtId="0" fontId="28" fillId="0" borderId="167" xfId="0" applyFont="1" applyBorder="1" applyAlignment="1">
      <alignment horizontal="center" vertical="top" wrapText="1"/>
    </xf>
    <xf numFmtId="0" fontId="28" fillId="0" borderId="168" xfId="0" applyFont="1" applyBorder="1" applyAlignment="1">
      <alignment horizontal="center" vertical="top" wrapText="1"/>
    </xf>
    <xf numFmtId="0" fontId="31" fillId="0" borderId="38" xfId="0" applyFont="1" applyBorder="1" applyAlignment="1" applyProtection="1">
      <alignment horizontal="center" vertical="top"/>
      <protection locked="0"/>
    </xf>
    <xf numFmtId="14" fontId="31" fillId="0" borderId="160" xfId="0" applyNumberFormat="1" applyFont="1" applyBorder="1" applyAlignment="1">
      <alignment horizontal="center" vertical="top"/>
    </xf>
    <xf numFmtId="14" fontId="31" fillId="0" borderId="161" xfId="0" applyNumberFormat="1" applyFont="1" applyBorder="1" applyAlignment="1">
      <alignment horizontal="center" vertical="top"/>
    </xf>
    <xf numFmtId="14" fontId="31" fillId="0" borderId="162" xfId="0" applyNumberFormat="1" applyFont="1" applyBorder="1" applyAlignment="1">
      <alignment horizontal="center" vertical="top"/>
    </xf>
    <xf numFmtId="0" fontId="31" fillId="0" borderId="60" xfId="0" applyFont="1" applyBorder="1" applyAlignment="1" applyProtection="1">
      <alignment horizontal="center" vertical="top" wrapText="1"/>
      <protection locked="0"/>
    </xf>
    <xf numFmtId="0" fontId="13" fillId="9" borderId="50" xfId="0" applyFont="1" applyFill="1" applyBorder="1" applyAlignment="1">
      <alignment horizontal="justify" vertical="center" textRotation="90"/>
    </xf>
    <xf numFmtId="0" fontId="13" fillId="9" borderId="51" xfId="0" applyFont="1" applyFill="1" applyBorder="1" applyAlignment="1">
      <alignment horizontal="center" vertical="center"/>
    </xf>
    <xf numFmtId="0" fontId="13" fillId="9" borderId="52" xfId="0" applyFont="1" applyFill="1" applyBorder="1" applyAlignment="1">
      <alignment horizontal="center" vertical="center" wrapText="1"/>
    </xf>
    <xf numFmtId="0" fontId="13" fillId="9" borderId="50" xfId="0" applyFont="1" applyFill="1" applyBorder="1" applyAlignment="1">
      <alignment horizontal="center" vertical="center" wrapText="1"/>
    </xf>
    <xf numFmtId="0" fontId="13" fillId="9" borderId="52" xfId="0" applyFont="1" applyFill="1" applyBorder="1" applyAlignment="1">
      <alignment horizontal="center" vertical="center"/>
    </xf>
    <xf numFmtId="0" fontId="13" fillId="9" borderId="53" xfId="0" applyFont="1" applyFill="1" applyBorder="1" applyAlignment="1">
      <alignment horizontal="center" vertical="center"/>
    </xf>
    <xf numFmtId="0" fontId="13" fillId="9" borderId="53" xfId="0" applyFont="1" applyFill="1" applyBorder="1" applyAlignment="1">
      <alignment horizontal="center" vertical="center" wrapText="1"/>
    </xf>
    <xf numFmtId="0" fontId="13" fillId="9" borderId="54" xfId="0" applyFont="1" applyFill="1" applyBorder="1" applyAlignment="1">
      <alignment horizontal="center" vertical="center"/>
    </xf>
    <xf numFmtId="0" fontId="13" fillId="9" borderId="54" xfId="0" applyFont="1" applyFill="1" applyBorder="1" applyAlignment="1">
      <alignment horizontal="center" vertical="center" wrapText="1"/>
    </xf>
    <xf numFmtId="0" fontId="13" fillId="9" borderId="50" xfId="0" applyFont="1" applyFill="1" applyBorder="1" applyAlignment="1">
      <alignment horizontal="center" vertical="center" textRotation="90" wrapText="1"/>
    </xf>
    <xf numFmtId="0" fontId="13" fillId="9" borderId="51" xfId="0" applyFont="1" applyFill="1" applyBorder="1" applyAlignment="1">
      <alignment horizontal="center" vertical="center" wrapText="1"/>
    </xf>
    <xf numFmtId="0" fontId="13" fillId="9" borderId="50" xfId="0" applyFont="1" applyFill="1" applyBorder="1" applyAlignment="1">
      <alignment horizontal="justify" vertical="center" wrapText="1"/>
    </xf>
    <xf numFmtId="0" fontId="13" fillId="9" borderId="51" xfId="0" applyFont="1" applyFill="1" applyBorder="1" applyAlignment="1">
      <alignment horizontal="justify" vertical="center" wrapText="1"/>
    </xf>
    <xf numFmtId="0" fontId="13" fillId="9" borderId="51" xfId="0" applyFont="1" applyFill="1" applyBorder="1" applyAlignment="1">
      <alignment horizontal="justify" vertical="center" textRotation="90" wrapText="1"/>
    </xf>
    <xf numFmtId="0" fontId="13" fillId="9" borderId="50" xfId="0" applyFont="1" applyFill="1" applyBorder="1" applyAlignment="1">
      <alignment horizontal="justify" vertical="center" textRotation="90" wrapText="1"/>
    </xf>
    <xf numFmtId="0" fontId="13" fillId="9" borderId="52" xfId="0" applyFont="1" applyFill="1" applyBorder="1" applyAlignment="1">
      <alignment horizontal="justify" vertical="center" textRotation="90"/>
    </xf>
    <xf numFmtId="0" fontId="13" fillId="9" borderId="50" xfId="0" applyFont="1" applyFill="1" applyBorder="1" applyAlignment="1">
      <alignment horizontal="center" vertical="center"/>
    </xf>
    <xf numFmtId="0" fontId="13" fillId="9" borderId="44" xfId="0" applyFont="1" applyFill="1" applyBorder="1" applyAlignment="1">
      <alignment horizontal="center" vertical="center"/>
    </xf>
    <xf numFmtId="0" fontId="13" fillId="9" borderId="52" xfId="0" applyFont="1" applyFill="1" applyBorder="1" applyAlignment="1">
      <alignment horizontal="center" vertical="center" textRotation="90" wrapText="1"/>
    </xf>
    <xf numFmtId="0" fontId="13" fillId="9" borderId="52" xfId="0" applyFont="1" applyFill="1" applyBorder="1" applyAlignment="1">
      <alignment horizontal="justify" vertical="center" wrapText="1"/>
    </xf>
    <xf numFmtId="0" fontId="13" fillId="9" borderId="51" xfId="0" applyFont="1" applyFill="1" applyBorder="1" applyAlignment="1">
      <alignment horizontal="justify" vertical="center" textRotation="90"/>
    </xf>
    <xf numFmtId="0" fontId="13" fillId="9" borderId="52" xfId="0" applyFont="1" applyFill="1" applyBorder="1" applyAlignment="1">
      <alignment horizontal="justify" vertical="center" textRotation="90" wrapText="1"/>
    </xf>
    <xf numFmtId="0" fontId="16" fillId="9" borderId="50" xfId="0" applyFont="1" applyFill="1" applyBorder="1" applyAlignment="1">
      <alignment horizontal="center" vertical="center"/>
    </xf>
    <xf numFmtId="0" fontId="16" fillId="9" borderId="50" xfId="0" applyFont="1" applyFill="1" applyBorder="1" applyAlignment="1" applyProtection="1">
      <alignment horizontal="center" vertical="center" wrapText="1"/>
      <protection locked="0"/>
    </xf>
    <xf numFmtId="0" fontId="16" fillId="9" borderId="50" xfId="0" applyFont="1" applyFill="1" applyBorder="1" applyAlignment="1" applyProtection="1">
      <alignment horizontal="justify" vertical="center" wrapText="1"/>
      <protection locked="0"/>
    </xf>
    <xf numFmtId="0" fontId="123" fillId="9" borderId="59" xfId="0" applyFont="1" applyFill="1" applyBorder="1" applyAlignment="1" applyProtection="1">
      <alignment horizontal="center" vertical="center" wrapText="1"/>
      <protection locked="0"/>
    </xf>
    <xf numFmtId="0" fontId="16" fillId="9" borderId="50" xfId="0" applyFont="1" applyFill="1" applyBorder="1" applyAlignment="1" applyProtection="1">
      <alignment horizontal="center" vertical="center"/>
      <protection locked="0"/>
    </xf>
    <xf numFmtId="0" fontId="13" fillId="9" borderId="50" xfId="0" applyFont="1" applyFill="1" applyBorder="1" applyAlignment="1" applyProtection="1">
      <alignment horizontal="center" vertical="center" wrapText="1"/>
      <protection hidden="1"/>
    </xf>
    <xf numFmtId="9" fontId="16" fillId="9" borderId="50" xfId="0" applyNumberFormat="1" applyFont="1" applyFill="1" applyBorder="1" applyAlignment="1" applyProtection="1">
      <alignment horizontal="justify" vertical="center" wrapText="1"/>
      <protection hidden="1"/>
    </xf>
    <xf numFmtId="9" fontId="16" fillId="9" borderId="50" xfId="0" applyNumberFormat="1" applyFont="1" applyFill="1" applyBorder="1" applyAlignment="1" applyProtection="1">
      <alignment horizontal="justify" vertical="center" wrapText="1"/>
      <protection locked="0"/>
    </xf>
    <xf numFmtId="9" fontId="16" fillId="9" borderId="50" xfId="0" applyNumberFormat="1" applyFont="1" applyFill="1" applyBorder="1" applyAlignment="1" applyProtection="1">
      <alignment horizontal="justify" vertical="center" wrapText="1"/>
      <protection hidden="1"/>
    </xf>
    <xf numFmtId="0" fontId="13" fillId="9" borderId="50" xfId="0" applyFont="1" applyFill="1" applyBorder="1" applyAlignment="1" applyProtection="1">
      <alignment horizontal="center" vertical="center"/>
      <protection hidden="1"/>
    </xf>
    <xf numFmtId="0" fontId="16" fillId="9" borderId="50" xfId="0" applyFont="1" applyFill="1" applyBorder="1" applyAlignment="1" applyProtection="1">
      <alignment horizontal="justify" vertical="center"/>
      <protection hidden="1"/>
    </xf>
    <xf numFmtId="0" fontId="16" fillId="9" borderId="50" xfId="0" applyFont="1" applyFill="1" applyBorder="1" applyAlignment="1" applyProtection="1">
      <alignment horizontal="justify" vertical="center" textRotation="90"/>
      <protection locked="0"/>
    </xf>
    <xf numFmtId="9" fontId="16" fillId="9" borderId="50" xfId="0" applyNumberFormat="1" applyFont="1" applyFill="1" applyBorder="1" applyAlignment="1" applyProtection="1">
      <alignment horizontal="justify" vertical="center"/>
      <protection hidden="1"/>
    </xf>
    <xf numFmtId="9" fontId="16" fillId="9" borderId="50" xfId="16" applyFont="1" applyFill="1" applyBorder="1" applyAlignment="1">
      <alignment horizontal="center" vertical="center"/>
    </xf>
    <xf numFmtId="0" fontId="13" fillId="9" borderId="50" xfId="0" applyFont="1" applyFill="1" applyBorder="1" applyAlignment="1" applyProtection="1">
      <alignment horizontal="justify" vertical="center" textRotation="90" wrapText="1"/>
      <protection hidden="1"/>
    </xf>
    <xf numFmtId="9" fontId="16" fillId="9" borderId="50" xfId="0" applyNumberFormat="1" applyFont="1" applyFill="1" applyBorder="1" applyAlignment="1" applyProtection="1">
      <alignment horizontal="center" vertical="center"/>
      <protection hidden="1"/>
    </xf>
    <xf numFmtId="0" fontId="13" fillId="9" borderId="50" xfId="0" applyFont="1" applyFill="1" applyBorder="1" applyAlignment="1" applyProtection="1">
      <alignment horizontal="justify" vertical="center" textRotation="90"/>
      <protection hidden="1"/>
    </xf>
    <xf numFmtId="14" fontId="16" fillId="9" borderId="50" xfId="0" applyNumberFormat="1" applyFont="1" applyFill="1" applyBorder="1" applyAlignment="1" applyProtection="1">
      <alignment horizontal="justify" vertical="center"/>
      <protection locked="0"/>
    </xf>
    <xf numFmtId="14" fontId="16" fillId="9" borderId="50" xfId="0" applyNumberFormat="1" applyFont="1" applyFill="1" applyBorder="1" applyAlignment="1" applyProtection="1">
      <alignment horizontal="center" vertical="center"/>
      <protection locked="0"/>
    </xf>
    <xf numFmtId="0" fontId="16" fillId="9" borderId="52" xfId="0" applyFont="1" applyFill="1" applyBorder="1" applyAlignment="1">
      <alignment horizontal="center" vertical="center"/>
    </xf>
    <xf numFmtId="0" fontId="16" fillId="9" borderId="53" xfId="0" applyFont="1" applyFill="1" applyBorder="1" applyAlignment="1" applyProtection="1">
      <alignment horizontal="center" vertical="center" wrapText="1"/>
      <protection locked="0"/>
    </xf>
    <xf numFmtId="0" fontId="16" fillId="9" borderId="52" xfId="0" applyFont="1" applyFill="1" applyBorder="1" applyAlignment="1" applyProtection="1">
      <alignment horizontal="justify" vertical="center" wrapText="1"/>
      <protection locked="0"/>
    </xf>
    <xf numFmtId="0" fontId="123" fillId="9" borderId="65" xfId="0" applyFont="1" applyFill="1" applyBorder="1" applyAlignment="1" applyProtection="1">
      <alignment horizontal="center" vertical="center" wrapText="1"/>
      <protection locked="0"/>
    </xf>
    <xf numFmtId="0" fontId="16" fillId="9" borderId="52" xfId="0" applyFont="1" applyFill="1" applyBorder="1" applyAlignment="1" applyProtection="1">
      <alignment horizontal="center" vertical="center"/>
      <protection locked="0"/>
    </xf>
    <xf numFmtId="0" fontId="13" fillId="9" borderId="52" xfId="0" applyFont="1" applyFill="1" applyBorder="1" applyAlignment="1" applyProtection="1">
      <alignment horizontal="center" vertical="center" wrapText="1"/>
      <protection hidden="1"/>
    </xf>
    <xf numFmtId="9" fontId="16" fillId="9" borderId="52" xfId="0" applyNumberFormat="1" applyFont="1" applyFill="1" applyBorder="1" applyAlignment="1" applyProtection="1">
      <alignment horizontal="justify" vertical="center" wrapText="1"/>
      <protection hidden="1"/>
    </xf>
    <xf numFmtId="9" fontId="16" fillId="9" borderId="52" xfId="0" applyNumberFormat="1" applyFont="1" applyFill="1" applyBorder="1" applyAlignment="1" applyProtection="1">
      <alignment horizontal="justify" vertical="center" wrapText="1"/>
      <protection locked="0"/>
    </xf>
    <xf numFmtId="0" fontId="13" fillId="9" borderId="52" xfId="0" applyFont="1" applyFill="1" applyBorder="1" applyAlignment="1" applyProtection="1">
      <alignment horizontal="center" vertical="center"/>
      <protection hidden="1"/>
    </xf>
    <xf numFmtId="0" fontId="16" fillId="9" borderId="52" xfId="0" applyFont="1" applyFill="1" applyBorder="1" applyAlignment="1" applyProtection="1">
      <alignment horizontal="justify" vertical="center"/>
      <protection hidden="1"/>
    </xf>
    <xf numFmtId="0" fontId="16" fillId="9" borderId="52" xfId="0" applyFont="1" applyFill="1" applyBorder="1" applyAlignment="1" applyProtection="1">
      <alignment horizontal="justify" vertical="center" textRotation="90"/>
      <protection locked="0"/>
    </xf>
    <xf numFmtId="9" fontId="16" fillId="9" borderId="52" xfId="0" applyNumberFormat="1" applyFont="1" applyFill="1" applyBorder="1" applyAlignment="1" applyProtection="1">
      <alignment horizontal="justify" vertical="center"/>
      <protection hidden="1"/>
    </xf>
    <xf numFmtId="9" fontId="16" fillId="9" borderId="52" xfId="16" applyFont="1" applyFill="1" applyBorder="1" applyAlignment="1">
      <alignment horizontal="center" vertical="center"/>
    </xf>
    <xf numFmtId="0" fontId="13" fillId="9" borderId="52" xfId="0" applyFont="1" applyFill="1" applyBorder="1" applyAlignment="1" applyProtection="1">
      <alignment horizontal="justify" vertical="center" textRotation="90" wrapText="1"/>
      <protection hidden="1"/>
    </xf>
    <xf numFmtId="9" fontId="16" fillId="9" borderId="52" xfId="0" applyNumberFormat="1" applyFont="1" applyFill="1" applyBorder="1" applyAlignment="1" applyProtection="1">
      <alignment horizontal="center" vertical="center"/>
      <protection hidden="1"/>
    </xf>
    <xf numFmtId="0" fontId="13" fillId="9" borderId="52" xfId="0" applyFont="1" applyFill="1" applyBorder="1" applyAlignment="1" applyProtection="1">
      <alignment horizontal="justify" vertical="center" textRotation="90"/>
      <protection hidden="1"/>
    </xf>
    <xf numFmtId="14" fontId="16" fillId="9" borderId="52" xfId="0" applyNumberFormat="1" applyFont="1" applyFill="1" applyBorder="1" applyAlignment="1" applyProtection="1">
      <alignment horizontal="justify" vertical="center"/>
      <protection locked="0"/>
    </xf>
    <xf numFmtId="14" fontId="16" fillId="9" borderId="52" xfId="0" applyNumberFormat="1" applyFont="1" applyFill="1" applyBorder="1" applyAlignment="1" applyProtection="1">
      <alignment horizontal="center" vertical="center"/>
      <protection locked="0"/>
    </xf>
    <xf numFmtId="0" fontId="13" fillId="9" borderId="50" xfId="0" applyFont="1" applyFill="1" applyBorder="1" applyAlignment="1" applyProtection="1">
      <alignment horizontal="justify" vertical="center"/>
      <protection hidden="1"/>
    </xf>
    <xf numFmtId="0" fontId="16" fillId="9" borderId="50" xfId="0" applyFont="1" applyFill="1" applyBorder="1" applyAlignment="1" applyProtection="1">
      <alignment horizontal="center" vertical="center"/>
      <protection hidden="1"/>
    </xf>
    <xf numFmtId="0" fontId="16" fillId="9" borderId="50" xfId="0" applyFont="1" applyFill="1" applyBorder="1" applyAlignment="1" applyProtection="1">
      <alignment horizontal="center" vertical="center" textRotation="90"/>
      <protection locked="0"/>
    </xf>
    <xf numFmtId="164" fontId="16" fillId="9" borderId="50" xfId="16" applyNumberFormat="1" applyFont="1" applyFill="1" applyBorder="1" applyAlignment="1">
      <alignment horizontal="center" vertical="center"/>
    </xf>
    <xf numFmtId="0" fontId="13" fillId="9" borderId="50" xfId="0" applyFont="1" applyFill="1" applyBorder="1" applyAlignment="1" applyProtection="1">
      <alignment horizontal="center" vertical="center" textRotation="90" wrapText="1"/>
      <protection hidden="1"/>
    </xf>
    <xf numFmtId="0" fontId="13" fillId="9" borderId="50" xfId="0" applyFont="1" applyFill="1" applyBorder="1" applyAlignment="1" applyProtection="1">
      <alignment horizontal="center" vertical="center" textRotation="90"/>
      <protection hidden="1"/>
    </xf>
    <xf numFmtId="0" fontId="123" fillId="9" borderId="60" xfId="0" applyFont="1" applyFill="1" applyBorder="1" applyAlignment="1" applyProtection="1">
      <alignment horizontal="center" vertical="center" wrapText="1"/>
      <protection locked="0"/>
    </xf>
    <xf numFmtId="9" fontId="16" fillId="9" borderId="53" xfId="0" applyNumberFormat="1" applyFont="1" applyFill="1" applyBorder="1" applyAlignment="1" applyProtection="1">
      <alignment horizontal="justify" vertical="center" wrapText="1"/>
      <protection hidden="1"/>
    </xf>
    <xf numFmtId="9" fontId="16" fillId="9" borderId="53" xfId="0" applyNumberFormat="1" applyFont="1" applyFill="1" applyBorder="1" applyAlignment="1" applyProtection="1">
      <alignment horizontal="justify" vertical="center" wrapText="1"/>
      <protection locked="0"/>
    </xf>
    <xf numFmtId="0" fontId="13" fillId="9" borderId="53" xfId="0" applyFont="1" applyFill="1" applyBorder="1" applyAlignment="1" applyProtection="1">
      <alignment horizontal="center" vertical="center" wrapText="1"/>
      <protection hidden="1"/>
    </xf>
    <xf numFmtId="0" fontId="13" fillId="9" borderId="53" xfId="0" applyFont="1" applyFill="1" applyBorder="1" applyAlignment="1" applyProtection="1">
      <alignment horizontal="justify" vertical="center"/>
      <protection hidden="1"/>
    </xf>
    <xf numFmtId="0" fontId="16" fillId="9" borderId="52" xfId="0" applyFont="1" applyFill="1" applyBorder="1" applyAlignment="1" applyProtection="1">
      <alignment horizontal="center" vertical="center"/>
      <protection hidden="1"/>
    </xf>
    <xf numFmtId="0" fontId="16" fillId="9" borderId="52" xfId="0" applyFont="1" applyFill="1" applyBorder="1" applyAlignment="1" applyProtection="1">
      <alignment horizontal="center" vertical="center" textRotation="90"/>
      <protection locked="0"/>
    </xf>
    <xf numFmtId="164" fontId="16" fillId="9" borderId="52" xfId="16" applyNumberFormat="1" applyFont="1" applyFill="1" applyBorder="1" applyAlignment="1">
      <alignment horizontal="center" vertical="center"/>
    </xf>
    <xf numFmtId="0" fontId="13" fillId="9" borderId="52" xfId="0" applyFont="1" applyFill="1" applyBorder="1" applyAlignment="1" applyProtection="1">
      <alignment horizontal="center" vertical="center" textRotation="90" wrapText="1"/>
      <protection hidden="1"/>
    </xf>
    <xf numFmtId="0" fontId="13" fillId="9" borderId="52" xfId="0" applyFont="1" applyFill="1" applyBorder="1" applyAlignment="1" applyProtection="1">
      <alignment horizontal="center" vertical="center" textRotation="90"/>
      <protection hidden="1"/>
    </xf>
    <xf numFmtId="0" fontId="123" fillId="9" borderId="107" xfId="0" applyFont="1" applyFill="1" applyBorder="1" applyAlignment="1" applyProtection="1">
      <alignment horizontal="center" vertical="center" wrapText="1"/>
      <protection locked="0"/>
    </xf>
    <xf numFmtId="0" fontId="16" fillId="9" borderId="52" xfId="0" applyFont="1" applyFill="1" applyBorder="1" applyAlignment="1" applyProtection="1">
      <alignment horizontal="center" vertical="center" wrapText="1"/>
      <protection locked="0"/>
    </xf>
    <xf numFmtId="0" fontId="123" fillId="9" borderId="81" xfId="0" applyFont="1" applyFill="1" applyBorder="1" applyAlignment="1" applyProtection="1">
      <alignment horizontal="center" vertical="center" wrapText="1"/>
      <protection locked="0"/>
    </xf>
    <xf numFmtId="0" fontId="16" fillId="9" borderId="53" xfId="0" applyFont="1" applyFill="1" applyBorder="1" applyAlignment="1" applyProtection="1">
      <alignment horizontal="center" vertical="center"/>
      <protection locked="0"/>
    </xf>
    <xf numFmtId="0" fontId="29" fillId="8" borderId="37" xfId="0" applyFont="1" applyFill="1" applyBorder="1" applyAlignment="1">
      <alignment horizontal="center" vertical="center"/>
    </xf>
    <xf numFmtId="0" fontId="29" fillId="8" borderId="117" xfId="0" applyFont="1" applyFill="1" applyBorder="1" applyAlignment="1">
      <alignment horizontal="center" vertical="center"/>
    </xf>
    <xf numFmtId="0" fontId="29" fillId="8" borderId="54" xfId="0" applyFont="1" applyFill="1" applyBorder="1" applyAlignment="1">
      <alignment horizontal="center" vertical="center"/>
    </xf>
    <xf numFmtId="0" fontId="29" fillId="8" borderId="91" xfId="0" applyFont="1" applyFill="1" applyBorder="1" applyAlignment="1">
      <alignment horizontal="center" vertical="center"/>
    </xf>
    <xf numFmtId="0" fontId="29" fillId="8" borderId="92" xfId="0" applyFont="1" applyFill="1" applyBorder="1" applyAlignment="1">
      <alignment horizontal="center" vertical="center"/>
    </xf>
    <xf numFmtId="0" fontId="29" fillId="8" borderId="171" xfId="0" applyFont="1" applyFill="1" applyBorder="1" applyAlignment="1">
      <alignment horizontal="center" vertical="center"/>
    </xf>
    <xf numFmtId="0" fontId="16" fillId="9" borderId="172" xfId="0" applyFont="1" applyFill="1" applyBorder="1" applyAlignment="1" applyProtection="1">
      <alignment horizontal="center" vertical="center" wrapText="1"/>
      <protection locked="0"/>
    </xf>
    <xf numFmtId="0" fontId="16" fillId="9" borderId="93" xfId="0" applyFont="1" applyFill="1" applyBorder="1" applyAlignment="1" applyProtection="1">
      <alignment horizontal="center" vertical="center" wrapText="1"/>
      <protection locked="0"/>
    </xf>
    <xf numFmtId="0" fontId="16" fillId="9" borderId="49" xfId="0" applyFont="1" applyFill="1" applyBorder="1" applyAlignment="1">
      <alignment horizontal="center" vertical="center" wrapText="1"/>
    </xf>
    <xf numFmtId="0" fontId="16" fillId="9" borderId="112" xfId="0" applyFont="1" applyFill="1" applyBorder="1" applyAlignment="1" applyProtection="1">
      <alignment horizontal="center" vertical="center" wrapText="1"/>
      <protection locked="0"/>
    </xf>
    <xf numFmtId="0" fontId="16" fillId="9" borderId="96" xfId="0" applyFont="1" applyFill="1" applyBorder="1" applyAlignment="1" applyProtection="1">
      <alignment horizontal="center" vertical="center" wrapText="1"/>
      <protection locked="0"/>
    </xf>
    <xf numFmtId="0" fontId="16" fillId="9" borderId="114" xfId="0" applyFont="1" applyFill="1" applyBorder="1" applyAlignment="1" applyProtection="1">
      <alignment horizontal="center" vertical="center" wrapText="1"/>
      <protection locked="0"/>
    </xf>
    <xf numFmtId="0" fontId="16" fillId="9" borderId="41" xfId="0" applyFont="1" applyFill="1" applyBorder="1" applyAlignment="1" applyProtection="1">
      <alignment horizontal="center" vertical="center" wrapText="1"/>
      <protection locked="0"/>
    </xf>
    <xf numFmtId="0" fontId="16" fillId="9" borderId="49" xfId="0" applyFont="1" applyFill="1" applyBorder="1" applyAlignment="1" applyProtection="1">
      <alignment horizontal="center" vertical="center" wrapText="1"/>
      <protection locked="0"/>
    </xf>
    <xf numFmtId="0" fontId="123" fillId="9" borderId="49" xfId="0" applyFont="1" applyFill="1" applyBorder="1" applyAlignment="1" applyProtection="1">
      <alignment horizontal="center" vertical="center" wrapText="1"/>
      <protection locked="0"/>
    </xf>
    <xf numFmtId="0" fontId="16" fillId="9" borderId="43" xfId="0" applyFont="1" applyFill="1" applyBorder="1" applyAlignment="1" applyProtection="1">
      <alignment horizontal="center" vertical="center" wrapText="1"/>
      <protection locked="0"/>
    </xf>
    <xf numFmtId="0" fontId="16" fillId="9" borderId="53" xfId="0" applyFont="1" applyFill="1" applyBorder="1" applyAlignment="1">
      <alignment horizontal="center" vertical="center"/>
    </xf>
    <xf numFmtId="0" fontId="16" fillId="9" borderId="54" xfId="0" applyFont="1" applyFill="1" applyBorder="1" applyAlignment="1" applyProtection="1">
      <alignment horizontal="center" vertical="center" wrapText="1"/>
      <protection locked="0"/>
    </xf>
    <xf numFmtId="0" fontId="16" fillId="9" borderId="59" xfId="0" applyFont="1" applyFill="1" applyBorder="1" applyAlignment="1" applyProtection="1">
      <alignment horizontal="center" vertical="center" wrapText="1"/>
      <protection locked="0"/>
    </xf>
    <xf numFmtId="0" fontId="16" fillId="9" borderId="56" xfId="0" applyFont="1" applyFill="1" applyBorder="1" applyAlignment="1" applyProtection="1">
      <alignment horizontal="center" vertical="center" wrapText="1"/>
      <protection locked="0"/>
    </xf>
    <xf numFmtId="0" fontId="16" fillId="9" borderId="38" xfId="0" applyFont="1" applyFill="1" applyBorder="1" applyAlignment="1" applyProtection="1">
      <alignment horizontal="center" vertical="center" wrapText="1"/>
      <protection locked="0"/>
    </xf>
    <xf numFmtId="0" fontId="123" fillId="9" borderId="56" xfId="0" applyFont="1" applyFill="1" applyBorder="1" applyAlignment="1" applyProtection="1">
      <alignment horizontal="center" vertical="center" wrapText="1"/>
      <protection locked="0"/>
    </xf>
    <xf numFmtId="0" fontId="16" fillId="9" borderId="172" xfId="0" applyFont="1" applyFill="1" applyBorder="1" applyAlignment="1">
      <alignment horizontal="center" vertical="center"/>
    </xf>
    <xf numFmtId="0" fontId="16" fillId="9" borderId="172" xfId="0" applyFont="1" applyFill="1" applyBorder="1" applyAlignment="1" applyProtection="1">
      <alignment horizontal="center" vertical="center" wrapText="1"/>
      <protection locked="0"/>
    </xf>
    <xf numFmtId="0" fontId="123" fillId="9" borderId="172" xfId="0" applyFont="1" applyFill="1" applyBorder="1" applyAlignment="1" applyProtection="1">
      <alignment horizontal="center" vertical="center" wrapText="1"/>
      <protection locked="0"/>
    </xf>
  </cellXfs>
  <cellStyles count="22">
    <cellStyle name="Excel Built-in Currency [0]" xfId="9" xr:uid="{FABAE853-1D2A-47CF-9121-0A06B10A31D0}"/>
    <cellStyle name="Hipervínculo 2" xfId="13" xr:uid="{7936C37B-FBD2-43EF-9FA1-16C2E1A2A185}"/>
    <cellStyle name="Moneda 2" xfId="6" xr:uid="{A70F239C-0687-4026-B631-59EE897BE17D}"/>
    <cellStyle name="Normal" xfId="0" builtinId="0"/>
    <cellStyle name="Normal 10" xfId="17" xr:uid="{3BDCE15E-3447-42F9-B475-F097EFEB374A}"/>
    <cellStyle name="Normal 11" xfId="19" xr:uid="{F1C2DAE2-3105-425D-969C-32259E01308A}"/>
    <cellStyle name="Normal 12" xfId="20" xr:uid="{6915762A-67FD-48E2-B4C8-92E88B96C094}"/>
    <cellStyle name="Normal 2" xfId="1" xr:uid="{00000000-0005-0000-0000-000001000000}"/>
    <cellStyle name="Normal 2 2" xfId="12" xr:uid="{D32F50AE-52CD-4911-8381-AA8F172F2179}"/>
    <cellStyle name="Normal 3" xfId="2" xr:uid="{9F39DA74-3561-45AB-A9F8-F0F1DF7F9137}"/>
    <cellStyle name="Normal 4" xfId="3" xr:uid="{39EBC8F5-15EC-4354-ACC3-AF6C96B4C436}"/>
    <cellStyle name="Normal 5" xfId="4" xr:uid="{3EB035AA-B078-4D8A-88F1-3F03164FF781}"/>
    <cellStyle name="Normal 6" xfId="5" xr:uid="{0EF03569-8475-465A-AB7F-2E2DEFC00DF7}"/>
    <cellStyle name="Normal 7" xfId="7" xr:uid="{277702CE-93D5-419F-B438-6F475D47B794}"/>
    <cellStyle name="Normal 8" xfId="10" xr:uid="{2E7E319C-D974-4499-B8DB-15470B08EFE5}"/>
    <cellStyle name="Normal 9" xfId="14" xr:uid="{B7C11B45-55AC-4D3C-A7AE-ED9CD5DD1CCA}"/>
    <cellStyle name="Porcentaje" xfId="16" builtinId="5"/>
    <cellStyle name="Porcentaje 2" xfId="8" xr:uid="{D5C6F6A0-1A75-4F98-B3F9-47CA5C193AAB}"/>
    <cellStyle name="Porcentaje 3" xfId="11" xr:uid="{96A515F3-A793-43AB-9A6A-E6B96DDDEA64}"/>
    <cellStyle name="Porcentaje 4" xfId="15" xr:uid="{3F965C8F-76B0-4B2E-86E8-5588F8CACA07}"/>
    <cellStyle name="Porcentaje 5" xfId="18" xr:uid="{11045511-3AF2-4F81-93D0-444188FD140D}"/>
    <cellStyle name="Porcentaje 6" xfId="21" xr:uid="{1071F6F4-E11D-402A-982F-53678D5AC56F}"/>
  </cellStyles>
  <dxfs count="227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bgColor rgb="FFFFFF00"/>
        </patternFill>
      </fill>
    </dxf>
    <dxf>
      <fill>
        <patternFill>
          <bgColor rgb="FFC00000"/>
        </patternFill>
      </fill>
    </dxf>
    <dxf>
      <fill>
        <patternFill>
          <bgColor rgb="FF92D050"/>
        </patternFill>
      </fill>
    </dxf>
    <dxf>
      <fill>
        <patternFill>
          <bgColor rgb="FFE46C0A"/>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rgb="FFFFFFFF"/>
      </font>
      <fill>
        <patternFill>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ont>
        <color rgb="FFFFFFFF"/>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C00000"/>
        </patternFill>
      </fill>
    </dxf>
    <dxf>
      <fill>
        <patternFill>
          <bgColor rgb="FFE46C0A"/>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rgb="FFFFFFFF"/>
      </font>
      <fill>
        <patternFill>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rgb="FFFFFFFF"/>
      </font>
      <fill>
        <patternFill>
          <bgColor rgb="FF92D050"/>
        </patternFill>
      </fill>
    </dxf>
    <dxf>
      <fill>
        <patternFill>
          <bgColor rgb="FFFF0000"/>
        </patternFill>
      </fill>
    </dxf>
    <dxf>
      <fill>
        <patternFill>
          <bgColor rgb="FFFFFF66"/>
        </patternFill>
      </fill>
    </dxf>
    <dxf>
      <fill>
        <patternFill>
          <bgColor rgb="FFFFC000"/>
        </patternFill>
      </fill>
    </dxf>
    <dxf>
      <font>
        <color rgb="FFFFFFFF"/>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92D050"/>
        </patternFill>
      </fill>
    </dxf>
    <dxf>
      <fill>
        <patternFill>
          <bgColor rgb="FFC00000"/>
        </patternFill>
      </fill>
    </dxf>
    <dxf>
      <fill>
        <patternFill>
          <bgColor rgb="FFE46C0A"/>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rgb="FFFFFFFF"/>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rgb="FFFFFFFF"/>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E46C0A"/>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E46C0A"/>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ont>
        <color rgb="FFFFFFFF"/>
      </font>
      <fill>
        <patternFill>
          <bgColor rgb="FF92D050"/>
        </patternFill>
      </fill>
    </dxf>
    <dxf>
      <fill>
        <patternFill>
          <bgColor rgb="FF00B05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rgb="FF9C0006"/>
      </font>
      <fill>
        <patternFill patternType="solid">
          <fgColor rgb="FFFFC7CE"/>
          <bgColor rgb="FFFFC7CE"/>
        </patternFill>
      </fill>
    </dxf>
    <dxf>
      <font>
        <color rgb="FF9C0006"/>
      </font>
      <fill>
        <patternFill>
          <bgColor rgb="FFFFC7CE"/>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ont>
        <color rgb="FFFFFFFF"/>
      </font>
      <fill>
        <patternFill>
          <bgColor rgb="FF92D050"/>
        </patternFill>
      </fill>
    </dxf>
    <dxf>
      <fill>
        <patternFill>
          <bgColor rgb="FF00B050"/>
        </patternFill>
      </fill>
    </dxf>
    <dxf>
      <fill>
        <patternFill>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bgColor rgb="FFC00000"/>
        </patternFill>
      </fill>
    </dxf>
    <dxf>
      <fill>
        <patternFill>
          <bgColor rgb="FFFFFF00"/>
        </patternFill>
      </fill>
    </dxf>
    <dxf>
      <fill>
        <patternFill>
          <bgColor rgb="FF92D050"/>
        </patternFill>
      </fill>
    </dxf>
    <dxf>
      <fill>
        <patternFill>
          <bgColor rgb="FFE46C0A"/>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bgColor rgb="FFFF0000"/>
        </patternFill>
      </fill>
    </dxf>
    <dxf>
      <fill>
        <patternFill>
          <bgColor rgb="FFFFC000"/>
        </patternFill>
      </fill>
    </dxf>
    <dxf>
      <fill>
        <patternFill>
          <bgColor rgb="FFFFFF66"/>
        </patternFill>
      </fill>
    </dxf>
    <dxf>
      <font>
        <color rgb="FFFFFFFF"/>
      </font>
      <fill>
        <patternFill>
          <bgColor rgb="FF92D050"/>
        </patternFill>
      </fill>
    </dxf>
    <dxf>
      <fill>
        <patternFill>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bgColor rgb="FFFFC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bgColor rgb="FFFFC000"/>
        </patternFill>
      </fill>
    </dxf>
    <dxf>
      <fill>
        <patternFill>
          <bgColor rgb="FF00B050"/>
        </patternFill>
      </fill>
    </dxf>
    <dxf>
      <fill>
        <patternFill>
          <bgColor rgb="FFFFFF66"/>
        </patternFill>
      </fill>
    </dxf>
    <dxf>
      <font>
        <color rgb="FFFFFFFF"/>
      </font>
      <fill>
        <patternFill>
          <bgColor rgb="FF92D05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patternType="solid">
          <fgColor rgb="FF92D050"/>
          <bgColor rgb="FF92D050"/>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E46C0A"/>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FFFFFF"/>
      </font>
      <fill>
        <patternFill>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rgb="FFFFFFFF"/>
      </font>
      <fill>
        <patternFill>
          <bgColor rgb="FF92D050"/>
        </patternFill>
      </fill>
    </dxf>
    <dxf>
      <fill>
        <patternFill>
          <bgColor rgb="FF00B050"/>
        </patternFill>
      </fill>
    </dxf>
    <dxf>
      <fill>
        <patternFill>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bgColor rgb="FF92D050"/>
        </patternFill>
      </fill>
    </dxf>
    <dxf>
      <fill>
        <patternFill>
          <bgColor rgb="FFFFFF00"/>
        </patternFill>
      </fill>
    </dxf>
    <dxf>
      <fill>
        <patternFill>
          <bgColor rgb="FFE46C0A"/>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color rgb="FFFFFFFF"/>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00B050"/>
        </patternFill>
      </fill>
    </dxf>
    <dxf>
      <font>
        <color rgb="FFFFFFFF"/>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bgColor rgb="FFFFFF00"/>
        </patternFill>
      </fill>
    </dxf>
    <dxf>
      <fill>
        <patternFill>
          <bgColor rgb="FFE46C0A"/>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E46C0A"/>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ont>
        <color rgb="FFFFFFFF"/>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ont>
        <color rgb="FFFFFFFF"/>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63" Type="http://schemas.openxmlformats.org/officeDocument/2006/relationships/externalLink" Target="externalLinks/externalLink41.xml"/><Relationship Id="rId68" Type="http://schemas.openxmlformats.org/officeDocument/2006/relationships/externalLink" Target="externalLinks/externalLink46.xml"/><Relationship Id="rId84" Type="http://schemas.openxmlformats.org/officeDocument/2006/relationships/externalLink" Target="externalLinks/externalLink62.xml"/><Relationship Id="rId89" Type="http://schemas.openxmlformats.org/officeDocument/2006/relationships/externalLink" Target="externalLinks/externalLink67.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53" Type="http://schemas.openxmlformats.org/officeDocument/2006/relationships/externalLink" Target="externalLinks/externalLink31.xml"/><Relationship Id="rId58" Type="http://schemas.openxmlformats.org/officeDocument/2006/relationships/externalLink" Target="externalLinks/externalLink36.xml"/><Relationship Id="rId74" Type="http://schemas.openxmlformats.org/officeDocument/2006/relationships/externalLink" Target="externalLinks/externalLink52.xml"/><Relationship Id="rId79" Type="http://schemas.openxmlformats.org/officeDocument/2006/relationships/externalLink" Target="externalLinks/externalLink57.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68.xml"/><Relationship Id="rId95" Type="http://schemas.openxmlformats.org/officeDocument/2006/relationships/externalLink" Target="externalLinks/externalLink73.xml"/><Relationship Id="rId22" Type="http://schemas.openxmlformats.org/officeDocument/2006/relationships/worksheet" Target="worksheets/sheet22.xml"/><Relationship Id="rId27" Type="http://schemas.openxmlformats.org/officeDocument/2006/relationships/externalLink" Target="externalLinks/externalLink5.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64" Type="http://schemas.openxmlformats.org/officeDocument/2006/relationships/externalLink" Target="externalLinks/externalLink42.xml"/><Relationship Id="rId69" Type="http://schemas.openxmlformats.org/officeDocument/2006/relationships/externalLink" Target="externalLinks/externalLink47.xml"/><Relationship Id="rId80" Type="http://schemas.openxmlformats.org/officeDocument/2006/relationships/externalLink" Target="externalLinks/externalLink58.xml"/><Relationship Id="rId85" Type="http://schemas.openxmlformats.org/officeDocument/2006/relationships/externalLink" Target="externalLinks/externalLink6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59" Type="http://schemas.openxmlformats.org/officeDocument/2006/relationships/externalLink" Target="externalLinks/externalLink37.xml"/><Relationship Id="rId67" Type="http://schemas.openxmlformats.org/officeDocument/2006/relationships/externalLink" Target="externalLinks/externalLink45.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externalLink" Target="externalLinks/externalLink32.xml"/><Relationship Id="rId62" Type="http://schemas.openxmlformats.org/officeDocument/2006/relationships/externalLink" Target="externalLinks/externalLink40.xml"/><Relationship Id="rId70" Type="http://schemas.openxmlformats.org/officeDocument/2006/relationships/externalLink" Target="externalLinks/externalLink48.xml"/><Relationship Id="rId75" Type="http://schemas.openxmlformats.org/officeDocument/2006/relationships/externalLink" Target="externalLinks/externalLink53.xml"/><Relationship Id="rId83" Type="http://schemas.openxmlformats.org/officeDocument/2006/relationships/externalLink" Target="externalLinks/externalLink61.xml"/><Relationship Id="rId88" Type="http://schemas.openxmlformats.org/officeDocument/2006/relationships/externalLink" Target="externalLinks/externalLink66.xml"/><Relationship Id="rId91" Type="http://schemas.openxmlformats.org/officeDocument/2006/relationships/externalLink" Target="externalLinks/externalLink69.xml"/><Relationship Id="rId96" Type="http://schemas.openxmlformats.org/officeDocument/2006/relationships/externalLink" Target="externalLinks/externalLink7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57" Type="http://schemas.openxmlformats.org/officeDocument/2006/relationships/externalLink" Target="externalLinks/externalLink35.xml"/><Relationship Id="rId10" Type="http://schemas.openxmlformats.org/officeDocument/2006/relationships/worksheet" Target="worksheets/sheet10.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externalLink" Target="externalLinks/externalLink30.xml"/><Relationship Id="rId60" Type="http://schemas.openxmlformats.org/officeDocument/2006/relationships/externalLink" Target="externalLinks/externalLink38.xml"/><Relationship Id="rId65" Type="http://schemas.openxmlformats.org/officeDocument/2006/relationships/externalLink" Target="externalLinks/externalLink43.xml"/><Relationship Id="rId73" Type="http://schemas.openxmlformats.org/officeDocument/2006/relationships/externalLink" Target="externalLinks/externalLink51.xml"/><Relationship Id="rId78" Type="http://schemas.openxmlformats.org/officeDocument/2006/relationships/externalLink" Target="externalLinks/externalLink56.xml"/><Relationship Id="rId81" Type="http://schemas.openxmlformats.org/officeDocument/2006/relationships/externalLink" Target="externalLinks/externalLink59.xml"/><Relationship Id="rId86" Type="http://schemas.openxmlformats.org/officeDocument/2006/relationships/externalLink" Target="externalLinks/externalLink64.xml"/><Relationship Id="rId94" Type="http://schemas.openxmlformats.org/officeDocument/2006/relationships/externalLink" Target="externalLinks/externalLink72.xml"/><Relationship Id="rId99" Type="http://schemas.openxmlformats.org/officeDocument/2006/relationships/externalLink" Target="externalLinks/externalLink77.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7.xml"/><Relationship Id="rId34" Type="http://schemas.openxmlformats.org/officeDocument/2006/relationships/externalLink" Target="externalLinks/externalLink12.xml"/><Relationship Id="rId50" Type="http://schemas.openxmlformats.org/officeDocument/2006/relationships/externalLink" Target="externalLinks/externalLink28.xml"/><Relationship Id="rId55" Type="http://schemas.openxmlformats.org/officeDocument/2006/relationships/externalLink" Target="externalLinks/externalLink33.xml"/><Relationship Id="rId76" Type="http://schemas.openxmlformats.org/officeDocument/2006/relationships/externalLink" Target="externalLinks/externalLink54.xml"/><Relationship Id="rId97" Type="http://schemas.openxmlformats.org/officeDocument/2006/relationships/externalLink" Target="externalLinks/externalLink75.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49.xml"/><Relationship Id="rId92" Type="http://schemas.openxmlformats.org/officeDocument/2006/relationships/externalLink" Target="externalLinks/externalLink70.xml"/><Relationship Id="rId2" Type="http://schemas.openxmlformats.org/officeDocument/2006/relationships/worksheet" Target="worksheets/sheet2.xml"/><Relationship Id="rId29" Type="http://schemas.openxmlformats.org/officeDocument/2006/relationships/externalLink" Target="externalLinks/externalLink7.xml"/><Relationship Id="rId24" Type="http://schemas.openxmlformats.org/officeDocument/2006/relationships/externalLink" Target="externalLinks/externalLink2.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66" Type="http://schemas.openxmlformats.org/officeDocument/2006/relationships/externalLink" Target="externalLinks/externalLink44.xml"/><Relationship Id="rId87" Type="http://schemas.openxmlformats.org/officeDocument/2006/relationships/externalLink" Target="externalLinks/externalLink65.xml"/><Relationship Id="rId61" Type="http://schemas.openxmlformats.org/officeDocument/2006/relationships/externalLink" Target="externalLinks/externalLink39.xml"/><Relationship Id="rId82" Type="http://schemas.openxmlformats.org/officeDocument/2006/relationships/externalLink" Target="externalLinks/externalLink6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56" Type="http://schemas.openxmlformats.org/officeDocument/2006/relationships/externalLink" Target="externalLinks/externalLink34.xml"/><Relationship Id="rId77" Type="http://schemas.openxmlformats.org/officeDocument/2006/relationships/externalLink" Target="externalLinks/externalLink55.xml"/><Relationship Id="rId100" Type="http://schemas.openxmlformats.org/officeDocument/2006/relationships/externalLink" Target="externalLinks/externalLink78.xml"/><Relationship Id="rId8" Type="http://schemas.openxmlformats.org/officeDocument/2006/relationships/worksheet" Target="worksheets/sheet8.xml"/><Relationship Id="rId51" Type="http://schemas.openxmlformats.org/officeDocument/2006/relationships/externalLink" Target="externalLinks/externalLink29.xml"/><Relationship Id="rId72" Type="http://schemas.openxmlformats.org/officeDocument/2006/relationships/externalLink" Target="externalLinks/externalLink50.xml"/><Relationship Id="rId93" Type="http://schemas.openxmlformats.org/officeDocument/2006/relationships/externalLink" Target="externalLinks/externalLink71.xml"/><Relationship Id="rId98" Type="http://schemas.openxmlformats.org/officeDocument/2006/relationships/externalLink" Target="externalLinks/externalLink76.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685800"/>
    <xdr:pic>
      <xdr:nvPicPr>
        <xdr:cNvPr id="2" name="image1.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ON%20GEST%20HUMANA.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ON%20GEST%20HUMAN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ON%20CONTROL%20DISCIPLINARIO.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ON%20CONTROL%20DISCIPLINARIO.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ON%20PLANEAC%20ESTRAG%20Y%20TERR.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ON%20PLANEAC%20ESTRAG%20Y%20TERR.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ON%20SALUD.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ON%20SALUD.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ON%20SEC%20EDUCACION.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ON%20SEC%20EDUCACION.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ON%20SOCIAL%20Y%20COMUNITARIA.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ON%20SOCIAL%20Y%20COMUNITARIA.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ON%20ARTISTICA%20Y%20CULTURAL.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ON%20ARTISTICA%20Y%20CULTURAL.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ON%20INFRA%20Y%20OBRAS%20PUBLICAS.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ON%20INFRA%20Y%20OBRAS%20PUBLICAS.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ON%20GOBER%20CONV%20Y%20SEG%20CIUDADANA.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ON%20GOBER%20CONV%20Y%20SEG%20CIUDADANA.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211;N%20DESARROLLO%20ECON&#211;MICO%20Y%20COMPET.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211;N%20DESARROLLO%20ECON&#211;MICO%20Y%20COMPET.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ON%20DE%20INNOVACION%20Y%20TIC.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ON%20DE%20INNOVACION%20Y%20TIC.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ON%20SERVICIO%20ATENCION%20CIUDADANO.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ON%20SERVICIO%20ATENCION%20CIUDADANO.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ON%20SEC%20MED%20AMB%20GR.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ON%20SEC%20MED%20AMB%20GR.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ON%20CATASTRAL.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ON%20CATASTRAL.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ON%20PART%20CIUDADANA.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ON%20PART%20CIUDADANA.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ON%20HACIENDA%20PUBLICA.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ON%20HACIENDA%20PUBLICA.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ON%20DOCUMENTAL.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ON%20DOCUMENTAL.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ON%20JURIDICA.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ON%20JURIDIC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Users/DORIS/Documents/riesgos/2024/MAPA%20RIESGOS%20GIT%202024.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ON%20INFRA%20TECNOLOGICA.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ON%20INFRA%20TECNOLOGICA.xlsx"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LINA%20ALVAREZ/GESTION/GESTION%20RECURSOS%20FISICOS.xlsx" TargetMode="External"/><Relationship Id="rId1" Type="http://schemas.openxmlformats.org/officeDocument/2006/relationships/externalLinkPath" Target="https://d.docs.live.net/8ed9c3e3b75d16b0/Documentos/SECRETARIA%20DE%20PLANEACION%20MPAL/INFORME%20DE%20ACTIVIDADES/REVISION%20DEPENDENCIAS/MATRIZ/LINA%20ALVAREZ/GESTION/GESTION%20RECURSOS%20FISICO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UDITORIAS%20%20A&#209;O%202023\DOCUEMENTOS%20%20ESTRATEGICOS%20%20%20DE%20LA%20OFICINA%20DE%20CONTROL%20INTERNO\MAPAS%20DE%20RIESGOS\MAPA%20DE%20RIESGOS%20%202023%20%20%20ADMON%20%20Y%20DE%20CORRUPCION\MAPA%20%20RIESGOS%20DE%20GESTION%20PROC%20%20EVALUACI&#211;N%20Y%20SEGUIMIENTO%202023%20OK.xlsx"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https://d.docs.live.net/8ed9c3e3b75d16b0/Documentos/SECRETARIA%20DE%20PLANEACION%20MPAL/INFORME%20DE%20ACTIVIDADES/REVISION%20DEPENDENCIAS/MATRIZ/MONITOREO/MX%20GESTION/JULIO24/AGOST14-%20SIG/MAPA%20RIESGOS%20SIG%20JUN24.xlsx" TargetMode="External"/><Relationship Id="rId1" Type="http://schemas.openxmlformats.org/officeDocument/2006/relationships/externalLinkPath" Target="https://d.docs.live.net/8ed9c3e3b75d16b0/Documentos/SECRETARIA%20DE%20PLANEACION%20MPAL/INFORME%20DE%20ACTIVIDADES/REVISION%20DEPENDENCIAS/MATRIZ/MONITOREO/MX%20GESTION/JULIO24/AGOST14-%20SIG/MAPA%20RIESGOS%20SIG%20JUN24.xlsx" TargetMode="External"/></Relationships>
</file>

<file path=xl/externalLinks/_rels/externalLink24.xml.rels><?xml version="1.0" encoding="UTF-8" standalone="yes"?>
<Relationships xmlns="http://schemas.openxmlformats.org/package/2006/relationships"><Relationship Id="rId3" Type="http://schemas.openxmlformats.org/officeDocument/2006/relationships/externalLinkPath" Target="https://d.docs.live.net/8ed9c3e3b75d16b0/Documentos/SECRETARIA%20DE%20PLANEACION%20MPAL/INFORME%20DE%20ACTIVIDADES/REVISION%20DEPENDENCIAS/MATRIZ/MONITOREO/10-8-24%20REV%20SIGAMI%20RIESGOS%20GEST-CORRUPCION/2.%20MONITOREO/CONSOL%20GESTION/GEST%20INF%20Y%20COMUNIC.xlsx" TargetMode="External"/><Relationship Id="rId2" Type="http://schemas.microsoft.com/office/2019/04/relationships/externalLinkLongPath" Target="https://d.docs.live.net/8ed9c3e3b75d16b0/Documentos/SECRETARIA%20DE%20PLANEACION%20MPAL/INFORME%20DE%20ACTIVIDADES/REVISION%20DEPENDENCIAS/MATRIZ/1.%20MONITOREO/10-8-24%20REV%20SIGAMI%20RIESGOS%20GEST-CORRUPCION/CONSOL%20GESTION/GEST%20INF%20Y%20COMUNIC.xlsx?28BA0454" TargetMode="External"/><Relationship Id="rId1" Type="http://schemas.openxmlformats.org/officeDocument/2006/relationships/externalLinkPath" Target="file:///\\28BA0454\GEST%20INF%20Y%20COMUNIC.xlsx" TargetMode="External"/></Relationships>
</file>

<file path=xl/externalLinks/_rels/externalLink25.xml.rels><?xml version="1.0" encoding="UTF-8" standalone="yes"?>
<Relationships xmlns="http://schemas.openxmlformats.org/package/2006/relationships"><Relationship Id="rId3" Type="http://schemas.openxmlformats.org/officeDocument/2006/relationships/externalLinkPath" Target="https://d.docs.live.net/8ed9c3e3b75d16b0/Documentos/SECRETARIA%20DE%20PLANEACION%20MPAL/INFORME%20DE%20ACTIVIDADES/REVISION%20DEPENDENCIAS/MATRIZ/MONITOREO/10-8-24%20REV%20SIGAMI%20RIESGOS%20GEST-CORRUPCION/2.%20MONITOREO/CONSOL%20GESTION/GEST%20HUMANA.xlsx" TargetMode="External"/><Relationship Id="rId2" Type="http://schemas.microsoft.com/office/2019/04/relationships/externalLinkLongPath" Target="https://d.docs.live.net/8ed9c3e3b75d16b0/Documentos/SECRETARIA%20DE%20PLANEACION%20MPAL/INFORME%20DE%20ACTIVIDADES/REVISION%20DEPENDENCIAS/MATRIZ/1.%20MONITOREO/10-8-24%20REV%20SIGAMI%20RIESGOS%20GEST-CORRUPCION/CONSOL%20GESTION/GEST%20HUMANA.xlsx?28BA0454" TargetMode="External"/><Relationship Id="rId1" Type="http://schemas.openxmlformats.org/officeDocument/2006/relationships/externalLinkPath" Target="file:///\\28BA0454\GEST%20HUMANA.xlsx" TargetMode="External"/></Relationships>
</file>

<file path=xl/externalLinks/_rels/externalLink26.xml.rels><?xml version="1.0" encoding="UTF-8" standalone="yes"?>
<Relationships xmlns="http://schemas.openxmlformats.org/package/2006/relationships"><Relationship Id="rId3" Type="http://schemas.openxmlformats.org/officeDocument/2006/relationships/externalLinkPath" Target="https://d.docs.live.net/8ed9c3e3b75d16b0/Documentos/SECRETARIA%20DE%20PLANEACION%20MPAL/INFORME%20DE%20ACTIVIDADES/REVISION%20DEPENDENCIAS/MATRIZ/MONITOREO/10-8-24%20REV%20SIGAMI%20RIESGOS%20GEST-CORRUPCION/2.%20MONITOREO/CONSOL%20GESTION/GEST%20CTRL%20DISCIP.xlsx" TargetMode="External"/><Relationship Id="rId2" Type="http://schemas.microsoft.com/office/2019/04/relationships/externalLinkLongPath" Target="https://d.docs.live.net/8ed9c3e3b75d16b0/Documentos/SECRETARIA%20DE%20PLANEACION%20MPAL/INFORME%20DE%20ACTIVIDADES/REVISION%20DEPENDENCIAS/MATRIZ/1.%20MONITOREO/10-8-24%20REV%20SIGAMI%20RIESGOS%20GEST-CORRUPCION/CONSOL%20GESTION/GEST%20CTRL%20DISCIP.xlsx?28BA0454" TargetMode="External"/><Relationship Id="rId1" Type="http://schemas.openxmlformats.org/officeDocument/2006/relationships/externalLinkPath" Target="file:///\\28BA0454\GEST%20CTRL%20DISCIP.xlsx"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https://d.docs.live.net/8ed9c3e3b75d16b0/Documentos/SECRETARIA%20DE%20PLANEACION%20MPAL/INFORME%20DE%20ACTIVIDADES/REVISION%20DEPENDENCIAS/MATRIZ/1.%20MONITOREO/10-8-24%20REV%20SIGAMI%20RIESGOS%20GEST-CORRUPCION/CONSOL%20GESTION/03%20Mapa%20de%20Riesgos%20de%20Gesti&#243;n%20PET%20May-Jun%202024.xlsx?28BA0454" TargetMode="External"/><Relationship Id="rId1" Type="http://schemas.openxmlformats.org/officeDocument/2006/relationships/externalLinkPath" Target="file:///\\28BA0454\03%20Mapa%20de%20Riesgos%20de%20Gesti&#243;n%20PET%20May-Jun%202024.xlsx" TargetMode="External"/></Relationships>
</file>

<file path=xl/externalLinks/_rels/externalLink28.xml.rels><?xml version="1.0" encoding="UTF-8" standalone="yes"?>
<Relationships xmlns="http://schemas.openxmlformats.org/package/2006/relationships"><Relationship Id="rId3" Type="http://schemas.openxmlformats.org/officeDocument/2006/relationships/externalLinkPath" Target="https://d.docs.live.net/8ed9c3e3b75d16b0/Documentos/SECRETARIA%20DE%20PLANEACION%20MPAL/INFORME%20DE%20ACTIVIDADES/REVISION%20DEPENDENCIAS/MATRIZ/MONITOREO/10-8-24%20REV%20SIGAMI%20RIESGOS%20GEST-CORRUPCION/2.%20MONITOREO/CONSOL%20GESTION/GESTION%20SIG-MIPG.xlsx" TargetMode="External"/><Relationship Id="rId2" Type="http://schemas.microsoft.com/office/2019/04/relationships/externalLinkLongPath" Target="https://d.docs.live.net/8ed9c3e3b75d16b0/Documentos/SECRETARIA%20DE%20PLANEACION%20MPAL/INFORME%20DE%20ACTIVIDADES/REVISION%20DEPENDENCIAS/MATRIZ/1.%20MONITOREO/10-8-24%20REV%20SIGAMI%20RIESGOS%20GEST-CORRUPCION/CONSOL%20GESTION/GESTION%20SIG-MIPG.xlsx?28BA0454" TargetMode="External"/><Relationship Id="rId1" Type="http://schemas.openxmlformats.org/officeDocument/2006/relationships/externalLinkPath" Target="file:///\\28BA0454\GESTION%20SIG-MIPG.xlsx" TargetMode="External"/></Relationships>
</file>

<file path=xl/externalLinks/_rels/externalLink29.xml.rels><?xml version="1.0" encoding="UTF-8" standalone="yes"?>
<Relationships xmlns="http://schemas.openxmlformats.org/package/2006/relationships"><Relationship Id="rId3" Type="http://schemas.openxmlformats.org/officeDocument/2006/relationships/externalLinkPath" Target="https://d.docs.live.net/8ed9c3e3b75d16b0/Documentos/SECRETARIA%20DE%20PLANEACION%20MPAL/INFORME%20DE%20ACTIVIDADES/REVISION%20DEPENDENCIAS/MATRIZ/MONITOREO/10-8-24%20REV%20SIGAMI%20RIESGOS%20GEST-CORRUPCION/2.%20MONITOREO/CONSOL%20GESTION/GEST%20SALUD.xlsx" TargetMode="External"/><Relationship Id="rId2" Type="http://schemas.microsoft.com/office/2019/04/relationships/externalLinkLongPath" Target="https://d.docs.live.net/8ed9c3e3b75d16b0/Documentos/SECRETARIA%20DE%20PLANEACION%20MPAL/INFORME%20DE%20ACTIVIDADES/REVISION%20DEPENDENCIAS/MATRIZ/1.%20MONITOREO/10-8-24%20REV%20SIGAMI%20RIESGOS%20GEST-CORRUPCION/CONSOL%20GESTION/GEST%20SALUD.xlsx?28BA0454" TargetMode="External"/><Relationship Id="rId1" Type="http://schemas.openxmlformats.org/officeDocument/2006/relationships/externalLinkPath" Target="file:///\\28BA0454\GEST%20SALUD.xlsx" TargetMode="External"/></Relationships>
</file>

<file path=xl/externalLinks/_rels/externalLink30.xml.rels><?xml version="1.0" encoding="UTF-8" standalone="yes"?>
<Relationships xmlns="http://schemas.openxmlformats.org/package/2006/relationships"><Relationship Id="rId3" Type="http://schemas.openxmlformats.org/officeDocument/2006/relationships/externalLinkPath" Target="https://d.docs.live.net/8ed9c3e3b75d16b0/Documentos/SECRETARIA%20DE%20PLANEACION%20MPAL/INFORME%20DE%20ACTIVIDADES/REVISION%20DEPENDENCIAS/MATRIZ/MONITOREO/10-8-24%20REV%20SIGAMI%20RIESGOS%20GEST-CORRUPCION/2.%20MONITOREO/CONSOL%20GESTION/GEST%20EDUCATIVA.xlsx" TargetMode="External"/><Relationship Id="rId2" Type="http://schemas.microsoft.com/office/2019/04/relationships/externalLinkLongPath" Target="https://d.docs.live.net/8ed9c3e3b75d16b0/Documentos/SECRETARIA%20DE%20PLANEACION%20MPAL/INFORME%20DE%20ACTIVIDADES/REVISION%20DEPENDENCIAS/MATRIZ/1.%20MONITOREO/10-8-24%20REV%20SIGAMI%20RIESGOS%20GEST-CORRUPCION/CONSOL%20GESTION/GEST%20EDUCATIVA.xlsx?28BA0454" TargetMode="External"/><Relationship Id="rId1" Type="http://schemas.openxmlformats.org/officeDocument/2006/relationships/externalLinkPath" Target="file:///\\28BA0454\GEST%20EDUCATIVA.xlsx" TargetMode="External"/></Relationships>
</file>

<file path=xl/externalLinks/_rels/externalLink31.xml.rels><?xml version="1.0" encoding="UTF-8" standalone="yes"?>
<Relationships xmlns="http://schemas.openxmlformats.org/package/2006/relationships"><Relationship Id="rId3" Type="http://schemas.openxmlformats.org/officeDocument/2006/relationships/externalLinkPath" Target="https://d.docs.live.net/8ed9c3e3b75d16b0/Documentos/SECRETARIA%20DE%20PLANEACION%20MPAL/INFORME%20DE%20ACTIVIDADES/REVISION%20DEPENDENCIAS/MATRIZ/MONITOREO/10-8-24%20REV%20SIGAMI%20RIESGOS%20GEST-CORRUPCION/2.%20MONITOREO/CONSOL%20GESTION/GEST%20ART%20CULTURAL.xlsx" TargetMode="External"/><Relationship Id="rId2" Type="http://schemas.microsoft.com/office/2019/04/relationships/externalLinkLongPath" Target="https://d.docs.live.net/8ed9c3e3b75d16b0/Documentos/SECRETARIA%20DE%20PLANEACION%20MPAL/INFORME%20DE%20ACTIVIDADES/REVISION%20DEPENDENCIAS/MATRIZ/1.%20MONITOREO/10-8-24%20REV%20SIGAMI%20RIESGOS%20GEST-CORRUPCION/CONSOL%20GESTION/GEST%20ART%20CULTURAL.xlsx?28BA0454" TargetMode="External"/><Relationship Id="rId1" Type="http://schemas.openxmlformats.org/officeDocument/2006/relationships/externalLinkPath" Target="file:///\\28BA0454\GEST%20ART%20CULTURAL.xlsx" TargetMode="External"/></Relationships>
</file>

<file path=xl/externalLinks/_rels/externalLink32.xml.rels><?xml version="1.0" encoding="UTF-8" standalone="yes"?>
<Relationships xmlns="http://schemas.openxmlformats.org/package/2006/relationships"><Relationship Id="rId3" Type="http://schemas.openxmlformats.org/officeDocument/2006/relationships/externalLinkPath" Target="https://d.docs.live.net/8ed9c3e3b75d16b0/Documentos/SECRETARIA%20DE%20PLANEACION%20MPAL/INFORME%20DE%20ACTIVIDADES/REVISION%20DEPENDENCIAS/MATRIZ/MONITOREO/10-8-24%20REV%20SIGAMI%20RIESGOS%20GEST-CORRUPCION/2.%20MONITOREO/CONSOL%20GESTION/GEST%20INFRA%20Y%20OBR%20PUBL.xlsx" TargetMode="External"/><Relationship Id="rId2" Type="http://schemas.microsoft.com/office/2019/04/relationships/externalLinkLongPath" Target="https://d.docs.live.net/8ed9c3e3b75d16b0/Documentos/SECRETARIA%20DE%20PLANEACION%20MPAL/INFORME%20DE%20ACTIVIDADES/REVISION%20DEPENDENCIAS/MATRIZ/1.%20MONITOREO/10-8-24%20REV%20SIGAMI%20RIESGOS%20GEST-CORRUPCION/CONSOL%20GESTION/GEST%20INFRA%20Y%20OBR%20PUBL.xlsx?28BA0454" TargetMode="External"/><Relationship Id="rId1" Type="http://schemas.openxmlformats.org/officeDocument/2006/relationships/externalLinkPath" Target="file:///\\28BA0454\GEST%20INFRA%20Y%20OBR%20PUBL.xlsx" TargetMode="External"/></Relationships>
</file>

<file path=xl/externalLinks/_rels/externalLink33.xml.rels><?xml version="1.0" encoding="UTF-8" standalone="yes"?>
<Relationships xmlns="http://schemas.openxmlformats.org/package/2006/relationships"><Relationship Id="rId3" Type="http://schemas.openxmlformats.org/officeDocument/2006/relationships/externalLinkPath" Target="https://d.docs.live.net/8ed9c3e3b75d16b0/Documentos/SECRETARIA%20DE%20PLANEACION%20MPAL/INFORME%20DE%20ACTIVIDADES/REVISION%20DEPENDENCIAS/MATRIZ/1.%20MONITOREO/10-8-24%20REV%20SIGAMI%20RIESGOS%20GEST-CORRUPCION/4.%20BIM%20(JUL-AGOST_24)/7.%20GOBER%5eJCONV%5eJSEG%20CIUDADANA/MAPA%20RIESGO%20GEST.xlsx" TargetMode="External"/><Relationship Id="rId2" Type="http://schemas.microsoft.com/office/2019/04/relationships/externalLinkLongPath" Target="https://d.docs.live.net/8ed9c3e3b75d16b0/Documentos/SECRETARIA%20DE%20PLANEACION%20MPAL/INFORME%20DE%20ACTIVIDADES/REVISION%20DEPENDENCIAS/MATRIZ/1.%20MONITOREO/10-8-24%20REV%20SIGAMI%20RIESGOS%20GEST-CORRUPCION/7.%20GOBER%5eJCONV%5eJSEG%20CIUDADANA/MAPA%20RIESGO%20GEST.xlsx?CD7ED780" TargetMode="External"/><Relationship Id="rId1" Type="http://schemas.openxmlformats.org/officeDocument/2006/relationships/externalLinkPath" Target="file:///\\CD7ED780\MAPA%20RIESGO%20GEST.xlsx" TargetMode="External"/></Relationships>
</file>

<file path=xl/externalLinks/_rels/externalLink34.xml.rels><?xml version="1.0" encoding="UTF-8" standalone="yes"?>
<Relationships xmlns="http://schemas.openxmlformats.org/package/2006/relationships"><Relationship Id="rId3" Type="http://schemas.openxmlformats.org/officeDocument/2006/relationships/externalLinkPath" Target="https://d.docs.live.net/8ed9c3e3b75d16b0/Documentos/SECRETARIA%20DE%20PLANEACION%20MPAL/INFORME%20DE%20ACTIVIDADES/REVISION%20DEPENDENCIAS/MATRIZ/1.%20MONITOREO/10-8-24%20REV%20SIGAMI%20RIESGOS%20GEST-CORRUPCION/4.%20BIM%20(JUL-AGOST_24)/18.%20GEST%20DES%20ECON%20Y%20COMPETITIVIDAD/MAPA%20GEST.xlsx" TargetMode="External"/><Relationship Id="rId2" Type="http://schemas.microsoft.com/office/2019/04/relationships/externalLinkLongPath" Target="https://d.docs.live.net/8ed9c3e3b75d16b0/Documentos/SECRETARIA%20DE%20PLANEACION%20MPAL/INFORME%20DE%20ACTIVIDADES/REVISION%20DEPENDENCIAS/MATRIZ/1.%20MONITOREO/10-8-24%20REV%20SIGAMI%20RIESGOS%20GEST-CORRUPCION/18.%20GEST%20DES%20ECON%20Y%20COMPETITIVIDAD/MAPA%20GEST.xlsx?A9CF85B1" TargetMode="External"/><Relationship Id="rId1" Type="http://schemas.openxmlformats.org/officeDocument/2006/relationships/externalLinkPath" Target="file:///\\A9CF85B1\MAPA%20GEST.xlsx" TargetMode="External"/></Relationships>
</file>

<file path=xl/externalLinks/_rels/externalLink35.xml.rels><?xml version="1.0" encoding="UTF-8" standalone="yes"?>
<Relationships xmlns="http://schemas.openxmlformats.org/package/2006/relationships"><Relationship Id="rId3" Type="http://schemas.openxmlformats.org/officeDocument/2006/relationships/externalLinkPath" Target="https://d.docs.live.net/8ed9c3e3b75d16b0/Documentos/SECRETARIA%20DE%20PLANEACION%20MPAL/INFORME%20DE%20ACTIVIDADES/REVISION%20DEPENDENCIAS/MATRIZ/1.%20MONITOREO/10-8-24%20REV%20SIGAMI%20RIESGOS%20GEST-CORRUPCION/4.%20BIM%20(JUL-AGOST_24)/12.%20GEST%20INNOV%20TIC/MapaRiesgoGestionn_GI2024.xlsx" TargetMode="External"/><Relationship Id="rId2" Type="http://schemas.microsoft.com/office/2019/04/relationships/externalLinkLongPath" Target="https://d.docs.live.net/8ed9c3e3b75d16b0/Documentos/SECRETARIA%20DE%20PLANEACION%20MPAL/INFORME%20DE%20ACTIVIDADES/REVISION%20DEPENDENCIAS/MATRIZ/1.%20MONITOREO/10-8-24%20REV%20SIGAMI%20RIESGOS%20GEST-CORRUPCION/12.%20GEST%20INNOV%20TIC/MapaRiesgoGestionn_GI2024.xlsx?C690ACA0" TargetMode="External"/><Relationship Id="rId1" Type="http://schemas.openxmlformats.org/officeDocument/2006/relationships/externalLinkPath" Target="file:///\\C690ACA0\MapaRiesgoGestionn_GI2024.xlsx" TargetMode="External"/></Relationships>
</file>

<file path=xl/externalLinks/_rels/externalLink36.xml.rels><?xml version="1.0" encoding="UTF-8" standalone="yes"?>
<Relationships xmlns="http://schemas.openxmlformats.org/package/2006/relationships"><Relationship Id="rId3" Type="http://schemas.openxmlformats.org/officeDocument/2006/relationships/externalLinkPath" Target="https://d.docs.live.net/8ed9c3e3b75d16b0/Documentos/SECRETARIA%20DE%20PLANEACION%20MPAL/INFORME%20DE%20ACTIVIDADES/REVISION%20DEPENDENCIAS/MATRIZ/1.%20MONITOREO/10-8-24%20REV%20SIGAMI%20RIESGOS%20GEST-CORRUPCION/4.%20BIM%20(JUL-AGOST_24)/10.%20GEST%20SS%20ATENC%20CIUDADANO/MAPA%20RIESG%20GESTION.xlsx" TargetMode="External"/><Relationship Id="rId2" Type="http://schemas.microsoft.com/office/2019/04/relationships/externalLinkLongPath" Target="https://d.docs.live.net/8ed9c3e3b75d16b0/Documentos/SECRETARIA%20DE%20PLANEACION%20MPAL/INFORME%20DE%20ACTIVIDADES/REVISION%20DEPENDENCIAS/MATRIZ/1.%20MONITOREO/10-8-24%20REV%20SIGAMI%20RIESGOS%20GEST-CORRUPCION/10.%20GEST%20SS%20ATENC%20CIUDADANO/MAPA%20RIESG%20GESTION.xlsx?6A2E0906" TargetMode="External"/><Relationship Id="rId1" Type="http://schemas.openxmlformats.org/officeDocument/2006/relationships/externalLinkPath" Target="file:///\\6A2E0906\MAPA%20RIESG%20GESTION.xlsx" TargetMode="External"/></Relationships>
</file>

<file path=xl/externalLinks/_rels/externalLink37.xml.rels><?xml version="1.0" encoding="UTF-8" standalone="yes"?>
<Relationships xmlns="http://schemas.openxmlformats.org/package/2006/relationships"><Relationship Id="rId3" Type="http://schemas.openxmlformats.org/officeDocument/2006/relationships/externalLinkPath" Target="https://d.docs.live.net/8ed9c3e3b75d16b0/Documentos/SECRETARIA%20DE%20PLANEACION%20MPAL/INFORME%20DE%20ACTIVIDADES/REVISION%20DEPENDENCIAS/MATRIZ/1.%20MONITOREO/10-8-24%20REV%20SIGAMI%20RIESGOS%20GEST-CORRUPCION/4.%20BIM%20(JUL-AGOST_24)/25.%20GEST%20AMBIENTAL/MAPA%20RIESGO%20GESTI&#211;N%20AMB.xlsx" TargetMode="External"/><Relationship Id="rId2" Type="http://schemas.microsoft.com/office/2019/04/relationships/externalLinkLongPath" Target="https://d.docs.live.net/8ed9c3e3b75d16b0/Documentos/SECRETARIA%20DE%20PLANEACION%20MPAL/INFORME%20DE%20ACTIVIDADES/REVISION%20DEPENDENCIAS/MATRIZ/1.%20MONITOREO/10-8-24%20REV%20SIGAMI%20RIESGOS%20GEST-CORRUPCION/25.%20GEST%20AMBIENTAL/MAPA%20RIESGO%20GESTI&#211;N%20AMB.xlsx?913BE82B" TargetMode="External"/><Relationship Id="rId1" Type="http://schemas.openxmlformats.org/officeDocument/2006/relationships/externalLinkPath" Target="file:///\\913BE82B\MAPA%20RIESGO%20GESTI&#211;N%20AMB.xlsx" TargetMode="External"/></Relationships>
</file>

<file path=xl/externalLinks/_rels/externalLink38.xml.rels><?xml version="1.0" encoding="UTF-8" standalone="yes"?>
<Relationships xmlns="http://schemas.openxmlformats.org/package/2006/relationships"><Relationship Id="rId3" Type="http://schemas.openxmlformats.org/officeDocument/2006/relationships/externalLinkPath" Target="https://d.docs.live.net/8ed9c3e3b75d16b0/Documentos/SECRETARIA%20DE%20PLANEACION%20MPAL/INFORME%20DE%20ACTIVIDADES/REVISION%20DEPENDENCIAS/MATRIZ/1.%20MONITOREO/10-8-24%20REV%20SIGAMI%20RIESGOS%20GEST-CORRUPCION/4.%20BIM%20(JUL-AGOST_24)/6.%20CATASTRO/MAPA%20DE%20RIESGO%20GESTION%2024.xlsx" TargetMode="External"/><Relationship Id="rId2" Type="http://schemas.microsoft.com/office/2019/04/relationships/externalLinkLongPath" Target="https://d.docs.live.net/8ed9c3e3b75d16b0/Documentos/SECRETARIA%20DE%20PLANEACION%20MPAL/INFORME%20DE%20ACTIVIDADES/REVISION%20DEPENDENCIAS/MATRIZ/1.%20MONITOREO/10-8-24%20REV%20SIGAMI%20RIESGOS%20GEST-CORRUPCION/6.%20CATASTRO/MAPA%20DE%20RIESGO%20GESTION%2024.xlsx?F2CA8642" TargetMode="External"/><Relationship Id="rId1" Type="http://schemas.openxmlformats.org/officeDocument/2006/relationships/externalLinkPath" Target="file:///\\F2CA8642\MAPA%20DE%20RIESGO%20GESTION%2024.xlsx" TargetMode="External"/></Relationships>
</file>

<file path=xl/externalLinks/_rels/externalLink39.xml.rels><?xml version="1.0" encoding="UTF-8" standalone="yes"?>
<Relationships xmlns="http://schemas.openxmlformats.org/package/2006/relationships"><Relationship Id="rId3" Type="http://schemas.openxmlformats.org/officeDocument/2006/relationships/externalLinkPath" Target="https://d.docs.live.net/8ed9c3e3b75d16b0/Documentos/SECRETARIA%20DE%20PLANEACION%20MPAL/INFORME%20DE%20ACTIVIDADES/REVISION%20DEPENDENCIAS/MATRIZ/1.%20MONITOREO/10-8-24%20REV%20SIGAMI%20RIESGOS%20GEST-CORRUPCION/4.%20BIM%20(JUL-AGOST_24)/21.%20GEST%20PART%20CIUDADANA/MAPA%20GEST%20PARTCIUDAD24.xlsx" TargetMode="External"/><Relationship Id="rId2" Type="http://schemas.microsoft.com/office/2019/04/relationships/externalLinkLongPath" Target="https://d.docs.live.net/8ed9c3e3b75d16b0/Documentos/SECRETARIA%20DE%20PLANEACION%20MPAL/INFORME%20DE%20ACTIVIDADES/REVISION%20DEPENDENCIAS/MATRIZ/1.%20MONITOREO/10-8-24%20REV%20SIGAMI%20RIESGOS%20GEST-CORRUPCION/21.%20GEST%20PART%20CIUDADANA/MAPA%20GEST%20PARTCIUDAD24.xlsx?A0F041C7" TargetMode="External"/><Relationship Id="rId1" Type="http://schemas.openxmlformats.org/officeDocument/2006/relationships/externalLinkPath" Target="file:///\\A0F041C7\MAPA%20GEST%20PARTCIUDAD24.xlsx" TargetMode="External"/></Relationships>
</file>

<file path=xl/externalLinks/_rels/externalLink40.xml.rels><?xml version="1.0" encoding="UTF-8" standalone="yes"?>
<Relationships xmlns="http://schemas.openxmlformats.org/package/2006/relationships"><Relationship Id="rId3" Type="http://schemas.openxmlformats.org/officeDocument/2006/relationships/externalLinkPath" Target="https://d.docs.live.net/8ed9c3e3b75d16b0/Documentos/SECRETARIA%20DE%20PLANEACION%20MPAL/INFORME%20DE%20ACTIVIDADES/REVISION%20DEPENDENCIAS/MATRIZ/1.%20MONITOREO/10-8-24%20REV%20SIGAMI%20RIESGOS%20GEST-CORRUPCION/4.%20BIM%20(JUL-AGOST_24)/11.%20HACIENDA%20PUBLICA%20-%20POR%20REVISAR/MAP%20GEST24.xlsx" TargetMode="External"/><Relationship Id="rId2" Type="http://schemas.microsoft.com/office/2019/04/relationships/externalLinkLongPath" Target="https://d.docs.live.net/8ed9c3e3b75d16b0/Documentos/SECRETARIA%20DE%20PLANEACION%20MPAL/INFORME%20DE%20ACTIVIDADES/REVISION%20DEPENDENCIAS/MATRIZ/1.%20MONITOREO/10-8-24%20REV%20SIGAMI%20RIESGOS%20GEST-CORRUPCION/11.%20HACIENDA%20PUBLICA%20-%20POR%20REVISAR/MAP%20GEST24.xlsx?21BAC581" TargetMode="External"/><Relationship Id="rId1" Type="http://schemas.openxmlformats.org/officeDocument/2006/relationships/externalLinkPath" Target="file:///\\21BAC581\MAP%20GEST24.xlsx" TargetMode="External"/></Relationships>
</file>

<file path=xl/externalLinks/_rels/externalLink41.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4.%20BIM%20(JUL-AGOST_24)\15.%20GEST%20DOCUMENTAL\MAPA%20RIESG%20GEST%20GD_2024.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4.%20BIM%20(JUL-AGOST_24)\15.%20GEST%20DOCUMENTAL\MAPA%20RIESG%20GEST%20GD_2024.xlsx?AE3B0610" TargetMode="External"/><Relationship Id="rId1" Type="http://schemas.openxmlformats.org/officeDocument/2006/relationships/externalLinkPath" Target="file:///\\AE3B0610\MAPA%20RIESG%20GEST%20GD_2024.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Users/Marcela/Downloads/MARCELA%20MAPA%20GESTION.xlsx%20a&#241;o%202023%20ok.xlsx" TargetMode="External"/></Relationships>
</file>

<file path=xl/externalLinks/_rels/externalLink43.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4.%20BIM%20(JUL-AGOST_24)\20.%20GEST%20JURIDICA\MAPA%20RIESG%20GEST%20JURIDICA.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4.%20BIM%20(JUL-AGOST_24)\20.%20GEST%20JURIDICA\MAPA%20RIESG%20GEST%20JURIDICA.xlsx?B4F3E487" TargetMode="External"/><Relationship Id="rId1" Type="http://schemas.openxmlformats.org/officeDocument/2006/relationships/externalLinkPath" Target="file:///\\B4F3E487\MAPA%20RIESG%20GEST%20JURIDICA.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DORIS\Documents\riesgos\2024\MAPA%20RIESGOS%20GIT%202024.xlsx" TargetMode="External"/></Relationships>
</file>

<file path=xl/externalLinks/_rels/externalLink45.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4.%20BIM%20(JUL-AGOST_24)\14.%20GESTION%20RECURSOS%20FISICOS\MAPA%20RIESG%20GEST.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4.%20BIM%20(JUL-AGOST_24)\14.%20GESTION%20RECURSOS%20FISICOS\MAPA%20RIESG%20GEST.xlsx?E8CAA621" TargetMode="External"/><Relationship Id="rId1" Type="http://schemas.openxmlformats.org/officeDocument/2006/relationships/externalLinkPath" Target="file:///\\E8CAA621\MAPA%20RIESG%20GEST.xlsx" TargetMode="External"/></Relationships>
</file>

<file path=xl/externalLinks/_rels/externalLink46.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6.%20SIST%20INF%20Y%20COMUNICACION\MAPA%20RIESGOS%20GESTION.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6.%20SIST%20INF%20Y%20COMUNICACION\MAPA%20RIESGOS%20GESTION.xlsx?F845A4FC" TargetMode="External"/><Relationship Id="rId1" Type="http://schemas.openxmlformats.org/officeDocument/2006/relationships/externalLinkPath" Target="file:///\\F845A4FC\MAPA%20RIESGOS%20GESTION.xlsx" TargetMode="External"/></Relationships>
</file>

<file path=xl/externalLinks/_rels/externalLink47.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DESPACHO%20ADMVO\GESTI&#211;N%20HUMANA\MAPA%20GEST%20GH.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DESPACHO%20ADMVO\GESTI&#211;N%20HUMANA\MAPA%20GEST%20GH.xlsx?DF7AF0BB" TargetMode="External"/><Relationship Id="rId1" Type="http://schemas.openxmlformats.org/officeDocument/2006/relationships/externalLinkPath" Target="file:///\\DF7AF0BB\MAPA%20GEST%20GH.xlsx" TargetMode="External"/></Relationships>
</file>

<file path=xl/externalLinks/_rels/externalLink48.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13.%20CONTROL%20DISCIPLINARIO\MAPA%20GEST%20CTRL%20DISC.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13.%20CONTROL%20DISCIPLINARIO\MAPA%20GEST%20CTRL%20DISC.xlsx?55A5F0A5" TargetMode="External"/><Relationship Id="rId1" Type="http://schemas.openxmlformats.org/officeDocument/2006/relationships/externalLinkPath" Target="file:///\\55A5F0A5\MAPA%20GEST%20CTRL%20DISC.xlsx" TargetMode="External"/></Relationships>
</file>

<file path=xl/externalLinks/_rels/externalLink49.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14.%20GEST%20ARTISTICA%20Y%20CULTURAL\MAPA%20GESTION.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14.%20GEST%20ARTISTICA%20Y%20CULTURAL\MAPA%20GESTION.xlsx?79A4B25B" TargetMode="External"/><Relationship Id="rId1" Type="http://schemas.openxmlformats.org/officeDocument/2006/relationships/externalLinkPath" Target="file:///\\79A4B25B\MAPA%20GESTION.xlsx" TargetMode="External"/></Relationships>
</file>

<file path=xl/externalLinks/_rels/externalLink50.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18.%20TRANSITO%20Y%20MOVILIDAD\MAPA%20GESTION.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18.%20TRANSITO%20Y%20MOVILIDAD\MAPA%20GESTION.xlsx?89FCA921" TargetMode="External"/><Relationship Id="rId1" Type="http://schemas.openxmlformats.org/officeDocument/2006/relationships/externalLinkPath" Target="file:///\\89FCA921\MAPA%20GESTION.xlsx" TargetMode="External"/></Relationships>
</file>

<file path=xl/externalLinks/_rels/externalLink51.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7%20DES%20ECON%20Y%20COMPETITIVIDAD\MAPA%20RIEG%20GEST%20DEYC.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7%20DES%20ECON%20Y%20COMPETITIVIDAD\MAPA%20RIEG%20GEST%20DEYC.xlsx?75D37015" TargetMode="External"/><Relationship Id="rId1" Type="http://schemas.openxmlformats.org/officeDocument/2006/relationships/externalLinkPath" Target="file:///\\75D37015\MAPA%20RIEG%20GEST%20DEYC.xlsx" TargetMode="External"/></Relationships>
</file>

<file path=xl/externalLinks/_rels/externalLink52.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12.%20INNOVACION%20Y%20TIC\MapaRiesgoGestionn_GI2024.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12.%20INNOVACION%20Y%20TIC\MapaRiesgoGestionn_GI2024.xlsx?37D7C97F" TargetMode="External"/><Relationship Id="rId1" Type="http://schemas.openxmlformats.org/officeDocument/2006/relationships/externalLinkPath" Target="file:///\\37D7C97F\MapaRiesgoGestionn_GI2024.xlsx" TargetMode="External"/></Relationships>
</file>

<file path=xl/externalLinks/_rels/externalLink53.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8.%20GEST%20SS%20Y%20ATENC%20AL%20CIUDADANO\MAPA%20RIESG%20GEST.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8.%20GEST%20SS%20Y%20ATENC%20AL%20CIUDADANO\MAPA%20RIESG%20GEST.xlsx?6B4C448B" TargetMode="External"/><Relationship Id="rId1" Type="http://schemas.openxmlformats.org/officeDocument/2006/relationships/externalLinkPath" Target="file:///\\6B4C448B\MAPA%20RIESG%20GEST.xlsx" TargetMode="External"/></Relationships>
</file>

<file path=xl/externalLinks/_rels/externalLink54.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3.%20CATASTRO_OK\MAPA%20RIESG%20GESTION.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3.%20CATASTRO_OK\MAPA%20RIESG%20GESTION.xlsx?3905B9FD" TargetMode="External"/><Relationship Id="rId1" Type="http://schemas.openxmlformats.org/officeDocument/2006/relationships/externalLinkPath" Target="file:///\\3905B9FD\MAPA%20RIESG%20GESTION.xlsx" TargetMode="External"/></Relationships>
</file>

<file path=xl/externalLinks/_rels/externalLink55.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15.%20GEST%20PARTICIPACION%20CIUDADANA\MAPA%20GESTION.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15.%20GEST%20PARTICIPACION%20CIUDADANA\MAPA%20GESTION.xlsx?795BF849" TargetMode="External"/><Relationship Id="rId1" Type="http://schemas.openxmlformats.org/officeDocument/2006/relationships/externalLinkPath" Target="file:///\\795BF849\MAPA%20GESTION.xlsx" TargetMode="External"/></Relationships>
</file>

<file path=xl/externalLinks/_rels/externalLink56.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SEC%20HACIENDA\MAPA%20RIESGO%20GESTION.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SEC%20HACIENDA\MAPA%20RIESGO%20GESTION.xlsx?6AEB930B" TargetMode="External"/><Relationship Id="rId1" Type="http://schemas.openxmlformats.org/officeDocument/2006/relationships/externalLinkPath" Target="file:///\\6AEB930B\MAPA%20RIESGO%20GESTION.xlsx" TargetMode="External"/></Relationships>
</file>

<file path=xl/externalLinks/_rels/externalLink57.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DESPACHO%20ADMVO\GESTI&#211;N%20DOCUMENTAL\MAPA%20GEST.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DESPACHO%20ADMVO\GESTI&#211;N%20DOCUMENTAL\MAPA%20GEST.xlsx?163B29B6" TargetMode="External"/><Relationship Id="rId1" Type="http://schemas.openxmlformats.org/officeDocument/2006/relationships/externalLinkPath" Target="file:///\\163B29B6\MAPA%20GEST.xlsx" TargetMode="External"/></Relationships>
</file>

<file path=xl/externalLinks/_rels/externalLink58.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DESPACHO%20ADMVO\GEST%20REC%20FISICO\MAPA%20GEST.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DESPACHO%20ADMVO\GEST%20REC%20FISICO\MAPA%20GEST.xlsx?D98B195E" TargetMode="External"/><Relationship Id="rId1" Type="http://schemas.openxmlformats.org/officeDocument/2006/relationships/externalLinkPath" Target="file:///\\D98B195E\MAPA%20GEST.xlsx" TargetMode="External"/></Relationships>
</file>

<file path=xl/externalLinks/_rels/externalLink59.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2.%20GEST%20ESTRA%20COMUNICA\MRG%20GEST%20EST%20COMUNIC.xlsx" TargetMode="External"/><Relationship Id="rId2" Type="http://schemas.microsoft.com/office/2019/04/relationships/externalLinkLongPath" Target="6.%20BIM%20(NOV-DIC24)/2.%20GEST%20ESTRA%20COMUNICA/MRG%20GEST%20EST%20COMUNIC.xlsx?BC6F5D80" TargetMode="External"/><Relationship Id="rId1" Type="http://schemas.openxmlformats.org/officeDocument/2006/relationships/externalLinkPath" Target="file:///\\BC6F5D80\MRG%20GEST%20EST%20COMUNIC.xlsx" TargetMode="External"/></Relationships>
</file>

<file path=xl/externalLinks/_rels/externalLink60.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3.%20GEST%20CONTROL%20DISCIPL\MRG%20CTRL%20DISCIPL.xlsx" TargetMode="External"/><Relationship Id="rId2" Type="http://schemas.microsoft.com/office/2019/04/relationships/externalLinkLongPath" Target="6.%20BIM%20(NOV-DIC24)/3.%20GEST%20CONTROL%20DISCIPL/MRG%20CTRL%20DISCIPL.xlsx?D9BBAD62" TargetMode="External"/><Relationship Id="rId1" Type="http://schemas.openxmlformats.org/officeDocument/2006/relationships/externalLinkPath" Target="file:///\\D9BBAD62\MRG%20CTRL%20DISCIPL.xlsx" TargetMode="External"/></Relationships>
</file>

<file path=xl/externalLinks/_rels/externalLink61.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17.%20SIG%20Y%20MIPG\GESTION%20SIG.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17.%20SIG%20Y%20MIPG\GESTION%20SIG.xlsx?2B1115FA" TargetMode="External"/><Relationship Id="rId1" Type="http://schemas.openxmlformats.org/officeDocument/2006/relationships/externalLinkPath" Target="file:///\\2B1115FA\GESTION%20SIG.xlsx" TargetMode="External"/></Relationships>
</file>

<file path=xl/externalLinks/_rels/externalLink62.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4.%20GEST%20SALUD\MRG%20GEST%20SALUD.xlsx" TargetMode="External"/><Relationship Id="rId2" Type="http://schemas.microsoft.com/office/2019/04/relationships/externalLinkLongPath" Target="6.%20BIM%20(NOV-DIC24)/4.%20GEST%20SALUD/MRG%20GEST%20SALUD.xlsx?518DCBAB" TargetMode="External"/><Relationship Id="rId1" Type="http://schemas.openxmlformats.org/officeDocument/2006/relationships/externalLinkPath" Target="file:///\\518DCBAB\MRG%20GEST%20SALUD.xlsx" TargetMode="External"/></Relationships>
</file>

<file path=xl/externalLinks/_rels/externalLink63.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7.%20GEST%20ARTIS%20Y%20CULTURAL\MRG%20ARTIS%20Y%20CULT.xlsx" TargetMode="External"/><Relationship Id="rId2" Type="http://schemas.microsoft.com/office/2019/04/relationships/externalLinkLongPath" Target="6.%20BIM%20(NOV-DIC24)/7.%20GEST%20ARTIS%20Y%20CULTURAL/MRG%20ARTIS%20Y%20CULT.xlsx?857A34BB" TargetMode="External"/><Relationship Id="rId1" Type="http://schemas.openxmlformats.org/officeDocument/2006/relationships/externalLinkPath" Target="file:///\\857A34BB\MRG%20ARTIS%20Y%20CULT.xlsx" TargetMode="External"/></Relationships>
</file>

<file path=xl/externalLinks/_rels/externalLink64.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8.%20TRANSITO%20Y%20MOVILIDAD\MAPA%20GESTION.xlsx" TargetMode="External"/><Relationship Id="rId2" Type="http://schemas.microsoft.com/office/2019/04/relationships/externalLinkLongPath" Target="6.%20BIM%20(NOV-DIC24)/8.%20TRANSITO%20Y%20MOVILIDAD/MAPA%20GESTION.xlsx?1B551487" TargetMode="External"/><Relationship Id="rId1" Type="http://schemas.openxmlformats.org/officeDocument/2006/relationships/externalLinkPath" Target="file:///\\1B551487\MAPA%20GESTION.xlsx" TargetMode="External"/></Relationships>
</file>

<file path=xl/externalLinks/_rels/externalLink65.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9.%20GEST%20SS%20Y%20ATEN%20CIUD\MRG%20GEST%20SS%20ATEN%20CIUD.xlsx" TargetMode="External"/><Relationship Id="rId2" Type="http://schemas.microsoft.com/office/2019/04/relationships/externalLinkLongPath" Target="6.%20BIM%20(NOV-DIC24)/9.%20GEST%20SS%20Y%20ATEN%20CIUD/MRG%20GEST%20SS%20ATEN%20CIUD.xlsx?583256A3" TargetMode="External"/><Relationship Id="rId1" Type="http://schemas.openxmlformats.org/officeDocument/2006/relationships/externalLinkPath" Target="file:///\\583256A3\MRG%20GEST%20SS%20ATEN%20CIUD.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CRISTIAN\Downloads\03%20Mapa%20de%20Riesgos%20de%20Gesti&#243;n%20PET%20May-Jun%202024.xlsx" TargetMode="External"/></Relationships>
</file>

<file path=xl/externalLinks/_rels/externalLink67.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13.%20HACIENDA%20PUBLICA\MRGF%20HACIENDA.xlsx" TargetMode="External"/><Relationship Id="rId2" Type="http://schemas.microsoft.com/office/2019/04/relationships/externalLinkLongPath" Target="6.%20BIM%20(NOV-DIC24)/13.%20HACIENDA%20PUBLICA/MRGF%20HACIENDA.xlsx?0C727B8D" TargetMode="External"/><Relationship Id="rId1" Type="http://schemas.openxmlformats.org/officeDocument/2006/relationships/externalLinkPath" Target="file:///\\0C727B8D\MRGF%20HACIENDA.xlsx" TargetMode="External"/></Relationships>
</file>

<file path=xl/externalLinks/_rels/externalLink68.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14.%20GIT\MRGF%20GIT.xlsx" TargetMode="External"/><Relationship Id="rId2" Type="http://schemas.microsoft.com/office/2019/04/relationships/externalLinkLongPath" Target="6.%20BIM%20(NOV-DIC24)/14.%20GIT/MRGF%20GIT.xlsx?5268AD97" TargetMode="External"/><Relationship Id="rId1" Type="http://schemas.openxmlformats.org/officeDocument/2006/relationships/externalLinkPath" Target="file:///\\5268AD97\MRGF%20GIT.xlsx" TargetMode="External"/></Relationships>
</file>

<file path=xl/externalLinks/_rels/externalLink69.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15.%20GITIC\MRG%20GITIC.xlsx" TargetMode="External"/><Relationship Id="rId2" Type="http://schemas.microsoft.com/office/2019/04/relationships/externalLinkLongPath" Target="6.%20BIM%20(NOV-DIC24)/15.%20GITIC/MRG%20GITIC.xlsx?304FCF28" TargetMode="External"/><Relationship Id="rId1" Type="http://schemas.openxmlformats.org/officeDocument/2006/relationships/externalLinkPath" Target="file:///\\304FCF28\MRG%20GITIC.xlsx" TargetMode="External"/></Relationships>
</file>

<file path=xl/externalLinks/_rels/externalLink70.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16.%20DES%20ECON%20Y%20COMPET\MRG%20DES%20ECON%20COMPET.xlsx" TargetMode="External"/><Relationship Id="rId2" Type="http://schemas.microsoft.com/office/2019/04/relationships/externalLinkLongPath" Target="6.%20BIM%20(NOV-DIC24)/16.%20DES%20ECON%20Y%20COMPET/MRG%20DES%20ECON%20COMPET.xlsx?1BF391BF" TargetMode="External"/><Relationship Id="rId1" Type="http://schemas.openxmlformats.org/officeDocument/2006/relationships/externalLinkPath" Target="file:///\\1BF391BF\MRG%20DES%20ECON%20COMPET.xlsx" TargetMode="External"/></Relationships>
</file>

<file path=xl/externalLinks/_rels/externalLink71.xml.rels><?xml version="1.0" encoding="UTF-8" standalone="yes"?>
<Relationships xmlns="http://schemas.openxmlformats.org/package/2006/relationships"><Relationship Id="rId2" Type="http://schemas.openxmlformats.org/officeDocument/2006/relationships/externalLinkPath" Target="file:///C:\Users\EDUARDO%20HERNANDEZ\OneDrive\DOCUME~1\SECRET~1\2024\INFORM~1\REVISI~1\MATRIZ\13C66~1.MON\10-8-2~1\67900~1.BIM\DESPAC~1\GESTRE~1\MRG%20REC%20FISIC.xlsx" TargetMode="External"/><Relationship Id="rId1" Type="http://schemas.openxmlformats.org/officeDocument/2006/relationships/externalLinkPath" Target="file:///C:\Users\EDUARDO%20HERNANDEZ\OneDrive\DOCUME~1\SECRET~1\2024\INFORM~1\REVISI~1\MATRIZ\13C66~1.MON\10-8-2~1\67900~1.BIM\DESPAC~1\GESTRE~1\MRG%20REC%20FISIC.xlsx" TargetMode="External"/></Relationships>
</file>

<file path=xl/externalLinks/_rels/externalLink72.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DESPACHO%20ADMTVO\19%20GESTI&#211;N%20DOCUMENTAL\MRG%20GD.xlsx" TargetMode="External"/><Relationship Id="rId2" Type="http://schemas.microsoft.com/office/2019/04/relationships/externalLinkLongPath" Target="6.%20BIM%20(NOV-DIC24)/DESPACHO%20ADMTVO/19%20GESTI&#211;N%20DOCUMENTAL/MRG%20GD.xlsx?CB80AC71" TargetMode="External"/><Relationship Id="rId1" Type="http://schemas.openxmlformats.org/officeDocument/2006/relationships/externalLinkPath" Target="file:///\\CB80AC71\MRG%20GD.xlsx" TargetMode="External"/></Relationships>
</file>

<file path=xl/externalLinks/_rels/externalLink73.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20.%20CONTROL%20INTERNO\MRG%20CTRL%20INTERNO.xlsx" TargetMode="External"/><Relationship Id="rId2" Type="http://schemas.microsoft.com/office/2019/04/relationships/externalLinkLongPath" Target="6.%20BIM%20(NOV-DIC24)/20.%20CONTROL%20INTERNO/MRG%20CTRL%20INTERNO.xlsx?04E661D5" TargetMode="External"/><Relationship Id="rId1" Type="http://schemas.openxmlformats.org/officeDocument/2006/relationships/externalLinkPath" Target="file:///\\04E661D5\MRG%20CTRL%20INTERNO.xlsx" TargetMode="External"/></Relationships>
</file>

<file path=xl/externalLinks/_rels/externalLink74.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21.%20GEST%20JURIDICA\MRG%20GEST%20JURIDICA.xlsx" TargetMode="External"/><Relationship Id="rId2" Type="http://schemas.microsoft.com/office/2019/04/relationships/externalLinkLongPath" Target="6.%20BIM%20(NOV-DIC24)/21.%20GEST%20JURIDICA/MRG%20GEST%20JURIDICA.xlsx?749CBCBE" TargetMode="External"/><Relationship Id="rId1" Type="http://schemas.openxmlformats.org/officeDocument/2006/relationships/externalLinkPath" Target="file:///\\749CBCBE\MRG%20GEST%20JURIDICA.xlsx" TargetMode="External"/></Relationships>
</file>

<file path=xl/externalLinks/_rels/externalLink75.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22.%20GEST%20PART%20CIUDADANA\MRG%20GEST%20PART%20CIUD.xlsx" TargetMode="External"/><Relationship Id="rId2" Type="http://schemas.microsoft.com/office/2019/04/relationships/externalLinkLongPath" Target="6.%20BIM%20(NOV-DIC24)/22.%20GEST%20PART%20CIUDADANA/MRG%20GEST%20PART%20CIUD.xlsx?56BB0D4B" TargetMode="External"/><Relationship Id="rId1" Type="http://schemas.openxmlformats.org/officeDocument/2006/relationships/externalLinkPath" Target="file:///\\56BB0D4B\MRG%20GEST%20PART%20CIUD.xlsx" TargetMode="External"/></Relationships>
</file>

<file path=xl/externalLinks/_rels/externalLink76.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24.%20GEST%20GOBER%20CONV%20CIUDAD\MRG%20GOBERN.xlsx" TargetMode="External"/><Relationship Id="rId2" Type="http://schemas.microsoft.com/office/2019/04/relationships/externalLinkLongPath" Target="6.%20BIM%20(NOV-DIC24)/24.%20GEST%20GOBER%20CONV%20CIUDAD/MRG%20GOBERN.xlsx?7028F70C" TargetMode="External"/><Relationship Id="rId1" Type="http://schemas.openxmlformats.org/officeDocument/2006/relationships/externalLinkPath" Target="file:///\\7028F70C\MRG%20GOBERN.xlsx" TargetMode="External"/></Relationships>
</file>

<file path=xl/externalLinks/_rels/externalLink77.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10.%20CATASTRO\MRG%20CATASTRO.xlsx" TargetMode="External"/><Relationship Id="rId2" Type="http://schemas.microsoft.com/office/2019/04/relationships/externalLinkLongPath" Target="6.%20BIM%20(NOV-DIC24)/10.%20CATASTRO/MRG%20CATASTRO.xlsx?4F0EA01D" TargetMode="External"/><Relationship Id="rId1" Type="http://schemas.openxmlformats.org/officeDocument/2006/relationships/externalLinkPath" Target="file:///\\4F0EA01D\MRG%20CATASTRO.xlsx" TargetMode="External"/></Relationships>
</file>

<file path=xl/externalLinks/_rels/externalLink78.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25.%20GEST%20AMBIENTAL\MRG%20AMBIENTAL.xlsx" TargetMode="External"/><Relationship Id="rId2" Type="http://schemas.microsoft.com/office/2019/04/relationships/externalLinkLongPath" Target="6.%20BIM%20(NOV-DIC24)/25.%20GEST%20AMBIENTAL/MRG%20AMBIENTAL.xlsx?98C337DA" TargetMode="External"/><Relationship Id="rId1" Type="http://schemas.openxmlformats.org/officeDocument/2006/relationships/externalLinkPath" Target="file:///\\98C337DA\MRG%20AMBI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Tabla Impacto"/>
      <sheetName val="Mapa final"/>
      <sheetName val="Matriz Calor Inherente"/>
      <sheetName val="Matriz Calor Residual"/>
      <sheetName val="Tabla probabilidad"/>
      <sheetName val="Tabla Valoración controles"/>
      <sheetName val="Opciones Tratamiento"/>
      <sheetName val="Hoja1"/>
    </sheetNames>
    <sheetDataSet>
      <sheetData sheetId="0"/>
      <sheetData sheetId="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Mapa final"/>
      <sheetName val="Hoja2"/>
      <sheetName val="Hoja3"/>
      <sheetName val="Hoja4"/>
      <sheetName val="Hoja5"/>
      <sheetName val="Hoja6"/>
      <sheetName val="Hoja7"/>
      <sheetName val="Matriz Calor Inherente"/>
      <sheetName val="Matriz Calor Residual"/>
      <sheetName val="Tabla probabilidad"/>
      <sheetName val="Tabla Impacto"/>
      <sheetName val="Tabla Valoración controles"/>
      <sheetName val="Hoja8"/>
      <sheetName val="Hoja9"/>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2)"/>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11">
          <cell r="C11"/>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Mapa final"/>
      <sheetName val="Dofa"/>
      <sheetName val="Matriz Calor Inherente"/>
      <sheetName val="Matriz Calor Residual"/>
      <sheetName val="Tabla probabilidad"/>
      <sheetName val="Tabla Impacto"/>
      <sheetName val="Tabla Valoración controles"/>
      <sheetName val="Hoja5"/>
      <sheetName val="Opciones Tratamiento"/>
      <sheetName val="Hoja1"/>
    </sheetNames>
    <sheetDataSet>
      <sheetData sheetId="0"/>
      <sheetData sheetId="1"/>
      <sheetData sheetId="2"/>
      <sheetData sheetId="3"/>
      <sheetData sheetId="4"/>
      <sheetData sheetId="5"/>
      <sheetData sheetId="6">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v>34</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2)"/>
      <sheetName val="Mapa final"/>
      <sheetName val="Matriz Calor Inherente"/>
      <sheetName val="Matriz Calor Residual"/>
      <sheetName val="PRIORIZ CAUSA R CORUP TRÁMITES"/>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 val="Hoja2"/>
    </sheetNames>
    <sheetDataSet>
      <sheetData sheetId="0"/>
      <sheetData sheetId="1"/>
      <sheetData sheetId="2"/>
      <sheetData sheetId="3"/>
      <sheetData sheetId="4"/>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Mapa final"/>
      <sheetName val="Matriz Calor Residu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3">
          <cell r="F223" t="str">
            <v>❌</v>
          </cell>
        </row>
      </sheetData>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ÓN DE CAUSA"/>
      <sheetName val="DOFA "/>
      <sheetName val="Mapa final 2024"/>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sheetName val="Matriz Calor Inherente"/>
      <sheetName val="Matriz Calor Residual"/>
      <sheetName val="Tabla probabilidad"/>
      <sheetName val="Tabla Valoración controles"/>
      <sheetName val="Tabla Impacto"/>
      <sheetName val="Mapa final"/>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Tabla Impacto"/>
      <sheetName val="Matriz Calor Inherente"/>
      <sheetName val="Tabla probabilidad"/>
      <sheetName val="Matriz Calor Residual"/>
      <sheetName val="Tabla Valoración controles"/>
      <sheetName val="Opciones Tratamiento"/>
      <sheetName val="Hoja1"/>
    </sheetNames>
    <sheetDataSet>
      <sheetData sheetId="0" refreshError="1"/>
      <sheetData sheetId="1" refreshError="1"/>
      <sheetData sheetId="2" refreshError="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row r="35">
          <cell r="E35" t="str">
            <v>D14,O5 El jefe de la Oficina de Comunicaciones, regularmente de manera semanal realiza el seguimiento de las actividades programadas por las dependencias de la Administración Municipal, definiendo responsabilidades  comunicacionales a cada uno de los periodistas de la Oficina de Comunicaciones, dejando como evidencia el informe mensual de actividades por equipos de trabajo en una matriz que deben diligenciar mensualmenete. Si se presenta desviación de la actividad el jefe de oficina toma los correctivos necesarios</v>
          </cell>
        </row>
        <row r="36">
          <cell r="E36" t="str">
            <v>D18,O5 El editor de la oficina de comunicaciones o quien haga sus veces, cada vez que se requiera reliza la revisión y corrección de estilo de los comunicados elaborados, copys, textos para piezas gráficas, subtitulos para videos, textos para cuñas, y demás articulos periodistocos. Dejando como evidencia la directriz en las actas de que nada podrá ser publicado sin la debida revisión y corrección y adicional la publicación en el portal web y perfiles institucionales de las  redes sociales de la Alcaldía de Ibagué. si los textos requieren ser corregidos se devulven a su redactor.</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Tabla Impacto"/>
      <sheetName val="Mapa final"/>
      <sheetName val="Matriz Calor Residual"/>
      <sheetName val="Tabla probabilidad"/>
      <sheetName val="Tabla Valoración controles"/>
      <sheetName val="Opciones Tratamiento"/>
      <sheetName val="Hoja1"/>
    </sheetNames>
    <sheetDataSet>
      <sheetData sheetId="0" refreshError="1"/>
      <sheetData sheetId="1"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Mapa final"/>
      <sheetName val="Hoja2"/>
      <sheetName val="Hoja3"/>
      <sheetName val="Hoja4"/>
      <sheetName val="Hoja5"/>
      <sheetName val="Hoja6"/>
      <sheetName val="Hoja7"/>
      <sheetName val="Matriz Calor Inherente"/>
      <sheetName val="Matriz Calor Residual"/>
      <sheetName val="Tabla probabilidad"/>
      <sheetName val="Tabla Impacto"/>
      <sheetName val="Tabla Valoración controles"/>
      <sheetName val="Hoja8"/>
      <sheetName val="Hoja9"/>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12"/>
      <sheetData sheetId="13"/>
      <sheetData sheetId="14"/>
      <sheetData sheetId="15"/>
      <sheetData sheetId="1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Mapa final"/>
      <sheetName val="Dofa"/>
      <sheetName val="Matriz Calor Inherente"/>
      <sheetName val="Matriz Calor Residual"/>
      <sheetName val="Tabla probabilidad"/>
      <sheetName val="Tabla Impacto"/>
      <sheetName val="Tabla Valoración controles"/>
      <sheetName val="Hoja5"/>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v>34</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 sheetId="9" refreshError="1"/>
      <sheetData sheetId="1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PRIORIZ CAUSA R CORUP TRÁMITES"/>
      <sheetName val="DOFA (2)"/>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 val="Hoja2"/>
    </sheetNames>
    <sheetDataSet>
      <sheetData sheetId="0" refreshError="1"/>
      <sheetData sheetId="1" refreshError="1"/>
      <sheetData sheetId="2" refreshError="1"/>
      <sheetData sheetId="3" refreshError="1"/>
      <sheetData sheetId="4" refreshError="1"/>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 sheetId="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Mapa final"/>
      <sheetName val="Matriz Calor Residual"/>
      <sheetName val="Matriz Calor Inherente"/>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3">
          <cell r="F223" t="str">
            <v>❌</v>
          </cell>
        </row>
      </sheetData>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Tabla Impacto"/>
      <sheetName val="Mapa final"/>
      <sheetName val="Matriz Calor Inherente"/>
      <sheetName val="Matriz Calor Residual"/>
      <sheetName val="Tabla probabilidad"/>
      <sheetName val="Tabla Valoración controles"/>
      <sheetName val="Opciones Tratamiento"/>
      <sheetName val="Hoja1"/>
    </sheetNames>
    <sheetDataSet>
      <sheetData sheetId="0" refreshError="1"/>
      <sheetData sheetId="1"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ow r="46">
          <cell r="E46" t="str">
            <v>D4, A6 Contratación de personal idóneo para adelantar los procesos de contratación que permita el correcto desarrollo del proyecto de fortalecimiento de la estrategia de comunicación.</v>
          </cell>
        </row>
        <row r="47">
          <cell r="E47" t="str">
            <v>D5,A5 Contratación de personal idóneo capacitado en lenguaje de señas para la traducción de los productos audiovisuales que sean requeridos.</v>
          </cell>
        </row>
      </sheetData>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Mapa final"/>
      <sheetName val="Hoja2"/>
      <sheetName val="Hoja3"/>
      <sheetName val="Hoja4"/>
      <sheetName val="Hoja5"/>
      <sheetName val="Hoja6"/>
      <sheetName val="Hoja7"/>
      <sheetName val="Matriz Calor Inherente"/>
      <sheetName val="Matriz Calor Residual"/>
      <sheetName val="Tabla probabilidad"/>
      <sheetName val="Tabla Impacto"/>
      <sheetName val="Tabla Valoración controles"/>
      <sheetName val="Hoja8"/>
      <sheetName val="Hoja9"/>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12" refreshError="1"/>
      <sheetData sheetId="13" refreshError="1"/>
      <sheetData sheetId="14" refreshError="1"/>
      <sheetData sheetId="15" refreshError="1"/>
      <sheetData sheetId="1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ò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PRIORIZ CAUSA R CORUP TRÁMITES"/>
      <sheetName val="DOFA (2)"/>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DOFA"/>
      <sheetName val="Priorizacion de Causas"/>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3">
          <cell r="F223" t="str">
            <v>❌</v>
          </cell>
        </row>
      </sheetData>
      <sheetData sheetId="9" refreshError="1"/>
      <sheetData sheetId="10" refreshError="1"/>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ow r="36">
          <cell r="E36" t="str">
            <v>D14,O5 El jefe de la Oficina de Comunicaciones, regularmente de manera semanal realiza el seguimiento de las actividades programadas por las dependencias de la Administración Municipal, definiendo responsabilidades  comunicacionales a cada uno de los periodistas de la Oficina de Comunicaciones, dejando como evidencia el informe mensual de actividades por equipos de trabajo en una matriz que deben diligenciar mensualmenete. Si se presenta desviación de la actividad el jefe de oficina toma los correctivos necesarios</v>
          </cell>
        </row>
        <row r="37">
          <cell r="E37" t="str">
            <v>D18,O5 El editor de la oficina de comunicaciones o quien haga sus veces, cada vez que se requiera reliza la revisión y corrección de estilo de los comunicados elaborados, copys, textos para piezas gráficas, subtitulos para videos, textos para cuñas, y demás articulos periodistocos. Dejando como evidencia la directriz en las actas de que nada podrá ser publicado sin la debida revisión y corrección y adicional la publicación en el portal web y perfiles institucionales de las  redes sociales de la Alcaldía de Ibagué. si los textos requieren ser corregidos se devulven a su redactor.</v>
          </cell>
        </row>
      </sheetData>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Mapa final"/>
      <sheetName val="Hoja2"/>
      <sheetName val="Hoja3"/>
      <sheetName val="Hoja4"/>
      <sheetName val="Hoja5"/>
      <sheetName val="Hoja6"/>
      <sheetName val="Hoja7"/>
      <sheetName val="Matriz Calor Inherente"/>
      <sheetName val="Matriz Calor Residual"/>
      <sheetName val="Tabla probabilidad"/>
      <sheetName val="Tabla Impacto"/>
      <sheetName val="Tabla Valoración controles"/>
      <sheetName val="Hoja8"/>
      <sheetName val="Hoja9"/>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12" refreshError="1"/>
      <sheetData sheetId="13" refreshError="1"/>
      <sheetData sheetId="14" refreshError="1"/>
      <sheetData sheetId="15" refreshError="1"/>
      <sheetData sheetId="1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ò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Tabla Impacto"/>
      <sheetName val="Mapa final"/>
      <sheetName val="Matriz Calor Residual"/>
      <sheetName val="Tabla probabilidad"/>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
      <sheetName val="Mapa final 2024"/>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3">
          <cell r="F223" t="str">
            <v>❌</v>
          </cell>
        </row>
      </sheetData>
      <sheetData sheetId="9" refreshError="1"/>
      <sheetData sheetId="10" refreshError="1"/>
      <sheetData sheetId="1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
      <sheetName val="DOFA"/>
      <sheetName val="Mapa final"/>
      <sheetName val="Matriz Calor Inherente"/>
      <sheetName val="Matriz Calor Residual"/>
      <sheetName val="Tabla probabilidad"/>
      <sheetName val="Tabla Impacto"/>
      <sheetName val="Tabla Valoración controles"/>
      <sheetName val="Hoja2"/>
      <sheetName val="Hoja3"/>
      <sheetName val="Opciones Tratamiento"/>
      <sheetName val="Hoja1"/>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 sheetId="12" refreshError="1"/>
      <sheetData sheetId="1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PRIORIZ CAUSA R CORUP TRÁMITES"/>
      <sheetName val="DOFA (2)"/>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10" refreshError="1"/>
      <sheetData sheetId="11" refreshError="1"/>
      <sheetData sheetId="1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sigami@ibague.gov.co" TargetMode="External"/></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sigami@ibague.gov.co"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mailto:sigami@ibague.gov.co" TargetMode="External"/></Relationships>
</file>

<file path=xl/worksheets/_rels/sheet2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heetViews>
  <sheetFormatPr baseColWidth="10" defaultColWidth="14.44140625" defaultRowHeight="15" customHeight="1" x14ac:dyDescent="0.3"/>
  <cols>
    <col min="1" max="26" width="10.6640625" customWidth="1"/>
  </cols>
  <sheetData>
    <row r="1" spans="1:1" ht="14.25" customHeight="1" x14ac:dyDescent="0.3">
      <c r="A1" s="1" t="s">
        <v>0</v>
      </c>
    </row>
    <row r="2" spans="1:1" ht="14.25" customHeight="1" x14ac:dyDescent="0.3">
      <c r="A2" s="1" t="s">
        <v>1</v>
      </c>
    </row>
    <row r="3" spans="1:1" ht="14.25" customHeight="1" x14ac:dyDescent="0.3">
      <c r="A3" s="1" t="s">
        <v>2</v>
      </c>
    </row>
    <row r="4" spans="1:1" ht="14.25" customHeight="1" x14ac:dyDescent="0.3">
      <c r="A4" s="1" t="s">
        <v>3</v>
      </c>
    </row>
    <row r="5" spans="1:1" ht="14.25" customHeight="1" x14ac:dyDescent="0.3"/>
    <row r="6" spans="1:1" ht="14.25" customHeight="1" x14ac:dyDescent="0.3">
      <c r="A6" s="1" t="s">
        <v>4</v>
      </c>
    </row>
    <row r="7" spans="1:1" ht="14.25" customHeight="1" x14ac:dyDescent="0.3">
      <c r="A7" s="1" t="s">
        <v>5</v>
      </c>
    </row>
    <row r="8" spans="1:1" ht="14.25" customHeight="1" x14ac:dyDescent="0.3">
      <c r="A8" s="1" t="s">
        <v>6</v>
      </c>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heetViews>
  <sheetFormatPr baseColWidth="10" defaultColWidth="14.44140625" defaultRowHeight="15" customHeight="1" x14ac:dyDescent="0.3"/>
  <cols>
    <col min="1" max="1" width="27.33203125" customWidth="1"/>
    <col min="2" max="2" width="25.88671875" customWidth="1"/>
    <col min="3" max="3" width="41.44140625" customWidth="1"/>
    <col min="4" max="26" width="10.6640625" customWidth="1"/>
  </cols>
  <sheetData>
    <row r="1" spans="1:3" ht="14.25" customHeight="1" x14ac:dyDescent="0.3">
      <c r="A1" s="1" t="s">
        <v>7</v>
      </c>
      <c r="B1" s="1" t="s">
        <v>8</v>
      </c>
      <c r="C1" s="1" t="s">
        <v>9</v>
      </c>
    </row>
    <row r="2" spans="1:3" ht="14.25" customHeight="1" x14ac:dyDescent="0.3">
      <c r="A2" s="1" t="s">
        <v>10</v>
      </c>
      <c r="B2" s="1" t="s">
        <v>11</v>
      </c>
      <c r="C2" s="1" t="s">
        <v>12</v>
      </c>
    </row>
    <row r="3" spans="1:3" ht="14.25" customHeight="1" x14ac:dyDescent="0.3">
      <c r="A3" s="1" t="s">
        <v>13</v>
      </c>
      <c r="B3" s="1" t="s">
        <v>14</v>
      </c>
      <c r="C3" s="1" t="s">
        <v>15</v>
      </c>
    </row>
    <row r="4" spans="1:3" ht="14.25" customHeight="1" x14ac:dyDescent="0.3">
      <c r="A4" s="1" t="s">
        <v>16</v>
      </c>
      <c r="B4" s="1" t="s">
        <v>17</v>
      </c>
      <c r="C4" s="1" t="s">
        <v>18</v>
      </c>
    </row>
    <row r="5" spans="1:3" ht="14.25" customHeight="1" x14ac:dyDescent="0.3">
      <c r="A5" s="1" t="s">
        <v>19</v>
      </c>
      <c r="B5" s="1" t="s">
        <v>20</v>
      </c>
      <c r="C5" s="1" t="s">
        <v>21</v>
      </c>
    </row>
    <row r="6" spans="1:3" ht="14.25" customHeight="1" x14ac:dyDescent="0.3">
      <c r="A6" s="1" t="s">
        <v>22</v>
      </c>
      <c r="B6" s="1" t="s">
        <v>22</v>
      </c>
      <c r="C6" s="1" t="s">
        <v>22</v>
      </c>
    </row>
    <row r="7" spans="1:3" ht="14.25" customHeight="1" x14ac:dyDescent="0.3">
      <c r="A7" s="1" t="s">
        <v>23</v>
      </c>
      <c r="B7" s="1" t="s">
        <v>24</v>
      </c>
      <c r="C7" s="1" t="s">
        <v>25</v>
      </c>
    </row>
    <row r="8" spans="1:3" ht="14.25" customHeight="1" x14ac:dyDescent="0.3">
      <c r="B8" s="1" t="s">
        <v>26</v>
      </c>
      <c r="C8" s="1" t="s">
        <v>27</v>
      </c>
    </row>
    <row r="9" spans="1:3" ht="14.25" customHeight="1" x14ac:dyDescent="0.3">
      <c r="C9" s="1" t="s">
        <v>28</v>
      </c>
    </row>
    <row r="10" spans="1:3" ht="14.25" customHeight="1" x14ac:dyDescent="0.3">
      <c r="C10" s="1" t="s">
        <v>29</v>
      </c>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
  <sheetViews>
    <sheetView workbookViewId="0"/>
  </sheetViews>
  <sheetFormatPr baseColWidth="10" defaultColWidth="14.44140625" defaultRowHeight="15" customHeight="1" x14ac:dyDescent="0.3"/>
  <cols>
    <col min="1" max="1" width="31" customWidth="1"/>
    <col min="2" max="2" width="24.109375" customWidth="1"/>
    <col min="3" max="3" width="22.88671875" customWidth="1"/>
    <col min="4" max="4" width="26.44140625" customWidth="1"/>
    <col min="5" max="5" width="21.44140625" customWidth="1"/>
    <col min="6" max="26" width="11.44140625" customWidth="1"/>
  </cols>
  <sheetData>
    <row r="1" spans="1:5" ht="15" customHeight="1" x14ac:dyDescent="0.3">
      <c r="A1" s="1462"/>
      <c r="B1" s="1465" t="s">
        <v>30</v>
      </c>
      <c r="C1" s="1466"/>
      <c r="D1" s="2" t="s">
        <v>31</v>
      </c>
      <c r="E1" s="1469"/>
    </row>
    <row r="2" spans="1:5" ht="15" customHeight="1" x14ac:dyDescent="0.3">
      <c r="A2" s="1463"/>
      <c r="B2" s="1467"/>
      <c r="C2" s="1468"/>
      <c r="D2" s="2" t="s">
        <v>32</v>
      </c>
      <c r="E2" s="1470"/>
    </row>
    <row r="3" spans="1:5" ht="30" customHeight="1" x14ac:dyDescent="0.3">
      <c r="A3" s="1463"/>
      <c r="B3" s="1465" t="s">
        <v>33</v>
      </c>
      <c r="C3" s="1466"/>
      <c r="D3" s="2" t="s">
        <v>34</v>
      </c>
      <c r="E3" s="1470"/>
    </row>
    <row r="4" spans="1:5" ht="15" customHeight="1" x14ac:dyDescent="0.3">
      <c r="A4" s="1464"/>
      <c r="B4" s="1467"/>
      <c r="C4" s="1468"/>
      <c r="D4" s="2" t="s">
        <v>35</v>
      </c>
      <c r="E4" s="1470"/>
    </row>
    <row r="5" spans="1:5" ht="14.25" customHeight="1" x14ac:dyDescent="0.3"/>
    <row r="6" spans="1:5" ht="14.25" customHeight="1" x14ac:dyDescent="0.3">
      <c r="A6" s="1471" t="s">
        <v>36</v>
      </c>
      <c r="B6" s="1472"/>
      <c r="C6" s="1472"/>
      <c r="D6" s="1472"/>
      <c r="E6" s="1473"/>
    </row>
    <row r="7" spans="1:5" ht="14.25" customHeight="1" x14ac:dyDescent="0.3">
      <c r="A7" s="3" t="s">
        <v>37</v>
      </c>
      <c r="B7" s="4" t="s">
        <v>38</v>
      </c>
      <c r="C7" s="4" t="s">
        <v>39</v>
      </c>
      <c r="D7" s="5" t="s">
        <v>40</v>
      </c>
      <c r="E7" s="4" t="s">
        <v>41</v>
      </c>
    </row>
    <row r="8" spans="1:5" ht="14.25" customHeight="1" x14ac:dyDescent="0.3">
      <c r="A8" s="6" t="s">
        <v>42</v>
      </c>
      <c r="B8" s="7" t="s">
        <v>43</v>
      </c>
      <c r="C8" s="7" t="s">
        <v>43</v>
      </c>
      <c r="D8" s="7" t="s">
        <v>43</v>
      </c>
      <c r="E8" s="8" t="s">
        <v>43</v>
      </c>
    </row>
    <row r="9" spans="1:5" ht="14.25" customHeight="1" x14ac:dyDescent="0.3">
      <c r="A9" s="9" t="s">
        <v>44</v>
      </c>
      <c r="B9" s="10" t="s">
        <v>43</v>
      </c>
      <c r="C9" s="10" t="s">
        <v>43</v>
      </c>
      <c r="D9" s="10" t="s">
        <v>43</v>
      </c>
      <c r="E9" s="11" t="s">
        <v>43</v>
      </c>
    </row>
    <row r="10" spans="1:5" ht="14.25" customHeight="1" x14ac:dyDescent="0.3">
      <c r="A10" s="12" t="s">
        <v>45</v>
      </c>
      <c r="B10" s="10" t="s">
        <v>43</v>
      </c>
      <c r="C10" s="10" t="s">
        <v>43</v>
      </c>
      <c r="D10" s="10" t="s">
        <v>43</v>
      </c>
      <c r="E10" s="11" t="s">
        <v>43</v>
      </c>
    </row>
    <row r="11" spans="1:5" ht="14.25" customHeight="1" x14ac:dyDescent="0.3">
      <c r="A11" s="9" t="s">
        <v>46</v>
      </c>
      <c r="B11" s="10" t="s">
        <v>43</v>
      </c>
      <c r="C11" s="10" t="s">
        <v>43</v>
      </c>
      <c r="D11" s="10" t="s">
        <v>43</v>
      </c>
      <c r="E11" s="11" t="s">
        <v>43</v>
      </c>
    </row>
    <row r="12" spans="1:5" ht="14.25" customHeight="1" x14ac:dyDescent="0.3">
      <c r="A12" s="9" t="s">
        <v>47</v>
      </c>
      <c r="B12" s="13" t="s">
        <v>43</v>
      </c>
      <c r="C12" s="13" t="s">
        <v>43</v>
      </c>
      <c r="D12" s="13" t="s">
        <v>43</v>
      </c>
      <c r="E12" s="14" t="s">
        <v>43</v>
      </c>
    </row>
  </sheetData>
  <mergeCells count="5">
    <mergeCell ref="A1:A4"/>
    <mergeCell ref="B1:C2"/>
    <mergeCell ref="E1:E4"/>
    <mergeCell ref="B3:C4"/>
    <mergeCell ref="A6:E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G18"/>
  <sheetViews>
    <sheetView workbookViewId="0"/>
  </sheetViews>
  <sheetFormatPr baseColWidth="10" defaultColWidth="14.44140625" defaultRowHeight="15" customHeight="1" x14ac:dyDescent="0.3"/>
  <cols>
    <col min="1" max="1" width="31" customWidth="1"/>
    <col min="2" max="2" width="27.33203125" customWidth="1"/>
    <col min="3" max="3" width="24.6640625" customWidth="1"/>
    <col min="4" max="5" width="27.33203125" customWidth="1"/>
    <col min="6" max="6" width="32.88671875" customWidth="1"/>
    <col min="7" max="7" width="26.33203125" customWidth="1"/>
    <col min="8" max="26" width="11.44140625" customWidth="1"/>
  </cols>
  <sheetData>
    <row r="1" spans="1:7" ht="14.25" customHeight="1" x14ac:dyDescent="0.3">
      <c r="A1" s="1477"/>
      <c r="B1" s="1478" t="s">
        <v>48</v>
      </c>
      <c r="C1" s="1479"/>
      <c r="D1" s="1479"/>
      <c r="E1" s="1479"/>
      <c r="F1" s="15" t="s">
        <v>49</v>
      </c>
      <c r="G1" s="1481"/>
    </row>
    <row r="2" spans="1:7" ht="14.25" customHeight="1" x14ac:dyDescent="0.3">
      <c r="A2" s="1475"/>
      <c r="B2" s="1467"/>
      <c r="C2" s="1480"/>
      <c r="D2" s="1480"/>
      <c r="E2" s="1480"/>
      <c r="F2" s="16" t="s">
        <v>50</v>
      </c>
      <c r="G2" s="1482"/>
    </row>
    <row r="3" spans="1:7" ht="14.25" customHeight="1" x14ac:dyDescent="0.3">
      <c r="A3" s="1475"/>
      <c r="B3" s="1484" t="s">
        <v>51</v>
      </c>
      <c r="C3" s="1485"/>
      <c r="D3" s="1485"/>
      <c r="E3" s="1485"/>
      <c r="F3" s="16" t="s">
        <v>52</v>
      </c>
      <c r="G3" s="1482"/>
    </row>
    <row r="4" spans="1:7" ht="14.25" customHeight="1" x14ac:dyDescent="0.3">
      <c r="A4" s="1476"/>
      <c r="B4" s="1486"/>
      <c r="C4" s="1487"/>
      <c r="D4" s="1487"/>
      <c r="E4" s="1487"/>
      <c r="F4" s="17" t="s">
        <v>35</v>
      </c>
      <c r="G4" s="1483"/>
    </row>
    <row r="5" spans="1:7" ht="14.25" customHeight="1" x14ac:dyDescent="0.3"/>
    <row r="6" spans="1:7" ht="14.25" customHeight="1" x14ac:dyDescent="0.3">
      <c r="A6" s="1488" t="s">
        <v>53</v>
      </c>
      <c r="B6" s="1472"/>
      <c r="C6" s="1472"/>
      <c r="D6" s="1472"/>
      <c r="E6" s="1472"/>
      <c r="F6" s="1472"/>
      <c r="G6" s="1489"/>
    </row>
    <row r="7" spans="1:7" ht="31.5" customHeight="1" x14ac:dyDescent="0.3">
      <c r="A7" s="18" t="s">
        <v>54</v>
      </c>
      <c r="B7" s="19" t="s">
        <v>55</v>
      </c>
      <c r="C7" s="20" t="s">
        <v>56</v>
      </c>
      <c r="D7" s="21" t="s">
        <v>57</v>
      </c>
      <c r="E7" s="19" t="s">
        <v>58</v>
      </c>
      <c r="F7" s="22" t="s">
        <v>59</v>
      </c>
      <c r="G7" s="22" t="s">
        <v>60</v>
      </c>
    </row>
    <row r="8" spans="1:7" ht="33" customHeight="1" x14ac:dyDescent="0.3">
      <c r="A8" s="1474"/>
      <c r="B8" s="10"/>
      <c r="C8" s="10"/>
      <c r="D8" s="10"/>
      <c r="E8" s="10"/>
      <c r="F8" s="10"/>
      <c r="G8" s="11"/>
    </row>
    <row r="9" spans="1:7" ht="33" customHeight="1" x14ac:dyDescent="0.3">
      <c r="A9" s="1475"/>
      <c r="B9" s="10"/>
      <c r="C9" s="10"/>
      <c r="D9" s="10"/>
      <c r="E9" s="10"/>
      <c r="F9" s="10"/>
      <c r="G9" s="11"/>
    </row>
    <row r="10" spans="1:7" ht="33" customHeight="1" x14ac:dyDescent="0.3">
      <c r="A10" s="1475"/>
      <c r="B10" s="10"/>
      <c r="C10" s="10"/>
      <c r="D10" s="10"/>
      <c r="E10" s="10"/>
      <c r="F10" s="10"/>
      <c r="G10" s="11"/>
    </row>
    <row r="11" spans="1:7" ht="33" customHeight="1" x14ac:dyDescent="0.3">
      <c r="A11" s="1475"/>
      <c r="B11" s="10"/>
      <c r="C11" s="10"/>
      <c r="D11" s="10"/>
      <c r="E11" s="10"/>
      <c r="F11" s="10"/>
      <c r="G11" s="11"/>
    </row>
    <row r="12" spans="1:7" ht="33" customHeight="1" x14ac:dyDescent="0.3">
      <c r="A12" s="1475"/>
      <c r="B12" s="10"/>
      <c r="C12" s="10"/>
      <c r="D12" s="10"/>
      <c r="E12" s="10"/>
      <c r="F12" s="10"/>
      <c r="G12" s="11"/>
    </row>
    <row r="13" spans="1:7" ht="33" customHeight="1" x14ac:dyDescent="0.3">
      <c r="A13" s="1475"/>
      <c r="B13" s="10"/>
      <c r="C13" s="10"/>
      <c r="D13" s="10"/>
      <c r="E13" s="10"/>
      <c r="F13" s="10"/>
      <c r="G13" s="11"/>
    </row>
    <row r="14" spans="1:7" ht="33" customHeight="1" x14ac:dyDescent="0.3">
      <c r="A14" s="1475"/>
      <c r="B14" s="10"/>
      <c r="C14" s="10"/>
      <c r="D14" s="10"/>
      <c r="E14" s="10"/>
      <c r="F14" s="10"/>
      <c r="G14" s="11"/>
    </row>
    <row r="15" spans="1:7" ht="33" customHeight="1" x14ac:dyDescent="0.3">
      <c r="A15" s="1475"/>
      <c r="B15" s="10"/>
      <c r="C15" s="10"/>
      <c r="D15" s="10"/>
      <c r="E15" s="10"/>
      <c r="F15" s="10"/>
      <c r="G15" s="11"/>
    </row>
    <row r="16" spans="1:7" ht="33" customHeight="1" x14ac:dyDescent="0.3">
      <c r="A16" s="1475"/>
      <c r="B16" s="10"/>
      <c r="C16" s="10"/>
      <c r="D16" s="10"/>
      <c r="E16" s="10"/>
      <c r="F16" s="10"/>
      <c r="G16" s="11"/>
    </row>
    <row r="17" spans="1:1" ht="33" customHeight="1" x14ac:dyDescent="0.3">
      <c r="A17" s="1475"/>
    </row>
    <row r="18" spans="1:1" ht="33" customHeight="1" x14ac:dyDescent="0.3">
      <c r="A18" s="1476"/>
    </row>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5"/>
  <sheetViews>
    <sheetView workbookViewId="0"/>
  </sheetViews>
  <sheetFormatPr baseColWidth="10" defaultColWidth="14.44140625" defaultRowHeight="15" customHeight="1" x14ac:dyDescent="0.3"/>
  <cols>
    <col min="1" max="26" width="10.6640625" customWidth="1"/>
  </cols>
  <sheetData>
    <row r="1" spans="1:1" ht="14.25" customHeight="1" x14ac:dyDescent="0.3">
      <c r="A1" s="1" t="s">
        <v>61</v>
      </c>
    </row>
    <row r="2" spans="1:1" ht="14.25" customHeight="1" x14ac:dyDescent="0.3">
      <c r="A2" s="1" t="s">
        <v>62</v>
      </c>
    </row>
    <row r="3" spans="1:1" ht="14.25" customHeight="1" x14ac:dyDescent="0.3">
      <c r="A3" s="1" t="s">
        <v>63</v>
      </c>
    </row>
    <row r="4" spans="1:1" ht="14.25" customHeight="1" x14ac:dyDescent="0.3">
      <c r="A4" s="1" t="s">
        <v>64</v>
      </c>
    </row>
    <row r="5" spans="1:1" ht="14.25" customHeight="1" x14ac:dyDescent="0.3">
      <c r="A5" s="1" t="s">
        <v>65</v>
      </c>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C190"/>
  <sheetViews>
    <sheetView workbookViewId="0"/>
  </sheetViews>
  <sheetFormatPr baseColWidth="10" defaultColWidth="14.44140625" defaultRowHeight="15" customHeight="1" x14ac:dyDescent="0.3"/>
  <cols>
    <col min="1" max="1" width="37.44140625" customWidth="1"/>
    <col min="2" max="2" width="72.33203125" customWidth="1"/>
    <col min="3" max="3" width="59.88671875" customWidth="1"/>
    <col min="4" max="26" width="11.44140625" customWidth="1"/>
  </cols>
  <sheetData>
    <row r="1" spans="1:1" ht="14.25" customHeight="1" x14ac:dyDescent="0.3">
      <c r="A1" s="23" t="s">
        <v>66</v>
      </c>
    </row>
    <row r="2" spans="1:1" ht="14.25" customHeight="1" x14ac:dyDescent="0.3">
      <c r="A2" s="10"/>
    </row>
    <row r="3" spans="1:1" ht="14.25" customHeight="1" x14ac:dyDescent="0.3">
      <c r="A3" s="10" t="s">
        <v>67</v>
      </c>
    </row>
    <row r="4" spans="1:1" ht="14.25" customHeight="1" x14ac:dyDescent="0.3">
      <c r="A4" s="10" t="s">
        <v>68</v>
      </c>
    </row>
    <row r="5" spans="1:1" ht="14.25" customHeight="1" x14ac:dyDescent="0.3"/>
    <row r="6" spans="1:1" ht="14.25" customHeight="1" x14ac:dyDescent="0.3">
      <c r="A6" s="23" t="s">
        <v>69</v>
      </c>
    </row>
    <row r="7" spans="1:1" ht="14.25" customHeight="1" x14ac:dyDescent="0.3">
      <c r="A7" s="1" t="s">
        <v>70</v>
      </c>
    </row>
    <row r="8" spans="1:1" ht="14.25" customHeight="1" x14ac:dyDescent="0.3">
      <c r="A8" s="1" t="s">
        <v>71</v>
      </c>
    </row>
    <row r="9" spans="1:1" ht="14.25" customHeight="1" x14ac:dyDescent="0.3">
      <c r="A9" s="1" t="s">
        <v>72</v>
      </c>
    </row>
    <row r="10" spans="1:1" ht="14.25" customHeight="1" x14ac:dyDescent="0.3">
      <c r="A10" s="1" t="s">
        <v>73</v>
      </c>
    </row>
    <row r="11" spans="1:1" ht="14.25" customHeight="1" x14ac:dyDescent="0.3">
      <c r="A11" s="1" t="s">
        <v>74</v>
      </c>
    </row>
    <row r="12" spans="1:1" ht="14.25" customHeight="1" x14ac:dyDescent="0.3">
      <c r="A12" s="1" t="s">
        <v>75</v>
      </c>
    </row>
    <row r="13" spans="1:1" ht="14.25" customHeight="1" x14ac:dyDescent="0.3">
      <c r="A13" s="1" t="s">
        <v>76</v>
      </c>
    </row>
    <row r="14" spans="1:1" ht="14.25" customHeight="1" x14ac:dyDescent="0.3">
      <c r="A14" s="1" t="s">
        <v>77</v>
      </c>
    </row>
    <row r="15" spans="1:1" ht="14.25" customHeight="1" x14ac:dyDescent="0.3">
      <c r="A15" s="1" t="s">
        <v>78</v>
      </c>
    </row>
    <row r="16" spans="1:1" ht="14.25" customHeight="1" x14ac:dyDescent="0.3">
      <c r="A16" s="1" t="s">
        <v>79</v>
      </c>
    </row>
    <row r="19" spans="1:3" ht="14.25" customHeight="1" x14ac:dyDescent="0.3">
      <c r="A19" s="23" t="s">
        <v>80</v>
      </c>
      <c r="C19" s="24"/>
    </row>
    <row r="20" spans="1:3" ht="14.25" customHeight="1" x14ac:dyDescent="0.3">
      <c r="A20" s="1" t="s">
        <v>81</v>
      </c>
      <c r="C20" s="24"/>
    </row>
    <row r="21" spans="1:3" ht="14.25" customHeight="1" x14ac:dyDescent="0.3">
      <c r="A21" s="1" t="s">
        <v>82</v>
      </c>
      <c r="C21" s="24"/>
    </row>
    <row r="22" spans="1:3" ht="14.25" customHeight="1" x14ac:dyDescent="0.3">
      <c r="A22" s="1" t="s">
        <v>83</v>
      </c>
      <c r="C22" s="24"/>
    </row>
    <row r="23" spans="1:3" ht="14.25" customHeight="1" x14ac:dyDescent="0.3">
      <c r="A23" s="1" t="s">
        <v>84</v>
      </c>
      <c r="C23" s="24"/>
    </row>
    <row r="24" spans="1:3" ht="14.25" customHeight="1" x14ac:dyDescent="0.3">
      <c r="A24" s="1" t="s">
        <v>85</v>
      </c>
      <c r="C24" s="24"/>
    </row>
    <row r="25" spans="1:3" ht="14.25" customHeight="1" x14ac:dyDescent="0.3">
      <c r="A25" s="1" t="s">
        <v>86</v>
      </c>
      <c r="C25" s="24"/>
    </row>
    <row r="26" spans="1:3" ht="14.25" customHeight="1" x14ac:dyDescent="0.3">
      <c r="C26" s="24"/>
    </row>
    <row r="27" spans="1:3" ht="14.25" customHeight="1" x14ac:dyDescent="0.3">
      <c r="C27" s="24"/>
    </row>
    <row r="28" spans="1:3" ht="141" customHeight="1" x14ac:dyDescent="0.3">
      <c r="A28" s="25" t="s">
        <v>87</v>
      </c>
      <c r="B28" s="26" t="s">
        <v>88</v>
      </c>
      <c r="C28" s="26" t="s">
        <v>89</v>
      </c>
    </row>
    <row r="29" spans="1:3" ht="144" customHeight="1" x14ac:dyDescent="0.3">
      <c r="A29" s="1" t="s">
        <v>90</v>
      </c>
      <c r="B29" s="27" t="s">
        <v>91</v>
      </c>
      <c r="C29" s="28" t="s">
        <v>92</v>
      </c>
    </row>
    <row r="30" spans="1:3" ht="14.25" customHeight="1" x14ac:dyDescent="0.3">
      <c r="A30" s="29" t="s">
        <v>93</v>
      </c>
      <c r="B30" s="30" t="s">
        <v>94</v>
      </c>
      <c r="C30" s="28" t="s">
        <v>95</v>
      </c>
    </row>
    <row r="31" spans="1:3" ht="14.25" customHeight="1" x14ac:dyDescent="0.3">
      <c r="A31" s="1" t="s">
        <v>96</v>
      </c>
      <c r="B31" s="30" t="s">
        <v>97</v>
      </c>
      <c r="C31" s="28" t="s">
        <v>98</v>
      </c>
    </row>
    <row r="32" spans="1:3" ht="14.25" customHeight="1" x14ac:dyDescent="0.3">
      <c r="A32" s="1" t="s">
        <v>99</v>
      </c>
      <c r="B32" s="30" t="s">
        <v>100</v>
      </c>
      <c r="C32" s="28" t="s">
        <v>101</v>
      </c>
    </row>
    <row r="34" spans="1:3" ht="14.25" customHeight="1" x14ac:dyDescent="0.3">
      <c r="A34" s="1" t="s">
        <v>102</v>
      </c>
      <c r="C34" s="31" t="s">
        <v>103</v>
      </c>
    </row>
    <row r="35" spans="1:3" ht="14.25" customHeight="1" x14ac:dyDescent="0.3">
      <c r="A35" s="1">
        <v>1</v>
      </c>
      <c r="B35" s="1" t="e">
        <f t="shared" ref="B35:B53" si="0">IF(#REF!="X",1,0)</f>
        <v>#REF!</v>
      </c>
      <c r="C35" s="24"/>
    </row>
    <row r="36" spans="1:3" ht="14.25" customHeight="1" x14ac:dyDescent="0.3">
      <c r="A36" s="1">
        <v>2</v>
      </c>
      <c r="B36" s="1" t="e">
        <f t="shared" si="0"/>
        <v>#REF!</v>
      </c>
      <c r="C36" s="24" t="s">
        <v>67</v>
      </c>
    </row>
    <row r="37" spans="1:3" ht="14.25" customHeight="1" x14ac:dyDescent="0.3">
      <c r="A37" s="1">
        <v>3</v>
      </c>
      <c r="B37" s="1" t="e">
        <f t="shared" si="0"/>
        <v>#REF!</v>
      </c>
      <c r="C37" s="24"/>
    </row>
    <row r="38" spans="1:3" ht="14.25" customHeight="1" x14ac:dyDescent="0.3">
      <c r="A38" s="1">
        <v>4</v>
      </c>
      <c r="B38" s="1" t="e">
        <f t="shared" si="0"/>
        <v>#REF!</v>
      </c>
      <c r="C38" s="24"/>
    </row>
    <row r="39" spans="1:3" ht="14.25" customHeight="1" x14ac:dyDescent="0.3">
      <c r="A39" s="1">
        <v>5</v>
      </c>
      <c r="B39" s="1" t="e">
        <f t="shared" si="0"/>
        <v>#REF!</v>
      </c>
      <c r="C39" s="24"/>
    </row>
    <row r="40" spans="1:3" ht="14.25" customHeight="1" x14ac:dyDescent="0.3">
      <c r="A40" s="1">
        <v>6</v>
      </c>
      <c r="B40" s="1" t="e">
        <f t="shared" si="0"/>
        <v>#REF!</v>
      </c>
      <c r="C40" s="24"/>
    </row>
    <row r="41" spans="1:3" ht="14.25" customHeight="1" x14ac:dyDescent="0.3">
      <c r="A41" s="1">
        <v>7</v>
      </c>
      <c r="B41" s="1" t="e">
        <f t="shared" si="0"/>
        <v>#REF!</v>
      </c>
      <c r="C41" s="24"/>
    </row>
    <row r="42" spans="1:3" ht="14.25" customHeight="1" x14ac:dyDescent="0.3">
      <c r="A42" s="1">
        <v>8</v>
      </c>
      <c r="B42" s="1" t="e">
        <f t="shared" si="0"/>
        <v>#REF!</v>
      </c>
      <c r="C42" s="24"/>
    </row>
    <row r="43" spans="1:3" ht="14.25" customHeight="1" x14ac:dyDescent="0.3">
      <c r="A43" s="1">
        <v>9</v>
      </c>
      <c r="B43" s="1" t="e">
        <f t="shared" si="0"/>
        <v>#REF!</v>
      </c>
      <c r="C43" s="24"/>
    </row>
    <row r="44" spans="1:3" ht="14.25" customHeight="1" x14ac:dyDescent="0.3">
      <c r="A44" s="1">
        <v>10</v>
      </c>
      <c r="B44" s="1" t="e">
        <f t="shared" si="0"/>
        <v>#REF!</v>
      </c>
      <c r="C44" s="24"/>
    </row>
    <row r="45" spans="1:3" ht="14.25" customHeight="1" x14ac:dyDescent="0.3">
      <c r="A45" s="1">
        <v>11</v>
      </c>
      <c r="B45" s="1" t="e">
        <f t="shared" si="0"/>
        <v>#REF!</v>
      </c>
      <c r="C45" s="24"/>
    </row>
    <row r="46" spans="1:3" ht="14.25" customHeight="1" x14ac:dyDescent="0.3">
      <c r="A46" s="1">
        <v>12</v>
      </c>
      <c r="B46" s="1" t="e">
        <f t="shared" si="0"/>
        <v>#REF!</v>
      </c>
      <c r="C46" s="24"/>
    </row>
    <row r="47" spans="1:3" ht="14.25" customHeight="1" x14ac:dyDescent="0.3">
      <c r="A47" s="1">
        <v>13</v>
      </c>
      <c r="B47" s="1" t="e">
        <f t="shared" si="0"/>
        <v>#REF!</v>
      </c>
      <c r="C47" s="24"/>
    </row>
    <row r="48" spans="1:3" ht="14.25" customHeight="1" x14ac:dyDescent="0.3">
      <c r="A48" s="1">
        <v>14</v>
      </c>
      <c r="B48" s="1" t="e">
        <f t="shared" si="0"/>
        <v>#REF!</v>
      </c>
      <c r="C48" s="24"/>
    </row>
    <row r="49" spans="1:3" ht="14.25" customHeight="1" x14ac:dyDescent="0.3">
      <c r="A49" s="1">
        <v>15</v>
      </c>
      <c r="B49" s="1" t="e">
        <f t="shared" si="0"/>
        <v>#REF!</v>
      </c>
      <c r="C49" s="24"/>
    </row>
    <row r="50" spans="1:3" ht="14.25" customHeight="1" x14ac:dyDescent="0.3">
      <c r="A50" s="1">
        <v>16</v>
      </c>
      <c r="B50" s="1" t="e">
        <f t="shared" si="0"/>
        <v>#REF!</v>
      </c>
      <c r="C50" s="24"/>
    </row>
    <row r="51" spans="1:3" ht="14.25" customHeight="1" x14ac:dyDescent="0.3">
      <c r="A51" s="1">
        <v>17</v>
      </c>
      <c r="B51" s="1" t="e">
        <f t="shared" si="0"/>
        <v>#REF!</v>
      </c>
      <c r="C51" s="24"/>
    </row>
    <row r="52" spans="1:3" ht="14.25" customHeight="1" x14ac:dyDescent="0.3">
      <c r="A52" s="1">
        <v>18</v>
      </c>
      <c r="B52" s="1" t="e">
        <f t="shared" si="0"/>
        <v>#REF!</v>
      </c>
      <c r="C52" s="24"/>
    </row>
    <row r="53" spans="1:3" ht="14.25" customHeight="1" x14ac:dyDescent="0.3">
      <c r="A53" s="1">
        <v>19</v>
      </c>
      <c r="B53" s="1" t="e">
        <f t="shared" si="0"/>
        <v>#REF!</v>
      </c>
      <c r="C53" s="24"/>
    </row>
    <row r="54" spans="1:3" ht="14.25" customHeight="1" x14ac:dyDescent="0.3">
      <c r="A54" s="1" t="s">
        <v>104</v>
      </c>
      <c r="B54" s="1" t="e">
        <f>SUM(B35:B53)</f>
        <v>#REF!</v>
      </c>
      <c r="C54" s="24"/>
    </row>
    <row r="55" spans="1:3" ht="14.25" customHeight="1" x14ac:dyDescent="0.3">
      <c r="C55" s="24"/>
    </row>
    <row r="56" spans="1:3" ht="14.25" customHeight="1" x14ac:dyDescent="0.3">
      <c r="C56" s="24"/>
    </row>
    <row r="57" spans="1:3" ht="14.25" customHeight="1" x14ac:dyDescent="0.3">
      <c r="A57" s="1" t="s">
        <v>105</v>
      </c>
      <c r="C57" s="24"/>
    </row>
    <row r="58" spans="1:3" ht="14.25" customHeight="1" x14ac:dyDescent="0.3">
      <c r="A58" s="1">
        <v>1</v>
      </c>
      <c r="B58" s="1" t="e">
        <f t="shared" ref="B58:B76" si="1">IF(#REF!="X",1,0)</f>
        <v>#REF!</v>
      </c>
      <c r="C58" s="24"/>
    </row>
    <row r="59" spans="1:3" ht="14.25" customHeight="1" x14ac:dyDescent="0.3">
      <c r="A59" s="1">
        <v>2</v>
      </c>
      <c r="B59" s="1" t="e">
        <f t="shared" si="1"/>
        <v>#REF!</v>
      </c>
      <c r="C59" s="24"/>
    </row>
    <row r="60" spans="1:3" ht="14.25" customHeight="1" x14ac:dyDescent="0.3">
      <c r="A60" s="1">
        <v>3</v>
      </c>
      <c r="B60" s="1" t="e">
        <f t="shared" si="1"/>
        <v>#REF!</v>
      </c>
      <c r="C60" s="24"/>
    </row>
    <row r="61" spans="1:3" ht="14.25" customHeight="1" x14ac:dyDescent="0.3">
      <c r="A61" s="1">
        <v>4</v>
      </c>
      <c r="B61" s="1" t="e">
        <f t="shared" si="1"/>
        <v>#REF!</v>
      </c>
      <c r="C61" s="24"/>
    </row>
    <row r="62" spans="1:3" ht="14.25" customHeight="1" x14ac:dyDescent="0.3">
      <c r="A62" s="1">
        <v>5</v>
      </c>
      <c r="B62" s="1" t="e">
        <f t="shared" si="1"/>
        <v>#REF!</v>
      </c>
      <c r="C62" s="24"/>
    </row>
    <row r="63" spans="1:3" ht="14.25" customHeight="1" x14ac:dyDescent="0.3">
      <c r="A63" s="1">
        <v>6</v>
      </c>
      <c r="B63" s="1" t="e">
        <f t="shared" si="1"/>
        <v>#REF!</v>
      </c>
      <c r="C63" s="24"/>
    </row>
    <row r="64" spans="1:3" ht="14.25" customHeight="1" x14ac:dyDescent="0.3">
      <c r="A64" s="1">
        <v>7</v>
      </c>
      <c r="B64" s="1" t="e">
        <f t="shared" si="1"/>
        <v>#REF!</v>
      </c>
      <c r="C64" s="24"/>
    </row>
    <row r="65" spans="1:2" ht="14.25" customHeight="1" x14ac:dyDescent="0.3">
      <c r="A65" s="1">
        <v>8</v>
      </c>
      <c r="B65" s="1" t="e">
        <f t="shared" si="1"/>
        <v>#REF!</v>
      </c>
    </row>
    <row r="66" spans="1:2" ht="14.25" customHeight="1" x14ac:dyDescent="0.3">
      <c r="A66" s="1">
        <v>9</v>
      </c>
      <c r="B66" s="1" t="e">
        <f t="shared" si="1"/>
        <v>#REF!</v>
      </c>
    </row>
    <row r="67" spans="1:2" ht="14.25" customHeight="1" x14ac:dyDescent="0.3">
      <c r="A67" s="1">
        <v>10</v>
      </c>
      <c r="B67" s="1" t="e">
        <f t="shared" si="1"/>
        <v>#REF!</v>
      </c>
    </row>
    <row r="68" spans="1:2" ht="14.25" customHeight="1" x14ac:dyDescent="0.3">
      <c r="A68" s="1">
        <v>11</v>
      </c>
      <c r="B68" s="1" t="e">
        <f t="shared" si="1"/>
        <v>#REF!</v>
      </c>
    </row>
    <row r="69" spans="1:2" ht="14.25" customHeight="1" x14ac:dyDescent="0.3">
      <c r="A69" s="1">
        <v>12</v>
      </c>
      <c r="B69" s="1" t="e">
        <f t="shared" si="1"/>
        <v>#REF!</v>
      </c>
    </row>
    <row r="70" spans="1:2" ht="14.25" customHeight="1" x14ac:dyDescent="0.3">
      <c r="A70" s="1">
        <v>13</v>
      </c>
      <c r="B70" s="1" t="e">
        <f t="shared" si="1"/>
        <v>#REF!</v>
      </c>
    </row>
    <row r="71" spans="1:2" ht="14.25" customHeight="1" x14ac:dyDescent="0.3">
      <c r="A71" s="1">
        <v>14</v>
      </c>
      <c r="B71" s="1" t="e">
        <f t="shared" si="1"/>
        <v>#REF!</v>
      </c>
    </row>
    <row r="72" spans="1:2" ht="14.25" customHeight="1" x14ac:dyDescent="0.3">
      <c r="A72" s="1">
        <v>15</v>
      </c>
      <c r="B72" s="1" t="e">
        <f t="shared" si="1"/>
        <v>#REF!</v>
      </c>
    </row>
    <row r="73" spans="1:2" ht="14.25" customHeight="1" x14ac:dyDescent="0.3">
      <c r="A73" s="1">
        <v>16</v>
      </c>
      <c r="B73" s="1" t="e">
        <f t="shared" si="1"/>
        <v>#REF!</v>
      </c>
    </row>
    <row r="74" spans="1:2" ht="14.25" customHeight="1" x14ac:dyDescent="0.3">
      <c r="A74" s="1">
        <v>17</v>
      </c>
      <c r="B74" s="1" t="e">
        <f t="shared" si="1"/>
        <v>#REF!</v>
      </c>
    </row>
    <row r="75" spans="1:2" ht="14.25" customHeight="1" x14ac:dyDescent="0.3">
      <c r="A75" s="1">
        <v>18</v>
      </c>
      <c r="B75" s="1" t="e">
        <f t="shared" si="1"/>
        <v>#REF!</v>
      </c>
    </row>
    <row r="76" spans="1:2" ht="14.25" customHeight="1" x14ac:dyDescent="0.3">
      <c r="A76" s="1">
        <v>19</v>
      </c>
      <c r="B76" s="1" t="e">
        <f t="shared" si="1"/>
        <v>#REF!</v>
      </c>
    </row>
    <row r="77" spans="1:2" ht="14.25" customHeight="1" x14ac:dyDescent="0.3">
      <c r="A77" s="1" t="s">
        <v>104</v>
      </c>
      <c r="B77" s="1" t="e">
        <f>SUM(B58:B76)</f>
        <v>#REF!</v>
      </c>
    </row>
    <row r="78" spans="1:2" ht="14.25" customHeight="1" x14ac:dyDescent="0.3"/>
    <row r="79" spans="1:2" ht="14.25" customHeight="1" x14ac:dyDescent="0.3"/>
    <row r="80" spans="1:2" ht="14.25" customHeight="1" x14ac:dyDescent="0.3">
      <c r="A80" s="1" t="s">
        <v>106</v>
      </c>
    </row>
    <row r="81" spans="1:2" ht="14.25" customHeight="1" x14ac:dyDescent="0.3">
      <c r="A81" s="1">
        <v>1</v>
      </c>
      <c r="B81" s="1" t="e">
        <f t="shared" ref="B81:B99" si="2">IF(#REF!="X",1,0)</f>
        <v>#REF!</v>
      </c>
    </row>
    <row r="82" spans="1:2" ht="14.25" customHeight="1" x14ac:dyDescent="0.3">
      <c r="A82" s="1">
        <v>2</v>
      </c>
      <c r="B82" s="1" t="e">
        <f t="shared" si="2"/>
        <v>#REF!</v>
      </c>
    </row>
    <row r="83" spans="1:2" ht="14.25" customHeight="1" x14ac:dyDescent="0.3">
      <c r="A83" s="1">
        <v>3</v>
      </c>
      <c r="B83" s="1" t="e">
        <f t="shared" si="2"/>
        <v>#REF!</v>
      </c>
    </row>
    <row r="84" spans="1:2" ht="14.25" customHeight="1" x14ac:dyDescent="0.3">
      <c r="A84" s="1">
        <v>4</v>
      </c>
      <c r="B84" s="1" t="e">
        <f t="shared" si="2"/>
        <v>#REF!</v>
      </c>
    </row>
    <row r="85" spans="1:2" ht="14.25" customHeight="1" x14ac:dyDescent="0.3">
      <c r="A85" s="1">
        <v>5</v>
      </c>
      <c r="B85" s="1" t="e">
        <f t="shared" si="2"/>
        <v>#REF!</v>
      </c>
    </row>
    <row r="86" spans="1:2" ht="14.25" customHeight="1" x14ac:dyDescent="0.3">
      <c r="A86" s="1">
        <v>6</v>
      </c>
      <c r="B86" s="1" t="e">
        <f t="shared" si="2"/>
        <v>#REF!</v>
      </c>
    </row>
    <row r="87" spans="1:2" ht="14.25" customHeight="1" x14ac:dyDescent="0.3">
      <c r="A87" s="1">
        <v>7</v>
      </c>
      <c r="B87" s="1" t="e">
        <f t="shared" si="2"/>
        <v>#REF!</v>
      </c>
    </row>
    <row r="88" spans="1:2" ht="14.25" customHeight="1" x14ac:dyDescent="0.3">
      <c r="A88" s="1">
        <v>8</v>
      </c>
      <c r="B88" s="1" t="e">
        <f t="shared" si="2"/>
        <v>#REF!</v>
      </c>
    </row>
    <row r="89" spans="1:2" ht="14.25" customHeight="1" x14ac:dyDescent="0.3">
      <c r="A89" s="1">
        <v>9</v>
      </c>
      <c r="B89" s="1" t="e">
        <f t="shared" si="2"/>
        <v>#REF!</v>
      </c>
    </row>
    <row r="90" spans="1:2" ht="14.25" customHeight="1" x14ac:dyDescent="0.3">
      <c r="A90" s="1">
        <v>10</v>
      </c>
      <c r="B90" s="1" t="e">
        <f t="shared" si="2"/>
        <v>#REF!</v>
      </c>
    </row>
    <row r="91" spans="1:2" ht="14.25" customHeight="1" x14ac:dyDescent="0.3">
      <c r="A91" s="1">
        <v>11</v>
      </c>
      <c r="B91" s="1" t="e">
        <f t="shared" si="2"/>
        <v>#REF!</v>
      </c>
    </row>
    <row r="92" spans="1:2" ht="14.25" customHeight="1" x14ac:dyDescent="0.3">
      <c r="A92" s="1">
        <v>12</v>
      </c>
      <c r="B92" s="1" t="e">
        <f t="shared" si="2"/>
        <v>#REF!</v>
      </c>
    </row>
    <row r="93" spans="1:2" ht="14.25" customHeight="1" x14ac:dyDescent="0.3">
      <c r="A93" s="1">
        <v>13</v>
      </c>
      <c r="B93" s="1" t="e">
        <f t="shared" si="2"/>
        <v>#REF!</v>
      </c>
    </row>
    <row r="94" spans="1:2" ht="14.25" customHeight="1" x14ac:dyDescent="0.3">
      <c r="A94" s="1">
        <v>14</v>
      </c>
      <c r="B94" s="1" t="e">
        <f t="shared" si="2"/>
        <v>#REF!</v>
      </c>
    </row>
    <row r="95" spans="1:2" ht="14.25" customHeight="1" x14ac:dyDescent="0.3">
      <c r="A95" s="1">
        <v>15</v>
      </c>
      <c r="B95" s="1" t="e">
        <f t="shared" si="2"/>
        <v>#REF!</v>
      </c>
    </row>
    <row r="96" spans="1:2" ht="14.25" customHeight="1" x14ac:dyDescent="0.3">
      <c r="A96" s="1">
        <v>16</v>
      </c>
      <c r="B96" s="1" t="e">
        <f t="shared" si="2"/>
        <v>#REF!</v>
      </c>
    </row>
    <row r="97" spans="1:2" ht="14.25" customHeight="1" x14ac:dyDescent="0.3">
      <c r="A97" s="1">
        <v>17</v>
      </c>
      <c r="B97" s="1" t="e">
        <f t="shared" si="2"/>
        <v>#REF!</v>
      </c>
    </row>
    <row r="98" spans="1:2" ht="14.25" customHeight="1" x14ac:dyDescent="0.3">
      <c r="A98" s="1">
        <v>18</v>
      </c>
      <c r="B98" s="1" t="e">
        <f t="shared" si="2"/>
        <v>#REF!</v>
      </c>
    </row>
    <row r="99" spans="1:2" ht="14.25" customHeight="1" x14ac:dyDescent="0.3">
      <c r="A99" s="1">
        <v>19</v>
      </c>
      <c r="B99" s="1" t="e">
        <f t="shared" si="2"/>
        <v>#REF!</v>
      </c>
    </row>
    <row r="100" spans="1:2" ht="14.25" customHeight="1" x14ac:dyDescent="0.3">
      <c r="A100" s="1" t="s">
        <v>104</v>
      </c>
      <c r="B100" s="1" t="e">
        <f>SUM(B81:B99)</f>
        <v>#REF!</v>
      </c>
    </row>
    <row r="101" spans="1:2" ht="14.25" customHeight="1" x14ac:dyDescent="0.3"/>
    <row r="102" spans="1:2" ht="14.25" customHeight="1" x14ac:dyDescent="0.3"/>
    <row r="103" spans="1:2" ht="14.25" customHeight="1" x14ac:dyDescent="0.3">
      <c r="A103" s="1" t="s">
        <v>107</v>
      </c>
    </row>
    <row r="104" spans="1:2" ht="14.25" customHeight="1" x14ac:dyDescent="0.3">
      <c r="A104" s="1">
        <v>1</v>
      </c>
      <c r="B104" s="1" t="e">
        <f t="shared" ref="B104:B122" si="3">IF(#REF!="X",1,0)</f>
        <v>#REF!</v>
      </c>
    </row>
    <row r="105" spans="1:2" ht="14.25" customHeight="1" x14ac:dyDescent="0.3">
      <c r="A105" s="1">
        <v>2</v>
      </c>
      <c r="B105" s="1" t="e">
        <f t="shared" si="3"/>
        <v>#REF!</v>
      </c>
    </row>
    <row r="106" spans="1:2" ht="14.25" customHeight="1" x14ac:dyDescent="0.3">
      <c r="A106" s="1">
        <v>3</v>
      </c>
      <c r="B106" s="1" t="e">
        <f t="shared" si="3"/>
        <v>#REF!</v>
      </c>
    </row>
    <row r="107" spans="1:2" ht="14.25" customHeight="1" x14ac:dyDescent="0.3">
      <c r="A107" s="1">
        <v>4</v>
      </c>
      <c r="B107" s="1" t="e">
        <f t="shared" si="3"/>
        <v>#REF!</v>
      </c>
    </row>
    <row r="108" spans="1:2" ht="14.25" customHeight="1" x14ac:dyDescent="0.3">
      <c r="A108" s="1">
        <v>5</v>
      </c>
      <c r="B108" s="1" t="e">
        <f t="shared" si="3"/>
        <v>#REF!</v>
      </c>
    </row>
    <row r="109" spans="1:2" ht="14.25" customHeight="1" x14ac:dyDescent="0.3">
      <c r="A109" s="1">
        <v>6</v>
      </c>
      <c r="B109" s="1" t="e">
        <f t="shared" si="3"/>
        <v>#REF!</v>
      </c>
    </row>
    <row r="110" spans="1:2" ht="14.25" customHeight="1" x14ac:dyDescent="0.3">
      <c r="A110" s="1">
        <v>7</v>
      </c>
      <c r="B110" s="1" t="e">
        <f t="shared" si="3"/>
        <v>#REF!</v>
      </c>
    </row>
    <row r="111" spans="1:2" ht="14.25" customHeight="1" x14ac:dyDescent="0.3">
      <c r="A111" s="1">
        <v>8</v>
      </c>
      <c r="B111" s="1" t="e">
        <f t="shared" si="3"/>
        <v>#REF!</v>
      </c>
    </row>
    <row r="112" spans="1:2" ht="14.25" customHeight="1" x14ac:dyDescent="0.3">
      <c r="A112" s="1">
        <v>9</v>
      </c>
      <c r="B112" s="1" t="e">
        <f t="shared" si="3"/>
        <v>#REF!</v>
      </c>
    </row>
    <row r="113" spans="1:2" ht="14.25" customHeight="1" x14ac:dyDescent="0.3">
      <c r="A113" s="1">
        <v>10</v>
      </c>
      <c r="B113" s="1" t="e">
        <f t="shared" si="3"/>
        <v>#REF!</v>
      </c>
    </row>
    <row r="114" spans="1:2" ht="14.25" customHeight="1" x14ac:dyDescent="0.3">
      <c r="A114" s="1">
        <v>11</v>
      </c>
      <c r="B114" s="1" t="e">
        <f t="shared" si="3"/>
        <v>#REF!</v>
      </c>
    </row>
    <row r="115" spans="1:2" ht="14.25" customHeight="1" x14ac:dyDescent="0.3">
      <c r="A115" s="1">
        <v>12</v>
      </c>
      <c r="B115" s="1" t="e">
        <f t="shared" si="3"/>
        <v>#REF!</v>
      </c>
    </row>
    <row r="116" spans="1:2" ht="14.25" customHeight="1" x14ac:dyDescent="0.3">
      <c r="A116" s="1">
        <v>13</v>
      </c>
      <c r="B116" s="1" t="e">
        <f t="shared" si="3"/>
        <v>#REF!</v>
      </c>
    </row>
    <row r="117" spans="1:2" ht="14.25" customHeight="1" x14ac:dyDescent="0.3">
      <c r="A117" s="1">
        <v>14</v>
      </c>
      <c r="B117" s="1" t="e">
        <f t="shared" si="3"/>
        <v>#REF!</v>
      </c>
    </row>
    <row r="118" spans="1:2" ht="14.25" customHeight="1" x14ac:dyDescent="0.3">
      <c r="A118" s="1">
        <v>15</v>
      </c>
      <c r="B118" s="1" t="e">
        <f t="shared" si="3"/>
        <v>#REF!</v>
      </c>
    </row>
    <row r="119" spans="1:2" ht="14.25" customHeight="1" x14ac:dyDescent="0.3">
      <c r="A119" s="1">
        <v>16</v>
      </c>
      <c r="B119" s="1" t="e">
        <f t="shared" si="3"/>
        <v>#REF!</v>
      </c>
    </row>
    <row r="120" spans="1:2" ht="14.25" customHeight="1" x14ac:dyDescent="0.3">
      <c r="A120" s="1">
        <v>17</v>
      </c>
      <c r="B120" s="1" t="e">
        <f t="shared" si="3"/>
        <v>#REF!</v>
      </c>
    </row>
    <row r="121" spans="1:2" ht="14.25" customHeight="1" x14ac:dyDescent="0.3">
      <c r="A121" s="1">
        <v>18</v>
      </c>
      <c r="B121" s="1" t="e">
        <f t="shared" si="3"/>
        <v>#REF!</v>
      </c>
    </row>
    <row r="122" spans="1:2" ht="14.25" customHeight="1" x14ac:dyDescent="0.3">
      <c r="A122" s="1">
        <v>19</v>
      </c>
      <c r="B122" s="1" t="e">
        <f t="shared" si="3"/>
        <v>#REF!</v>
      </c>
    </row>
    <row r="123" spans="1:2" ht="14.25" customHeight="1" x14ac:dyDescent="0.3">
      <c r="A123" s="1" t="s">
        <v>104</v>
      </c>
      <c r="B123" s="1" t="e">
        <f>SUM(B104:B122)</f>
        <v>#REF!</v>
      </c>
    </row>
    <row r="124" spans="1:2" ht="14.25" customHeight="1" x14ac:dyDescent="0.3"/>
    <row r="125" spans="1:2" ht="14.25" customHeight="1" x14ac:dyDescent="0.3"/>
    <row r="126" spans="1:2" ht="14.25" customHeight="1" x14ac:dyDescent="0.3">
      <c r="A126" s="1" t="s">
        <v>107</v>
      </c>
    </row>
    <row r="127" spans="1:2" ht="14.25" customHeight="1" x14ac:dyDescent="0.3">
      <c r="A127" s="1">
        <v>1</v>
      </c>
      <c r="B127" s="1" t="e">
        <f t="shared" ref="B127:B145" si="4">IF(#REF!="X",1,0)</f>
        <v>#REF!</v>
      </c>
    </row>
    <row r="128" spans="1:2" ht="14.25" customHeight="1" x14ac:dyDescent="0.3">
      <c r="A128" s="1">
        <v>2</v>
      </c>
      <c r="B128" s="1" t="e">
        <f t="shared" si="4"/>
        <v>#REF!</v>
      </c>
    </row>
    <row r="129" spans="1:2" ht="14.25" customHeight="1" x14ac:dyDescent="0.3">
      <c r="A129" s="1">
        <v>3</v>
      </c>
      <c r="B129" s="1" t="e">
        <f t="shared" si="4"/>
        <v>#REF!</v>
      </c>
    </row>
    <row r="130" spans="1:2" ht="14.25" customHeight="1" x14ac:dyDescent="0.3">
      <c r="A130" s="1">
        <v>4</v>
      </c>
      <c r="B130" s="1" t="e">
        <f t="shared" si="4"/>
        <v>#REF!</v>
      </c>
    </row>
    <row r="131" spans="1:2" ht="14.25" customHeight="1" x14ac:dyDescent="0.3">
      <c r="A131" s="1">
        <v>5</v>
      </c>
      <c r="B131" s="1" t="e">
        <f t="shared" si="4"/>
        <v>#REF!</v>
      </c>
    </row>
    <row r="132" spans="1:2" ht="14.25" customHeight="1" x14ac:dyDescent="0.3">
      <c r="A132" s="1">
        <v>6</v>
      </c>
      <c r="B132" s="1" t="e">
        <f t="shared" si="4"/>
        <v>#REF!</v>
      </c>
    </row>
    <row r="133" spans="1:2" ht="14.25" customHeight="1" x14ac:dyDescent="0.3">
      <c r="A133" s="1">
        <v>7</v>
      </c>
      <c r="B133" s="1" t="e">
        <f t="shared" si="4"/>
        <v>#REF!</v>
      </c>
    </row>
    <row r="134" spans="1:2" ht="14.25" customHeight="1" x14ac:dyDescent="0.3">
      <c r="A134" s="1">
        <v>8</v>
      </c>
      <c r="B134" s="1" t="e">
        <f t="shared" si="4"/>
        <v>#REF!</v>
      </c>
    </row>
    <row r="135" spans="1:2" ht="14.25" customHeight="1" x14ac:dyDescent="0.3">
      <c r="A135" s="1">
        <v>9</v>
      </c>
      <c r="B135" s="1" t="e">
        <f t="shared" si="4"/>
        <v>#REF!</v>
      </c>
    </row>
    <row r="136" spans="1:2" ht="14.25" customHeight="1" x14ac:dyDescent="0.3">
      <c r="A136" s="1">
        <v>10</v>
      </c>
      <c r="B136" s="1" t="e">
        <f t="shared" si="4"/>
        <v>#REF!</v>
      </c>
    </row>
    <row r="137" spans="1:2" ht="14.25" customHeight="1" x14ac:dyDescent="0.3">
      <c r="A137" s="1">
        <v>11</v>
      </c>
      <c r="B137" s="1" t="e">
        <f t="shared" si="4"/>
        <v>#REF!</v>
      </c>
    </row>
    <row r="138" spans="1:2" ht="14.25" customHeight="1" x14ac:dyDescent="0.3">
      <c r="A138" s="1">
        <v>12</v>
      </c>
      <c r="B138" s="1" t="e">
        <f t="shared" si="4"/>
        <v>#REF!</v>
      </c>
    </row>
    <row r="139" spans="1:2" ht="14.25" customHeight="1" x14ac:dyDescent="0.3">
      <c r="A139" s="1">
        <v>13</v>
      </c>
      <c r="B139" s="1" t="e">
        <f t="shared" si="4"/>
        <v>#REF!</v>
      </c>
    </row>
    <row r="140" spans="1:2" ht="14.25" customHeight="1" x14ac:dyDescent="0.3">
      <c r="A140" s="1">
        <v>14</v>
      </c>
      <c r="B140" s="1" t="e">
        <f t="shared" si="4"/>
        <v>#REF!</v>
      </c>
    </row>
    <row r="141" spans="1:2" ht="14.25" customHeight="1" x14ac:dyDescent="0.3">
      <c r="A141" s="1">
        <v>15</v>
      </c>
      <c r="B141" s="1" t="e">
        <f t="shared" si="4"/>
        <v>#REF!</v>
      </c>
    </row>
    <row r="142" spans="1:2" ht="14.25" customHeight="1" x14ac:dyDescent="0.3">
      <c r="A142" s="1">
        <v>16</v>
      </c>
      <c r="B142" s="1" t="e">
        <f t="shared" si="4"/>
        <v>#REF!</v>
      </c>
    </row>
    <row r="143" spans="1:2" ht="14.25" customHeight="1" x14ac:dyDescent="0.3">
      <c r="A143" s="1">
        <v>17</v>
      </c>
      <c r="B143" s="1" t="e">
        <f t="shared" si="4"/>
        <v>#REF!</v>
      </c>
    </row>
    <row r="144" spans="1:2" ht="14.25" customHeight="1" x14ac:dyDescent="0.3">
      <c r="A144" s="1">
        <v>18</v>
      </c>
      <c r="B144" s="1" t="e">
        <f t="shared" si="4"/>
        <v>#REF!</v>
      </c>
    </row>
    <row r="145" spans="1:2" ht="14.25" customHeight="1" x14ac:dyDescent="0.3">
      <c r="A145" s="1">
        <v>19</v>
      </c>
      <c r="B145" s="1" t="e">
        <f t="shared" si="4"/>
        <v>#REF!</v>
      </c>
    </row>
    <row r="146" spans="1:2" ht="14.25" customHeight="1" x14ac:dyDescent="0.3">
      <c r="A146" s="1" t="s">
        <v>104</v>
      </c>
      <c r="B146" s="1" t="e">
        <f>SUM(B127:B145)</f>
        <v>#REF!</v>
      </c>
    </row>
    <row r="147" spans="1:2" ht="14.25" customHeight="1" x14ac:dyDescent="0.3"/>
    <row r="148" spans="1:2" ht="14.25" customHeight="1" x14ac:dyDescent="0.3"/>
    <row r="149" spans="1:2" ht="14.25" customHeight="1" x14ac:dyDescent="0.3"/>
    <row r="150" spans="1:2" ht="14.25" customHeight="1" x14ac:dyDescent="0.3">
      <c r="A150" s="1" t="s">
        <v>108</v>
      </c>
    </row>
    <row r="151" spans="1:2" ht="14.25" customHeight="1" x14ac:dyDescent="0.3">
      <c r="A151" s="32" t="s">
        <v>109</v>
      </c>
    </row>
    <row r="152" spans="1:2" ht="14.25" customHeight="1" x14ac:dyDescent="0.3">
      <c r="A152" s="1" t="s">
        <v>110</v>
      </c>
    </row>
    <row r="153" spans="1:2" ht="14.25" customHeight="1" x14ac:dyDescent="0.3">
      <c r="A153" s="1" t="s">
        <v>111</v>
      </c>
    </row>
    <row r="154" spans="1:2" ht="14.25" customHeight="1" x14ac:dyDescent="0.3">
      <c r="A154" s="1" t="s">
        <v>112</v>
      </c>
    </row>
    <row r="155" spans="1:2" ht="14.25" customHeight="1" x14ac:dyDescent="0.3">
      <c r="A155" s="1" t="s">
        <v>110</v>
      </c>
    </row>
    <row r="156" spans="1:2" ht="14.25" customHeight="1" x14ac:dyDescent="0.3">
      <c r="A156" s="1" t="s">
        <v>113</v>
      </c>
    </row>
    <row r="157" spans="1:2" ht="14.25" customHeight="1" x14ac:dyDescent="0.3">
      <c r="A157" s="1" t="s">
        <v>114</v>
      </c>
    </row>
    <row r="158" spans="1:2" ht="14.25" customHeight="1" x14ac:dyDescent="0.3"/>
    <row r="159" spans="1:2" ht="14.25" customHeight="1" x14ac:dyDescent="0.3">
      <c r="A159" s="32" t="s">
        <v>115</v>
      </c>
      <c r="B159" s="1" t="s">
        <v>68</v>
      </c>
    </row>
    <row r="160" spans="1:2" ht="14.25" customHeight="1" x14ac:dyDescent="0.3">
      <c r="A160" s="1" t="s">
        <v>110</v>
      </c>
    </row>
    <row r="161" spans="1:1" ht="14.25" customHeight="1" x14ac:dyDescent="0.3">
      <c r="A161" s="1" t="s">
        <v>116</v>
      </c>
    </row>
    <row r="162" spans="1:1" ht="14.25" customHeight="1" x14ac:dyDescent="0.3">
      <c r="A162" s="1" t="s">
        <v>117</v>
      </c>
    </row>
    <row r="163" spans="1:1" ht="14.25" customHeight="1" x14ac:dyDescent="0.3"/>
    <row r="164" spans="1:1" ht="14.25" customHeight="1" x14ac:dyDescent="0.3">
      <c r="A164" s="32" t="s">
        <v>118</v>
      </c>
    </row>
    <row r="165" spans="1:1" ht="14.25" customHeight="1" x14ac:dyDescent="0.3">
      <c r="A165" s="1" t="s">
        <v>110</v>
      </c>
    </row>
    <row r="166" spans="1:1" ht="14.25" customHeight="1" x14ac:dyDescent="0.3">
      <c r="A166" s="1" t="s">
        <v>119</v>
      </c>
    </row>
    <row r="167" spans="1:1" ht="14.25" customHeight="1" x14ac:dyDescent="0.3">
      <c r="A167" s="1" t="s">
        <v>120</v>
      </c>
    </row>
    <row r="168" spans="1:1" ht="14.25" customHeight="1" x14ac:dyDescent="0.3">
      <c r="A168" s="1" t="s">
        <v>121</v>
      </c>
    </row>
    <row r="169" spans="1:1" ht="14.25" customHeight="1" x14ac:dyDescent="0.3"/>
    <row r="170" spans="1:1" ht="14.25" customHeight="1" x14ac:dyDescent="0.3">
      <c r="A170" s="32" t="s">
        <v>122</v>
      </c>
    </row>
    <row r="171" spans="1:1" ht="14.25" customHeight="1" x14ac:dyDescent="0.3">
      <c r="A171" s="1" t="s">
        <v>110</v>
      </c>
    </row>
    <row r="172" spans="1:1" ht="14.25" customHeight="1" x14ac:dyDescent="0.3">
      <c r="A172" s="1" t="s">
        <v>123</v>
      </c>
    </row>
    <row r="173" spans="1:1" ht="14.25" customHeight="1" x14ac:dyDescent="0.3">
      <c r="A173" s="1" t="s">
        <v>124</v>
      </c>
    </row>
    <row r="174" spans="1:1" ht="14.25" customHeight="1" x14ac:dyDescent="0.3"/>
    <row r="175" spans="1:1" ht="14.25" customHeight="1" x14ac:dyDescent="0.3">
      <c r="A175" s="32" t="s">
        <v>125</v>
      </c>
    </row>
    <row r="176" spans="1:1" ht="14.25" customHeight="1" x14ac:dyDescent="0.3">
      <c r="A176" s="1" t="s">
        <v>110</v>
      </c>
    </row>
    <row r="177" spans="1:1" ht="14.25" customHeight="1" x14ac:dyDescent="0.3">
      <c r="A177" s="1" t="s">
        <v>126</v>
      </c>
    </row>
    <row r="178" spans="1:1" ht="14.25" customHeight="1" x14ac:dyDescent="0.3">
      <c r="A178" s="1" t="s">
        <v>127</v>
      </c>
    </row>
    <row r="179" spans="1:1" ht="14.25" customHeight="1" x14ac:dyDescent="0.3"/>
    <row r="180" spans="1:1" ht="14.25" customHeight="1" x14ac:dyDescent="0.3">
      <c r="A180" s="32" t="s">
        <v>128</v>
      </c>
    </row>
    <row r="181" spans="1:1" ht="14.25" customHeight="1" x14ac:dyDescent="0.3">
      <c r="A181" s="1" t="s">
        <v>110</v>
      </c>
    </row>
    <row r="182" spans="1:1" ht="14.25" customHeight="1" x14ac:dyDescent="0.3">
      <c r="A182" s="1" t="s">
        <v>129</v>
      </c>
    </row>
    <row r="183" spans="1:1" ht="14.25" customHeight="1" x14ac:dyDescent="0.3">
      <c r="A183" s="1" t="s">
        <v>130</v>
      </c>
    </row>
    <row r="184" spans="1:1" ht="14.25" customHeight="1" x14ac:dyDescent="0.3">
      <c r="A184" s="1" t="s">
        <v>131</v>
      </c>
    </row>
    <row r="185" spans="1:1" ht="14.25" customHeight="1" x14ac:dyDescent="0.3"/>
    <row r="186" spans="1:1" ht="14.25" customHeight="1" x14ac:dyDescent="0.3">
      <c r="A186" s="32" t="s">
        <v>132</v>
      </c>
    </row>
    <row r="187" spans="1:1" ht="14.25" customHeight="1" x14ac:dyDescent="0.3">
      <c r="A187" s="1" t="s">
        <v>110</v>
      </c>
    </row>
    <row r="188" spans="1:1" ht="14.25" customHeight="1" x14ac:dyDescent="0.3">
      <c r="A188" s="1" t="s">
        <v>133</v>
      </c>
    </row>
    <row r="189" spans="1:1" ht="14.25" customHeight="1" x14ac:dyDescent="0.3">
      <c r="A189" s="1" t="s">
        <v>134</v>
      </c>
    </row>
    <row r="190" spans="1:1" ht="14.25" customHeight="1" x14ac:dyDescent="0.3">
      <c r="A190" s="1" t="s">
        <v>135</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5"/>
  <sheetViews>
    <sheetView workbookViewId="0"/>
  </sheetViews>
  <sheetFormatPr baseColWidth="10" defaultColWidth="14.44140625" defaultRowHeight="15" customHeight="1" x14ac:dyDescent="0.3"/>
  <cols>
    <col min="1" max="26" width="10.6640625" customWidth="1"/>
  </cols>
  <sheetData>
    <row r="1" spans="1:3" ht="14.25" customHeight="1" x14ac:dyDescent="0.3">
      <c r="A1" s="1" t="s">
        <v>136</v>
      </c>
      <c r="C1" s="1" t="s">
        <v>61</v>
      </c>
    </row>
    <row r="2" spans="1:3" ht="14.25" customHeight="1" x14ac:dyDescent="0.3">
      <c r="A2" s="1" t="s">
        <v>137</v>
      </c>
      <c r="C2" s="1" t="s">
        <v>62</v>
      </c>
    </row>
    <row r="3" spans="1:3" ht="14.25" customHeight="1" x14ac:dyDescent="0.3">
      <c r="A3" s="1" t="s">
        <v>138</v>
      </c>
      <c r="C3" s="1" t="s">
        <v>63</v>
      </c>
    </row>
    <row r="4" spans="1:3" ht="14.25" customHeight="1" x14ac:dyDescent="0.3">
      <c r="A4" s="1" t="s">
        <v>139</v>
      </c>
      <c r="C4" s="1" t="s">
        <v>64</v>
      </c>
    </row>
    <row r="5" spans="1:3" ht="14.25" customHeight="1" x14ac:dyDescent="0.3">
      <c r="A5" s="1" t="s">
        <v>140</v>
      </c>
      <c r="C5" s="1" t="s">
        <v>65</v>
      </c>
    </row>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6A874-0CB3-485B-AB9D-3B5F926B51EF}">
  <dimension ref="A1:AT412"/>
  <sheetViews>
    <sheetView zoomScale="70" zoomScaleNormal="70" workbookViewId="0">
      <selection activeCell="AL404" sqref="AL404:AL408"/>
    </sheetView>
  </sheetViews>
  <sheetFormatPr baseColWidth="10" defaultColWidth="11.44140625" defaultRowHeight="13.8" x14ac:dyDescent="0.3"/>
  <cols>
    <col min="1" max="1" width="4" style="239" bestFit="1" customWidth="1"/>
    <col min="2" max="2" width="14.109375" style="239" customWidth="1"/>
    <col min="3" max="3" width="16.5546875" style="239" customWidth="1"/>
    <col min="4" max="4" width="38.109375" style="239" customWidth="1"/>
    <col min="5" max="5" width="57.33203125" style="239" customWidth="1"/>
    <col min="6" max="6" width="61.6640625" style="35" customWidth="1"/>
    <col min="7" max="7" width="35" style="35" customWidth="1"/>
    <col min="8" max="8" width="31.6640625" style="240" customWidth="1"/>
    <col min="9" max="9" width="32.21875" style="35" customWidth="1"/>
    <col min="10" max="10" width="33.6640625" style="35" bestFit="1" customWidth="1"/>
    <col min="11" max="11" width="17.109375" style="35" customWidth="1"/>
    <col min="12" max="12" width="24.77734375" style="35" customWidth="1"/>
    <col min="13" max="13" width="28.33203125" style="35" customWidth="1"/>
    <col min="14" max="14" width="31.6640625" style="35" customWidth="1"/>
    <col min="15" max="15" width="13.21875" style="35" customWidth="1"/>
    <col min="16" max="16" width="16" style="35" customWidth="1"/>
    <col min="17" max="17" width="14.33203125" style="35" customWidth="1"/>
    <col min="18" max="18" width="49" style="35" customWidth="1"/>
    <col min="19" max="19" width="73.44140625" style="35" customWidth="1"/>
    <col min="20" max="20" width="15.5546875" style="35" customWidth="1"/>
    <col min="21" max="21" width="5" style="35" customWidth="1"/>
    <col min="22" max="22" width="13.5546875" style="35" customWidth="1"/>
    <col min="23" max="23" width="11.5546875" style="35" customWidth="1"/>
    <col min="24" max="24" width="6.6640625" style="35" customWidth="1"/>
    <col min="25" max="25" width="4.6640625" style="35" customWidth="1"/>
    <col min="26" max="26" width="20.77734375" style="35" customWidth="1"/>
    <col min="27" max="27" width="8.6640625" style="35" customWidth="1"/>
    <col min="28" max="28" width="10.44140625" style="35" customWidth="1"/>
    <col min="29" max="29" width="9.33203125" style="35" customWidth="1"/>
    <col min="30" max="30" width="9.109375" style="35" customWidth="1"/>
    <col min="31" max="31" width="8.44140625" style="35" customWidth="1"/>
    <col min="32" max="32" width="10" style="35" customWidth="1"/>
    <col min="33" max="33" width="28.6640625" style="35" customWidth="1"/>
    <col min="34" max="34" width="61.77734375" style="35" customWidth="1"/>
    <col min="35" max="35" width="19.6640625" style="35" customWidth="1"/>
    <col min="36" max="36" width="17.88671875" style="35" customWidth="1"/>
    <col min="37" max="37" width="49" style="35" customWidth="1"/>
    <col min="38" max="38" width="57.44140625" style="35" customWidth="1"/>
    <col min="39" max="39" width="25.88671875" style="310" customWidth="1"/>
    <col min="40" max="40" width="24" style="310" customWidth="1"/>
    <col min="41" max="41" width="31.44140625" style="35" customWidth="1"/>
    <col min="42" max="42" width="33.44140625" style="35" customWidth="1"/>
    <col min="43" max="43" width="25.21875" style="35" customWidth="1"/>
    <col min="44" max="16384" width="11.44140625" style="35"/>
  </cols>
  <sheetData>
    <row r="1" spans="1:39" ht="16.5" customHeight="1" x14ac:dyDescent="0.3">
      <c r="A1" s="2034" t="s">
        <v>156</v>
      </c>
      <c r="B1" s="2035"/>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row>
    <row r="2" spans="1:39" ht="24" customHeight="1" x14ac:dyDescent="0.3">
      <c r="A2" s="2034"/>
      <c r="B2" s="2035"/>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c r="AJ2" s="2035"/>
      <c r="AK2" s="2035"/>
      <c r="AL2" s="2035"/>
      <c r="AM2" s="2035"/>
    </row>
    <row r="3" spans="1:39" ht="26.25" customHeight="1" x14ac:dyDescent="0.3">
      <c r="A3" s="2143" t="s">
        <v>157</v>
      </c>
      <c r="B3" s="2144"/>
      <c r="C3" s="2039" t="s">
        <v>320</v>
      </c>
      <c r="D3" s="2039"/>
      <c r="E3" s="2039"/>
      <c r="F3" s="2039"/>
      <c r="G3" s="2039"/>
      <c r="H3" s="2039"/>
      <c r="I3" s="2039"/>
      <c r="J3" s="2039"/>
      <c r="K3" s="2039"/>
      <c r="L3" s="2039"/>
      <c r="M3" s="2039"/>
      <c r="N3" s="2039"/>
      <c r="O3" s="2039"/>
      <c r="P3" s="2039"/>
      <c r="Q3" s="2039"/>
      <c r="R3" s="2039"/>
      <c r="S3" s="2039"/>
      <c r="T3" s="2039"/>
      <c r="U3" s="2039"/>
      <c r="V3" s="2039"/>
      <c r="W3" s="2039"/>
      <c r="X3" s="2039"/>
      <c r="Y3" s="2039"/>
      <c r="Z3" s="2039"/>
      <c r="AA3" s="2039"/>
      <c r="AB3" s="2039"/>
      <c r="AC3" s="2039"/>
      <c r="AD3" s="2039"/>
      <c r="AE3" s="2039"/>
      <c r="AF3" s="2039"/>
      <c r="AG3" s="2039"/>
      <c r="AH3" s="2039"/>
      <c r="AI3" s="2039"/>
      <c r="AJ3" s="2039"/>
      <c r="AK3" s="2039"/>
      <c r="AL3" s="2039"/>
      <c r="AM3" s="2039"/>
    </row>
    <row r="4" spans="1:39" ht="30" customHeight="1" x14ac:dyDescent="0.3">
      <c r="A4" s="2143" t="s">
        <v>158</v>
      </c>
      <c r="B4" s="2144"/>
      <c r="C4" s="2040" t="s">
        <v>321</v>
      </c>
      <c r="D4" s="2040"/>
      <c r="E4" s="2040"/>
      <c r="F4" s="2040"/>
      <c r="G4" s="2040"/>
      <c r="H4" s="2040"/>
      <c r="I4" s="2040"/>
      <c r="J4" s="2040"/>
      <c r="K4" s="2040"/>
      <c r="L4" s="2040"/>
      <c r="M4" s="2040"/>
      <c r="N4" s="2040"/>
      <c r="O4" s="2040"/>
      <c r="P4" s="2040"/>
      <c r="Q4" s="2040"/>
      <c r="R4" s="2040"/>
      <c r="S4" s="2040"/>
      <c r="T4" s="2040"/>
      <c r="U4" s="2040"/>
      <c r="V4" s="2040"/>
      <c r="W4" s="2040"/>
      <c r="X4" s="2040"/>
      <c r="Y4" s="2040"/>
      <c r="Z4" s="2040"/>
      <c r="AA4" s="2040"/>
      <c r="AB4" s="2040"/>
      <c r="AC4" s="2040"/>
      <c r="AD4" s="2040"/>
      <c r="AE4" s="2040"/>
      <c r="AF4" s="2040"/>
      <c r="AG4" s="2040"/>
      <c r="AH4" s="2040"/>
      <c r="AI4" s="2040"/>
      <c r="AJ4" s="2040"/>
      <c r="AK4" s="2040"/>
      <c r="AL4" s="2040"/>
      <c r="AM4" s="2040"/>
    </row>
    <row r="5" spans="1:39" ht="49.5" customHeight="1" x14ac:dyDescent="0.3">
      <c r="A5" s="2143" t="s">
        <v>159</v>
      </c>
      <c r="B5" s="2144"/>
      <c r="C5" s="2040" t="s">
        <v>322</v>
      </c>
      <c r="D5" s="2040"/>
      <c r="E5" s="2040"/>
      <c r="F5" s="2040"/>
      <c r="G5" s="2040"/>
      <c r="H5" s="2040"/>
      <c r="I5" s="2040"/>
      <c r="J5" s="2040"/>
      <c r="K5" s="2040"/>
      <c r="L5" s="2040"/>
      <c r="M5" s="2040"/>
      <c r="N5" s="2040"/>
      <c r="O5" s="2040"/>
      <c r="P5" s="2040"/>
      <c r="Q5" s="2040"/>
      <c r="R5" s="2040"/>
      <c r="S5" s="2040"/>
      <c r="T5" s="2040"/>
      <c r="U5" s="2040"/>
      <c r="V5" s="2040"/>
      <c r="W5" s="2040"/>
      <c r="X5" s="2040"/>
      <c r="Y5" s="2040"/>
      <c r="Z5" s="2040"/>
      <c r="AA5" s="2040"/>
      <c r="AB5" s="2040"/>
      <c r="AC5" s="2040"/>
      <c r="AD5" s="2040"/>
      <c r="AE5" s="2040"/>
      <c r="AF5" s="2040"/>
      <c r="AG5" s="2040"/>
      <c r="AH5" s="2040"/>
      <c r="AI5" s="2040"/>
      <c r="AJ5" s="2040"/>
      <c r="AK5" s="2040"/>
      <c r="AL5" s="2040"/>
      <c r="AM5" s="2040"/>
    </row>
    <row r="6" spans="1:39" ht="49.2" customHeight="1" x14ac:dyDescent="0.3">
      <c r="A6" s="2135" t="s">
        <v>160</v>
      </c>
      <c r="B6" s="2136"/>
      <c r="C6" s="2137"/>
      <c r="D6" s="2137"/>
      <c r="E6" s="2137"/>
      <c r="F6" s="2137"/>
      <c r="G6" s="2137"/>
      <c r="H6" s="2137"/>
      <c r="I6" s="2138"/>
      <c r="J6" s="2139" t="s">
        <v>161</v>
      </c>
      <c r="K6" s="2137"/>
      <c r="L6" s="2137"/>
      <c r="M6" s="2137"/>
      <c r="N6" s="2137"/>
      <c r="O6" s="2137"/>
      <c r="P6" s="2138"/>
      <c r="Q6" s="2139" t="s">
        <v>162</v>
      </c>
      <c r="R6" s="2137"/>
      <c r="S6" s="2137"/>
      <c r="T6" s="2137"/>
      <c r="U6" s="2137"/>
      <c r="V6" s="2137"/>
      <c r="W6" s="2137"/>
      <c r="X6" s="2137"/>
      <c r="Y6" s="2138"/>
      <c r="Z6" s="2139" t="s">
        <v>163</v>
      </c>
      <c r="AA6" s="2137"/>
      <c r="AB6" s="2137"/>
      <c r="AC6" s="2137"/>
      <c r="AD6" s="2137"/>
      <c r="AE6" s="2137"/>
      <c r="AF6" s="2138"/>
      <c r="AG6" s="2036" t="s">
        <v>164</v>
      </c>
      <c r="AH6" s="2037"/>
      <c r="AI6" s="2037"/>
      <c r="AJ6" s="2037"/>
      <c r="AK6" s="2037"/>
      <c r="AL6" s="2037"/>
      <c r="AM6" s="2037"/>
    </row>
    <row r="7" spans="1:39" ht="16.5" customHeight="1" x14ac:dyDescent="0.3">
      <c r="A7" s="2140" t="s">
        <v>165</v>
      </c>
      <c r="B7" s="2142" t="s">
        <v>142</v>
      </c>
      <c r="C7" s="2042" t="s">
        <v>166</v>
      </c>
      <c r="D7" s="2042" t="s">
        <v>167</v>
      </c>
      <c r="E7" s="2041" t="s">
        <v>168</v>
      </c>
      <c r="F7" s="2103" t="s">
        <v>60</v>
      </c>
      <c r="G7" s="280"/>
      <c r="H7" s="280"/>
      <c r="I7" s="2041" t="s">
        <v>169</v>
      </c>
      <c r="J7" s="2042" t="s">
        <v>170</v>
      </c>
      <c r="K7" s="2105" t="s">
        <v>171</v>
      </c>
      <c r="L7" s="2100" t="s">
        <v>172</v>
      </c>
      <c r="M7" s="2041" t="s">
        <v>173</v>
      </c>
      <c r="N7" s="2041" t="s">
        <v>174</v>
      </c>
      <c r="O7" s="2102" t="s">
        <v>175</v>
      </c>
      <c r="P7" s="2100" t="s">
        <v>172</v>
      </c>
      <c r="Q7" s="2042" t="s">
        <v>176</v>
      </c>
      <c r="R7" s="2161" t="s">
        <v>177</v>
      </c>
      <c r="S7" s="2043" t="s">
        <v>178</v>
      </c>
      <c r="T7" s="2041" t="s">
        <v>179</v>
      </c>
      <c r="U7" s="2043" t="s">
        <v>180</v>
      </c>
      <c r="V7" s="2043"/>
      <c r="W7" s="2043"/>
      <c r="X7" s="2043"/>
      <c r="Y7" s="2043"/>
      <c r="Z7" s="2043"/>
      <c r="AA7" s="2099" t="s">
        <v>181</v>
      </c>
      <c r="AB7" s="2099" t="s">
        <v>182</v>
      </c>
      <c r="AC7" s="2099" t="s">
        <v>172</v>
      </c>
      <c r="AD7" s="2099" t="s">
        <v>183</v>
      </c>
      <c r="AE7" s="2099" t="s">
        <v>172</v>
      </c>
      <c r="AF7" s="2099" t="s">
        <v>184</v>
      </c>
      <c r="AG7" s="2161" t="s">
        <v>185</v>
      </c>
      <c r="AH7" s="2043" t="s">
        <v>164</v>
      </c>
      <c r="AI7" s="2043" t="s">
        <v>143</v>
      </c>
      <c r="AJ7" s="2043" t="s">
        <v>186</v>
      </c>
      <c r="AK7" s="2043" t="s">
        <v>187</v>
      </c>
      <c r="AL7" s="2043" t="s">
        <v>188</v>
      </c>
      <c r="AM7" s="2043" t="s">
        <v>189</v>
      </c>
    </row>
    <row r="8" spans="1:39" s="36" customFormat="1" ht="55.2" customHeight="1" x14ac:dyDescent="0.3">
      <c r="A8" s="2141"/>
      <c r="B8" s="2142"/>
      <c r="C8" s="2043"/>
      <c r="D8" s="2043"/>
      <c r="E8" s="2105"/>
      <c r="F8" s="2104"/>
      <c r="G8" s="280" t="s">
        <v>511</v>
      </c>
      <c r="H8" s="280" t="s">
        <v>190</v>
      </c>
      <c r="I8" s="2042"/>
      <c r="J8" s="2043"/>
      <c r="K8" s="2042"/>
      <c r="L8" s="2101"/>
      <c r="M8" s="2042"/>
      <c r="N8" s="2042"/>
      <c r="O8" s="2101"/>
      <c r="P8" s="2101"/>
      <c r="Q8" s="2043"/>
      <c r="R8" s="2162"/>
      <c r="S8" s="2043"/>
      <c r="T8" s="2042"/>
      <c r="U8" s="281" t="s">
        <v>191</v>
      </c>
      <c r="V8" s="281" t="s">
        <v>192</v>
      </c>
      <c r="W8" s="281" t="s">
        <v>193</v>
      </c>
      <c r="X8" s="281" t="s">
        <v>194</v>
      </c>
      <c r="Y8" s="281" t="s">
        <v>195</v>
      </c>
      <c r="Z8" s="281" t="s">
        <v>196</v>
      </c>
      <c r="AA8" s="2099"/>
      <c r="AB8" s="2099"/>
      <c r="AC8" s="2099"/>
      <c r="AD8" s="2099"/>
      <c r="AE8" s="2099"/>
      <c r="AF8" s="2099"/>
      <c r="AG8" s="2162"/>
      <c r="AH8" s="2043"/>
      <c r="AI8" s="2043"/>
      <c r="AJ8" s="2043"/>
      <c r="AK8" s="2043"/>
      <c r="AL8" s="2043"/>
      <c r="AM8" s="2043"/>
    </row>
    <row r="9" spans="1:39" s="36" customFormat="1" ht="265.2" customHeight="1" x14ac:dyDescent="0.3">
      <c r="A9" s="2112">
        <v>1</v>
      </c>
      <c r="B9" s="2155" t="s">
        <v>197</v>
      </c>
      <c r="C9" s="2155" t="s">
        <v>323</v>
      </c>
      <c r="D9" s="2158" t="s">
        <v>324</v>
      </c>
      <c r="E9" s="282" t="s">
        <v>325</v>
      </c>
      <c r="F9" s="2125" t="s">
        <v>326</v>
      </c>
      <c r="G9" s="1979" t="s">
        <v>512</v>
      </c>
      <c r="H9" s="2125" t="s">
        <v>327</v>
      </c>
      <c r="I9" s="2126" t="s">
        <v>198</v>
      </c>
      <c r="J9" s="2129">
        <v>365</v>
      </c>
      <c r="K9" s="2109" t="str">
        <f>IF(J9&lt;=0,"",IF(J9&lt;=2,"Muy Baja",IF(J9&lt;=24,"Baja",IF(J9&lt;=500,"Media",IF(J9&lt;=5000,"Alta","Muy Alta")))))</f>
        <v>Media</v>
      </c>
      <c r="L9" s="2106">
        <f>IF(K9="","",IF(K9="Muy Baja",0.2,IF(K9="Baja",0.4,IF(K9="Media",0.6,IF(K9="Alta",0.8,IF(K9="Muy Alta",1,))))))</f>
        <v>0.6</v>
      </c>
      <c r="M9" s="2132" t="s">
        <v>225</v>
      </c>
      <c r="N9" s="2106" t="str">
        <f>IF(NOT(ISERROR(MATCH(M9,'[1]Tabla Impacto'!$B$221:$B$223,0))),'[1]Tabla Impacto'!$F$223&amp;"Por favor no seleccionar los criterios de impacto(Afectación Económica o presupuestal y Pérdida Reputacional)",M9)</f>
        <v xml:space="preserve">     El riesgo afecta la imagen de la entidad con algunos usuarios de relevancia frente al logro de los objetivos</v>
      </c>
      <c r="O9" s="2109" t="str">
        <f>IF(OR(N9='[1]Tabla Impacto'!$C$11,N9='[1]Tabla Impacto'!$D$11),"Leve",IF(OR(N9='[1]Tabla Impacto'!$C$12,N9='[1]Tabla Impacto'!$D$12),"Menor",IF(OR(N9='[1]Tabla Impacto'!$C$13,N9='[1]Tabla Impacto'!$D$13),"Moderado",IF(OR(N9='[1]Tabla Impacto'!$C$14,N9='[1]Tabla Impacto'!$D$14),"Mayor",IF(OR(N9='[1]Tabla Impacto'!$C$15,N9='[1]Tabla Impacto'!$D$15),"Catastrófico","")))))</f>
        <v>Moderado</v>
      </c>
      <c r="P9" s="2106">
        <f>IF(O9="","",IF(O9="Leve",0.2,IF(O9="Menor",0.4,IF(O9="Moderado",0.6,IF(O9="Mayor",0.8,IF(O9="Catastrófico",1,))))))</f>
        <v>0.6</v>
      </c>
      <c r="Q9" s="2014" t="str">
        <f>IF(OR(AND(K9="Muy Baja",O9="Leve"),AND(K9="Muy Baja",O9="Menor"),AND(K9="Baja",O9="Leve")),"Bajo",IF(OR(AND(K9="Muy baja",O9="Moderado"),AND(K9="Baja",O9="Menor"),AND(K9="Baja",O9="Moderado"),AND(K9="Media",O9="Leve"),AND(K9="Media",O9="Menor"),AND(K9="Media",O9="Moderado"),AND(K9="Alta",O9="Leve"),AND(K9="Alta",O9="Menor")),"Moderado",IF(OR(AND(K9="Muy Baja",O9="Mayor"),AND(K9="Baja",O9="Mayor"),AND(K9="Media",O9="Mayor"),AND(K9="Alta",O9="Moderado"),AND(K9="Alta",O9="Mayor"),AND(K9="Muy Alta",O9="Leve"),AND(K9="Muy Alta",O9="Menor"),AND(K9="Muy Alta",O9="Moderado"),AND(K9="Muy Alta",O9="Mayor")),"Alto",IF(OR(AND(K9="Muy Baja",O9="Catastrófico"),AND(K9="Baja",O9="Catastrófico"),AND(K9="Media",O9="Catastrófico"),AND(K9="Alta",O9="Catastrófico"),AND(K9="Muy Alta",O9="Catastrófico")),"Extremo",""))))</f>
        <v>Moderado</v>
      </c>
      <c r="R9" s="283">
        <v>1</v>
      </c>
      <c r="S9" s="284" t="s">
        <v>513</v>
      </c>
      <c r="T9" s="285" t="str">
        <f>IF(OR(U9="Preventivo",U9="Detectivo"),"Probabilidad",IF(U9="Correctivo","Impacto",""))</f>
        <v>Probabilidad</v>
      </c>
      <c r="U9" s="286" t="s">
        <v>207</v>
      </c>
      <c r="V9" s="286" t="s">
        <v>201</v>
      </c>
      <c r="W9" s="287" t="str">
        <f>IF(AND(U9="Preventivo",V9="Automático"),"50%",IF(AND(U9="Preventivo",V9="Manual"),"40%",IF(AND(U9="Detectivo",V9="Automático"),"40%",IF(AND(U9="Detectivo",V9="Manual"),"30%",IF(AND(U9="Correctivo",V9="Automático"),"35%",IF(AND(U9="Correctivo",V9="Manual"),"25%",""))))))</f>
        <v>40%</v>
      </c>
      <c r="X9" s="286" t="s">
        <v>202</v>
      </c>
      <c r="Y9" s="286" t="s">
        <v>203</v>
      </c>
      <c r="Z9" s="286" t="s">
        <v>298</v>
      </c>
      <c r="AA9" s="63">
        <f>IFERROR(IF(T9="Probabilidad",(L9-(+L9*W9)),IF(T9="Impacto",L9,"")),"")</f>
        <v>0.36</v>
      </c>
      <c r="AB9" s="288" t="str">
        <f>IFERROR(IF(AA9="","",IF(AA9&lt;=0.2,"Muy Baja",IF(AA9&lt;=0.4,"Baja",IF(AA9&lt;=0.6,"Media",IF(AA9&lt;=0.8,"Alta","Muy Alta"))))),"")</f>
        <v>Baja</v>
      </c>
      <c r="AC9" s="289">
        <f>+AA9</f>
        <v>0.36</v>
      </c>
      <c r="AD9" s="288" t="str">
        <f>IFERROR(IF(AE9="","",IF(AE9&lt;=0.2,"Leve",IF(AE9&lt;=0.4,"Menor",IF(AE9&lt;=0.6,"Moderado",IF(AE9&lt;=0.8,"Mayor","Catastrófico"))))),"")</f>
        <v>Moderado</v>
      </c>
      <c r="AE9" s="289">
        <f>IFERROR(IF(T9="Impacto",(P9-(+P9*W9)),IF(T9="Probabilidad",P9,"")),"")</f>
        <v>0.6</v>
      </c>
      <c r="AF9" s="290" t="str">
        <f>IFERROR(IF(OR(AND(AB9="Muy Baja",AD9="Leve"),AND(AB9="Muy Baja",AD9="Menor"),AND(AB9="Baja",AD9="Leve")),"Bajo",IF(OR(AND(AB9="Muy baja",AD9="Moderado"),AND(AB9="Baja",AD9="Menor"),AND(AB9="Baja",AD9="Moderado"),AND(AB9="Media",AD9="Leve"),AND(AB9="Media",AD9="Menor"),AND(AB9="Media",AD9="Moderado"),AND(AB9="Alta",AD9="Leve"),AND(AB9="Alta",AD9="Menor")),"Moderado",IF(OR(AND(AB9="Muy Baja",AD9="Mayor"),AND(AB9="Baja",AD9="Mayor"),AND(AB9="Media",AD9="Mayor"),AND(AB9="Alta",AD9="Moderado"),AND(AB9="Alta",AD9="Mayor"),AND(AB9="Muy Alta",AD9="Leve"),AND(AB9="Muy Alta",AD9="Menor"),AND(AB9="Muy Alta",AD9="Moderado"),AND(AB9="Muy Alta",AD9="Mayor")),"Alto",IF(OR(AND(AB9="Muy Baja",AD9="Catastrófico"),AND(AB9="Baja",AD9="Catastrófico"),AND(AB9="Media",AD9="Catastrófico"),AND(AB9="Alta",AD9="Catastrófico"),AND(AB9="Muy Alta",AD9="Catastrófico")),"Extremo","")))),"")</f>
        <v>Moderado</v>
      </c>
      <c r="AG9" s="291" t="s">
        <v>205</v>
      </c>
      <c r="AH9" s="292" t="s">
        <v>328</v>
      </c>
      <c r="AI9" s="292" t="s">
        <v>329</v>
      </c>
      <c r="AJ9" s="293">
        <v>45292</v>
      </c>
      <c r="AK9" s="293">
        <v>45473</v>
      </c>
      <c r="AL9" s="292" t="s">
        <v>514</v>
      </c>
      <c r="AM9" s="294" t="s">
        <v>206</v>
      </c>
    </row>
    <row r="10" spans="1:39" s="36" customFormat="1" ht="109.8" customHeight="1" x14ac:dyDescent="0.3">
      <c r="A10" s="2113"/>
      <c r="B10" s="2156"/>
      <c r="C10" s="2156"/>
      <c r="D10" s="2159"/>
      <c r="E10" s="282" t="s">
        <v>330</v>
      </c>
      <c r="F10" s="2125"/>
      <c r="G10" s="1980"/>
      <c r="H10" s="2125"/>
      <c r="I10" s="2127"/>
      <c r="J10" s="2130"/>
      <c r="K10" s="2110"/>
      <c r="L10" s="2107"/>
      <c r="M10" s="2133"/>
      <c r="N10" s="2107">
        <f>IF(NOT(ISERROR(MATCH(M10,_xlfn.ANCHORARRAY(F21),0))),L23&amp;"Por favor no seleccionar los criterios de impacto",M10)</f>
        <v>0</v>
      </c>
      <c r="O10" s="2110"/>
      <c r="P10" s="2107"/>
      <c r="Q10" s="2015"/>
      <c r="R10" s="283">
        <v>2</v>
      </c>
      <c r="S10" s="284" t="s">
        <v>515</v>
      </c>
      <c r="T10" s="285" t="str">
        <f>IF(OR(U10="Preventivo",U10="Detectivo"),"Probabilidad",IF(U10="Correctivo","Impacto",""))</f>
        <v>Probabilidad</v>
      </c>
      <c r="U10" s="286" t="s">
        <v>207</v>
      </c>
      <c r="V10" s="286" t="s">
        <v>201</v>
      </c>
      <c r="W10" s="287" t="str">
        <f t="shared" ref="W10:W14" si="0">IF(AND(U10="Preventivo",V10="Automático"),"50%",IF(AND(U10="Preventivo",V10="Manual"),"40%",IF(AND(U10="Detectivo",V10="Automático"),"40%",IF(AND(U10="Detectivo",V10="Manual"),"30%",IF(AND(U10="Correctivo",V10="Automático"),"35%",IF(AND(U10="Correctivo",V10="Manual"),"25%",""))))))</f>
        <v>40%</v>
      </c>
      <c r="X10" s="286" t="s">
        <v>202</v>
      </c>
      <c r="Y10" s="286" t="s">
        <v>203</v>
      </c>
      <c r="Z10" s="286" t="s">
        <v>298</v>
      </c>
      <c r="AA10" s="63">
        <f>IFERROR(IF(AND(T9="Probabilidad",T10="Probabilidad"),(AC9-(+AC9*W10)),IF(AND(T9="Impacto",T10="Probabilidad"),(L9-(+L9*W10)),IF(T10="Impacto",AC9,""))),"")</f>
        <v>0.216</v>
      </c>
      <c r="AB10" s="288" t="str">
        <f t="shared" ref="AB10:AB14" si="1">IFERROR(IF(AA10="","",IF(AA10&lt;=0.2,"Muy Baja",IF(AA10&lt;=0.4,"Baja",IF(AA10&lt;=0.6,"Media",IF(AA10&lt;=0.8,"Alta","Muy Alta"))))),"")</f>
        <v>Baja</v>
      </c>
      <c r="AC10" s="289">
        <f>+AA10</f>
        <v>0.216</v>
      </c>
      <c r="AD10" s="288" t="str">
        <f t="shared" ref="AD10:AD14" si="2">IFERROR(IF(AE10="","",IF(AE10&lt;=0.2,"Leve",IF(AE10&lt;=0.4,"Menor",IF(AE10&lt;=0.6,"Moderado",IF(AE10&lt;=0.8,"Mayor","Catastrófico"))))),"")</f>
        <v>Moderado</v>
      </c>
      <c r="AE10" s="289">
        <f>IFERROR(IF(AND(T9="Impacto",T10="Impacto"),(AE9-(+AE9*W10)),IF(AND(T9="Probabilidad",T10="Impacto"),(P9-(+P9*W10)),IF(T10="Probabilidad",AE9,""))),"")</f>
        <v>0.6</v>
      </c>
      <c r="AF10" s="290" t="str">
        <f t="shared" ref="AF10:AF14" si="3">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295" t="s">
        <v>205</v>
      </c>
      <c r="AH10" s="296" t="s">
        <v>331</v>
      </c>
      <c r="AI10" s="296" t="s">
        <v>329</v>
      </c>
      <c r="AJ10" s="293">
        <v>45292</v>
      </c>
      <c r="AK10" s="293">
        <v>45473</v>
      </c>
      <c r="AL10" s="296" t="s">
        <v>516</v>
      </c>
      <c r="AM10" s="297" t="s">
        <v>206</v>
      </c>
    </row>
    <row r="11" spans="1:39" s="36" customFormat="1" ht="88.2" customHeight="1" x14ac:dyDescent="0.3">
      <c r="A11" s="2113"/>
      <c r="B11" s="2156"/>
      <c r="C11" s="2156"/>
      <c r="D11" s="2159"/>
      <c r="E11" s="298" t="s">
        <v>332</v>
      </c>
      <c r="F11" s="2125"/>
      <c r="G11" s="1980"/>
      <c r="H11" s="2125"/>
      <c r="I11" s="2127"/>
      <c r="J11" s="2130"/>
      <c r="K11" s="2110"/>
      <c r="L11" s="2107"/>
      <c r="M11" s="2133"/>
      <c r="N11" s="2107">
        <f>IF(NOT(ISERROR(MATCH(M11,_xlfn.ANCHORARRAY(F22),0))),L24&amp;"Por favor no seleccionar los criterios de impacto",M11)</f>
        <v>0</v>
      </c>
      <c r="O11" s="2110"/>
      <c r="P11" s="2107"/>
      <c r="Q11" s="2015"/>
      <c r="R11" s="283">
        <v>3</v>
      </c>
      <c r="S11" s="299" t="s">
        <v>517</v>
      </c>
      <c r="T11" s="285" t="str">
        <f t="shared" ref="T11:T14" si="4">IF(OR(U11="Preventivo",U11="Detectivo"),"Probabilidad",IF(U11="Correctivo","Impacto",""))</f>
        <v>Probabilidad</v>
      </c>
      <c r="U11" s="286" t="s">
        <v>207</v>
      </c>
      <c r="V11" s="286" t="s">
        <v>201</v>
      </c>
      <c r="W11" s="287" t="str">
        <f t="shared" si="0"/>
        <v>40%</v>
      </c>
      <c r="X11" s="286" t="s">
        <v>202</v>
      </c>
      <c r="Y11" s="286" t="s">
        <v>203</v>
      </c>
      <c r="Z11" s="286" t="s">
        <v>298</v>
      </c>
      <c r="AA11" s="63">
        <f>IFERROR(IF(AND(T10="Probabilidad",T11="Probabilidad"),(AC10-(+AC10*W11)),IF(AND(T10="Impacto",T11="Probabilidad"),(AC9-(+AC9*W11)),IF(T11="Impacto",AC10,""))),"")</f>
        <v>0.12959999999999999</v>
      </c>
      <c r="AB11" s="288" t="str">
        <f t="shared" si="1"/>
        <v>Muy Baja</v>
      </c>
      <c r="AC11" s="289">
        <f t="shared" ref="AC11:AC14" si="5">+AA11</f>
        <v>0.12959999999999999</v>
      </c>
      <c r="AD11" s="288" t="str">
        <f t="shared" si="2"/>
        <v>Moderado</v>
      </c>
      <c r="AE11" s="289">
        <f t="shared" ref="AE11:AE14" si="6">IFERROR(IF(AND(T10="Impacto",T11="Impacto"),(AE10-(+AE10*W11)),IF(AND(T10="Probabilidad",T11="Impacto"),(AE9-(+AE9*W11)),IF(T11="Probabilidad",AE10,""))),"")</f>
        <v>0.6</v>
      </c>
      <c r="AF11" s="290" t="str">
        <f t="shared" si="3"/>
        <v>Moderado</v>
      </c>
      <c r="AG11" s="295" t="s">
        <v>205</v>
      </c>
      <c r="AH11" s="296" t="s">
        <v>518</v>
      </c>
      <c r="AI11" s="300" t="s">
        <v>329</v>
      </c>
      <c r="AJ11" s="301">
        <v>45292</v>
      </c>
      <c r="AK11" s="293">
        <v>45473</v>
      </c>
      <c r="AL11" s="296" t="s">
        <v>519</v>
      </c>
      <c r="AM11" s="297" t="s">
        <v>206</v>
      </c>
    </row>
    <row r="12" spans="1:39" s="36" customFormat="1" ht="55.2" customHeight="1" x14ac:dyDescent="0.3">
      <c r="A12" s="2113"/>
      <c r="B12" s="2156"/>
      <c r="C12" s="2156"/>
      <c r="D12" s="2159"/>
      <c r="E12" s="298"/>
      <c r="F12" s="2125"/>
      <c r="G12" s="1980"/>
      <c r="H12" s="2125"/>
      <c r="I12" s="2127"/>
      <c r="J12" s="2130"/>
      <c r="K12" s="2110"/>
      <c r="L12" s="2107"/>
      <c r="M12" s="2133"/>
      <c r="N12" s="2107">
        <f>IF(NOT(ISERROR(MATCH(M12,_xlfn.ANCHORARRAY(F23),0))),L25&amp;"Por favor no seleccionar los criterios de impacto",M12)</f>
        <v>0</v>
      </c>
      <c r="O12" s="2110"/>
      <c r="P12" s="2107"/>
      <c r="Q12" s="2015"/>
      <c r="R12" s="283">
        <v>4</v>
      </c>
      <c r="S12" s="302"/>
      <c r="T12" s="285" t="str">
        <f t="shared" si="4"/>
        <v/>
      </c>
      <c r="U12" s="286"/>
      <c r="V12" s="286"/>
      <c r="W12" s="287" t="str">
        <f t="shared" si="0"/>
        <v/>
      </c>
      <c r="X12" s="286"/>
      <c r="Y12" s="286"/>
      <c r="Z12" s="286"/>
      <c r="AA12" s="63" t="str">
        <f t="shared" ref="AA12:AA14" si="7">IFERROR(IF(AND(T11="Probabilidad",T12="Probabilidad"),(AC11-(+AC11*W12)),IF(AND(T11="Impacto",T12="Probabilidad"),(AC10-(+AC10*W12)),IF(T12="Impacto",AC11,""))),"")</f>
        <v/>
      </c>
      <c r="AB12" s="288" t="str">
        <f t="shared" si="1"/>
        <v/>
      </c>
      <c r="AC12" s="289" t="str">
        <f t="shared" si="5"/>
        <v/>
      </c>
      <c r="AD12" s="288" t="str">
        <f t="shared" si="2"/>
        <v/>
      </c>
      <c r="AE12" s="289" t="str">
        <f t="shared" si="6"/>
        <v/>
      </c>
      <c r="AF12" s="290" t="str">
        <f t="shared" si="3"/>
        <v/>
      </c>
      <c r="AG12" s="291"/>
      <c r="AH12" s="296"/>
      <c r="AI12" s="297"/>
      <c r="AJ12" s="303"/>
      <c r="AK12" s="303"/>
      <c r="AL12" s="296"/>
      <c r="AM12" s="297"/>
    </row>
    <row r="13" spans="1:39" s="36" customFormat="1" ht="55.2" customHeight="1" x14ac:dyDescent="0.3">
      <c r="A13" s="2113"/>
      <c r="B13" s="2156"/>
      <c r="C13" s="2156"/>
      <c r="D13" s="2159"/>
      <c r="E13" s="298"/>
      <c r="F13" s="2125"/>
      <c r="G13" s="1980"/>
      <c r="H13" s="2125"/>
      <c r="I13" s="2127"/>
      <c r="J13" s="2130"/>
      <c r="K13" s="2110"/>
      <c r="L13" s="2107"/>
      <c r="M13" s="2133"/>
      <c r="N13" s="2107">
        <f>IF(NOT(ISERROR(MATCH(M13,_xlfn.ANCHORARRAY(F24),0))),L26&amp;"Por favor no seleccionar los criterios de impacto",M13)</f>
        <v>0</v>
      </c>
      <c r="O13" s="2110"/>
      <c r="P13" s="2107"/>
      <c r="Q13" s="2015"/>
      <c r="R13" s="283">
        <v>5</v>
      </c>
      <c r="S13" s="302"/>
      <c r="T13" s="285" t="str">
        <f t="shared" si="4"/>
        <v/>
      </c>
      <c r="U13" s="286"/>
      <c r="V13" s="286"/>
      <c r="W13" s="287" t="str">
        <f t="shared" si="0"/>
        <v/>
      </c>
      <c r="X13" s="286"/>
      <c r="Y13" s="286"/>
      <c r="Z13" s="286"/>
      <c r="AA13" s="63" t="str">
        <f t="shared" si="7"/>
        <v/>
      </c>
      <c r="AB13" s="288" t="str">
        <f t="shared" si="1"/>
        <v/>
      </c>
      <c r="AC13" s="289" t="str">
        <f t="shared" si="5"/>
        <v/>
      </c>
      <c r="AD13" s="288" t="str">
        <f t="shared" si="2"/>
        <v/>
      </c>
      <c r="AE13" s="289" t="str">
        <f t="shared" si="6"/>
        <v/>
      </c>
      <c r="AF13" s="290" t="str">
        <f t="shared" si="3"/>
        <v/>
      </c>
      <c r="AG13" s="291"/>
      <c r="AH13" s="296"/>
      <c r="AI13" s="297"/>
      <c r="AJ13" s="303"/>
      <c r="AK13" s="303"/>
      <c r="AL13" s="296"/>
      <c r="AM13" s="297"/>
    </row>
    <row r="14" spans="1:39" s="36" customFormat="1" ht="55.2" customHeight="1" x14ac:dyDescent="0.3">
      <c r="A14" s="2114"/>
      <c r="B14" s="2157"/>
      <c r="C14" s="2157"/>
      <c r="D14" s="2160"/>
      <c r="E14" s="298"/>
      <c r="F14" s="2125"/>
      <c r="G14" s="2017"/>
      <c r="H14" s="2125"/>
      <c r="I14" s="2128"/>
      <c r="J14" s="2131"/>
      <c r="K14" s="2111"/>
      <c r="L14" s="2108"/>
      <c r="M14" s="2134"/>
      <c r="N14" s="2108">
        <f>IF(NOT(ISERROR(MATCH(M14,_xlfn.ANCHORARRAY(F25),0))),L27&amp;"Por favor no seleccionar los criterios de impacto",M14)</f>
        <v>0</v>
      </c>
      <c r="O14" s="2111"/>
      <c r="P14" s="2108"/>
      <c r="Q14" s="2016"/>
      <c r="R14" s="283">
        <v>6</v>
      </c>
      <c r="S14" s="302"/>
      <c r="T14" s="285" t="str">
        <f t="shared" si="4"/>
        <v/>
      </c>
      <c r="U14" s="286"/>
      <c r="V14" s="286"/>
      <c r="W14" s="287" t="str">
        <f t="shared" si="0"/>
        <v/>
      </c>
      <c r="X14" s="286"/>
      <c r="Y14" s="286"/>
      <c r="Z14" s="286"/>
      <c r="AA14" s="63" t="str">
        <f t="shared" si="7"/>
        <v/>
      </c>
      <c r="AB14" s="288" t="str">
        <f t="shared" si="1"/>
        <v/>
      </c>
      <c r="AC14" s="289" t="str">
        <f t="shared" si="5"/>
        <v/>
      </c>
      <c r="AD14" s="288" t="str">
        <f t="shared" si="2"/>
        <v/>
      </c>
      <c r="AE14" s="289" t="str">
        <f t="shared" si="6"/>
        <v/>
      </c>
      <c r="AF14" s="290" t="str">
        <f t="shared" si="3"/>
        <v/>
      </c>
      <c r="AG14" s="291"/>
      <c r="AH14" s="296"/>
      <c r="AI14" s="297"/>
      <c r="AJ14" s="303"/>
      <c r="AK14" s="303"/>
      <c r="AL14" s="296"/>
      <c r="AM14" s="297"/>
    </row>
    <row r="15" spans="1:39" s="36" customFormat="1" ht="168" customHeight="1" x14ac:dyDescent="0.3">
      <c r="A15" s="2112">
        <v>2</v>
      </c>
      <c r="B15" s="2115" t="s">
        <v>197</v>
      </c>
      <c r="C15" s="2115" t="s">
        <v>520</v>
      </c>
      <c r="D15" s="2118" t="s">
        <v>333</v>
      </c>
      <c r="E15" s="304" t="s">
        <v>334</v>
      </c>
      <c r="F15" s="2121" t="s">
        <v>335</v>
      </c>
      <c r="G15" s="1979" t="s">
        <v>512</v>
      </c>
      <c r="H15" s="305" t="s">
        <v>336</v>
      </c>
      <c r="I15" s="2122" t="s">
        <v>337</v>
      </c>
      <c r="J15" s="2090">
        <v>365</v>
      </c>
      <c r="K15" s="2093" t="str">
        <f>IF(J15&lt;=0,"",IF(J15&lt;=2,"Muy Baja",IF(J15&lt;=24,"Baja",IF(J15&lt;=500,"Media",IF(J15&lt;=5000,"Alta","Muy Alta")))))</f>
        <v>Media</v>
      </c>
      <c r="L15" s="2087">
        <f>IF(K15="","",IF(K15="Muy Baja",0.2,IF(K15="Baja",0.4,IF(K15="Media",0.6,IF(K15="Alta",0.8,IF(K15="Muy Alta",1,))))))</f>
        <v>0.6</v>
      </c>
      <c r="M15" s="2096" t="s">
        <v>216</v>
      </c>
      <c r="N15" s="2087" t="str">
        <f>IF(NOT(ISERROR(MATCH(M15,'[1]Tabla Impacto'!$B$221:$B$223,0))),'[1]Tabla Impacto'!$F$223&amp;"Por favor no seleccionar los criterios de impacto(Afectación Económica o presupuestal y Pérdida Reputacional)",M15)</f>
        <v xml:space="preserve">     El riesgo afecta la imagen de alguna área de la organización</v>
      </c>
      <c r="O15" s="2093" t="str">
        <f>IF(OR(N15='[1]Tabla Impacto'!$C$11,N15='[1]Tabla Impacto'!$D$11),"Leve",IF(OR(N15='[1]Tabla Impacto'!$C$12,N15='[1]Tabla Impacto'!$D$12),"Menor",IF(OR(N15='[1]Tabla Impacto'!$C$13,N15='[1]Tabla Impacto'!$D$13),"Moderado",IF(OR(N15='[1]Tabla Impacto'!$C$14,N15='[1]Tabla Impacto'!$D$14),"Mayor",IF(OR(N15='[1]Tabla Impacto'!$C$15,N15='[1]Tabla Impacto'!$D$15),"Catastrófico","")))))</f>
        <v>Leve</v>
      </c>
      <c r="P15" s="2087">
        <f>IF(O15="","",IF(O15="Leve",0.2,IF(O15="Menor",0.4,IF(O15="Moderado",0.6,IF(O15="Mayor",0.8,IF(O15="Catastrófico",1,))))))</f>
        <v>0.2</v>
      </c>
      <c r="Q15" s="2018" t="str">
        <f>IF(OR(AND(K15="Muy Baja",O15="Leve"),AND(K15="Muy Baja",O15="Menor"),AND(K15="Baja",O15="Leve")),"Bajo",IF(OR(AND(K15="Muy baja",O15="Moderado"),AND(K15="Baja",O15="Menor"),AND(K15="Baja",O15="Moderado"),AND(K15="Media",O15="Leve"),AND(K15="Media",O15="Menor"),AND(K15="Media",O15="Moderado"),AND(K15="Alta",O15="Leve"),AND(K15="Alta",O15="Menor")),"Moderado",IF(OR(AND(K15="Muy Baja",O15="Mayor"),AND(K15="Baja",O15="Mayor"),AND(K15="Media",O15="Mayor"),AND(K15="Alta",O15="Moderado"),AND(K15="Alta",O15="Mayor"),AND(K15="Muy Alta",O15="Leve"),AND(K15="Muy Alta",O15="Menor"),AND(K15="Muy Alta",O15="Moderado"),AND(K15="Muy Alta",O15="Mayor")),"Alto",IF(OR(AND(K15="Muy Baja",O15="Catastrófico"),AND(K15="Baja",O15="Catastrófico"),AND(K15="Media",O15="Catastrófico"),AND(K15="Alta",O15="Catastrófico"),AND(K15="Muy Alta",O15="Catastrófico")),"Extremo",""))))</f>
        <v>Moderado</v>
      </c>
      <c r="R15" s="283">
        <v>1</v>
      </c>
      <c r="S15" s="284" t="s">
        <v>521</v>
      </c>
      <c r="T15" s="285" t="str">
        <f>IF(OR(U15="Preventivo",U15="Detectivo"),"Probabilidad",IF(U15="Correctivo","Impacto",""))</f>
        <v>Probabilidad</v>
      </c>
      <c r="U15" s="286" t="s">
        <v>207</v>
      </c>
      <c r="V15" s="286" t="s">
        <v>201</v>
      </c>
      <c r="W15" s="287" t="str">
        <f>IF(AND(U15="Preventivo",V15="Automático"),"50%",IF(AND(U15="Preventivo",V15="Manual"),"40%",IF(AND(U15="Detectivo",V15="Automático"),"40%",IF(AND(U15="Detectivo",V15="Manual"),"30%",IF(AND(U15="Correctivo",V15="Automático"),"35%",IF(AND(U15="Correctivo",V15="Manual"),"25%",""))))))</f>
        <v>40%</v>
      </c>
      <c r="X15" s="286" t="s">
        <v>202</v>
      </c>
      <c r="Y15" s="286" t="s">
        <v>203</v>
      </c>
      <c r="Z15" s="286" t="s">
        <v>298</v>
      </c>
      <c r="AA15" s="63">
        <f>IFERROR(IF(T15="Probabilidad",(L15-(+L15*W15)),IF(T15="Impacto",L15,"")),"")</f>
        <v>0.36</v>
      </c>
      <c r="AB15" s="288" t="str">
        <f>IFERROR(IF(AA15="","",IF(AA15&lt;=0.2,"Muy Baja",IF(AA15&lt;=0.4,"Baja",IF(AA15&lt;=0.6,"Media",IF(AA15&lt;=0.8,"Alta","Muy Alta"))))),"")</f>
        <v>Baja</v>
      </c>
      <c r="AC15" s="289">
        <f>+AA15</f>
        <v>0.36</v>
      </c>
      <c r="AD15" s="288" t="str">
        <f>IFERROR(IF(AE15="","",IF(AE15&lt;=0.2,"Leve",IF(AE15&lt;=0.4,"Menor",IF(AE15&lt;=0.6,"Moderado",IF(AE15&lt;=0.8,"Mayor","Catastrófico"))))),"")</f>
        <v>Leve</v>
      </c>
      <c r="AE15" s="289">
        <f>IFERROR(IF(T15="Impacto",(P15-(+P15*W15)),IF(T15="Probabilidad",P15,"")),"")</f>
        <v>0.2</v>
      </c>
      <c r="AF15" s="290" t="str">
        <f>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Bajo</v>
      </c>
      <c r="AG15" s="291" t="s">
        <v>205</v>
      </c>
      <c r="AH15" s="296" t="s">
        <v>338</v>
      </c>
      <c r="AI15" s="300" t="s">
        <v>329</v>
      </c>
      <c r="AJ15" s="301">
        <v>45292</v>
      </c>
      <c r="AK15" s="293">
        <v>45473</v>
      </c>
      <c r="AL15" s="296" t="s">
        <v>522</v>
      </c>
      <c r="AM15" s="297" t="s">
        <v>206</v>
      </c>
    </row>
    <row r="16" spans="1:39" s="36" customFormat="1" ht="135" customHeight="1" x14ac:dyDescent="0.3">
      <c r="A16" s="2113"/>
      <c r="B16" s="2116"/>
      <c r="C16" s="2116"/>
      <c r="D16" s="2119"/>
      <c r="E16" s="304" t="s">
        <v>339</v>
      </c>
      <c r="F16" s="2121"/>
      <c r="G16" s="1980"/>
      <c r="H16" s="305" t="s">
        <v>340</v>
      </c>
      <c r="I16" s="2123"/>
      <c r="J16" s="2091"/>
      <c r="K16" s="2094"/>
      <c r="L16" s="2088"/>
      <c r="M16" s="2097"/>
      <c r="N16" s="2088">
        <f>IF(NOT(ISERROR(MATCH(M16,_xlfn.ANCHORARRAY(F27),0))),L29&amp;"Por favor no seleccionar los criterios de impacto",M16)</f>
        <v>0</v>
      </c>
      <c r="O16" s="2094"/>
      <c r="P16" s="2088"/>
      <c r="Q16" s="2019"/>
      <c r="R16" s="283">
        <v>2</v>
      </c>
      <c r="S16" s="284" t="s">
        <v>523</v>
      </c>
      <c r="T16" s="285" t="str">
        <f>IF(OR(U16="Preventivo",U16="Detectivo"),"Probabilidad",IF(U16="Correctivo","Impacto",""))</f>
        <v>Probabilidad</v>
      </c>
      <c r="U16" s="286" t="s">
        <v>207</v>
      </c>
      <c r="V16" s="286" t="s">
        <v>201</v>
      </c>
      <c r="W16" s="287" t="str">
        <f t="shared" ref="W16:W20" si="8">IF(AND(U16="Preventivo",V16="Automático"),"50%",IF(AND(U16="Preventivo",V16="Manual"),"40%",IF(AND(U16="Detectivo",V16="Automático"),"40%",IF(AND(U16="Detectivo",V16="Manual"),"30%",IF(AND(U16="Correctivo",V16="Automático"),"35%",IF(AND(U16="Correctivo",V16="Manual"),"25%",""))))))</f>
        <v>40%</v>
      </c>
      <c r="X16" s="286" t="s">
        <v>202</v>
      </c>
      <c r="Y16" s="286" t="s">
        <v>203</v>
      </c>
      <c r="Z16" s="286" t="s">
        <v>298</v>
      </c>
      <c r="AA16" s="63">
        <f>IFERROR(IF(AND(T15="Probabilidad",T16="Probabilidad"),(AC15-(+AC15*W16)),IF(AND(T15="Impacto",T16="Probabilidad"),(L15-(+L15*W16)),IF(T16="Impacto",AC15,""))),"")</f>
        <v>0.216</v>
      </c>
      <c r="AB16" s="288" t="str">
        <f t="shared" ref="AB16:AB20" si="9">IFERROR(IF(AA16="","",IF(AA16&lt;=0.2,"Muy Baja",IF(AA16&lt;=0.4,"Baja",IF(AA16&lt;=0.6,"Media",IF(AA16&lt;=0.8,"Alta","Muy Alta"))))),"")</f>
        <v>Baja</v>
      </c>
      <c r="AC16" s="289">
        <f>+AA16</f>
        <v>0.216</v>
      </c>
      <c r="AD16" s="288" t="str">
        <f t="shared" ref="AD16:AD20" si="10">IFERROR(IF(AE16="","",IF(AE16&lt;=0.2,"Leve",IF(AE16&lt;=0.4,"Menor",IF(AE16&lt;=0.6,"Moderado",IF(AE16&lt;=0.8,"Mayor","Catastrófico"))))),"")</f>
        <v>Leve</v>
      </c>
      <c r="AE16" s="289">
        <f>IFERROR(IF(AND(T15="Impacto",T16="Impacto"),(AE15-(+AE15*W16)),IF(AND(T15="Probabilidad",T16="Impacto"),(P15-(+P15*W16)),IF(T16="Probabilidad",AE15,""))),"")</f>
        <v>0.2</v>
      </c>
      <c r="AF16" s="290" t="str">
        <f t="shared" ref="AF16:AF20" si="11">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Bajo</v>
      </c>
      <c r="AG16" s="291" t="s">
        <v>205</v>
      </c>
      <c r="AH16" s="306" t="s">
        <v>341</v>
      </c>
      <c r="AI16" s="300" t="s">
        <v>329</v>
      </c>
      <c r="AJ16" s="301">
        <v>45292</v>
      </c>
      <c r="AK16" s="293">
        <v>45473</v>
      </c>
      <c r="AL16" s="296" t="s">
        <v>522</v>
      </c>
      <c r="AM16" s="297" t="s">
        <v>206</v>
      </c>
    </row>
    <row r="17" spans="1:45" s="36" customFormat="1" ht="55.2" customHeight="1" x14ac:dyDescent="0.3">
      <c r="A17" s="2113"/>
      <c r="B17" s="2116"/>
      <c r="C17" s="2116"/>
      <c r="D17" s="2119"/>
      <c r="E17" s="304" t="s">
        <v>342</v>
      </c>
      <c r="F17" s="2121"/>
      <c r="G17" s="1980"/>
      <c r="H17" s="305" t="s">
        <v>343</v>
      </c>
      <c r="I17" s="2123"/>
      <c r="J17" s="2091"/>
      <c r="K17" s="2094"/>
      <c r="L17" s="2088"/>
      <c r="M17" s="2097"/>
      <c r="N17" s="2088">
        <f>IF(NOT(ISERROR(MATCH(M17,_xlfn.ANCHORARRAY(F28),0))),L30&amp;"Por favor no seleccionar los criterios de impacto",M17)</f>
        <v>0</v>
      </c>
      <c r="O17" s="2094"/>
      <c r="P17" s="2088"/>
      <c r="Q17" s="2019"/>
      <c r="R17" s="283">
        <v>3</v>
      </c>
      <c r="S17" s="299"/>
      <c r="T17" s="285" t="str">
        <f t="shared" ref="T17:T20" si="12">IF(OR(U17="Preventivo",U17="Detectivo"),"Probabilidad",IF(U17="Correctivo","Impacto",""))</f>
        <v/>
      </c>
      <c r="U17" s="286"/>
      <c r="V17" s="286"/>
      <c r="W17" s="287" t="str">
        <f t="shared" si="8"/>
        <v/>
      </c>
      <c r="X17" s="286"/>
      <c r="Y17" s="286"/>
      <c r="Z17" s="286"/>
      <c r="AA17" s="63" t="str">
        <f>IFERROR(IF(AND(T16="Probabilidad",T17="Probabilidad"),(AC16-(+AC16*W17)),IF(AND(T16="Impacto",T17="Probabilidad"),(AC15-(+AC15*W17)),IF(T17="Impacto",AC16,""))),"")</f>
        <v/>
      </c>
      <c r="AB17" s="288" t="str">
        <f t="shared" si="9"/>
        <v/>
      </c>
      <c r="AC17" s="289" t="str">
        <f t="shared" ref="AC17:AC20" si="13">+AA17</f>
        <v/>
      </c>
      <c r="AD17" s="288" t="str">
        <f t="shared" si="10"/>
        <v/>
      </c>
      <c r="AE17" s="289" t="str">
        <f t="shared" ref="AE17:AE20" si="14">IFERROR(IF(AND(T16="Impacto",T17="Impacto"),(AE16-(+AE16*W17)),IF(AND(T16="Probabilidad",T17="Impacto"),(AE15-(+AE15*W17)),IF(T17="Probabilidad",AE16,""))),"")</f>
        <v/>
      </c>
      <c r="AF17" s="290" t="str">
        <f t="shared" si="11"/>
        <v/>
      </c>
      <c r="AG17" s="291"/>
      <c r="AH17" s="296"/>
      <c r="AI17" s="297"/>
      <c r="AJ17" s="303"/>
      <c r="AK17" s="303"/>
      <c r="AL17" s="296"/>
      <c r="AM17" s="297"/>
      <c r="AN17" s="244"/>
    </row>
    <row r="18" spans="1:45" s="36" customFormat="1" ht="55.2" customHeight="1" x14ac:dyDescent="0.3">
      <c r="A18" s="2113"/>
      <c r="B18" s="2116"/>
      <c r="C18" s="2116"/>
      <c r="D18" s="2119"/>
      <c r="E18" s="304"/>
      <c r="F18" s="2121"/>
      <c r="G18" s="1980"/>
      <c r="H18" s="305"/>
      <c r="I18" s="2123"/>
      <c r="J18" s="2091"/>
      <c r="K18" s="2094"/>
      <c r="L18" s="2088"/>
      <c r="M18" s="2097"/>
      <c r="N18" s="2088">
        <f>IF(NOT(ISERROR(MATCH(M18,_xlfn.ANCHORARRAY(F29),0))),L31&amp;"Por favor no seleccionar los criterios de impacto",M18)</f>
        <v>0</v>
      </c>
      <c r="O18" s="2094"/>
      <c r="P18" s="2088"/>
      <c r="Q18" s="2019"/>
      <c r="R18" s="283">
        <v>4</v>
      </c>
      <c r="S18" s="302"/>
      <c r="T18" s="285" t="str">
        <f t="shared" si="12"/>
        <v/>
      </c>
      <c r="U18" s="286"/>
      <c r="V18" s="286"/>
      <c r="W18" s="287" t="str">
        <f t="shared" si="8"/>
        <v/>
      </c>
      <c r="X18" s="286"/>
      <c r="Y18" s="286"/>
      <c r="Z18" s="286"/>
      <c r="AA18" s="63" t="str">
        <f t="shared" ref="AA18:AA20" si="15">IFERROR(IF(AND(T17="Probabilidad",T18="Probabilidad"),(AC17-(+AC17*W18)),IF(AND(T17="Impacto",T18="Probabilidad"),(AC16-(+AC16*W18)),IF(T18="Impacto",AC17,""))),"")</f>
        <v/>
      </c>
      <c r="AB18" s="288" t="str">
        <f t="shared" si="9"/>
        <v/>
      </c>
      <c r="AC18" s="289" t="str">
        <f t="shared" si="13"/>
        <v/>
      </c>
      <c r="AD18" s="288" t="str">
        <f t="shared" si="10"/>
        <v/>
      </c>
      <c r="AE18" s="289" t="str">
        <f t="shared" si="14"/>
        <v/>
      </c>
      <c r="AF18" s="290" t="str">
        <f t="shared" si="11"/>
        <v/>
      </c>
      <c r="AG18" s="291"/>
      <c r="AH18" s="296"/>
      <c r="AI18" s="297"/>
      <c r="AJ18" s="303"/>
      <c r="AK18" s="303"/>
      <c r="AL18" s="296"/>
      <c r="AM18" s="297"/>
      <c r="AN18" s="244"/>
    </row>
    <row r="19" spans="1:45" s="36" customFormat="1" ht="55.2" customHeight="1" x14ac:dyDescent="0.3">
      <c r="A19" s="2113"/>
      <c r="B19" s="2116"/>
      <c r="C19" s="2116"/>
      <c r="D19" s="2119"/>
      <c r="E19" s="304"/>
      <c r="F19" s="2121"/>
      <c r="G19" s="1980"/>
      <c r="H19" s="305"/>
      <c r="I19" s="2123"/>
      <c r="J19" s="2091"/>
      <c r="K19" s="2094"/>
      <c r="L19" s="2088"/>
      <c r="M19" s="2097"/>
      <c r="N19" s="2088">
        <f>IF(NOT(ISERROR(MATCH(M19,_xlfn.ANCHORARRAY(F30),0))),L32&amp;"Por favor no seleccionar los criterios de impacto",M19)</f>
        <v>0</v>
      </c>
      <c r="O19" s="2094"/>
      <c r="P19" s="2088"/>
      <c r="Q19" s="2019"/>
      <c r="R19" s="283">
        <v>5</v>
      </c>
      <c r="S19" s="302"/>
      <c r="T19" s="285" t="str">
        <f t="shared" si="12"/>
        <v/>
      </c>
      <c r="U19" s="286"/>
      <c r="V19" s="286"/>
      <c r="W19" s="287" t="str">
        <f t="shared" si="8"/>
        <v/>
      </c>
      <c r="X19" s="286"/>
      <c r="Y19" s="286"/>
      <c r="Z19" s="286"/>
      <c r="AA19" s="63" t="str">
        <f t="shared" si="15"/>
        <v/>
      </c>
      <c r="AB19" s="288" t="str">
        <f t="shared" si="9"/>
        <v/>
      </c>
      <c r="AC19" s="289" t="str">
        <f t="shared" si="13"/>
        <v/>
      </c>
      <c r="AD19" s="288" t="str">
        <f t="shared" si="10"/>
        <v/>
      </c>
      <c r="AE19" s="289" t="str">
        <f t="shared" si="14"/>
        <v/>
      </c>
      <c r="AF19" s="290" t="str">
        <f t="shared" si="11"/>
        <v/>
      </c>
      <c r="AG19" s="291"/>
      <c r="AH19" s="296"/>
      <c r="AI19" s="297"/>
      <c r="AJ19" s="303"/>
      <c r="AK19" s="303"/>
      <c r="AL19" s="296"/>
      <c r="AM19" s="297"/>
      <c r="AN19" s="244"/>
    </row>
    <row r="20" spans="1:45" s="36" customFormat="1" ht="55.2" customHeight="1" x14ac:dyDescent="0.3">
      <c r="A20" s="2114"/>
      <c r="B20" s="2117"/>
      <c r="C20" s="2117"/>
      <c r="D20" s="2120"/>
      <c r="E20" s="304"/>
      <c r="F20" s="2121"/>
      <c r="G20" s="2017"/>
      <c r="H20" s="305"/>
      <c r="I20" s="2124"/>
      <c r="J20" s="2092"/>
      <c r="K20" s="2095"/>
      <c r="L20" s="2089"/>
      <c r="M20" s="2098"/>
      <c r="N20" s="2089">
        <f>IF(NOT(ISERROR(MATCH(M20,_xlfn.ANCHORARRAY(F31),0))),L33&amp;"Por favor no seleccionar los criterios de impacto",M20)</f>
        <v>0</v>
      </c>
      <c r="O20" s="2095"/>
      <c r="P20" s="2089"/>
      <c r="Q20" s="2020"/>
      <c r="R20" s="283">
        <v>6</v>
      </c>
      <c r="S20" s="302"/>
      <c r="T20" s="285" t="str">
        <f t="shared" si="12"/>
        <v/>
      </c>
      <c r="U20" s="286"/>
      <c r="V20" s="286"/>
      <c r="W20" s="287" t="str">
        <f t="shared" si="8"/>
        <v/>
      </c>
      <c r="X20" s="286"/>
      <c r="Y20" s="286"/>
      <c r="Z20" s="286"/>
      <c r="AA20" s="63" t="str">
        <f t="shared" si="15"/>
        <v/>
      </c>
      <c r="AB20" s="288" t="str">
        <f t="shared" si="9"/>
        <v/>
      </c>
      <c r="AC20" s="289" t="str">
        <f t="shared" si="13"/>
        <v/>
      </c>
      <c r="AD20" s="288" t="str">
        <f t="shared" si="10"/>
        <v/>
      </c>
      <c r="AE20" s="289" t="str">
        <f t="shared" si="14"/>
        <v/>
      </c>
      <c r="AF20" s="290" t="str">
        <f t="shared" si="11"/>
        <v/>
      </c>
      <c r="AG20" s="291"/>
      <c r="AH20" s="296"/>
      <c r="AI20" s="297"/>
      <c r="AJ20" s="303"/>
      <c r="AK20" s="303"/>
      <c r="AL20" s="296"/>
      <c r="AM20" s="297"/>
      <c r="AN20" s="244"/>
    </row>
    <row r="21" spans="1:45" customFormat="1" ht="14.4" x14ac:dyDescent="0.3">
      <c r="A21" s="2038" t="s">
        <v>156</v>
      </c>
      <c r="B21" s="2038"/>
      <c r="C21" s="2038"/>
      <c r="D21" s="2038"/>
      <c r="E21" s="2038"/>
      <c r="F21" s="2038"/>
      <c r="G21" s="2038"/>
      <c r="H21" s="2038"/>
      <c r="I21" s="2038"/>
      <c r="J21" s="2038"/>
      <c r="K21" s="2038"/>
      <c r="L21" s="2038"/>
      <c r="M21" s="2038"/>
      <c r="N21" s="2038"/>
      <c r="O21" s="2038"/>
      <c r="P21" s="2038"/>
      <c r="Q21" s="2038"/>
      <c r="R21" s="2038"/>
      <c r="S21" s="2038"/>
      <c r="T21" s="2038"/>
      <c r="U21" s="2038"/>
      <c r="V21" s="2038"/>
      <c r="W21" s="2038"/>
      <c r="X21" s="2038"/>
      <c r="Y21" s="2038"/>
      <c r="Z21" s="2038"/>
      <c r="AA21" s="2038"/>
      <c r="AB21" s="2038"/>
      <c r="AC21" s="2038"/>
      <c r="AD21" s="2038"/>
      <c r="AE21" s="2038"/>
      <c r="AF21" s="2038"/>
      <c r="AG21" s="2038"/>
      <c r="AH21" s="2038"/>
      <c r="AI21" s="2038"/>
      <c r="AJ21" s="2038"/>
      <c r="AK21" s="2038"/>
      <c r="AL21" s="2038"/>
      <c r="AM21" s="245"/>
      <c r="AN21" s="245"/>
      <c r="AO21" s="245"/>
      <c r="AP21" s="245"/>
      <c r="AQ21" s="245"/>
      <c r="AR21" s="245"/>
      <c r="AS21" s="245"/>
    </row>
    <row r="22" spans="1:45" customFormat="1" ht="25.2" customHeight="1" x14ac:dyDescent="0.3">
      <c r="A22" s="2038"/>
      <c r="B22" s="2038"/>
      <c r="C22" s="2038"/>
      <c r="D22" s="2038"/>
      <c r="E22" s="2038"/>
      <c r="F22" s="2038"/>
      <c r="G22" s="2038"/>
      <c r="H22" s="2038"/>
      <c r="I22" s="2038"/>
      <c r="J22" s="2038"/>
      <c r="K22" s="2038"/>
      <c r="L22" s="2038"/>
      <c r="M22" s="2038"/>
      <c r="N22" s="2038"/>
      <c r="O22" s="2038"/>
      <c r="P22" s="2038"/>
      <c r="Q22" s="2038"/>
      <c r="R22" s="2038"/>
      <c r="S22" s="2038"/>
      <c r="T22" s="2038"/>
      <c r="U22" s="2038"/>
      <c r="V22" s="2038"/>
      <c r="W22" s="2038"/>
      <c r="X22" s="2038"/>
      <c r="Y22" s="2038"/>
      <c r="Z22" s="2038"/>
      <c r="AA22" s="2038"/>
      <c r="AB22" s="2038"/>
      <c r="AC22" s="2038"/>
      <c r="AD22" s="2038"/>
      <c r="AE22" s="2038"/>
      <c r="AF22" s="2038"/>
      <c r="AG22" s="2038"/>
      <c r="AH22" s="2038"/>
      <c r="AI22" s="2038"/>
      <c r="AJ22" s="2038"/>
      <c r="AK22" s="2038"/>
      <c r="AL22" s="2038"/>
      <c r="AM22" s="245"/>
      <c r="AN22" s="245"/>
      <c r="AO22" s="245"/>
      <c r="AP22" s="245"/>
      <c r="AQ22" s="245"/>
      <c r="AR22" s="245"/>
      <c r="AS22" s="245"/>
    </row>
    <row r="23" spans="1:45" customFormat="1" ht="57" customHeight="1" x14ac:dyDescent="0.3">
      <c r="A23" s="246"/>
      <c r="B23" s="247"/>
      <c r="C23" s="246"/>
      <c r="D23" s="246"/>
      <c r="E23" s="246"/>
      <c r="F23" s="245"/>
      <c r="G23" s="245"/>
      <c r="H23" s="245"/>
      <c r="I23" s="248"/>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row>
    <row r="24" spans="1:45" customFormat="1" ht="57" customHeight="1" x14ac:dyDescent="0.3">
      <c r="A24" s="2048" t="s">
        <v>157</v>
      </c>
      <c r="B24" s="2048"/>
      <c r="C24" s="2049" t="s">
        <v>466</v>
      </c>
      <c r="D24" s="2049"/>
      <c r="E24" s="2049"/>
      <c r="F24" s="2049"/>
      <c r="G24" s="2049"/>
      <c r="H24" s="2049"/>
      <c r="I24" s="2049"/>
      <c r="J24" s="2049"/>
      <c r="K24" s="2049"/>
      <c r="L24" s="2049"/>
      <c r="M24" s="2049"/>
      <c r="N24" s="2049"/>
      <c r="O24" s="2049"/>
      <c r="P24" s="2049"/>
      <c r="Q24" s="2049"/>
      <c r="R24" s="2049"/>
      <c r="S24" s="2049"/>
      <c r="T24" s="2049"/>
      <c r="U24" s="2049"/>
      <c r="V24" s="2049"/>
      <c r="W24" s="2049"/>
      <c r="X24" s="2049"/>
      <c r="Y24" s="2049"/>
      <c r="Z24" s="2049"/>
      <c r="AA24" s="2049"/>
      <c r="AB24" s="2049"/>
      <c r="AC24" s="2049"/>
      <c r="AD24" s="2049"/>
      <c r="AE24" s="2049"/>
      <c r="AF24" s="2049"/>
      <c r="AG24" s="2049"/>
      <c r="AH24" s="2049"/>
      <c r="AI24" s="2049"/>
      <c r="AJ24" s="2049"/>
      <c r="AK24" s="2049"/>
      <c r="AL24" s="2049"/>
      <c r="AM24" s="245"/>
      <c r="AN24" s="245"/>
      <c r="AO24" s="245"/>
      <c r="AP24" s="245"/>
      <c r="AQ24" s="245"/>
      <c r="AR24" s="245"/>
      <c r="AS24" s="245"/>
    </row>
    <row r="25" spans="1:45" customFormat="1" ht="57" customHeight="1" x14ac:dyDescent="0.3">
      <c r="A25" s="2048" t="s">
        <v>158</v>
      </c>
      <c r="B25" s="2048"/>
      <c r="C25" s="2011" t="s">
        <v>467</v>
      </c>
      <c r="D25" s="2011"/>
      <c r="E25" s="2011"/>
      <c r="F25" s="2011"/>
      <c r="G25" s="2011"/>
      <c r="H25" s="2011"/>
      <c r="I25" s="2011"/>
      <c r="J25" s="2011"/>
      <c r="K25" s="2011"/>
      <c r="L25" s="2011"/>
      <c r="M25" s="2011"/>
      <c r="N25" s="2011"/>
      <c r="O25" s="2011"/>
      <c r="P25" s="2011"/>
      <c r="Q25" s="2011"/>
      <c r="R25" s="2011"/>
      <c r="S25" s="2011"/>
      <c r="T25" s="2011"/>
      <c r="U25" s="2011"/>
      <c r="V25" s="2011"/>
      <c r="W25" s="2011"/>
      <c r="X25" s="2011"/>
      <c r="Y25" s="2011"/>
      <c r="Z25" s="2011"/>
      <c r="AA25" s="2011"/>
      <c r="AB25" s="2011"/>
      <c r="AC25" s="2011"/>
      <c r="AD25" s="2011"/>
      <c r="AE25" s="2011"/>
      <c r="AF25" s="2011"/>
      <c r="AG25" s="2011"/>
      <c r="AH25" s="2011"/>
      <c r="AI25" s="2011"/>
      <c r="AJ25" s="2011"/>
      <c r="AK25" s="2011"/>
      <c r="AL25" s="2011"/>
      <c r="AM25" s="245"/>
      <c r="AN25" s="245"/>
      <c r="AO25" s="245"/>
      <c r="AP25" s="245"/>
      <c r="AQ25" s="245"/>
      <c r="AR25" s="245"/>
      <c r="AS25" s="245"/>
    </row>
    <row r="26" spans="1:45" customFormat="1" ht="57" customHeight="1" x14ac:dyDescent="0.3">
      <c r="A26" s="2048" t="s">
        <v>159</v>
      </c>
      <c r="B26" s="2048"/>
      <c r="C26" s="2011" t="s">
        <v>468</v>
      </c>
      <c r="D26" s="2011"/>
      <c r="E26" s="2011"/>
      <c r="F26" s="2011"/>
      <c r="G26" s="2011"/>
      <c r="H26" s="2011"/>
      <c r="I26" s="2011"/>
      <c r="J26" s="2011"/>
      <c r="K26" s="2011"/>
      <c r="L26" s="2011"/>
      <c r="M26" s="2011"/>
      <c r="N26" s="2011"/>
      <c r="O26" s="2011"/>
      <c r="P26" s="2011"/>
      <c r="Q26" s="2011"/>
      <c r="R26" s="2011"/>
      <c r="S26" s="2011"/>
      <c r="T26" s="2011"/>
      <c r="U26" s="2011"/>
      <c r="V26" s="2011"/>
      <c r="W26" s="2011"/>
      <c r="X26" s="2011"/>
      <c r="Y26" s="2011"/>
      <c r="Z26" s="2011"/>
      <c r="AA26" s="2011"/>
      <c r="AB26" s="2011"/>
      <c r="AC26" s="2011"/>
      <c r="AD26" s="2011"/>
      <c r="AE26" s="2011"/>
      <c r="AF26" s="2011"/>
      <c r="AG26" s="2011"/>
      <c r="AH26" s="2011"/>
      <c r="AI26" s="2011"/>
      <c r="AJ26" s="2011"/>
      <c r="AK26" s="2011"/>
      <c r="AL26" s="2011"/>
      <c r="AM26" s="245"/>
      <c r="AN26" s="245"/>
      <c r="AO26" s="245"/>
      <c r="AP26" s="245"/>
      <c r="AQ26" s="245"/>
      <c r="AR26" s="245"/>
      <c r="AS26" s="245"/>
    </row>
    <row r="27" spans="1:45" customFormat="1" ht="57" customHeight="1" x14ac:dyDescent="0.3">
      <c r="A27" s="2012" t="s">
        <v>160</v>
      </c>
      <c r="B27" s="2012"/>
      <c r="C27" s="2012"/>
      <c r="D27" s="2012"/>
      <c r="E27" s="2012"/>
      <c r="F27" s="2012"/>
      <c r="G27" s="2012"/>
      <c r="H27" s="2012"/>
      <c r="I27" s="2012"/>
      <c r="J27" s="2012"/>
      <c r="K27" s="2013" t="s">
        <v>161</v>
      </c>
      <c r="L27" s="2013"/>
      <c r="M27" s="2013"/>
      <c r="N27" s="2013"/>
      <c r="O27" s="2013"/>
      <c r="P27" s="2013"/>
      <c r="Q27" s="2013"/>
      <c r="R27" s="2013" t="s">
        <v>162</v>
      </c>
      <c r="S27" s="2013"/>
      <c r="T27" s="2013"/>
      <c r="U27" s="2013"/>
      <c r="V27" s="2013"/>
      <c r="W27" s="2013"/>
      <c r="X27" s="2013"/>
      <c r="Y27" s="2013"/>
      <c r="Z27" s="2013"/>
      <c r="AA27" s="2013" t="s">
        <v>163</v>
      </c>
      <c r="AB27" s="2013"/>
      <c r="AC27" s="2013"/>
      <c r="AD27" s="2013"/>
      <c r="AE27" s="2013"/>
      <c r="AF27" s="2013"/>
      <c r="AG27" s="2013"/>
      <c r="AH27" s="2013" t="s">
        <v>164</v>
      </c>
      <c r="AI27" s="2013"/>
      <c r="AJ27" s="2013"/>
      <c r="AK27" s="2013"/>
      <c r="AL27" s="2013"/>
      <c r="AM27" s="245"/>
      <c r="AN27" s="245"/>
      <c r="AO27" s="245"/>
      <c r="AP27" s="245"/>
      <c r="AQ27" s="245"/>
      <c r="AR27" s="245"/>
      <c r="AS27" s="245"/>
    </row>
    <row r="28" spans="1:45" customFormat="1" ht="57" customHeight="1" x14ac:dyDescent="0.3">
      <c r="A28" s="2084" t="s">
        <v>165</v>
      </c>
      <c r="B28" s="2012" t="s">
        <v>142</v>
      </c>
      <c r="C28" s="2083" t="s">
        <v>166</v>
      </c>
      <c r="D28" s="2083" t="s">
        <v>167</v>
      </c>
      <c r="E28" s="2085" t="s">
        <v>168</v>
      </c>
      <c r="F28" s="2086" t="s">
        <v>60</v>
      </c>
      <c r="G28" s="249"/>
      <c r="H28" s="249"/>
      <c r="I28" s="1997" t="s">
        <v>169</v>
      </c>
      <c r="J28" s="2083" t="s">
        <v>170</v>
      </c>
      <c r="K28" s="2083" t="s">
        <v>171</v>
      </c>
      <c r="L28" s="2082" t="s">
        <v>172</v>
      </c>
      <c r="M28" s="1997" t="s">
        <v>173</v>
      </c>
      <c r="N28" s="1997" t="s">
        <v>174</v>
      </c>
      <c r="O28" s="2081" t="s">
        <v>175</v>
      </c>
      <c r="P28" s="2082" t="s">
        <v>172</v>
      </c>
      <c r="Q28" s="2083" t="s">
        <v>176</v>
      </c>
      <c r="R28" s="2080" t="s">
        <v>177</v>
      </c>
      <c r="S28" s="1997" t="s">
        <v>178</v>
      </c>
      <c r="T28" s="1997" t="s">
        <v>179</v>
      </c>
      <c r="U28" s="1997" t="s">
        <v>180</v>
      </c>
      <c r="V28" s="1997"/>
      <c r="W28" s="1997"/>
      <c r="X28" s="1997"/>
      <c r="Y28" s="1997"/>
      <c r="Z28" s="1997"/>
      <c r="AA28" s="2080" t="s">
        <v>181</v>
      </c>
      <c r="AB28" s="2080" t="s">
        <v>182</v>
      </c>
      <c r="AC28" s="2080" t="s">
        <v>172</v>
      </c>
      <c r="AD28" s="2080" t="s">
        <v>183</v>
      </c>
      <c r="AE28" s="2080" t="s">
        <v>172</v>
      </c>
      <c r="AF28" s="2080" t="s">
        <v>184</v>
      </c>
      <c r="AG28" s="2080" t="s">
        <v>185</v>
      </c>
      <c r="AH28" s="1997" t="s">
        <v>164</v>
      </c>
      <c r="AI28" s="1997" t="s">
        <v>143</v>
      </c>
      <c r="AJ28" s="1997" t="s">
        <v>187</v>
      </c>
      <c r="AK28" s="1997" t="s">
        <v>188</v>
      </c>
      <c r="AL28" s="1997" t="s">
        <v>186</v>
      </c>
      <c r="AM28" s="1997" t="s">
        <v>187</v>
      </c>
      <c r="AN28" s="1997" t="s">
        <v>188</v>
      </c>
      <c r="AO28" s="1997" t="s">
        <v>186</v>
      </c>
      <c r="AP28" s="1997" t="s">
        <v>187</v>
      </c>
      <c r="AQ28" s="1997" t="s">
        <v>188</v>
      </c>
      <c r="AR28" s="1997" t="s">
        <v>186</v>
      </c>
      <c r="AS28" s="1997" t="s">
        <v>187</v>
      </c>
    </row>
    <row r="29" spans="1:45" customFormat="1" ht="57" customHeight="1" x14ac:dyDescent="0.3">
      <c r="A29" s="2084"/>
      <c r="B29" s="2012"/>
      <c r="C29" s="2083"/>
      <c r="D29" s="2083"/>
      <c r="E29" s="2085"/>
      <c r="F29" s="2086"/>
      <c r="G29" s="249" t="s">
        <v>511</v>
      </c>
      <c r="H29" s="249" t="s">
        <v>190</v>
      </c>
      <c r="I29" s="1997"/>
      <c r="J29" s="2083"/>
      <c r="K29" s="2083"/>
      <c r="L29" s="2082"/>
      <c r="M29" s="1997"/>
      <c r="N29" s="1997"/>
      <c r="O29" s="2081"/>
      <c r="P29" s="2081"/>
      <c r="Q29" s="2083"/>
      <c r="R29" s="2080"/>
      <c r="S29" s="1997"/>
      <c r="T29" s="1997"/>
      <c r="U29" s="250" t="s">
        <v>191</v>
      </c>
      <c r="V29" s="250" t="s">
        <v>192</v>
      </c>
      <c r="W29" s="250" t="s">
        <v>193</v>
      </c>
      <c r="X29" s="250" t="s">
        <v>194</v>
      </c>
      <c r="Y29" s="250" t="s">
        <v>195</v>
      </c>
      <c r="Z29" s="250" t="s">
        <v>196</v>
      </c>
      <c r="AA29" s="2080"/>
      <c r="AB29" s="2080"/>
      <c r="AC29" s="2080"/>
      <c r="AD29" s="2080"/>
      <c r="AE29" s="2080"/>
      <c r="AF29" s="2080"/>
      <c r="AG29" s="2080"/>
      <c r="AH29" s="1997"/>
      <c r="AI29" s="1997"/>
      <c r="AJ29" s="1997"/>
      <c r="AK29" s="1997"/>
      <c r="AL29" s="1997"/>
      <c r="AM29" s="1997"/>
      <c r="AN29" s="1997"/>
      <c r="AO29" s="1997"/>
      <c r="AP29" s="1997"/>
      <c r="AQ29" s="1997"/>
      <c r="AR29" s="1997"/>
      <c r="AS29" s="1997"/>
    </row>
    <row r="30" spans="1:45" customFormat="1" ht="166.8" customHeight="1" x14ac:dyDescent="0.3">
      <c r="A30" s="2027">
        <v>1</v>
      </c>
      <c r="B30" s="2076" t="s">
        <v>197</v>
      </c>
      <c r="C30" s="2076" t="s">
        <v>469</v>
      </c>
      <c r="D30" s="2076" t="s">
        <v>470</v>
      </c>
      <c r="E30" s="251" t="s">
        <v>471</v>
      </c>
      <c r="F30" s="2077" t="s">
        <v>524</v>
      </c>
      <c r="G30" s="1979" t="s">
        <v>512</v>
      </c>
      <c r="H30" s="2078" t="s">
        <v>525</v>
      </c>
      <c r="I30" s="2079" t="s">
        <v>392</v>
      </c>
      <c r="J30" s="2071">
        <v>4</v>
      </c>
      <c r="K30" s="2021" t="str">
        <f>IF(J30&lt;=0,"",IF(J30&lt;=2,"Muy Baja",IF(J30&lt;=24,"Baja",IF(J30&lt;=500,"Media",IF(J30&lt;=5000,"Alta","Muy Alta")))))</f>
        <v>Baja</v>
      </c>
      <c r="L30" s="2022">
        <f>IF(K30="","",IF(K30="Muy Baja",0.2,IF(K30="Baja",0.4,IF(K30="Media",0.6,IF(K30="Alta",0.8,IF(K30="Muy Alta",1,))))))</f>
        <v>0.4</v>
      </c>
      <c r="M30" s="2072" t="s">
        <v>225</v>
      </c>
      <c r="N30" s="2073" t="str">
        <f>IF(NOT(ISERROR(MATCH(M30,'[2]Tabla Impacto'!$B$221:$B$223,0))),'[2]Tabla Impacto'!$F$223&amp;"Por favor no seleccionar los criterios de impacto(Afectación Económica o presupuestal y Pérdida Reputacional)",M30)</f>
        <v xml:space="preserve">     El riesgo afecta la imagen de la entidad con algunos usuarios de relevancia frente al logro de los objetivos</v>
      </c>
      <c r="O30" s="2074" t="str">
        <f>IF(OR(N30='[2]Tabla Impacto'!$C$11,N30='[2]Tabla Impacto'!$D$11),"Leve",IF(OR(N30='[2]Tabla Impacto'!$C$12,N30='[2]Tabla Impacto'!$D$12),"Menor",IF(OR(N30='[2]Tabla Impacto'!$C$13,N30='[2]Tabla Impacto'!$D$13),"Moderado",IF(OR(N30='[2]Tabla Impacto'!$C$14,N30='[2]Tabla Impacto'!$D$14),"Mayor",IF(OR(N30='[2]Tabla Impacto'!$C$15,N30='[2]Tabla Impacto'!$D$15),"Catastrófico","")))))</f>
        <v>Moderado</v>
      </c>
      <c r="P30" s="2067">
        <f>IF(O30="","",IF(O30="Leve",0.2,IF(O30="Menor",0.4,IF(O30="Moderado",0.6,IF(O30="Mayor",0.8,IF(O30="Catastrófico",1,))))))</f>
        <v>0.6</v>
      </c>
      <c r="Q30" s="1998" t="str">
        <f>IF(OR(AND(K30="Muy Baja",O30="Leve"),AND(K30="Muy Baja",O30="Menor"),AND(K30="Baja",O30="Leve")),"Bajo",IF(OR(AND(K30="Muy baja",O30="Moderado"),AND(K30="Baja",O30="Menor"),AND(K30="Baja",O30="Moderado"),AND(K30="Media",O30="Leve"),AND(K30="Media",O30="Menor"),AND(K30="Media",O30="Moderado"),AND(K30="Alta",O30="Leve"),AND(K30="Alta",O30="Menor")),"Moderado",IF(OR(AND(K30="Muy Baja",O30="Mayor"),AND(K30="Baja",O30="Mayor"),AND(K30="Media",O30="Mayor"),AND(K30="Alta",O30="Moderado"),AND(K30="Alta",O30="Mayor"),AND(K30="Muy Alta",O30="Leve"),AND(K30="Muy Alta",O30="Menor"),AND(K30="Muy Alta",O30="Moderado"),AND(K30="Muy Alta",O30="Mayor")),"Alto",IF(OR(AND(K30="Muy Baja",O30="Catastrófico"),AND(K30="Baja",O30="Catastrófico"),AND(K30="Media",O30="Catastrófico"),AND(K30="Alta",O30="Catastrófico"),AND(K30="Muy Alta",O30="Catastrófico")),"Extremo",""))))</f>
        <v>Moderado</v>
      </c>
      <c r="R30" s="252">
        <v>1</v>
      </c>
      <c r="S30" s="312" t="s">
        <v>526</v>
      </c>
      <c r="T30" s="253" t="str">
        <f t="shared" ref="T30:T41" si="16">IF(OR(U30="Preventivo",U30="Detectivo"),"Probabilidad",IF(U30="Correctivo","Impacto",""))</f>
        <v>Probabilidad</v>
      </c>
      <c r="U30" s="254" t="s">
        <v>207</v>
      </c>
      <c r="V30" s="254" t="s">
        <v>201</v>
      </c>
      <c r="W30" s="255" t="str">
        <f t="shared" ref="W30:W47" si="17">IF(AND(U30="Preventivo",V30="Automático"),"50%",IF(AND(U30="Preventivo",V30="Manual"),"40%",IF(AND(U30="Detectivo",V30="Automático"),"40%",IF(AND(U30="Detectivo",V30="Manual"),"30%",IF(AND(U30="Correctivo",V30="Automático"),"35%",IF(AND(U30="Correctivo",V30="Manual"),"25%",""))))))</f>
        <v>40%</v>
      </c>
      <c r="X30" s="254" t="s">
        <v>202</v>
      </c>
      <c r="Y30" s="254" t="s">
        <v>203</v>
      </c>
      <c r="Z30" s="254" t="s">
        <v>298</v>
      </c>
      <c r="AA30" s="256">
        <f>IFERROR(IF(T30="Probabilidad",(L30-(+L30*W30)),IF(T30="Impacto",L30,"")),"")</f>
        <v>0.24</v>
      </c>
      <c r="AB30" s="257" t="str">
        <f t="shared" ref="AB30:AB47" si="18">IFERROR(IF(AA30="","",IF(AA30&lt;=0.2,"Muy Baja",IF(AA30&lt;=0.4,"Baja",IF(AA30&lt;=0.6,"Media",IF(AA30&lt;=0.8,"Alta","Muy Alta"))))),"")</f>
        <v>Baja</v>
      </c>
      <c r="AC30" s="258">
        <f t="shared" ref="AC30:AC47" si="19">+AA30</f>
        <v>0.24</v>
      </c>
      <c r="AD30" s="257" t="str">
        <f t="shared" ref="AD30:AD41" si="20">IFERROR(IF(AE30="","",IF(AE30&lt;=0.2,"Leve",IF(AE30&lt;=0.4,"Menor",IF(AE30&lt;=0.6,"Moderado",IF(AE30&lt;=0.8,"Mayor","Catastrófico"))))),"")</f>
        <v>Moderado</v>
      </c>
      <c r="AE30" s="258">
        <f>IFERROR(IF(T30="Impacto",(P30-(+P30*W30)),IF(T30="Probabilidad",P30,"")),"")</f>
        <v>0.6</v>
      </c>
      <c r="AF30" s="259" t="str">
        <f t="shared" ref="AF30:AF47" si="21">IFERROR(IF(OR(AND(AB30="Muy Baja",AD30="Leve"),AND(AB30="Muy Baja",AD30="Menor"),AND(AB30="Baja",AD30="Leve")),"Bajo",IF(OR(AND(AB30="Muy baja",AD30="Moderado"),AND(AB30="Baja",AD30="Menor"),AND(AB30="Baja",AD30="Moderado"),AND(AB30="Media",AD30="Leve"),AND(AB30="Media",AD30="Menor"),AND(AB30="Media",AD30="Moderado"),AND(AB30="Alta",AD30="Leve"),AND(AB30="Alta",AD30="Menor")),"Moderado",IF(OR(AND(AB30="Muy Baja",AD30="Mayor"),AND(AB30="Baja",AD30="Mayor"),AND(AB30="Media",AD30="Mayor"),AND(AB30="Alta",AD30="Moderado"),AND(AB30="Alta",AD30="Mayor"),AND(AB30="Muy Alta",AD30="Leve"),AND(AB30="Muy Alta",AD30="Menor"),AND(AB30="Muy Alta",AD30="Moderado"),AND(AB30="Muy Alta",AD30="Mayor")),"Alto",IF(OR(AND(AB30="Muy Baja",AD30="Catastrófico"),AND(AB30="Baja",AD30="Catastrófico"),AND(AB30="Media",AD30="Catastrófico"),AND(AB30="Alta",AD30="Catastrófico"),AND(AB30="Muy Alta",AD30="Catastrófico")),"Extremo","")))),"")</f>
        <v>Moderado</v>
      </c>
      <c r="AG30" s="2068" t="s">
        <v>312</v>
      </c>
      <c r="AH30" s="2069" t="s">
        <v>527</v>
      </c>
      <c r="AI30" s="2026" t="s">
        <v>149</v>
      </c>
      <c r="AJ30" s="1999" t="s">
        <v>528</v>
      </c>
      <c r="AK30" s="1999" t="s">
        <v>529</v>
      </c>
      <c r="AL30" s="2063">
        <v>45311</v>
      </c>
      <c r="AM30" s="1999" t="s">
        <v>530</v>
      </c>
      <c r="AN30" s="1999" t="s">
        <v>531</v>
      </c>
      <c r="AO30" s="1999">
        <v>45412</v>
      </c>
      <c r="AP30" s="1999" t="s">
        <v>532</v>
      </c>
      <c r="AQ30" s="1999" t="s">
        <v>533</v>
      </c>
      <c r="AR30" s="1999">
        <v>45473</v>
      </c>
      <c r="AS30" s="1999" t="s">
        <v>534</v>
      </c>
    </row>
    <row r="31" spans="1:45" customFormat="1" ht="169.2" customHeight="1" x14ac:dyDescent="0.3">
      <c r="A31" s="2027"/>
      <c r="B31" s="2076"/>
      <c r="C31" s="2076"/>
      <c r="D31" s="2076"/>
      <c r="E31" s="251" t="s">
        <v>535</v>
      </c>
      <c r="F31" s="2077"/>
      <c r="G31" s="1980"/>
      <c r="H31" s="2078"/>
      <c r="I31" s="2079"/>
      <c r="J31" s="2071"/>
      <c r="K31" s="2021"/>
      <c r="L31" s="2022"/>
      <c r="M31" s="2072"/>
      <c r="N31" s="2073">
        <f>IF(NOT(ISERROR(MATCH(M31,_xlfn.ANCHORARRAY(F42),0))),L44&amp;"Por favor no seleccionar los criterios de impacto",M31)</f>
        <v>0</v>
      </c>
      <c r="O31" s="2074"/>
      <c r="P31" s="2067"/>
      <c r="Q31" s="1998"/>
      <c r="R31" s="252">
        <v>2</v>
      </c>
      <c r="S31" s="313" t="s">
        <v>536</v>
      </c>
      <c r="T31" s="253" t="str">
        <f t="shared" si="16"/>
        <v>Probabilidad</v>
      </c>
      <c r="U31" s="254" t="s">
        <v>207</v>
      </c>
      <c r="V31" s="254" t="s">
        <v>201</v>
      </c>
      <c r="W31" s="255" t="str">
        <f t="shared" si="17"/>
        <v>40%</v>
      </c>
      <c r="X31" s="254" t="s">
        <v>202</v>
      </c>
      <c r="Y31" s="254" t="s">
        <v>203</v>
      </c>
      <c r="Z31" s="254" t="s">
        <v>298</v>
      </c>
      <c r="AA31" s="256">
        <f>IFERROR(IF(AND(T30="Probabilidad",T31="Probabilidad"),(AC30-(+AC30*W31)),IF(AND(T30="Impacto",T31="Probabilidad"),(L30-(+L30*W31)),IF(T31="Impacto",AC30,""))),"")</f>
        <v>0.14399999999999999</v>
      </c>
      <c r="AB31" s="257" t="str">
        <f t="shared" si="18"/>
        <v>Muy Baja</v>
      </c>
      <c r="AC31" s="258">
        <f t="shared" si="19"/>
        <v>0.14399999999999999</v>
      </c>
      <c r="AD31" s="257" t="str">
        <f t="shared" si="20"/>
        <v>Moderado</v>
      </c>
      <c r="AE31" s="258">
        <f>IFERROR(IF(AND(T30="Impacto",T31="Impacto"),(AE30-(+AE30*W31)),IF(AND(T30="Probabilidad",T31="Impacto"),(P30-(+P30*W31)),IF(T31="Probabilidad",AE30,""))),"")</f>
        <v>0.6</v>
      </c>
      <c r="AF31" s="259" t="str">
        <f t="shared" si="21"/>
        <v>Moderado</v>
      </c>
      <c r="AG31" s="2068"/>
      <c r="AH31" s="2070"/>
      <c r="AI31" s="2026"/>
      <c r="AJ31" s="2000"/>
      <c r="AK31" s="2000"/>
      <c r="AL31" s="2064"/>
      <c r="AM31" s="2000"/>
      <c r="AN31" s="2000"/>
      <c r="AO31" s="2061"/>
      <c r="AP31" s="2000"/>
      <c r="AQ31" s="2000"/>
      <c r="AR31" s="2061"/>
      <c r="AS31" s="2000"/>
    </row>
    <row r="32" spans="1:45" customFormat="1" ht="57" customHeight="1" x14ac:dyDescent="0.3">
      <c r="A32" s="2027"/>
      <c r="B32" s="2076"/>
      <c r="C32" s="2076"/>
      <c r="D32" s="2076"/>
      <c r="E32" s="261" t="s">
        <v>472</v>
      </c>
      <c r="F32" s="2077"/>
      <c r="G32" s="1980"/>
      <c r="H32" s="2078"/>
      <c r="I32" s="2079"/>
      <c r="J32" s="2071"/>
      <c r="K32" s="2021"/>
      <c r="L32" s="2022"/>
      <c r="M32" s="2072"/>
      <c r="N32" s="2073">
        <f>IF(NOT(ISERROR(MATCH(M32,_xlfn.ANCHORARRAY(F43),0))),L45&amp;"Por favor no seleccionar los criterios de impacto",M32)</f>
        <v>0</v>
      </c>
      <c r="O32" s="2074"/>
      <c r="P32" s="2067"/>
      <c r="Q32" s="1998"/>
      <c r="R32" s="252">
        <v>3</v>
      </c>
      <c r="S32" s="262"/>
      <c r="T32" s="263" t="str">
        <f t="shared" si="16"/>
        <v/>
      </c>
      <c r="U32" s="264"/>
      <c r="V32" s="264"/>
      <c r="W32" s="265" t="str">
        <f t="shared" si="17"/>
        <v/>
      </c>
      <c r="X32" s="264"/>
      <c r="Y32" s="264"/>
      <c r="Z32" s="264"/>
      <c r="AA32" s="256" t="str">
        <f>IFERROR(IF(AND(T31="Probabilidad",T32="Probabilidad"),(AC31-(+AC31*W32)),IF(AND(T31="Impacto",T32="Probabilidad"),(AC30-(+AC30*W32)),IF(T32="Impacto",AC31,""))),"")</f>
        <v/>
      </c>
      <c r="AB32" s="257" t="str">
        <f t="shared" si="18"/>
        <v/>
      </c>
      <c r="AC32" s="258" t="str">
        <f t="shared" si="19"/>
        <v/>
      </c>
      <c r="AD32" s="257" t="str">
        <f t="shared" si="20"/>
        <v/>
      </c>
      <c r="AE32" s="258" t="str">
        <f>IFERROR(IF(AND(T31="Impacto",T32="Impacto"),(AE31-(+AE31*W32)),IF(AND(T31="Probabilidad",T32="Impacto"),(AE30-(+AE30*W32)),IF(T32="Probabilidad",AE31,""))),"")</f>
        <v/>
      </c>
      <c r="AF32" s="259" t="str">
        <f t="shared" si="21"/>
        <v/>
      </c>
      <c r="AG32" s="266"/>
      <c r="AH32" s="267"/>
      <c r="AI32" s="268"/>
      <c r="AJ32" s="269"/>
      <c r="AK32" s="269"/>
      <c r="AL32" s="268"/>
      <c r="AM32" s="269"/>
      <c r="AN32" s="269"/>
      <c r="AO32" s="268"/>
      <c r="AP32" s="269"/>
      <c r="AQ32" s="269"/>
      <c r="AR32" s="268"/>
      <c r="AS32" s="269"/>
    </row>
    <row r="33" spans="1:45" customFormat="1" ht="57" customHeight="1" x14ac:dyDescent="0.3">
      <c r="A33" s="2027"/>
      <c r="B33" s="2076"/>
      <c r="C33" s="2076"/>
      <c r="D33" s="2076"/>
      <c r="E33" s="261"/>
      <c r="F33" s="2077"/>
      <c r="G33" s="1980"/>
      <c r="H33" s="2078"/>
      <c r="I33" s="2079"/>
      <c r="J33" s="2071"/>
      <c r="K33" s="2021"/>
      <c r="L33" s="2022"/>
      <c r="M33" s="2072"/>
      <c r="N33" s="2073">
        <f>IF(NOT(ISERROR(MATCH(M33,_xlfn.ANCHORARRAY(F44),0))),L46&amp;"Por favor no seleccionar los criterios de impacto",M33)</f>
        <v>0</v>
      </c>
      <c r="O33" s="2074"/>
      <c r="P33" s="2067"/>
      <c r="Q33" s="1998"/>
      <c r="R33" s="252">
        <v>4</v>
      </c>
      <c r="S33" s="270"/>
      <c r="T33" s="263" t="str">
        <f t="shared" si="16"/>
        <v/>
      </c>
      <c r="U33" s="264"/>
      <c r="V33" s="264"/>
      <c r="W33" s="265" t="str">
        <f t="shared" si="17"/>
        <v/>
      </c>
      <c r="X33" s="264"/>
      <c r="Y33" s="264"/>
      <c r="Z33" s="264"/>
      <c r="AA33" s="256" t="str">
        <f>IFERROR(IF(AND(T32="Probabilidad",T33="Probabilidad"),(AC32-(+AC32*W33)),IF(AND(T32="Impacto",T33="Probabilidad"),(AC31-(+AC31*W33)),IF(T33="Impacto",AC32,""))),"")</f>
        <v/>
      </c>
      <c r="AB33" s="257" t="str">
        <f t="shared" si="18"/>
        <v/>
      </c>
      <c r="AC33" s="258" t="str">
        <f t="shared" si="19"/>
        <v/>
      </c>
      <c r="AD33" s="257" t="str">
        <f t="shared" si="20"/>
        <v/>
      </c>
      <c r="AE33" s="258" t="str">
        <f>IFERROR(IF(AND(T32="Impacto",T33="Impacto"),(AE32-(+AE32*W33)),IF(AND(T32="Probabilidad",T33="Impacto"),(AE31-(+AE31*W33)),IF(T33="Probabilidad",AE32,""))),"")</f>
        <v/>
      </c>
      <c r="AF33" s="259" t="str">
        <f t="shared" si="21"/>
        <v/>
      </c>
      <c r="AG33" s="266"/>
      <c r="AH33" s="267"/>
      <c r="AI33" s="268"/>
      <c r="AJ33" s="269"/>
      <c r="AK33" s="269"/>
      <c r="AL33" s="268"/>
      <c r="AM33" s="269"/>
      <c r="AN33" s="269"/>
      <c r="AO33" s="268"/>
      <c r="AP33" s="269"/>
      <c r="AQ33" s="269"/>
      <c r="AR33" s="268"/>
      <c r="AS33" s="269"/>
    </row>
    <row r="34" spans="1:45" customFormat="1" ht="57" customHeight="1" x14ac:dyDescent="0.3">
      <c r="A34" s="2027"/>
      <c r="B34" s="2076"/>
      <c r="C34" s="2076"/>
      <c r="D34" s="2076"/>
      <c r="E34" s="261"/>
      <c r="F34" s="2077"/>
      <c r="G34" s="1980"/>
      <c r="H34" s="2078"/>
      <c r="I34" s="2079"/>
      <c r="J34" s="2071"/>
      <c r="K34" s="2021"/>
      <c r="L34" s="2022"/>
      <c r="M34" s="2072"/>
      <c r="N34" s="2073">
        <f>IF(NOT(ISERROR(MATCH(M34,_xlfn.ANCHORARRAY(F45),0))),L47&amp;"Por favor no seleccionar los criterios de impacto",M34)</f>
        <v>0</v>
      </c>
      <c r="O34" s="2074"/>
      <c r="P34" s="2067"/>
      <c r="Q34" s="1998"/>
      <c r="R34" s="252">
        <v>5</v>
      </c>
      <c r="S34" s="270"/>
      <c r="T34" s="263" t="str">
        <f t="shared" si="16"/>
        <v/>
      </c>
      <c r="U34" s="264"/>
      <c r="V34" s="264"/>
      <c r="W34" s="265" t="str">
        <f t="shared" si="17"/>
        <v/>
      </c>
      <c r="X34" s="264"/>
      <c r="Y34" s="264"/>
      <c r="Z34" s="264"/>
      <c r="AA34" s="256" t="str">
        <f>IFERROR(IF(AND(T33="Probabilidad",T34="Probabilidad"),(AC33-(+AC33*W34)),IF(AND(T33="Impacto",T34="Probabilidad"),(AC32-(+AC32*W34)),IF(T34="Impacto",AC33,""))),"")</f>
        <v/>
      </c>
      <c r="AB34" s="257" t="str">
        <f t="shared" si="18"/>
        <v/>
      </c>
      <c r="AC34" s="258" t="str">
        <f t="shared" si="19"/>
        <v/>
      </c>
      <c r="AD34" s="257" t="str">
        <f t="shared" si="20"/>
        <v/>
      </c>
      <c r="AE34" s="258" t="str">
        <f>IFERROR(IF(AND(T33="Impacto",T34="Impacto"),(AE33-(+AE33*W34)),IF(AND(T33="Probabilidad",T34="Impacto"),(AE32-(+AE32*W34)),IF(T34="Probabilidad",AE33,""))),"")</f>
        <v/>
      </c>
      <c r="AF34" s="259" t="str">
        <f t="shared" si="21"/>
        <v/>
      </c>
      <c r="AG34" s="266"/>
      <c r="AH34" s="267"/>
      <c r="AI34" s="268"/>
      <c r="AJ34" s="269"/>
      <c r="AK34" s="269"/>
      <c r="AL34" s="268"/>
      <c r="AM34" s="269"/>
      <c r="AN34" s="269"/>
      <c r="AO34" s="268"/>
      <c r="AP34" s="269"/>
      <c r="AQ34" s="269"/>
      <c r="AR34" s="268"/>
      <c r="AS34" s="269"/>
    </row>
    <row r="35" spans="1:45" customFormat="1" ht="57" customHeight="1" x14ac:dyDescent="0.3">
      <c r="A35" s="2027"/>
      <c r="B35" s="2076"/>
      <c r="C35" s="2076"/>
      <c r="D35" s="2076"/>
      <c r="E35" s="261"/>
      <c r="F35" s="2077"/>
      <c r="G35" s="2017"/>
      <c r="H35" s="2078"/>
      <c r="I35" s="2079"/>
      <c r="J35" s="2071"/>
      <c r="K35" s="2021"/>
      <c r="L35" s="2022"/>
      <c r="M35" s="2072"/>
      <c r="N35" s="2073">
        <f>IF(NOT(ISERROR(MATCH(M35,_xlfn.ANCHORARRAY(F46),0))),L48&amp;"Por favor no seleccionar los criterios de impacto",M35)</f>
        <v>0</v>
      </c>
      <c r="O35" s="2074"/>
      <c r="P35" s="2067"/>
      <c r="Q35" s="1998"/>
      <c r="R35" s="252">
        <v>6</v>
      </c>
      <c r="S35" s="270"/>
      <c r="T35" s="263" t="str">
        <f t="shared" si="16"/>
        <v/>
      </c>
      <c r="U35" s="264"/>
      <c r="V35" s="264"/>
      <c r="W35" s="265" t="str">
        <f t="shared" si="17"/>
        <v/>
      </c>
      <c r="X35" s="264"/>
      <c r="Y35" s="264"/>
      <c r="Z35" s="264"/>
      <c r="AA35" s="256" t="str">
        <f>IFERROR(IF(AND(T34="Probabilidad",T35="Probabilidad"),(AC34-(+AC34*W35)),IF(AND(T34="Impacto",T35="Probabilidad"),(AC33-(+AC33*W35)),IF(T35="Impacto",AC34,""))),"")</f>
        <v/>
      </c>
      <c r="AB35" s="257" t="str">
        <f t="shared" si="18"/>
        <v/>
      </c>
      <c r="AC35" s="258" t="str">
        <f t="shared" si="19"/>
        <v/>
      </c>
      <c r="AD35" s="257" t="str">
        <f t="shared" si="20"/>
        <v/>
      </c>
      <c r="AE35" s="258" t="str">
        <f>IFERROR(IF(AND(T34="Impacto",T35="Impacto"),(AE34-(+AE34*W35)),IF(AND(T34="Probabilidad",T35="Impacto"),(AE33-(+AE33*W35)),IF(T35="Probabilidad",AE34,""))),"")</f>
        <v/>
      </c>
      <c r="AF35" s="259" t="str">
        <f t="shared" si="21"/>
        <v/>
      </c>
      <c r="AG35" s="266"/>
      <c r="AH35" s="267"/>
      <c r="AI35" s="268"/>
      <c r="AJ35" s="269"/>
      <c r="AK35" s="269"/>
      <c r="AL35" s="268"/>
      <c r="AM35" s="269"/>
      <c r="AN35" s="269"/>
      <c r="AO35" s="268"/>
      <c r="AP35" s="269"/>
      <c r="AQ35" s="269"/>
      <c r="AR35" s="268"/>
      <c r="AS35" s="269"/>
    </row>
    <row r="36" spans="1:45" customFormat="1" ht="117" customHeight="1" x14ac:dyDescent="0.3">
      <c r="A36" s="2027">
        <v>2</v>
      </c>
      <c r="B36" s="2026" t="s">
        <v>197</v>
      </c>
      <c r="C36" s="2060" t="s">
        <v>473</v>
      </c>
      <c r="D36" s="2026" t="s">
        <v>474</v>
      </c>
      <c r="E36" s="260" t="s">
        <v>537</v>
      </c>
      <c r="F36" s="2031" t="s">
        <v>475</v>
      </c>
      <c r="G36" s="1979" t="s">
        <v>512</v>
      </c>
      <c r="H36" s="2057" t="s">
        <v>538</v>
      </c>
      <c r="I36" s="2058" t="s">
        <v>198</v>
      </c>
      <c r="J36" s="2059">
        <v>12</v>
      </c>
      <c r="K36" s="2021" t="str">
        <f>IF(J36&lt;=0,"",IF(J36&lt;=2,"Muy Baja",IF(J36&lt;=24,"Baja",IF(J36&lt;=500,"Media",IF(J36&lt;=5000,"Alta","Muy Alta")))))</f>
        <v>Baja</v>
      </c>
      <c r="L36" s="2022">
        <f>IF(K36="","",IF(K36="Muy Baja",0.2,IF(K36="Baja",0.4,IF(K36="Media",0.6,IF(K36="Alta",0.8,IF(K36="Muy Alta",1,))))))</f>
        <v>0.4</v>
      </c>
      <c r="M36" s="2023" t="s">
        <v>213</v>
      </c>
      <c r="N36" s="2022" t="str">
        <f>IF(NOT(ISERROR(MATCH(M36,'[2]Tabla Impacto'!$B$221:$B$223,0))),'[2]Tabla Impacto'!$F$223&amp;"Por favor no seleccionar los criterios de impacto(Afectación Económica o presupuestal y Pérdida Reputacional)",M36)</f>
        <v xml:space="preserve">     El riesgo afecta la imagen de la entidad internamente, de conocimiento general, nivel interno, de junta dircetiva y accionistas y/o de provedores</v>
      </c>
      <c r="O36" s="2021" t="str">
        <f>IF(OR(N36='[2]Tabla Impacto'!$C$11,N36='[2]Tabla Impacto'!$D$11),"Leve",IF(OR(N36='[2]Tabla Impacto'!$C$12,N36='[2]Tabla Impacto'!$D$12),"Menor",IF(OR(N36='[2]Tabla Impacto'!$C$13,N36='[2]Tabla Impacto'!$D$13),"Moderado",IF(OR(N36='[2]Tabla Impacto'!$C$14,N36='[2]Tabla Impacto'!$D$14),"Mayor",IF(OR(N36='[2]Tabla Impacto'!$C$15,N36='[2]Tabla Impacto'!$D$15),"Catastrófico","")))))</f>
        <v>Menor</v>
      </c>
      <c r="P36" s="2022">
        <f>IF(O36="","",IF(O36="Leve",0.2,IF(O36="Menor",0.4,IF(O36="Moderado",0.6,IF(O36="Mayor",0.8,IF(O36="Catastrófico",1,))))))</f>
        <v>0.4</v>
      </c>
      <c r="Q36" s="2001" t="str">
        <f>IF(OR(AND(K36="Muy Baja",O36="Leve"),AND(K36="Muy Baja",O36="Menor"),AND(K36="Baja",O36="Leve")),"Bajo",IF(OR(AND(K36="Muy baja",O36="Moderado"),AND(K36="Baja",O36="Menor"),AND(K36="Baja",O36="Moderado"),AND(K36="Media",O36="Leve"),AND(K36="Media",O36="Menor"),AND(K36="Media",O36="Moderado"),AND(K36="Alta",O36="Leve"),AND(K36="Alta",O36="Menor")),"Moderado",IF(OR(AND(K36="Muy Baja",O36="Mayor"),AND(K36="Baja",O36="Mayor"),AND(K36="Media",O36="Mayor"),AND(K36="Alta",O36="Moderado"),AND(K36="Alta",O36="Mayor"),AND(K36="Muy Alta",O36="Leve"),AND(K36="Muy Alta",O36="Menor"),AND(K36="Muy Alta",O36="Moderado"),AND(K36="Muy Alta",O36="Mayor")),"Alto",IF(OR(AND(K36="Muy Baja",O36="Catastrófico"),AND(K36="Baja",O36="Catastrófico"),AND(K36="Media",O36="Catastrófico"),AND(K36="Alta",O36="Catastrófico"),AND(K36="Muy Alta",O36="Catastrófico")),"Extremo",""))))</f>
        <v>Moderado</v>
      </c>
      <c r="R36" s="252">
        <v>1</v>
      </c>
      <c r="S36" s="271" t="s">
        <v>476</v>
      </c>
      <c r="T36" s="253" t="str">
        <f t="shared" si="16"/>
        <v>Probabilidad</v>
      </c>
      <c r="U36" s="254" t="s">
        <v>207</v>
      </c>
      <c r="V36" s="254" t="s">
        <v>201</v>
      </c>
      <c r="W36" s="255" t="str">
        <f t="shared" si="17"/>
        <v>40%</v>
      </c>
      <c r="X36" s="254" t="s">
        <v>202</v>
      </c>
      <c r="Y36" s="254" t="s">
        <v>203</v>
      </c>
      <c r="Z36" s="254" t="s">
        <v>204</v>
      </c>
      <c r="AA36" s="272">
        <f>IFERROR(IF(T36="Probabilidad",(L36-(+L36*W36)),IF(T36="Impacto",L36,"")),"")</f>
        <v>0.24</v>
      </c>
      <c r="AB36" s="273" t="str">
        <f t="shared" si="18"/>
        <v>Baja</v>
      </c>
      <c r="AC36" s="274">
        <f t="shared" si="19"/>
        <v>0.24</v>
      </c>
      <c r="AD36" s="273" t="str">
        <f t="shared" si="20"/>
        <v>Menor</v>
      </c>
      <c r="AE36" s="274">
        <f>IFERROR(IF(T36="Impacto",(P36-(+P36*W36)),IF(T36="Probabilidad",P36,"")),"")</f>
        <v>0.4</v>
      </c>
      <c r="AF36" s="275" t="str">
        <f t="shared" si="21"/>
        <v>Moderado</v>
      </c>
      <c r="AG36" s="2068" t="s">
        <v>205</v>
      </c>
      <c r="AH36" s="2075" t="s">
        <v>539</v>
      </c>
      <c r="AI36" s="2026" t="s">
        <v>149</v>
      </c>
      <c r="AJ36" s="2002" t="s">
        <v>528</v>
      </c>
      <c r="AK36" s="2002" t="s">
        <v>540</v>
      </c>
      <c r="AL36" s="2024">
        <v>45351</v>
      </c>
      <c r="AM36" s="2002" t="s">
        <v>530</v>
      </c>
      <c r="AN36" s="2002" t="s">
        <v>541</v>
      </c>
      <c r="AO36" s="2024">
        <v>45412</v>
      </c>
      <c r="AP36" s="2002" t="s">
        <v>532</v>
      </c>
      <c r="AQ36" s="2002" t="s">
        <v>542</v>
      </c>
      <c r="AR36" s="2024" t="s">
        <v>543</v>
      </c>
      <c r="AS36" s="2002" t="s">
        <v>534</v>
      </c>
    </row>
    <row r="37" spans="1:45" customFormat="1" ht="111.6" customHeight="1" x14ac:dyDescent="0.3">
      <c r="A37" s="2027"/>
      <c r="B37" s="2026"/>
      <c r="C37" s="2060"/>
      <c r="D37" s="2026"/>
      <c r="E37" s="2026" t="s">
        <v>477</v>
      </c>
      <c r="F37" s="2031"/>
      <c r="G37" s="1980"/>
      <c r="H37" s="2057"/>
      <c r="I37" s="2058"/>
      <c r="J37" s="2059"/>
      <c r="K37" s="2021"/>
      <c r="L37" s="2022"/>
      <c r="M37" s="2023"/>
      <c r="N37" s="2022">
        <f>IF(NOT(ISERROR(MATCH(M37,_xlfn.ANCHORARRAY(F48),0))),L73&amp;"Por favor no seleccionar los criterios de impacto",M37)</f>
        <v>0</v>
      </c>
      <c r="O37" s="2021"/>
      <c r="P37" s="2022"/>
      <c r="Q37" s="2001"/>
      <c r="R37" s="252">
        <v>2</v>
      </c>
      <c r="S37" s="276" t="s">
        <v>544</v>
      </c>
      <c r="T37" s="253" t="str">
        <f t="shared" si="16"/>
        <v>Probabilidad</v>
      </c>
      <c r="U37" s="254" t="s">
        <v>200</v>
      </c>
      <c r="V37" s="254" t="s">
        <v>201</v>
      </c>
      <c r="W37" s="255" t="str">
        <f t="shared" si="17"/>
        <v>30%</v>
      </c>
      <c r="X37" s="254" t="s">
        <v>202</v>
      </c>
      <c r="Y37" s="254" t="s">
        <v>203</v>
      </c>
      <c r="Z37" s="254" t="s">
        <v>204</v>
      </c>
      <c r="AA37" s="272">
        <f>IFERROR(IF(AND(T36="Probabilidad",T37="Probabilidad"),(AC36-(+AC36*W37)),IF(AND(T36="Impacto",T37="Probabilidad"),(L36-(+L36*W37)),IF(T37="Impacto",AC36,""))),"")</f>
        <v>0.16799999999999998</v>
      </c>
      <c r="AB37" s="273" t="str">
        <f t="shared" si="18"/>
        <v>Muy Baja</v>
      </c>
      <c r="AC37" s="274">
        <f t="shared" si="19"/>
        <v>0.16799999999999998</v>
      </c>
      <c r="AD37" s="273" t="str">
        <f t="shared" si="20"/>
        <v>Menor</v>
      </c>
      <c r="AE37" s="274">
        <f>IFERROR(IF(AND(T36="Impacto",T37="Impacto"),(AE36-(+AE36*W37)),IF(AND(T36="Probabilidad",T37="Impacto"),(P36-(+P36*W37)),IF(T37="Probabilidad",AE36,""))),"")</f>
        <v>0.4</v>
      </c>
      <c r="AF37" s="275" t="str">
        <f t="shared" si="21"/>
        <v>Bajo</v>
      </c>
      <c r="AG37" s="2068"/>
      <c r="AH37" s="2075"/>
      <c r="AI37" s="2026"/>
      <c r="AJ37" s="2003"/>
      <c r="AK37" s="2005"/>
      <c r="AL37" s="2032"/>
      <c r="AM37" s="2003"/>
      <c r="AN37" s="2005"/>
      <c r="AO37" s="2025"/>
      <c r="AP37" s="2003"/>
      <c r="AQ37" s="2005"/>
      <c r="AR37" s="2025"/>
      <c r="AS37" s="2003"/>
    </row>
    <row r="38" spans="1:45" customFormat="1" ht="57" customHeight="1" x14ac:dyDescent="0.3">
      <c r="A38" s="2027"/>
      <c r="B38" s="2026"/>
      <c r="C38" s="2060"/>
      <c r="D38" s="2026"/>
      <c r="E38" s="2026"/>
      <c r="F38" s="2031"/>
      <c r="G38" s="1980"/>
      <c r="H38" s="2057"/>
      <c r="I38" s="2058"/>
      <c r="J38" s="2059"/>
      <c r="K38" s="2021"/>
      <c r="L38" s="2022"/>
      <c r="M38" s="2023"/>
      <c r="N38" s="2022">
        <f>IF(NOT(ISERROR(MATCH(M38,_xlfn.ANCHORARRAY(F49),0))),L74&amp;"Por favor no seleccionar los criterios de impacto",M38)</f>
        <v>0</v>
      </c>
      <c r="O38" s="2021"/>
      <c r="P38" s="2022"/>
      <c r="Q38" s="2001"/>
      <c r="R38" s="252">
        <v>3</v>
      </c>
      <c r="S38" s="262"/>
      <c r="T38" s="263" t="str">
        <f t="shared" si="16"/>
        <v/>
      </c>
      <c r="U38" s="264"/>
      <c r="V38" s="264"/>
      <c r="W38" s="265" t="str">
        <f t="shared" si="17"/>
        <v/>
      </c>
      <c r="X38" s="264"/>
      <c r="Y38" s="264"/>
      <c r="Z38" s="264"/>
      <c r="AA38" s="256" t="str">
        <f>IFERROR(IF(AND(T37="Probabilidad",T38="Probabilidad"),(AC37-(+AC37*W38)),IF(AND(T37="Impacto",T38="Probabilidad"),(AC36-(+AC36*W38)),IF(T38="Impacto",AC37,""))),"")</f>
        <v/>
      </c>
      <c r="AB38" s="257" t="str">
        <f t="shared" si="18"/>
        <v/>
      </c>
      <c r="AC38" s="258" t="str">
        <f t="shared" si="19"/>
        <v/>
      </c>
      <c r="AD38" s="257" t="str">
        <f t="shared" si="20"/>
        <v/>
      </c>
      <c r="AE38" s="258" t="str">
        <f>IFERROR(IF(AND(T37="Impacto",T38="Impacto"),(AE37-(+AE37*W38)),IF(AND(T37="Probabilidad",T38="Impacto"),(AE36-(+AE36*W38)),IF(T38="Probabilidad",AE37,""))),"")</f>
        <v/>
      </c>
      <c r="AF38" s="259" t="str">
        <f t="shared" si="21"/>
        <v/>
      </c>
      <c r="AG38" s="266"/>
      <c r="AH38" s="267"/>
      <c r="AI38" s="268"/>
      <c r="AJ38" s="277"/>
      <c r="AK38" s="269"/>
      <c r="AL38" s="268"/>
      <c r="AM38" s="277"/>
      <c r="AN38" s="269"/>
      <c r="AO38" s="268"/>
      <c r="AP38" s="277"/>
      <c r="AQ38" s="269"/>
      <c r="AR38" s="268"/>
      <c r="AS38" s="277"/>
    </row>
    <row r="39" spans="1:45" customFormat="1" ht="57" customHeight="1" x14ac:dyDescent="0.3">
      <c r="A39" s="2027"/>
      <c r="B39" s="2026"/>
      <c r="C39" s="2060"/>
      <c r="D39" s="2026"/>
      <c r="E39" s="2026"/>
      <c r="F39" s="2031"/>
      <c r="G39" s="1980"/>
      <c r="H39" s="2057"/>
      <c r="I39" s="2058"/>
      <c r="J39" s="2059"/>
      <c r="K39" s="2021"/>
      <c r="L39" s="2022"/>
      <c r="M39" s="2023"/>
      <c r="N39" s="2022">
        <f>IF(NOT(ISERROR(MATCH(M39,_xlfn.ANCHORARRAY(F73),0))),L75&amp;"Por favor no seleccionar los criterios de impacto",M39)</f>
        <v>0</v>
      </c>
      <c r="O39" s="2021"/>
      <c r="P39" s="2022"/>
      <c r="Q39" s="2001"/>
      <c r="R39" s="252">
        <v>4</v>
      </c>
      <c r="S39" s="270"/>
      <c r="T39" s="263" t="str">
        <f t="shared" si="16"/>
        <v/>
      </c>
      <c r="U39" s="264"/>
      <c r="V39" s="264"/>
      <c r="W39" s="265" t="str">
        <f t="shared" si="17"/>
        <v/>
      </c>
      <c r="X39" s="264"/>
      <c r="Y39" s="264"/>
      <c r="Z39" s="264"/>
      <c r="AA39" s="256" t="str">
        <f>IFERROR(IF(AND(T38="Probabilidad",T39="Probabilidad"),(AC38-(+AC38*W39)),IF(AND(T38="Impacto",T39="Probabilidad"),(AC37-(+AC37*W39)),IF(T39="Impacto",AC38,""))),"")</f>
        <v/>
      </c>
      <c r="AB39" s="257" t="str">
        <f t="shared" si="18"/>
        <v/>
      </c>
      <c r="AC39" s="258" t="str">
        <f t="shared" si="19"/>
        <v/>
      </c>
      <c r="AD39" s="257" t="str">
        <f t="shared" si="20"/>
        <v/>
      </c>
      <c r="AE39" s="258" t="str">
        <f>IFERROR(IF(AND(T38="Impacto",T39="Impacto"),(AE38-(+AE38*W39)),IF(AND(T38="Probabilidad",T39="Impacto"),(AE37-(+AE37*W39)),IF(T39="Probabilidad",AE38,""))),"")</f>
        <v/>
      </c>
      <c r="AF39" s="259" t="str">
        <f t="shared" si="21"/>
        <v/>
      </c>
      <c r="AG39" s="266"/>
      <c r="AH39" s="267"/>
      <c r="AI39" s="268"/>
      <c r="AJ39" s="269"/>
      <c r="AK39" s="269"/>
      <c r="AL39" s="268"/>
      <c r="AM39" s="269"/>
      <c r="AN39" s="269"/>
      <c r="AO39" s="268"/>
      <c r="AP39" s="269"/>
      <c r="AQ39" s="269"/>
      <c r="AR39" s="268"/>
      <c r="AS39" s="269"/>
    </row>
    <row r="40" spans="1:45" customFormat="1" ht="57" customHeight="1" x14ac:dyDescent="0.3">
      <c r="A40" s="2027"/>
      <c r="B40" s="2026"/>
      <c r="C40" s="2060"/>
      <c r="D40" s="2026"/>
      <c r="E40" s="2026"/>
      <c r="F40" s="2031"/>
      <c r="G40" s="1980"/>
      <c r="H40" s="2057"/>
      <c r="I40" s="2058"/>
      <c r="J40" s="2059"/>
      <c r="K40" s="2021"/>
      <c r="L40" s="2022"/>
      <c r="M40" s="2023"/>
      <c r="N40" s="2022">
        <f>IF(NOT(ISERROR(MATCH(M40,_xlfn.ANCHORARRAY(F74),0))),L76&amp;"Por favor no seleccionar los criterios de impacto",M40)</f>
        <v>0</v>
      </c>
      <c r="O40" s="2021"/>
      <c r="P40" s="2022"/>
      <c r="Q40" s="2001"/>
      <c r="R40" s="252">
        <v>5</v>
      </c>
      <c r="S40" s="270"/>
      <c r="T40" s="263" t="str">
        <f t="shared" si="16"/>
        <v/>
      </c>
      <c r="U40" s="264"/>
      <c r="V40" s="264"/>
      <c r="W40" s="265" t="str">
        <f t="shared" si="17"/>
        <v/>
      </c>
      <c r="X40" s="264"/>
      <c r="Y40" s="264"/>
      <c r="Z40" s="264"/>
      <c r="AA40" s="256" t="str">
        <f>IFERROR(IF(AND(T39="Probabilidad",T40="Probabilidad"),(AC39-(+AC39*W40)),IF(AND(T39="Impacto",T40="Probabilidad"),(AC38-(+AC38*W40)),IF(T40="Impacto",AC39,""))),"")</f>
        <v/>
      </c>
      <c r="AB40" s="257" t="str">
        <f t="shared" si="18"/>
        <v/>
      </c>
      <c r="AC40" s="258" t="str">
        <f t="shared" si="19"/>
        <v/>
      </c>
      <c r="AD40" s="257" t="str">
        <f t="shared" si="20"/>
        <v/>
      </c>
      <c r="AE40" s="258" t="str">
        <f>IFERROR(IF(AND(T39="Impacto",T40="Impacto"),(AE39-(+AE39*W40)),IF(AND(T39="Probabilidad",T40="Impacto"),(AE38-(+AE38*W40)),IF(T40="Probabilidad",AE39,""))),"")</f>
        <v/>
      </c>
      <c r="AF40" s="259" t="str">
        <f t="shared" si="21"/>
        <v/>
      </c>
      <c r="AG40" s="266"/>
      <c r="AH40" s="267"/>
      <c r="AI40" s="268"/>
      <c r="AJ40" s="269"/>
      <c r="AK40" s="269"/>
      <c r="AL40" s="268"/>
      <c r="AM40" s="269"/>
      <c r="AN40" s="269"/>
      <c r="AO40" s="268"/>
      <c r="AP40" s="269"/>
      <c r="AQ40" s="269"/>
      <c r="AR40" s="268"/>
      <c r="AS40" s="269"/>
    </row>
    <row r="41" spans="1:45" customFormat="1" ht="57" customHeight="1" x14ac:dyDescent="0.3">
      <c r="A41" s="2027"/>
      <c r="B41" s="2026"/>
      <c r="C41" s="2060"/>
      <c r="D41" s="2026"/>
      <c r="E41" s="2026"/>
      <c r="F41" s="2031"/>
      <c r="G41" s="2017"/>
      <c r="H41" s="2057"/>
      <c r="I41" s="2058"/>
      <c r="J41" s="2059"/>
      <c r="K41" s="2021"/>
      <c r="L41" s="2022"/>
      <c r="M41" s="2023"/>
      <c r="N41" s="2022">
        <f>IF(NOT(ISERROR(MATCH(M41,_xlfn.ANCHORARRAY(F75),0))),L77&amp;"Por favor no seleccionar los criterios de impacto",M41)</f>
        <v>0</v>
      </c>
      <c r="O41" s="2021"/>
      <c r="P41" s="2022"/>
      <c r="Q41" s="2001"/>
      <c r="R41" s="252">
        <v>6</v>
      </c>
      <c r="S41" s="270"/>
      <c r="T41" s="263" t="str">
        <f t="shared" si="16"/>
        <v/>
      </c>
      <c r="U41" s="264"/>
      <c r="V41" s="264"/>
      <c r="W41" s="265" t="str">
        <f t="shared" si="17"/>
        <v/>
      </c>
      <c r="X41" s="264"/>
      <c r="Y41" s="264"/>
      <c r="Z41" s="264"/>
      <c r="AA41" s="256" t="str">
        <f>IFERROR(IF(AND(T40="Probabilidad",T41="Probabilidad"),(AC40-(+AC40*W41)),IF(AND(T40="Impacto",T41="Probabilidad"),(AC39-(+AC39*W41)),IF(T41="Impacto",AC40,""))),"")</f>
        <v/>
      </c>
      <c r="AB41" s="257" t="str">
        <f t="shared" si="18"/>
        <v/>
      </c>
      <c r="AC41" s="258" t="str">
        <f t="shared" si="19"/>
        <v/>
      </c>
      <c r="AD41" s="257" t="str">
        <f t="shared" si="20"/>
        <v/>
      </c>
      <c r="AE41" s="258" t="str">
        <f>IFERROR(IF(AND(T40="Impacto",T41="Impacto"),(AE40-(+AE40*W41)),IF(AND(T40="Probabilidad",T41="Impacto"),(AE39-(+AE39*W41)),IF(T41="Probabilidad",AE40,""))),"")</f>
        <v/>
      </c>
      <c r="AF41" s="259" t="str">
        <f t="shared" si="21"/>
        <v/>
      </c>
      <c r="AG41" s="266"/>
      <c r="AH41" s="267"/>
      <c r="AI41" s="268"/>
      <c r="AJ41" s="269"/>
      <c r="AK41" s="269"/>
      <c r="AL41" s="268"/>
      <c r="AM41" s="269"/>
      <c r="AN41" s="269"/>
      <c r="AO41" s="268"/>
      <c r="AP41" s="269"/>
      <c r="AQ41" s="269"/>
      <c r="AR41" s="268"/>
      <c r="AS41" s="269"/>
    </row>
    <row r="42" spans="1:45" s="36" customFormat="1" ht="91.2" customHeight="1" x14ac:dyDescent="0.3">
      <c r="A42" s="2027">
        <v>3</v>
      </c>
      <c r="B42" s="2026" t="s">
        <v>197</v>
      </c>
      <c r="C42" s="2026" t="s">
        <v>478</v>
      </c>
      <c r="D42" s="2028" t="s">
        <v>545</v>
      </c>
      <c r="E42" s="2030" t="s">
        <v>546</v>
      </c>
      <c r="F42" s="2031" t="s">
        <v>547</v>
      </c>
      <c r="G42" s="1979" t="s">
        <v>512</v>
      </c>
      <c r="H42" s="2057" t="s">
        <v>548</v>
      </c>
      <c r="I42" s="2058" t="s">
        <v>198</v>
      </c>
      <c r="J42" s="2059">
        <v>12</v>
      </c>
      <c r="K42" s="2021" t="str">
        <f>IF(J42&lt;=0,"",IF(J42&lt;=2,"Muy Baja",IF(J42&lt;=24,"Baja",IF(J42&lt;=500,"Media",IF(J42&lt;=5000,"Alta","Muy Alta")))))</f>
        <v>Baja</v>
      </c>
      <c r="L42" s="2022">
        <f>IF(K42="","",IF(K42="Muy Baja",0.2,IF(K42="Baja",0.4,IF(K42="Media",0.6,IF(K42="Alta",0.8,IF(K42="Muy Alta",1,))))))</f>
        <v>0.4</v>
      </c>
      <c r="M42" s="2023" t="s">
        <v>479</v>
      </c>
      <c r="N42" s="2009" t="str">
        <f>IF(NOT(ISERROR(MATCH(M42,'[2]Tabla Impacto'!$B$221:$B$223,0))),'[2]Tabla Impacto'!$F$223&amp;"Por favor no seleccionar los criterios de impacto(Afectación Económica o presupuestal y Pérdida Reputacional)",M42)</f>
        <v>❌Por favor no seleccionar los criterios de impacto(Afectación Económica o presupuestal y Pérdida Reputacional)</v>
      </c>
      <c r="O42" s="2010" t="s">
        <v>62</v>
      </c>
      <c r="P42" s="2009">
        <f>IF(O42="","",IF(O42="Leve",0.2,IF(O42="Menor",0.4,IF(O42="Moderado",0.6,IF(O42="Mayor",0.8,IF(O42="Catastrófico",1,))))))</f>
        <v>0.4</v>
      </c>
      <c r="Q42" s="2004" t="str">
        <f>IF(OR(AND(K42="Muy Baja",O42="Leve"),AND(K42="Muy Baja",O42="Menor"),AND(K42="Baja",O42="Leve")),"Bajo",IF(OR(AND(K42="Muy baja",O42="Moderado"),AND(K42="Baja",O42="Menor"),AND(K42="Baja",O42="Moderado"),AND(K42="Media",O42="Leve"),AND(K42="Media",O42="Menor"),AND(K42="Media",O42="Moderado"),AND(K42="Alta",O42="Leve"),AND(K42="Alta",O42="Menor")),"Moderado",IF(OR(AND(K42="Muy Baja",O42="Mayor"),AND(K42="Baja",O42="Mayor"),AND(K42="Media",O42="Mayor"),AND(K42="Alta",O42="Moderado"),AND(K42="Alta",O42="Mayor"),AND(K42="Muy Alta",O42="Leve"),AND(K42="Muy Alta",O42="Menor"),AND(K42="Muy Alta",O42="Moderado"),AND(K42="Muy Alta",O42="Mayor")),"Alto",IF(OR(AND(K42="Muy Baja",O42="Catastrófico"),AND(K42="Baja",O42="Catastrófico"),AND(K42="Media",O42="Catastrófico"),AND(K42="Alta",O42="Catastrófico"),AND(K42="Muy Alta",O42="Catastrófico")),"Extremo",""))))</f>
        <v>Moderado</v>
      </c>
      <c r="R42" s="252">
        <v>1</v>
      </c>
      <c r="S42" s="278" t="s">
        <v>549</v>
      </c>
      <c r="T42" s="263" t="s">
        <v>141</v>
      </c>
      <c r="U42" s="264" t="s">
        <v>308</v>
      </c>
      <c r="V42" s="264" t="s">
        <v>201</v>
      </c>
      <c r="W42" s="265" t="str">
        <f t="shared" si="17"/>
        <v>25%</v>
      </c>
      <c r="X42" s="264" t="s">
        <v>208</v>
      </c>
      <c r="Y42" s="264" t="s">
        <v>203</v>
      </c>
      <c r="Z42" s="264" t="s">
        <v>204</v>
      </c>
      <c r="AA42" s="256">
        <f>IFERROR(IF(T42="Probabilidad",(L42-(+L42*W42)),IF(T42="Impacto",L42,"")),"")</f>
        <v>0.30000000000000004</v>
      </c>
      <c r="AB42" s="257" t="str">
        <f t="shared" si="18"/>
        <v>Baja</v>
      </c>
      <c r="AC42" s="258">
        <f t="shared" si="19"/>
        <v>0.30000000000000004</v>
      </c>
      <c r="AD42" s="273" t="s">
        <v>62</v>
      </c>
      <c r="AE42" s="258">
        <f>IFERROR(IF(T42="Impacto",(P42-(+P42*W42)),IF(T42="Probabilidad",P42,"")),"")</f>
        <v>0.4</v>
      </c>
      <c r="AF42" s="259" t="str">
        <f t="shared" si="21"/>
        <v>Moderado</v>
      </c>
      <c r="AG42" s="2065" t="s">
        <v>205</v>
      </c>
      <c r="AH42" s="2031" t="s">
        <v>550</v>
      </c>
      <c r="AI42" s="2033" t="s">
        <v>149</v>
      </c>
      <c r="AJ42" s="2002" t="s">
        <v>528</v>
      </c>
      <c r="AK42" s="2007" t="s">
        <v>551</v>
      </c>
      <c r="AL42" s="2002">
        <v>45351</v>
      </c>
      <c r="AM42" s="2002" t="s">
        <v>530</v>
      </c>
      <c r="AN42" s="2007" t="s">
        <v>551</v>
      </c>
      <c r="AO42" s="2002">
        <v>45412</v>
      </c>
      <c r="AP42" s="2002" t="s">
        <v>532</v>
      </c>
      <c r="AQ42" s="2007" t="s">
        <v>552</v>
      </c>
      <c r="AR42" s="2024">
        <v>45473</v>
      </c>
      <c r="AS42" s="2002" t="s">
        <v>534</v>
      </c>
    </row>
    <row r="43" spans="1:45" s="36" customFormat="1" ht="80.400000000000006" customHeight="1" x14ac:dyDescent="0.3">
      <c r="A43" s="2027"/>
      <c r="B43" s="2026"/>
      <c r="C43" s="2026"/>
      <c r="D43" s="2029"/>
      <c r="E43" s="2030"/>
      <c r="F43" s="2031"/>
      <c r="G43" s="1980"/>
      <c r="H43" s="2057"/>
      <c r="I43" s="2058"/>
      <c r="J43" s="2059"/>
      <c r="K43" s="2021"/>
      <c r="L43" s="2022"/>
      <c r="M43" s="2023"/>
      <c r="N43" s="2009">
        <f>IF(NOT(ISERROR(MATCH(M43,_xlfn.ANCHORARRAY(F77),0))),L79&amp;"Por favor no seleccionar los criterios de impacto",M43)</f>
        <v>0</v>
      </c>
      <c r="O43" s="2010"/>
      <c r="P43" s="2009"/>
      <c r="Q43" s="2004"/>
      <c r="R43" s="252">
        <v>2</v>
      </c>
      <c r="S43" s="279" t="s">
        <v>553</v>
      </c>
      <c r="T43" s="263" t="s">
        <v>141</v>
      </c>
      <c r="U43" s="264" t="s">
        <v>308</v>
      </c>
      <c r="V43" s="264" t="s">
        <v>201</v>
      </c>
      <c r="W43" s="265" t="str">
        <f t="shared" si="17"/>
        <v>25%</v>
      </c>
      <c r="X43" s="264" t="s">
        <v>208</v>
      </c>
      <c r="Y43" s="264" t="s">
        <v>203</v>
      </c>
      <c r="Z43" s="264" t="s">
        <v>204</v>
      </c>
      <c r="AA43" s="256">
        <f>IFERROR(IF(AND(T42="Probabilidad",T43="Probabilidad"),(AC42-(+AC42*W43)),IF(AND(T42="Impacto",T43="Probabilidad"),(L42-(+L42*W43)),IF(T43="Impacto",AC42,""))),"")</f>
        <v>0.22500000000000003</v>
      </c>
      <c r="AB43" s="257" t="str">
        <f t="shared" si="18"/>
        <v>Baja</v>
      </c>
      <c r="AC43" s="258">
        <f t="shared" si="19"/>
        <v>0.22500000000000003</v>
      </c>
      <c r="AD43" s="273" t="s">
        <v>62</v>
      </c>
      <c r="AE43" s="258">
        <f>IFERROR(IF(AND(T42="Impacto",T43="Impacto"),(AE42-(+AE42*W43)),IF(AND(T42="Probabilidad",T43="Impacto"),(P42-(+P42*W43)),IF(T43="Probabilidad",AE42,""))),"")</f>
        <v>0.4</v>
      </c>
      <c r="AF43" s="259" t="str">
        <f t="shared" si="21"/>
        <v>Moderado</v>
      </c>
      <c r="AG43" s="2065"/>
      <c r="AH43" s="2026"/>
      <c r="AI43" s="2033"/>
      <c r="AJ43" s="2005"/>
      <c r="AK43" s="2007"/>
      <c r="AL43" s="2008"/>
      <c r="AM43" s="2005"/>
      <c r="AN43" s="2007"/>
      <c r="AO43" s="2008"/>
      <c r="AP43" s="2005"/>
      <c r="AQ43" s="2007"/>
      <c r="AR43" s="2025"/>
      <c r="AS43" s="2005"/>
    </row>
    <row r="44" spans="1:45" s="36" customFormat="1" ht="55.2" customHeight="1" x14ac:dyDescent="0.3">
      <c r="A44" s="2027"/>
      <c r="B44" s="2026"/>
      <c r="C44" s="2026"/>
      <c r="D44" s="2029"/>
      <c r="E44" s="2030" t="s">
        <v>480</v>
      </c>
      <c r="F44" s="2031"/>
      <c r="G44" s="1980"/>
      <c r="H44" s="2057"/>
      <c r="I44" s="2058"/>
      <c r="J44" s="2059"/>
      <c r="K44" s="2021"/>
      <c r="L44" s="2022"/>
      <c r="M44" s="2023"/>
      <c r="N44" s="2009">
        <f>IF(NOT(ISERROR(MATCH(M44,_xlfn.ANCHORARRAY(F78),0))),L80&amp;"Por favor no seleccionar los criterios de impacto",M44)</f>
        <v>0</v>
      </c>
      <c r="O44" s="2010"/>
      <c r="P44" s="2009"/>
      <c r="Q44" s="2004"/>
      <c r="R44" s="252">
        <v>3</v>
      </c>
      <c r="S44" s="262"/>
      <c r="T44" s="263" t="str">
        <f t="shared" ref="T44:T47" si="22">IF(OR(U44="Preventivo",U44="Detectivo"),"Probabilidad",IF(U44="Correctivo","Impacto",""))</f>
        <v/>
      </c>
      <c r="U44" s="264"/>
      <c r="V44" s="264"/>
      <c r="W44" s="265" t="str">
        <f t="shared" si="17"/>
        <v/>
      </c>
      <c r="X44" s="264"/>
      <c r="Y44" s="264"/>
      <c r="Z44" s="264"/>
      <c r="AA44" s="256" t="str">
        <f>IFERROR(IF(AND(T43="Probabilidad",T44="Probabilidad"),(AC43-(+AC43*W44)),IF(AND(T43="Impacto",T44="Probabilidad"),(AC42-(+AC42*W44)),IF(T44="Impacto",AC43,""))),"")</f>
        <v/>
      </c>
      <c r="AB44" s="257" t="str">
        <f t="shared" si="18"/>
        <v/>
      </c>
      <c r="AC44" s="258" t="str">
        <f t="shared" si="19"/>
        <v/>
      </c>
      <c r="AD44" s="257" t="str">
        <f t="shared" ref="AD44:AD47" si="23">IFERROR(IF(AE44="","",IF(AE44&lt;=0.2,"Leve",IF(AE44&lt;=0.4,"Menor",IF(AE44&lt;=0.6,"Moderado",IF(AE44&lt;=0.8,"Mayor","Catastrófico"))))),"")</f>
        <v/>
      </c>
      <c r="AE44" s="258" t="str">
        <f>IFERROR(IF(AND(T43="Impacto",T44="Impacto"),(AE43-(+AE43*W44)),IF(AND(T43="Probabilidad",T44="Impacto"),(AE42-(+AE42*W44)),IF(T44="Probabilidad",AE43,""))),"")</f>
        <v/>
      </c>
      <c r="AF44" s="259" t="str">
        <f t="shared" si="21"/>
        <v/>
      </c>
      <c r="AG44" s="266"/>
      <c r="AH44" s="267"/>
      <c r="AI44" s="268"/>
      <c r="AJ44" s="269"/>
      <c r="AK44" s="269"/>
      <c r="AL44" s="268"/>
      <c r="AM44" s="269"/>
      <c r="AN44" s="269"/>
      <c r="AO44" s="268"/>
      <c r="AP44" s="269"/>
      <c r="AQ44" s="269"/>
      <c r="AR44" s="268"/>
      <c r="AS44" s="269"/>
    </row>
    <row r="45" spans="1:45" s="36" customFormat="1" ht="55.2" customHeight="1" x14ac:dyDescent="0.3">
      <c r="A45" s="2027"/>
      <c r="B45" s="2026"/>
      <c r="C45" s="2026"/>
      <c r="D45" s="2029"/>
      <c r="E45" s="2030"/>
      <c r="F45" s="2031"/>
      <c r="G45" s="1980"/>
      <c r="H45" s="2057"/>
      <c r="I45" s="2058"/>
      <c r="J45" s="2059"/>
      <c r="K45" s="2021"/>
      <c r="L45" s="2022"/>
      <c r="M45" s="2023"/>
      <c r="N45" s="2009">
        <f>IF(NOT(ISERROR(MATCH(M45,_xlfn.ANCHORARRAY(F79),0))),L81&amp;"Por favor no seleccionar los criterios de impacto",M45)</f>
        <v>0</v>
      </c>
      <c r="O45" s="2010"/>
      <c r="P45" s="2009"/>
      <c r="Q45" s="2004"/>
      <c r="R45" s="252">
        <v>4</v>
      </c>
      <c r="S45" s="270"/>
      <c r="T45" s="263" t="str">
        <f t="shared" si="22"/>
        <v/>
      </c>
      <c r="U45" s="264"/>
      <c r="V45" s="264"/>
      <c r="W45" s="265" t="str">
        <f t="shared" si="17"/>
        <v/>
      </c>
      <c r="X45" s="264"/>
      <c r="Y45" s="264"/>
      <c r="Z45" s="264"/>
      <c r="AA45" s="256" t="str">
        <f>IFERROR(IF(AND(T44="Probabilidad",T45="Probabilidad"),(AC44-(+AC44*W45)),IF(AND(T44="Impacto",T45="Probabilidad"),(AC43-(+AC43*W45)),IF(T45="Impacto",AC44,""))),"")</f>
        <v/>
      </c>
      <c r="AB45" s="257" t="str">
        <f t="shared" si="18"/>
        <v/>
      </c>
      <c r="AC45" s="258" t="str">
        <f t="shared" si="19"/>
        <v/>
      </c>
      <c r="AD45" s="257" t="str">
        <f t="shared" si="23"/>
        <v/>
      </c>
      <c r="AE45" s="258" t="str">
        <f>IFERROR(IF(AND(T44="Impacto",T45="Impacto"),(AE44-(+AE44*W45)),IF(AND(T44="Probabilidad",T45="Impacto"),(AE43-(+AE43*W45)),IF(T45="Probabilidad",AE44,""))),"")</f>
        <v/>
      </c>
      <c r="AF45" s="259" t="str">
        <f t="shared" si="21"/>
        <v/>
      </c>
      <c r="AG45" s="266"/>
      <c r="AH45" s="267"/>
      <c r="AI45" s="268"/>
      <c r="AJ45" s="269"/>
      <c r="AK45" s="269"/>
      <c r="AL45" s="268"/>
      <c r="AM45" s="269"/>
      <c r="AN45" s="269"/>
      <c r="AO45" s="268"/>
      <c r="AP45" s="269"/>
      <c r="AQ45" s="269"/>
      <c r="AR45" s="268"/>
      <c r="AS45" s="269"/>
    </row>
    <row r="46" spans="1:45" s="36" customFormat="1" ht="55.2" customHeight="1" x14ac:dyDescent="0.3">
      <c r="A46" s="2027"/>
      <c r="B46" s="2026"/>
      <c r="C46" s="2026"/>
      <c r="D46" s="2029"/>
      <c r="E46" s="2030"/>
      <c r="F46" s="2031"/>
      <c r="G46" s="1980"/>
      <c r="H46" s="2057"/>
      <c r="I46" s="2058"/>
      <c r="J46" s="2059"/>
      <c r="K46" s="2021"/>
      <c r="L46" s="2022"/>
      <c r="M46" s="2023"/>
      <c r="N46" s="2009">
        <f>IF(NOT(ISERROR(MATCH(M46,_xlfn.ANCHORARRAY(F80),0))),L82&amp;"Por favor no seleccionar los criterios de impacto",M46)</f>
        <v>0</v>
      </c>
      <c r="O46" s="2010"/>
      <c r="P46" s="2009"/>
      <c r="Q46" s="2004"/>
      <c r="R46" s="252">
        <v>5</v>
      </c>
      <c r="S46" s="270"/>
      <c r="T46" s="263" t="str">
        <f t="shared" si="22"/>
        <v/>
      </c>
      <c r="U46" s="264"/>
      <c r="V46" s="264"/>
      <c r="W46" s="265" t="str">
        <f t="shared" si="17"/>
        <v/>
      </c>
      <c r="X46" s="264"/>
      <c r="Y46" s="264"/>
      <c r="Z46" s="264"/>
      <c r="AA46" s="256" t="str">
        <f>IFERROR(IF(AND(T45="Probabilidad",T46="Probabilidad"),(AC45-(+AC45*W46)),IF(AND(T45="Impacto",T46="Probabilidad"),(AC44-(+AC44*W46)),IF(T46="Impacto",AC45,""))),"")</f>
        <v/>
      </c>
      <c r="AB46" s="257" t="str">
        <f t="shared" si="18"/>
        <v/>
      </c>
      <c r="AC46" s="258" t="str">
        <f t="shared" si="19"/>
        <v/>
      </c>
      <c r="AD46" s="257" t="str">
        <f t="shared" si="23"/>
        <v/>
      </c>
      <c r="AE46" s="258" t="str">
        <f>IFERROR(IF(AND(T45="Impacto",T46="Impacto"),(AE45-(+AE45*W46)),IF(AND(T45="Probabilidad",T46="Impacto"),(AE44-(+AE44*W46)),IF(T46="Probabilidad",AE45,""))),"")</f>
        <v/>
      </c>
      <c r="AF46" s="259" t="str">
        <f t="shared" si="21"/>
        <v/>
      </c>
      <c r="AG46" s="266"/>
      <c r="AH46" s="267"/>
      <c r="AI46" s="268"/>
      <c r="AJ46" s="269"/>
      <c r="AK46" s="269"/>
      <c r="AL46" s="268"/>
      <c r="AM46" s="269"/>
      <c r="AN46" s="269"/>
      <c r="AO46" s="268"/>
      <c r="AP46" s="269"/>
      <c r="AQ46" s="269"/>
      <c r="AR46" s="268"/>
      <c r="AS46" s="269"/>
    </row>
    <row r="47" spans="1:45" s="36" customFormat="1" ht="55.2" customHeight="1" x14ac:dyDescent="0.3">
      <c r="A47" s="2027"/>
      <c r="B47" s="2026"/>
      <c r="C47" s="2026"/>
      <c r="D47" s="2029"/>
      <c r="E47" s="2030"/>
      <c r="F47" s="2031"/>
      <c r="G47" s="2017"/>
      <c r="H47" s="2057"/>
      <c r="I47" s="2058"/>
      <c r="J47" s="2059"/>
      <c r="K47" s="2021"/>
      <c r="L47" s="2022"/>
      <c r="M47" s="2023"/>
      <c r="N47" s="2009">
        <f>IF(NOT(ISERROR(MATCH(M47,_xlfn.ANCHORARRAY(F81),0))),L83&amp;"Por favor no seleccionar los criterios de impacto",M47)</f>
        <v>0</v>
      </c>
      <c r="O47" s="2010"/>
      <c r="P47" s="2009"/>
      <c r="Q47" s="2004"/>
      <c r="R47" s="252">
        <v>6</v>
      </c>
      <c r="S47" s="270"/>
      <c r="T47" s="263" t="str">
        <f t="shared" si="22"/>
        <v/>
      </c>
      <c r="U47" s="264"/>
      <c r="V47" s="264"/>
      <c r="W47" s="265" t="str">
        <f t="shared" si="17"/>
        <v/>
      </c>
      <c r="X47" s="264"/>
      <c r="Y47" s="264"/>
      <c r="Z47" s="264"/>
      <c r="AA47" s="256" t="str">
        <f>IFERROR(IF(AND(T46="Probabilidad",T47="Probabilidad"),(AC46-(+AC46*W47)),IF(AND(T46="Impacto",T47="Probabilidad"),(AC45-(+AC45*W47)),IF(T47="Impacto",AC46,""))),"")</f>
        <v/>
      </c>
      <c r="AB47" s="257" t="str">
        <f t="shared" si="18"/>
        <v/>
      </c>
      <c r="AC47" s="258" t="str">
        <f t="shared" si="19"/>
        <v/>
      </c>
      <c r="AD47" s="257" t="str">
        <f t="shared" si="23"/>
        <v/>
      </c>
      <c r="AE47" s="258" t="str">
        <f>IFERROR(IF(AND(T46="Impacto",T47="Impacto"),(AE46-(+AE46*W47)),IF(AND(T46="Probabilidad",T47="Impacto"),(AE45-(+AE45*W47)),IF(T47="Probabilidad",AE46,""))),"")</f>
        <v/>
      </c>
      <c r="AF47" s="259" t="str">
        <f t="shared" si="21"/>
        <v/>
      </c>
      <c r="AG47" s="266"/>
      <c r="AH47" s="267"/>
      <c r="AI47" s="268"/>
      <c r="AJ47" s="269"/>
      <c r="AK47" s="269"/>
      <c r="AL47" s="268"/>
      <c r="AM47" s="269"/>
      <c r="AN47" s="269"/>
      <c r="AO47" s="268"/>
      <c r="AP47" s="269"/>
      <c r="AQ47" s="269"/>
      <c r="AR47" s="268"/>
      <c r="AS47" s="269"/>
    </row>
    <row r="48" spans="1:45" customFormat="1" ht="57" customHeight="1" x14ac:dyDescent="0.3">
      <c r="A48" s="1994" t="s">
        <v>157</v>
      </c>
      <c r="B48" s="2006"/>
      <c r="C48" s="2049" t="s">
        <v>364</v>
      </c>
      <c r="D48" s="2049"/>
      <c r="E48" s="2049"/>
      <c r="F48" s="2049"/>
      <c r="G48" s="2049"/>
      <c r="H48" s="2049"/>
      <c r="I48" s="2049"/>
      <c r="J48" s="2049"/>
      <c r="K48" s="2049"/>
      <c r="L48" s="2049"/>
      <c r="M48" s="2049"/>
      <c r="N48" s="2049"/>
      <c r="O48" s="2049"/>
      <c r="P48" s="2049"/>
      <c r="Q48" s="2049"/>
      <c r="R48" s="2049"/>
      <c r="S48" s="2049"/>
      <c r="T48" s="2049"/>
      <c r="U48" s="2049"/>
      <c r="V48" s="2049"/>
      <c r="W48" s="2049"/>
      <c r="X48" s="2049"/>
      <c r="Y48" s="2049"/>
      <c r="Z48" s="2049"/>
      <c r="AA48" s="2049"/>
      <c r="AB48" s="2049"/>
      <c r="AC48" s="2049"/>
      <c r="AD48" s="2049"/>
      <c r="AE48" s="2049"/>
      <c r="AF48" s="2049"/>
      <c r="AG48" s="2049"/>
      <c r="AH48" s="2049"/>
      <c r="AI48" s="2049"/>
      <c r="AJ48" s="2049"/>
      <c r="AK48" s="2049"/>
      <c r="AL48" s="2049"/>
      <c r="AM48" s="245"/>
      <c r="AN48" s="245"/>
      <c r="AO48" s="245"/>
      <c r="AP48" s="245"/>
      <c r="AQ48" s="245"/>
      <c r="AR48" s="245"/>
      <c r="AS48" s="245"/>
    </row>
    <row r="49" spans="1:45" customFormat="1" ht="57" customHeight="1" x14ac:dyDescent="0.3">
      <c r="A49" s="1994" t="s">
        <v>158</v>
      </c>
      <c r="B49" s="2006"/>
      <c r="C49" s="2049" t="s">
        <v>365</v>
      </c>
      <c r="D49" s="2049"/>
      <c r="E49" s="2049"/>
      <c r="F49" s="2049"/>
      <c r="G49" s="2049"/>
      <c r="H49" s="2049"/>
      <c r="I49" s="2049"/>
      <c r="J49" s="2049"/>
      <c r="K49" s="2049"/>
      <c r="L49" s="2049"/>
      <c r="M49" s="2049"/>
      <c r="N49" s="2049"/>
      <c r="O49" s="2049"/>
      <c r="P49" s="2049"/>
      <c r="Q49" s="2049"/>
      <c r="R49" s="2049"/>
      <c r="S49" s="2049"/>
      <c r="T49" s="2049"/>
      <c r="U49" s="2049"/>
      <c r="V49" s="2049"/>
      <c r="W49" s="2049"/>
      <c r="X49" s="2049"/>
      <c r="Y49" s="2049"/>
      <c r="Z49" s="2049"/>
      <c r="AA49" s="2049"/>
      <c r="AB49" s="2049"/>
      <c r="AC49" s="2049"/>
      <c r="AD49" s="2049"/>
      <c r="AE49" s="2049"/>
      <c r="AF49" s="2049"/>
      <c r="AG49" s="2049"/>
      <c r="AH49" s="2049"/>
      <c r="AI49" s="2049"/>
      <c r="AJ49" s="2049"/>
      <c r="AK49" s="2049"/>
      <c r="AL49" s="2049"/>
      <c r="AM49" s="245"/>
      <c r="AN49" s="245"/>
      <c r="AO49" s="245"/>
      <c r="AP49" s="245"/>
      <c r="AQ49" s="245"/>
      <c r="AR49" s="245"/>
      <c r="AS49" s="245"/>
    </row>
    <row r="50" spans="1:45" customFormat="1" ht="57" customHeight="1" x14ac:dyDescent="0.3">
      <c r="A50" s="1994" t="s">
        <v>159</v>
      </c>
      <c r="B50" s="2006"/>
      <c r="C50" s="2049" t="s">
        <v>366</v>
      </c>
      <c r="D50" s="2049"/>
      <c r="E50" s="2049"/>
      <c r="F50" s="2049"/>
      <c r="G50" s="2049"/>
      <c r="H50" s="2049"/>
      <c r="I50" s="2049"/>
      <c r="J50" s="2049"/>
      <c r="K50" s="2049"/>
      <c r="L50" s="2049"/>
      <c r="M50" s="2049"/>
      <c r="N50" s="2049"/>
      <c r="O50" s="2049"/>
      <c r="P50" s="2049"/>
      <c r="Q50" s="2049"/>
      <c r="R50" s="2049"/>
      <c r="S50" s="2049"/>
      <c r="T50" s="2049"/>
      <c r="U50" s="2049"/>
      <c r="V50" s="2049"/>
      <c r="W50" s="2049"/>
      <c r="X50" s="2049"/>
      <c r="Y50" s="2049"/>
      <c r="Z50" s="2049"/>
      <c r="AA50" s="2049"/>
      <c r="AB50" s="2049"/>
      <c r="AC50" s="2049"/>
      <c r="AD50" s="2049"/>
      <c r="AE50" s="2049"/>
      <c r="AF50" s="2049"/>
      <c r="AG50" s="2049"/>
      <c r="AH50" s="2049"/>
      <c r="AI50" s="2049"/>
      <c r="AJ50" s="2049"/>
      <c r="AK50" s="2049"/>
      <c r="AL50" s="2049"/>
      <c r="AM50" s="245"/>
      <c r="AN50" s="245"/>
      <c r="AO50" s="245"/>
      <c r="AP50" s="245"/>
      <c r="AQ50" s="245"/>
      <c r="AR50" s="245"/>
      <c r="AS50" s="245"/>
    </row>
    <row r="51" spans="1:45" s="315" customFormat="1" ht="40.200000000000003" customHeight="1" x14ac:dyDescent="0.3">
      <c r="A51" s="1994" t="s">
        <v>160</v>
      </c>
      <c r="B51" s="1970"/>
      <c r="C51" s="1970"/>
      <c r="D51" s="1970"/>
      <c r="E51" s="1970"/>
      <c r="F51" s="1970"/>
      <c r="G51" s="1970"/>
      <c r="H51" s="1970"/>
      <c r="I51" s="1970"/>
      <c r="J51" s="1971"/>
      <c r="K51" s="1994" t="s">
        <v>161</v>
      </c>
      <c r="L51" s="1970"/>
      <c r="M51" s="1970"/>
      <c r="N51" s="1970"/>
      <c r="O51" s="1970"/>
      <c r="P51" s="1970"/>
      <c r="Q51" s="1971"/>
      <c r="R51" s="1994" t="s">
        <v>162</v>
      </c>
      <c r="S51" s="1970"/>
      <c r="T51" s="1970"/>
      <c r="U51" s="1970"/>
      <c r="V51" s="1970"/>
      <c r="W51" s="1970"/>
      <c r="X51" s="1970"/>
      <c r="Y51" s="1970"/>
      <c r="Z51" s="1971"/>
      <c r="AA51" s="1994" t="s">
        <v>163</v>
      </c>
      <c r="AB51" s="1970"/>
      <c r="AC51" s="1970"/>
      <c r="AD51" s="1970"/>
      <c r="AE51" s="1970"/>
      <c r="AF51" s="1970"/>
      <c r="AG51" s="1971"/>
      <c r="AH51" s="1994" t="s">
        <v>164</v>
      </c>
      <c r="AI51" s="1970"/>
      <c r="AJ51" s="1970"/>
      <c r="AK51" s="1971"/>
      <c r="AL51" s="1964" t="s">
        <v>554</v>
      </c>
    </row>
    <row r="52" spans="1:45" s="315" customFormat="1" ht="16.5" customHeight="1" x14ac:dyDescent="0.3">
      <c r="A52" s="1996" t="s">
        <v>165</v>
      </c>
      <c r="B52" s="1964" t="s">
        <v>142</v>
      </c>
      <c r="C52" s="1964" t="s">
        <v>166</v>
      </c>
      <c r="D52" s="1964" t="s">
        <v>167</v>
      </c>
      <c r="E52" s="1964" t="s">
        <v>168</v>
      </c>
      <c r="F52" s="1964" t="s">
        <v>60</v>
      </c>
      <c r="G52" s="1964" t="s">
        <v>610</v>
      </c>
      <c r="H52" s="1964" t="s">
        <v>190</v>
      </c>
      <c r="I52" s="1964" t="s">
        <v>169</v>
      </c>
      <c r="J52" s="1964" t="s">
        <v>170</v>
      </c>
      <c r="K52" s="1964" t="s">
        <v>171</v>
      </c>
      <c r="L52" s="1964" t="s">
        <v>172</v>
      </c>
      <c r="M52" s="1964" t="s">
        <v>173</v>
      </c>
      <c r="N52" s="1964" t="s">
        <v>174</v>
      </c>
      <c r="O52" s="1964" t="s">
        <v>175</v>
      </c>
      <c r="P52" s="1964" t="s">
        <v>172</v>
      </c>
      <c r="Q52" s="1964" t="s">
        <v>176</v>
      </c>
      <c r="R52" s="1996" t="s">
        <v>177</v>
      </c>
      <c r="S52" s="1964" t="s">
        <v>178</v>
      </c>
      <c r="T52" s="1964" t="s">
        <v>179</v>
      </c>
      <c r="U52" s="1994" t="s">
        <v>180</v>
      </c>
      <c r="V52" s="1970"/>
      <c r="W52" s="1970"/>
      <c r="X52" s="1970"/>
      <c r="Y52" s="1970"/>
      <c r="Z52" s="1971"/>
      <c r="AA52" s="1996" t="s">
        <v>181</v>
      </c>
      <c r="AB52" s="1996" t="s">
        <v>182</v>
      </c>
      <c r="AC52" s="1996" t="s">
        <v>172</v>
      </c>
      <c r="AD52" s="1996" t="s">
        <v>183</v>
      </c>
      <c r="AE52" s="1996" t="s">
        <v>172</v>
      </c>
      <c r="AF52" s="1996" t="s">
        <v>184</v>
      </c>
      <c r="AG52" s="1996" t="s">
        <v>185</v>
      </c>
      <c r="AH52" s="1964" t="s">
        <v>164</v>
      </c>
      <c r="AI52" s="1964" t="s">
        <v>143</v>
      </c>
      <c r="AJ52" s="1964" t="s">
        <v>186</v>
      </c>
      <c r="AK52" s="2062" t="s">
        <v>187</v>
      </c>
      <c r="AL52" s="1938"/>
    </row>
    <row r="53" spans="1:45" s="315" customFormat="1" ht="94.5" customHeight="1" x14ac:dyDescent="0.3">
      <c r="A53" s="1939"/>
      <c r="B53" s="1939"/>
      <c r="C53" s="1939"/>
      <c r="D53" s="1939"/>
      <c r="E53" s="1939"/>
      <c r="F53" s="1939"/>
      <c r="G53" s="1995"/>
      <c r="H53" s="1939"/>
      <c r="I53" s="1939"/>
      <c r="J53" s="1939"/>
      <c r="K53" s="1939"/>
      <c r="L53" s="1939"/>
      <c r="M53" s="1939"/>
      <c r="N53" s="1939"/>
      <c r="O53" s="1939"/>
      <c r="P53" s="1939"/>
      <c r="Q53" s="1939"/>
      <c r="R53" s="1939"/>
      <c r="S53" s="1939"/>
      <c r="T53" s="1939"/>
      <c r="U53" s="185" t="s">
        <v>191</v>
      </c>
      <c r="V53" s="185" t="s">
        <v>192</v>
      </c>
      <c r="W53" s="185" t="s">
        <v>193</v>
      </c>
      <c r="X53" s="185" t="s">
        <v>194</v>
      </c>
      <c r="Y53" s="185" t="s">
        <v>195</v>
      </c>
      <c r="Z53" s="185" t="s">
        <v>196</v>
      </c>
      <c r="AA53" s="1939"/>
      <c r="AB53" s="1939"/>
      <c r="AC53" s="1939"/>
      <c r="AD53" s="1939"/>
      <c r="AE53" s="1939"/>
      <c r="AF53" s="1939"/>
      <c r="AG53" s="1939"/>
      <c r="AH53" s="1939"/>
      <c r="AI53" s="1939"/>
      <c r="AJ53" s="1939"/>
      <c r="AK53" s="1978"/>
      <c r="AL53" s="1939"/>
    </row>
    <row r="54" spans="1:45" s="315" customFormat="1" ht="274.5" customHeight="1" x14ac:dyDescent="0.3">
      <c r="A54" s="1986">
        <v>1</v>
      </c>
      <c r="B54" s="1986" t="s">
        <v>209</v>
      </c>
      <c r="C54" s="186" t="s">
        <v>555</v>
      </c>
      <c r="D54" s="1986" t="s">
        <v>556</v>
      </c>
      <c r="E54" s="186" t="s">
        <v>557</v>
      </c>
      <c r="F54" s="1986" t="s">
        <v>558</v>
      </c>
      <c r="G54" s="1979" t="s">
        <v>512</v>
      </c>
      <c r="H54" s="1990" t="s">
        <v>559</v>
      </c>
      <c r="I54" s="1986" t="s">
        <v>198</v>
      </c>
      <c r="J54" s="1986">
        <v>1852</v>
      </c>
      <c r="K54" s="1986" t="str">
        <f>IF(J54&lt;=0,"",IF(J54&lt;=2,"Muy Baja",IF(J54&lt;=24,"Baja",IF(J54&lt;=500,"Media",IF(J54&lt;=5000,"Alta","Muy Alta")))))</f>
        <v>Alta</v>
      </c>
      <c r="L54" s="1987">
        <f>IF(K54="","",IF(K54="Muy Baja",0.2,IF(K54="Baja",0.4,IF(K54="Media",0.6,IF(K54="Alta",0.8,IF(K54="Muy Alta",1,))))))</f>
        <v>0.8</v>
      </c>
      <c r="M54" s="1987" t="s">
        <v>303</v>
      </c>
      <c r="N54" s="1987" t="str">
        <f>IF(NOT(ISERROR(MATCH(M54,'[3]Tabla Impacto'!$B$221:$B$223,0))),'[3]Tabla Impacto'!$F$223&amp;"Por favor no seleccionar los criterios de impacto(Afectación Económica o presupuestal y Pérdida Reputacional)",M54)</f>
        <v xml:space="preserve">     El riesgo afecta la imagen de la entidad a nivel nacional, con efecto publicitarios sostenible a nivel país</v>
      </c>
      <c r="O54" s="1986" t="str">
        <f>IF(OR(N54='[3]Tabla Impacto'!$C$11,N54='[3]Tabla Impacto'!$D$11),"Leve",IF(OR(N54='[3]Tabla Impacto'!$C$12,N54='[3]Tabla Impacto'!$D$12),"Menor",IF(OR(N54='[3]Tabla Impacto'!$C$13,N54='[3]Tabla Impacto'!$D$13),"Moderado",IF(OR(N54='[3]Tabla Impacto'!$C$14,N54='[3]Tabla Impacto'!$D$14),"Mayor",IF(OR(N54='[3]Tabla Impacto'!$C$15,N54='[3]Tabla Impacto'!$D$15),"Catastrófico","")))))</f>
        <v>Catastrófico</v>
      </c>
      <c r="P54" s="1987">
        <f>IF(O54="","",IF(O54="Leve",0.2,IF(O54="Menor",0.4,IF(O54="Moderado",0.6,IF(O54="Mayor",0.8,IF(O54="Catastrófico",1,))))))</f>
        <v>1</v>
      </c>
      <c r="Q54" s="1986" t="str">
        <f>IF(OR(AND(K54="Muy Baja",O54="Leve"),AND(K54="Muy Baja",O54="Menor"),AND(K54="Baja",O54="Leve")),"Bajo",IF(OR(AND(K54="Muy baja",O54="Moderado"),AND(K54="Baja",O54="Menor"),AND(K54="Baja",O54="Moderado"),AND(K54="Media",O54="Leve"),AND(K54="Media",O54="Menor"),AND(K54="Media",O54="Moderado"),AND(K54="Alta",O54="Leve"),AND(K54="Alta",O54="Menor")),"Moderado",IF(OR(AND(K54="Muy Baja",O54="Mayor"),AND(K54="Baja",O54="Mayor"),AND(K54="Media",O54="Mayor"),AND(K54="Alta",O54="Moderado"),AND(K54="Alta",O54="Mayor"),AND(K54="Muy Alta",O54="Leve"),AND(K54="Muy Alta",O54="Menor"),AND(K54="Muy Alta",O54="Moderado"),AND(K54="Muy Alta",O54="Mayor")),"Alto",IF(OR(AND(K54="Muy Baja",O54="Catastrófico"),AND(K54="Baja",O54="Catastrófico"),AND(K54="Media",O54="Catastrófico"),AND(K54="Alta",O54="Catastrófico"),AND(K54="Muy Alta",O54="Catastrófico")),"Extremo",""))))</f>
        <v>Extremo</v>
      </c>
      <c r="R54" s="187">
        <v>1</v>
      </c>
      <c r="S54" s="186" t="s">
        <v>560</v>
      </c>
      <c r="T54" s="187" t="str">
        <f t="shared" ref="T54:T57" si="24">IF(OR(U54="Preventivo",U54="Detectivo"),"Probabilidad",IF(U54="Correctivo","Impacto",""))</f>
        <v>Impacto</v>
      </c>
      <c r="U54" s="188" t="s">
        <v>308</v>
      </c>
      <c r="V54" s="188" t="s">
        <v>201</v>
      </c>
      <c r="W54" s="189" t="str">
        <f t="shared" ref="W54:W57" si="25">IF(AND(U54="Preventivo",V54="Automático"),"50%",IF(AND(U54="Preventivo",V54="Manual"),"40%",IF(AND(U54="Detectivo",V54="Automático"),"40%",IF(AND(U54="Detectivo",V54="Manual"),"30%",IF(AND(U54="Correctivo",V54="Automático"),"35%",IF(AND(U54="Correctivo",V54="Manual"),"25%",""))))))</f>
        <v>25%</v>
      </c>
      <c r="X54" s="188" t="s">
        <v>202</v>
      </c>
      <c r="Y54" s="188" t="s">
        <v>203</v>
      </c>
      <c r="Z54" s="188" t="s">
        <v>204</v>
      </c>
      <c r="AA54" s="190">
        <f>IFERROR(IF(T54="Probabilidad",(L54-(+L54*W54)),IF(T54="Impacto",L54,"")),"")</f>
        <v>0.8</v>
      </c>
      <c r="AB54" s="188" t="str">
        <f t="shared" ref="AB54:AB57" si="26">IFERROR(IF(AA54="","",IF(AA54&lt;=0.2,"Muy Baja",IF(AA54&lt;=0.4,"Baja",IF(AA54&lt;=0.6,"Media",IF(AA54&lt;=0.8,"Alta","Muy Alta"))))),"")</f>
        <v>Alta</v>
      </c>
      <c r="AC54" s="189">
        <f t="shared" ref="AC54:AC57" si="27">+AA54</f>
        <v>0.8</v>
      </c>
      <c r="AD54" s="188" t="str">
        <f t="shared" ref="AD54:AD57" si="28">IFERROR(IF(AE54="","",IF(AE54&lt;=0.2,"Leve",IF(AE54&lt;=0.4,"Menor",IF(AE54&lt;=0.6,"Moderado",IF(AE54&lt;=0.8,"Mayor","Catastrófico"))))),"")</f>
        <v>Mayor</v>
      </c>
      <c r="AE54" s="189">
        <f>IFERROR(IF(T54="Impacto",(P54-(+P54*W54)),IF(T54="Probabilidad",P54,"")),"")</f>
        <v>0.75</v>
      </c>
      <c r="AF54" s="188" t="str">
        <f t="shared" ref="AF54:AF57" si="29">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Alto</v>
      </c>
      <c r="AG54" s="1989" t="s">
        <v>205</v>
      </c>
      <c r="AH54" s="186" t="s">
        <v>561</v>
      </c>
      <c r="AI54" s="1986" t="s">
        <v>367</v>
      </c>
      <c r="AJ54" s="1991">
        <v>45657</v>
      </c>
      <c r="AK54" s="1992" t="s">
        <v>147</v>
      </c>
      <c r="AL54" s="186" t="s">
        <v>562</v>
      </c>
    </row>
    <row r="55" spans="1:45" s="315" customFormat="1" ht="214.5" customHeight="1" x14ac:dyDescent="0.3">
      <c r="A55" s="1938"/>
      <c r="B55" s="1938"/>
      <c r="C55" s="316"/>
      <c r="D55" s="1938"/>
      <c r="E55" s="1986" t="s">
        <v>368</v>
      </c>
      <c r="F55" s="1938"/>
      <c r="G55" s="1980"/>
      <c r="H55" s="1938"/>
      <c r="I55" s="1938"/>
      <c r="J55" s="1938"/>
      <c r="K55" s="1938"/>
      <c r="L55" s="1938"/>
      <c r="M55" s="1938"/>
      <c r="N55" s="1938"/>
      <c r="O55" s="1938"/>
      <c r="P55" s="1938"/>
      <c r="Q55" s="1938"/>
      <c r="R55" s="187">
        <v>2</v>
      </c>
      <c r="S55" s="191" t="s">
        <v>563</v>
      </c>
      <c r="T55" s="187" t="str">
        <f t="shared" si="24"/>
        <v/>
      </c>
      <c r="U55" s="188" t="s">
        <v>564</v>
      </c>
      <c r="V55" s="188" t="s">
        <v>201</v>
      </c>
      <c r="W55" s="189" t="str">
        <f t="shared" si="25"/>
        <v/>
      </c>
      <c r="X55" s="188" t="s">
        <v>208</v>
      </c>
      <c r="Y55" s="188" t="s">
        <v>203</v>
      </c>
      <c r="Z55" s="188" t="s">
        <v>204</v>
      </c>
      <c r="AA55" s="190" t="str">
        <f>IFERROR(IF(AND(#REF!="Probabilidad",T55="Probabilidad"),(#REF!-(+#REF!*W55)),IF(AND(#REF!="Impacto",T55="Probabilidad"),(AC54-(+AC54*W55)),IF(T55="Impacto",#REF!,""))),"")</f>
        <v/>
      </c>
      <c r="AB55" s="188" t="str">
        <f t="shared" si="26"/>
        <v/>
      </c>
      <c r="AC55" s="189" t="str">
        <f t="shared" si="27"/>
        <v/>
      </c>
      <c r="AD55" s="188" t="str">
        <f t="shared" si="28"/>
        <v/>
      </c>
      <c r="AE55" s="189" t="str">
        <f>IFERROR(IF(AND(#REF!="Impacto",T55="Impacto"),(#REF!-(+#REF!*W55)),IF(AND(#REF!="Probabilidad",T55="Impacto"),(AE54-(+AE54*W55)),IF(T55="Probabilidad",#REF!,""))),"")</f>
        <v/>
      </c>
      <c r="AF55" s="188" t="str">
        <f t="shared" si="29"/>
        <v/>
      </c>
      <c r="AG55" s="1938"/>
      <c r="AH55" s="186" t="s">
        <v>565</v>
      </c>
      <c r="AI55" s="1938"/>
      <c r="AJ55" s="1938"/>
      <c r="AK55" s="1993"/>
      <c r="AL55" s="187" t="s">
        <v>566</v>
      </c>
    </row>
    <row r="56" spans="1:45" s="315" customFormat="1" ht="111.75" customHeight="1" x14ac:dyDescent="0.3">
      <c r="A56" s="1939"/>
      <c r="B56" s="1939"/>
      <c r="C56" s="316"/>
      <c r="D56" s="1939"/>
      <c r="E56" s="1939"/>
      <c r="F56" s="1939"/>
      <c r="G56" s="1980"/>
      <c r="H56" s="1939"/>
      <c r="I56" s="1939"/>
      <c r="J56" s="1939"/>
      <c r="K56" s="1939"/>
      <c r="L56" s="1939"/>
      <c r="M56" s="1939"/>
      <c r="N56" s="1939"/>
      <c r="O56" s="1939"/>
      <c r="P56" s="1939"/>
      <c r="Q56" s="1939"/>
      <c r="R56" s="187">
        <v>3</v>
      </c>
      <c r="S56" s="187" t="s">
        <v>567</v>
      </c>
      <c r="T56" s="187" t="str">
        <f t="shared" si="24"/>
        <v>Probabilidad</v>
      </c>
      <c r="U56" s="188" t="s">
        <v>207</v>
      </c>
      <c r="V56" s="188" t="s">
        <v>201</v>
      </c>
      <c r="W56" s="189" t="str">
        <f t="shared" si="25"/>
        <v>40%</v>
      </c>
      <c r="X56" s="188" t="s">
        <v>208</v>
      </c>
      <c r="Y56" s="188" t="s">
        <v>210</v>
      </c>
      <c r="Z56" s="188" t="s">
        <v>204</v>
      </c>
      <c r="AA56" s="190" t="str">
        <f>IFERROR(IF(AND(T55="Probabilidad",T56="Probabilidad"),(AC55-(+AC55*W56)),IF(AND(T55="Impacto",T56="Probabilidad"),(#REF!-(+#REF!*W56)),IF(T56="Impacto",AC55,""))),"")</f>
        <v/>
      </c>
      <c r="AB56" s="188" t="str">
        <f t="shared" si="26"/>
        <v/>
      </c>
      <c r="AC56" s="189" t="str">
        <f t="shared" si="27"/>
        <v/>
      </c>
      <c r="AD56" s="188" t="str">
        <f t="shared" si="28"/>
        <v/>
      </c>
      <c r="AE56" s="189" t="str">
        <f>IFERROR(IF(AND(T55="Impacto",T56="Impacto"),(AE55-(+AE55*W56)),IF(AND(T55="Probabilidad",T56="Impacto"),(#REF!-(+#REF!*W56)),IF(T56="Probabilidad",AE55,""))),"")</f>
        <v/>
      </c>
      <c r="AF56" s="188" t="str">
        <f t="shared" si="29"/>
        <v/>
      </c>
      <c r="AG56" s="1939"/>
      <c r="AH56" s="186" t="s">
        <v>369</v>
      </c>
      <c r="AI56" s="1939"/>
      <c r="AJ56" s="1939"/>
      <c r="AK56" s="1978"/>
      <c r="AL56" s="187" t="s">
        <v>568</v>
      </c>
    </row>
    <row r="57" spans="1:45" s="315" customFormat="1" ht="55.2" x14ac:dyDescent="0.3">
      <c r="A57" s="1986">
        <v>2</v>
      </c>
      <c r="B57" s="1986" t="s">
        <v>209</v>
      </c>
      <c r="C57" s="316"/>
      <c r="D57" s="1986" t="s">
        <v>370</v>
      </c>
      <c r="E57" s="187" t="s">
        <v>569</v>
      </c>
      <c r="F57" s="1986" t="s">
        <v>371</v>
      </c>
      <c r="G57" s="1979" t="s">
        <v>512</v>
      </c>
      <c r="H57" s="1988" t="s">
        <v>372</v>
      </c>
      <c r="I57" s="1986" t="s">
        <v>359</v>
      </c>
      <c r="J57" s="1986">
        <v>4</v>
      </c>
      <c r="K57" s="1986" t="str">
        <f>IF(J57&lt;=0,"",IF(J57&lt;=2,"Muy Baja",IF(J57&lt;=24,"Baja",IF(J57&lt;=500,"Media",IF(J57&lt;=5000,"Alta","Muy Alta")))))</f>
        <v>Baja</v>
      </c>
      <c r="L57" s="1987">
        <f>IF(K57="","",IF(K57="Muy Baja",0.2,IF(K57="Baja",0.4,IF(K57="Media",0.6,IF(K57="Alta",0.8,IF(K57="Muy Alta",1,))))))</f>
        <v>0.4</v>
      </c>
      <c r="M57" s="1987" t="s">
        <v>570</v>
      </c>
      <c r="N57" s="1987" t="str">
        <f>IF(NOT(ISERROR(MATCH(M57,'[3]Tabla Impacto'!$B$221:$B$223,0))),'[3]Tabla Impacto'!$F$223&amp;"Por favor no seleccionar los criterios de impacto(Afectación Económica o presupuestal y Pérdida Reputacional)",M57)</f>
        <v xml:space="preserve">     El riesgo afecta la imagen de  la entidad con efecto publicitario sostenido a nivel de sector administrativo, nivel departamental o municipal</v>
      </c>
      <c r="O57" s="1986" t="str">
        <f>IF(OR(N57='[3]Tabla Impacto'!$C$11,N57='[3]Tabla Impacto'!$D$11),"Leve",IF(OR(N57='[3]Tabla Impacto'!$C$12,N57='[3]Tabla Impacto'!$D$12),"Menor",IF(OR(N57='[3]Tabla Impacto'!$C$13,N57='[3]Tabla Impacto'!$D$13),"Moderado",IF(OR(N57='[3]Tabla Impacto'!$C$14,N57='[3]Tabla Impacto'!$D$14),"Mayor",IF(OR(N57='[3]Tabla Impacto'!$C$15,N57='[3]Tabla Impacto'!$D$15),"Catastrófico","")))))</f>
        <v/>
      </c>
      <c r="P57" s="1987" t="str">
        <f>IF(O57="","",IF(O57="Leve",0.2,IF(O57="Menor",0.4,IF(O57="Moderado",0.6,IF(O57="Mayor",0.8,IF(O57="Catastrófico",1,))))))</f>
        <v/>
      </c>
      <c r="Q57" s="1986" t="str">
        <f>IF(OR(AND(K57="Muy Baja",O57="Leve"),AND(K57="Muy Baja",O57="Menor"),AND(K57="Baja",O57="Leve")),"Bajo",IF(OR(AND(K57="Muy baja",O57="Moderado"),AND(K57="Baja",O57="Menor"),AND(K57="Baja",O57="Moderado"),AND(K57="Media",O57="Leve"),AND(K57="Media",O57="Menor"),AND(K57="Media",O57="Moderado"),AND(K57="Alta",O57="Leve"),AND(K57="Alta",O57="Menor")),"Moderado",IF(OR(AND(K57="Muy Baja",O57="Mayor"),AND(K57="Baja",O57="Mayor"),AND(K57="Media",O57="Mayor"),AND(K57="Alta",O57="Moderado"),AND(K57="Alta",O57="Mayor"),AND(K57="Muy Alta",O57="Leve"),AND(K57="Muy Alta",O57="Menor"),AND(K57="Muy Alta",O57="Moderado"),AND(K57="Muy Alta",O57="Mayor")),"Alto",IF(OR(AND(K57="Muy Baja",O57="Catastrófico"),AND(K57="Baja",O57="Catastrófico"),AND(K57="Media",O57="Catastrófico"),AND(K57="Alta",O57="Catastrófico"),AND(K57="Muy Alta",O57="Catastrófico")),"Extremo",""))))</f>
        <v/>
      </c>
      <c r="R57" s="187">
        <v>1</v>
      </c>
      <c r="S57" s="1986" t="s">
        <v>571</v>
      </c>
      <c r="T57" s="1986" t="str">
        <f t="shared" si="24"/>
        <v>Probabilidad</v>
      </c>
      <c r="U57" s="1989" t="s">
        <v>207</v>
      </c>
      <c r="V57" s="1989" t="s">
        <v>201</v>
      </c>
      <c r="W57" s="1989" t="str">
        <f t="shared" si="25"/>
        <v>40%</v>
      </c>
      <c r="X57" s="1989" t="s">
        <v>202</v>
      </c>
      <c r="Y57" s="1989" t="s">
        <v>203</v>
      </c>
      <c r="Z57" s="1989" t="s">
        <v>204</v>
      </c>
      <c r="AA57" s="2066">
        <f>IFERROR(IF(T57="Probabilidad",(L57-(+L57*W57)),IF(T57="Impacto",L57,"")),"")</f>
        <v>0.24</v>
      </c>
      <c r="AB57" s="1989" t="str">
        <f t="shared" si="26"/>
        <v>Baja</v>
      </c>
      <c r="AC57" s="1987">
        <f t="shared" si="27"/>
        <v>0.24</v>
      </c>
      <c r="AD57" s="1989" t="str">
        <f t="shared" si="28"/>
        <v/>
      </c>
      <c r="AE57" s="1987" t="str">
        <f>IFERROR(IF(T57="Impacto",(P57-(+P57*W57)),IF(T57="Probabilidad",P57,"")),"")</f>
        <v/>
      </c>
      <c r="AF57" s="1989" t="str">
        <f t="shared" si="29"/>
        <v/>
      </c>
      <c r="AG57" s="1989" t="s">
        <v>205</v>
      </c>
      <c r="AH57" s="187" t="s">
        <v>572</v>
      </c>
      <c r="AI57" s="187" t="s">
        <v>373</v>
      </c>
      <c r="AJ57" s="192">
        <v>45657</v>
      </c>
      <c r="AK57" s="317" t="s">
        <v>145</v>
      </c>
      <c r="AL57" s="187" t="s">
        <v>573</v>
      </c>
    </row>
    <row r="58" spans="1:45" s="315" customFormat="1" ht="69.75" customHeight="1" x14ac:dyDescent="0.3">
      <c r="A58" s="1939"/>
      <c r="B58" s="1939"/>
      <c r="C58" s="318"/>
      <c r="D58" s="1939"/>
      <c r="E58" s="187" t="s">
        <v>574</v>
      </c>
      <c r="F58" s="1939"/>
      <c r="G58" s="1980"/>
      <c r="H58" s="1939"/>
      <c r="I58" s="1939"/>
      <c r="J58" s="1939"/>
      <c r="K58" s="1939"/>
      <c r="L58" s="1939"/>
      <c r="M58" s="1939"/>
      <c r="N58" s="1939"/>
      <c r="O58" s="1939"/>
      <c r="P58" s="1939"/>
      <c r="Q58" s="1939"/>
      <c r="R58" s="187">
        <v>2</v>
      </c>
      <c r="S58" s="1939"/>
      <c r="T58" s="1939"/>
      <c r="U58" s="1939"/>
      <c r="V58" s="1939"/>
      <c r="W58" s="1939"/>
      <c r="X58" s="1939"/>
      <c r="Y58" s="1939"/>
      <c r="Z58" s="1939"/>
      <c r="AA58" s="1939"/>
      <c r="AB58" s="1939"/>
      <c r="AC58" s="1939"/>
      <c r="AD58" s="1939"/>
      <c r="AE58" s="1939"/>
      <c r="AF58" s="1939"/>
      <c r="AG58" s="1939"/>
      <c r="AH58" s="187" t="s">
        <v>575</v>
      </c>
      <c r="AI58" s="187" t="s">
        <v>373</v>
      </c>
      <c r="AJ58" s="192">
        <v>45657</v>
      </c>
      <c r="AK58" s="319" t="s">
        <v>153</v>
      </c>
      <c r="AL58" s="187" t="s">
        <v>576</v>
      </c>
    </row>
    <row r="59" spans="1:45" s="36" customFormat="1" ht="55.2" customHeight="1" x14ac:dyDescent="0.3">
      <c r="A59" s="1981" t="s">
        <v>156</v>
      </c>
      <c r="B59" s="1982"/>
      <c r="C59" s="1982"/>
      <c r="D59" s="1982"/>
      <c r="E59" s="1982"/>
      <c r="F59" s="1982"/>
      <c r="G59" s="1982"/>
      <c r="H59" s="1982"/>
      <c r="I59" s="1982"/>
      <c r="J59" s="1982"/>
      <c r="K59" s="1982"/>
      <c r="L59" s="1982"/>
      <c r="M59" s="1982"/>
      <c r="N59" s="1982"/>
      <c r="O59" s="1982"/>
      <c r="P59" s="1982"/>
      <c r="Q59" s="1982"/>
      <c r="R59" s="1982"/>
      <c r="S59" s="1982"/>
      <c r="T59" s="1982"/>
      <c r="U59" s="1982"/>
      <c r="V59" s="1982"/>
      <c r="W59" s="1982"/>
      <c r="X59" s="1982"/>
      <c r="Y59" s="1982"/>
      <c r="Z59" s="1982"/>
      <c r="AA59" s="1982"/>
      <c r="AB59" s="1982"/>
      <c r="AC59" s="1982"/>
      <c r="AD59" s="1982"/>
      <c r="AE59" s="1982"/>
      <c r="AF59" s="1982"/>
      <c r="AG59" s="1982"/>
      <c r="AH59" s="1982"/>
      <c r="AI59" s="1982"/>
      <c r="AJ59" s="1982"/>
      <c r="AK59" s="1982"/>
      <c r="AL59" s="1982"/>
      <c r="AM59" s="1983"/>
      <c r="AN59" s="269"/>
      <c r="AO59" s="268"/>
      <c r="AP59" s="269"/>
      <c r="AQ59" s="269"/>
      <c r="AR59" s="268"/>
      <c r="AS59" s="269"/>
    </row>
    <row r="60" spans="1:45" s="36" customFormat="1" ht="55.2" customHeight="1" x14ac:dyDescent="0.3">
      <c r="A60" s="1978"/>
      <c r="B60" s="1973"/>
      <c r="C60" s="1973"/>
      <c r="D60" s="1973"/>
      <c r="E60" s="1973"/>
      <c r="F60" s="1973"/>
      <c r="G60" s="1973"/>
      <c r="H60" s="1973"/>
      <c r="I60" s="1973"/>
      <c r="J60" s="1973"/>
      <c r="K60" s="1973"/>
      <c r="L60" s="1973"/>
      <c r="M60" s="1973"/>
      <c r="N60" s="1973"/>
      <c r="O60" s="1973"/>
      <c r="P60" s="1973"/>
      <c r="Q60" s="1973"/>
      <c r="R60" s="1973"/>
      <c r="S60" s="1973"/>
      <c r="T60" s="1973"/>
      <c r="U60" s="1973"/>
      <c r="V60" s="1973"/>
      <c r="W60" s="1973"/>
      <c r="X60" s="1973"/>
      <c r="Y60" s="1973"/>
      <c r="Z60" s="1973"/>
      <c r="AA60" s="1973"/>
      <c r="AB60" s="1973"/>
      <c r="AC60" s="1973"/>
      <c r="AD60" s="1973"/>
      <c r="AE60" s="1973"/>
      <c r="AF60" s="1973"/>
      <c r="AG60" s="1973"/>
      <c r="AH60" s="1973"/>
      <c r="AI60" s="1973"/>
      <c r="AJ60" s="1973"/>
      <c r="AK60" s="1973"/>
      <c r="AL60" s="1973"/>
      <c r="AM60" s="1974"/>
      <c r="AN60" s="269"/>
      <c r="AO60" s="268"/>
      <c r="AP60" s="269"/>
      <c r="AQ60" s="269"/>
      <c r="AR60" s="268"/>
      <c r="AS60" s="269"/>
    </row>
    <row r="61" spans="1:45" s="36" customFormat="1" ht="55.2" customHeight="1" x14ac:dyDescent="0.25">
      <c r="A61" s="321"/>
      <c r="B61" s="322"/>
      <c r="C61" s="321"/>
      <c r="D61" s="321"/>
      <c r="E61" s="321"/>
      <c r="F61" s="320"/>
      <c r="G61" s="320"/>
      <c r="H61" s="320"/>
      <c r="I61" s="323"/>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269"/>
      <c r="AO61" s="268"/>
      <c r="AP61" s="269"/>
      <c r="AQ61" s="269"/>
      <c r="AR61" s="268"/>
      <c r="AS61" s="269"/>
    </row>
    <row r="62" spans="1:45" s="36" customFormat="1" ht="55.2" customHeight="1" x14ac:dyDescent="0.3">
      <c r="A62" s="1984" t="s">
        <v>157</v>
      </c>
      <c r="B62" s="1970"/>
      <c r="C62" s="1985" t="s">
        <v>577</v>
      </c>
      <c r="D62" s="1970"/>
      <c r="E62" s="1970"/>
      <c r="F62" s="1970"/>
      <c r="G62" s="1970"/>
      <c r="H62" s="1970"/>
      <c r="I62" s="1970"/>
      <c r="J62" s="1970"/>
      <c r="K62" s="1970"/>
      <c r="L62" s="1970"/>
      <c r="M62" s="1970"/>
      <c r="N62" s="1970"/>
      <c r="O62" s="1970"/>
      <c r="P62" s="1970"/>
      <c r="Q62" s="1970"/>
      <c r="R62" s="1970"/>
      <c r="S62" s="1970"/>
      <c r="T62" s="1970"/>
      <c r="U62" s="1970"/>
      <c r="V62" s="1970"/>
      <c r="W62" s="1970"/>
      <c r="X62" s="1970"/>
      <c r="Y62" s="1970"/>
      <c r="Z62" s="1970"/>
      <c r="AA62" s="1970"/>
      <c r="AB62" s="1970"/>
      <c r="AC62" s="1970"/>
      <c r="AD62" s="1970"/>
      <c r="AE62" s="1970"/>
      <c r="AF62" s="1970"/>
      <c r="AG62" s="1970"/>
      <c r="AH62" s="1970"/>
      <c r="AI62" s="1970"/>
      <c r="AJ62" s="1970"/>
      <c r="AK62" s="1970"/>
      <c r="AL62" s="1970"/>
      <c r="AM62" s="1971"/>
      <c r="AN62" s="269"/>
      <c r="AO62" s="268"/>
      <c r="AP62" s="269"/>
      <c r="AQ62" s="269"/>
      <c r="AR62" s="268"/>
      <c r="AS62" s="269"/>
    </row>
    <row r="63" spans="1:45" s="36" customFormat="1" ht="55.2" customHeight="1" x14ac:dyDescent="0.3">
      <c r="A63" s="1984" t="s">
        <v>158</v>
      </c>
      <c r="B63" s="1970"/>
      <c r="C63" s="2052" t="s">
        <v>578</v>
      </c>
      <c r="D63" s="1970"/>
      <c r="E63" s="1970"/>
      <c r="F63" s="1970"/>
      <c r="G63" s="1970"/>
      <c r="H63" s="1970"/>
      <c r="I63" s="1970"/>
      <c r="J63" s="1970"/>
      <c r="K63" s="1970"/>
      <c r="L63" s="1970"/>
      <c r="M63" s="1970"/>
      <c r="N63" s="1970"/>
      <c r="O63" s="1970"/>
      <c r="P63" s="1970"/>
      <c r="Q63" s="1970"/>
      <c r="R63" s="1970"/>
      <c r="S63" s="1970"/>
      <c r="T63" s="1970"/>
      <c r="U63" s="1970"/>
      <c r="V63" s="1970"/>
      <c r="W63" s="1970"/>
      <c r="X63" s="1970"/>
      <c r="Y63" s="1970"/>
      <c r="Z63" s="1970"/>
      <c r="AA63" s="1970"/>
      <c r="AB63" s="1970"/>
      <c r="AC63" s="1970"/>
      <c r="AD63" s="1970"/>
      <c r="AE63" s="1970"/>
      <c r="AF63" s="1970"/>
      <c r="AG63" s="1970"/>
      <c r="AH63" s="1970"/>
      <c r="AI63" s="1970"/>
      <c r="AJ63" s="1970"/>
      <c r="AK63" s="1970"/>
      <c r="AL63" s="1970"/>
      <c r="AM63" s="1971"/>
      <c r="AN63" s="269"/>
      <c r="AO63" s="268"/>
      <c r="AP63" s="269"/>
      <c r="AQ63" s="269"/>
      <c r="AR63" s="268"/>
      <c r="AS63" s="269"/>
    </row>
    <row r="64" spans="1:45" s="36" customFormat="1" ht="55.2" customHeight="1" x14ac:dyDescent="0.3">
      <c r="A64" s="1984" t="s">
        <v>159</v>
      </c>
      <c r="B64" s="1970"/>
      <c r="C64" s="2053" t="s">
        <v>579</v>
      </c>
      <c r="D64" s="1982"/>
      <c r="E64" s="1982"/>
      <c r="F64" s="1982"/>
      <c r="G64" s="1982"/>
      <c r="H64" s="1982"/>
      <c r="I64" s="1982"/>
      <c r="J64" s="1982"/>
      <c r="K64" s="1982"/>
      <c r="L64" s="1982"/>
      <c r="M64" s="1982"/>
      <c r="N64" s="1982"/>
      <c r="O64" s="1982"/>
      <c r="P64" s="1982"/>
      <c r="Q64" s="1982"/>
      <c r="R64" s="1982"/>
      <c r="S64" s="1982"/>
      <c r="T64" s="1982"/>
      <c r="U64" s="1982"/>
      <c r="V64" s="1982"/>
      <c r="W64" s="1982"/>
      <c r="X64" s="1982"/>
      <c r="Y64" s="1982"/>
      <c r="Z64" s="1982"/>
      <c r="AA64" s="1982"/>
      <c r="AB64" s="1982"/>
      <c r="AC64" s="1982"/>
      <c r="AD64" s="1982"/>
      <c r="AE64" s="1982"/>
      <c r="AF64" s="1982"/>
      <c r="AG64" s="1982"/>
      <c r="AH64" s="1982"/>
      <c r="AI64" s="1982"/>
      <c r="AJ64" s="1982"/>
      <c r="AK64" s="1982"/>
      <c r="AL64" s="1982"/>
      <c r="AM64" s="1983"/>
      <c r="AN64" s="269"/>
      <c r="AO64" s="268"/>
      <c r="AP64" s="269"/>
      <c r="AQ64" s="269"/>
      <c r="AR64" s="268"/>
      <c r="AS64" s="269"/>
    </row>
    <row r="65" spans="1:39" s="36" customFormat="1" ht="55.2" customHeight="1" x14ac:dyDescent="0.3">
      <c r="A65" s="2054" t="s">
        <v>160</v>
      </c>
      <c r="B65" s="1970"/>
      <c r="C65" s="1970"/>
      <c r="D65" s="1970"/>
      <c r="E65" s="1970"/>
      <c r="F65" s="1970"/>
      <c r="G65" s="1970"/>
      <c r="H65" s="1970"/>
      <c r="I65" s="1970"/>
      <c r="J65" s="1971"/>
      <c r="K65" s="1972" t="s">
        <v>161</v>
      </c>
      <c r="L65" s="1973"/>
      <c r="M65" s="1973"/>
      <c r="N65" s="1973"/>
      <c r="O65" s="1973"/>
      <c r="P65" s="1973"/>
      <c r="Q65" s="1974"/>
      <c r="R65" s="1972" t="s">
        <v>162</v>
      </c>
      <c r="S65" s="1973"/>
      <c r="T65" s="1973"/>
      <c r="U65" s="1973"/>
      <c r="V65" s="1973"/>
      <c r="W65" s="1973"/>
      <c r="X65" s="1973"/>
      <c r="Y65" s="1973"/>
      <c r="Z65" s="1974"/>
      <c r="AA65" s="1972" t="s">
        <v>163</v>
      </c>
      <c r="AB65" s="1973"/>
      <c r="AC65" s="1973"/>
      <c r="AD65" s="1973"/>
      <c r="AE65" s="1973"/>
      <c r="AF65" s="1973"/>
      <c r="AG65" s="1974"/>
      <c r="AH65" s="1972" t="s">
        <v>164</v>
      </c>
      <c r="AI65" s="1973"/>
      <c r="AJ65" s="1973"/>
      <c r="AK65" s="1973"/>
      <c r="AL65" s="1973"/>
      <c r="AM65" s="1974"/>
    </row>
    <row r="66" spans="1:39" s="36" customFormat="1" ht="55.2" customHeight="1" x14ac:dyDescent="0.3">
      <c r="A66" s="2055" t="s">
        <v>165</v>
      </c>
      <c r="B66" s="2056" t="s">
        <v>142</v>
      </c>
      <c r="C66" s="1975" t="s">
        <v>166</v>
      </c>
      <c r="D66" s="1975" t="s">
        <v>167</v>
      </c>
      <c r="E66" s="1965" t="s">
        <v>168</v>
      </c>
      <c r="F66" s="1976" t="s">
        <v>60</v>
      </c>
      <c r="G66" s="161"/>
      <c r="H66" s="161"/>
      <c r="I66" s="1965" t="s">
        <v>169</v>
      </c>
      <c r="J66" s="1975" t="s">
        <v>170</v>
      </c>
      <c r="K66" s="1975" t="s">
        <v>171</v>
      </c>
      <c r="L66" s="1977" t="s">
        <v>172</v>
      </c>
      <c r="M66" s="1965" t="s">
        <v>173</v>
      </c>
      <c r="N66" s="1965" t="s">
        <v>174</v>
      </c>
      <c r="O66" s="2050" t="s">
        <v>175</v>
      </c>
      <c r="P66" s="1977" t="s">
        <v>172</v>
      </c>
      <c r="Q66" s="1975" t="s">
        <v>176</v>
      </c>
      <c r="R66" s="1966" t="s">
        <v>177</v>
      </c>
      <c r="S66" s="1965" t="s">
        <v>178</v>
      </c>
      <c r="T66" s="1967" t="s">
        <v>179</v>
      </c>
      <c r="U66" s="1969" t="s">
        <v>180</v>
      </c>
      <c r="V66" s="1970"/>
      <c r="W66" s="1970"/>
      <c r="X66" s="1970"/>
      <c r="Y66" s="1970"/>
      <c r="Z66" s="1971"/>
      <c r="AA66" s="1966" t="s">
        <v>181</v>
      </c>
      <c r="AB66" s="1966" t="s">
        <v>182</v>
      </c>
      <c r="AC66" s="1966" t="s">
        <v>172</v>
      </c>
      <c r="AD66" s="1966" t="s">
        <v>183</v>
      </c>
      <c r="AE66" s="1966" t="s">
        <v>172</v>
      </c>
      <c r="AF66" s="1966" t="s">
        <v>184</v>
      </c>
      <c r="AG66" s="1966" t="s">
        <v>185</v>
      </c>
      <c r="AH66" s="1965" t="s">
        <v>164</v>
      </c>
      <c r="AI66" s="1965" t="s">
        <v>143</v>
      </c>
      <c r="AJ66" s="1965" t="s">
        <v>186</v>
      </c>
      <c r="AK66" s="1965" t="s">
        <v>187</v>
      </c>
      <c r="AL66" s="1965" t="s">
        <v>188</v>
      </c>
      <c r="AM66" s="1965" t="s">
        <v>189</v>
      </c>
    </row>
    <row r="67" spans="1:39" s="36" customFormat="1" ht="55.2" customHeight="1" x14ac:dyDescent="0.3">
      <c r="A67" s="1939"/>
      <c r="B67" s="1939"/>
      <c r="C67" s="1939"/>
      <c r="D67" s="1939"/>
      <c r="E67" s="1938"/>
      <c r="F67" s="1938"/>
      <c r="G67" s="161" t="s">
        <v>511</v>
      </c>
      <c r="H67" s="161" t="s">
        <v>190</v>
      </c>
      <c r="I67" s="1939"/>
      <c r="J67" s="1939"/>
      <c r="K67" s="1939"/>
      <c r="L67" s="1978"/>
      <c r="M67" s="1939"/>
      <c r="N67" s="1939"/>
      <c r="O67" s="1978"/>
      <c r="P67" s="1978"/>
      <c r="Q67" s="1939"/>
      <c r="R67" s="1939"/>
      <c r="S67" s="1939"/>
      <c r="T67" s="1968"/>
      <c r="U67" s="162" t="s">
        <v>191</v>
      </c>
      <c r="V67" s="162" t="s">
        <v>192</v>
      </c>
      <c r="W67" s="162" t="s">
        <v>193</v>
      </c>
      <c r="X67" s="162" t="s">
        <v>194</v>
      </c>
      <c r="Y67" s="162" t="s">
        <v>195</v>
      </c>
      <c r="Z67" s="162" t="s">
        <v>196</v>
      </c>
      <c r="AA67" s="1939"/>
      <c r="AB67" s="1939"/>
      <c r="AC67" s="1939"/>
      <c r="AD67" s="1939"/>
      <c r="AE67" s="1939"/>
      <c r="AF67" s="1939"/>
      <c r="AG67" s="1939"/>
      <c r="AH67" s="1939"/>
      <c r="AI67" s="1939"/>
      <c r="AJ67" s="1939"/>
      <c r="AK67" s="1939"/>
      <c r="AL67" s="1939"/>
      <c r="AM67" s="1939"/>
    </row>
    <row r="68" spans="1:39" s="36" customFormat="1" ht="216" customHeight="1" x14ac:dyDescent="0.3">
      <c r="A68" s="1934">
        <v>1</v>
      </c>
      <c r="B68" s="1954" t="s">
        <v>209</v>
      </c>
      <c r="C68" s="1954" t="s">
        <v>356</v>
      </c>
      <c r="D68" s="1954" t="s">
        <v>357</v>
      </c>
      <c r="E68" s="324" t="s">
        <v>580</v>
      </c>
      <c r="F68" s="1954" t="s">
        <v>358</v>
      </c>
      <c r="G68" s="1954" t="s">
        <v>512</v>
      </c>
      <c r="H68" s="325" t="s">
        <v>581</v>
      </c>
      <c r="I68" s="326" t="s">
        <v>198</v>
      </c>
      <c r="J68" s="2051">
        <v>365</v>
      </c>
      <c r="K68" s="1945" t="str">
        <f>IF(J68&lt;=0,"",IF(J68&lt;=2,"Muy Baja",IF(J68&lt;=L1471,"Baja",IF(J68&lt;=500,"Media",IF(J68&lt;=5000,"Alta","Muy Alta")))))</f>
        <v>Media</v>
      </c>
      <c r="L68" s="1946">
        <f>IF(K68="","",IF(K68="Muy Baja",0.2,IF(K68="Baja",0.4,IF(K68="Media",0.6,IF(K68="Alta",0.8,IF(K68="Muy Alta",1,))))))</f>
        <v>0.6</v>
      </c>
      <c r="M68" s="1946" t="s">
        <v>199</v>
      </c>
      <c r="N68" s="1946" t="str">
        <f>IF(NOT(ISERROR(MATCH(M68,'[4]Tabla Impacto'!$B$221:$B$223,0))),'[4]Tabla Impacto'!$F$223&amp;"Por favor no seleccionar los criterios de impacto(Afectación Económica o presupuestal y Pérdida Reputacional)",M68)</f>
        <v xml:space="preserve">     El riesgo afecta la imagen de de la entidad con efecto publicitario sostenido a nivel de sector administrativo, nivel departamental o municipal</v>
      </c>
      <c r="O68" s="1945" t="str">
        <f>IF(OR(N68='[4]Tabla Impacto'!$C$11,N68='[4]Tabla Impacto'!$D$11),"Leve",IF(OR(N68='[4]Tabla Impacto'!$C$12,N68='[4]Tabla Impacto'!$D$12),"Menor",IF(OR(N68='[4]Tabla Impacto'!$C$13,N68='[4]Tabla Impacto'!$D$13),"Moderado",IF(OR(N68='[4]Tabla Impacto'!$C$14,N68='[4]Tabla Impacto'!$D$14),"Mayor",IF(OR(N68='[4]Tabla Impacto'!$C$15,N68='[4]Tabla Impacto'!$D$15),"Catastrófico","")))))</f>
        <v>Mayor</v>
      </c>
      <c r="P68" s="1946">
        <f>IF(O68="","",IF(O68="Leve",0.2,IF(O68="Menor",0.4,IF(O68="Moderado",0.6,IF(O68="Mayor",0.8,IF(O68="Catastrófico",1,))))))</f>
        <v>0.8</v>
      </c>
      <c r="Q68" s="1952" t="str">
        <f>IF(OR(AND(K68="Muy Baja",O68="Leve"),AND(K68="Muy Baja",O68="Menor"),AND(K68="Baja",O68="Leve")),"Bajo",IF(OR(AND(K68="Muy baja",O68="Moderado"),AND(K68="Baja",O68="Menor"),AND(K68="Baja",O68="Moderado"),AND(K68="Media",O68="Leve"),AND(K68="Media",O68="Menor"),AND(K68="Media",O68="Moderado"),AND(K68="Alta",O68="Leve"),AND(K68="Alta",O68="Menor")),"Moderado",IF(OR(AND(K68="Muy Baja",O68="Mayor"),AND(K68="Baja",O68="Mayor"),AND(K68="Media",O68="Mayor"),AND(K68="Alta",O68="Moderado"),AND(K68="Alta",O68="Mayor"),AND(K68="Muy Alta",O68="Leve"),AND(K68="Muy Alta",O68="Menor"),AND(K68="Muy Alta",O68="Moderado"),AND(K68="Muy Alta",O68="Mayor")),"Alto",IF(OR(AND(K68="Muy Baja",O68="Catastrófico"),AND(K68="Baja",O68="Catastrófico"),AND(K68="Media",O68="Catastrófico"),AND(K68="Alta",O68="Catastrófico"),AND(K68="Muy Alta",O68="Catastrófico")),"Extremo",""))))</f>
        <v>Alto</v>
      </c>
      <c r="R68" s="164">
        <v>1</v>
      </c>
      <c r="S68" s="327" t="s">
        <v>582</v>
      </c>
      <c r="T68" s="1953" t="str">
        <f>IF(OR(U68="Preventivo",U68="Detectivo"),"Probabilidad",IF(U68="Correctivo","Impacto",""))</f>
        <v>Impacto</v>
      </c>
      <c r="U68" s="1956" t="s">
        <v>308</v>
      </c>
      <c r="V68" s="1956" t="s">
        <v>201</v>
      </c>
      <c r="W68" s="1955" t="str">
        <f>IF(AND(U68="Preventivo",V68="Automático"),"50%",IF(AND(U68="Preventivo",V68="Manual"),"40%",IF(AND(U68="Detectivo",V68="Automático"),"40%",IF(AND(U68="Detectivo",V68="Manual"),"30%",IF(AND(U68="Correctivo",V68="Automático"),"35%",IF(AND(U68="Correctivo",V68="Manual"),"25%",""))))))</f>
        <v>25%</v>
      </c>
      <c r="X68" s="1956" t="s">
        <v>208</v>
      </c>
      <c r="Y68" s="1956" t="s">
        <v>203</v>
      </c>
      <c r="Z68" s="1956" t="s">
        <v>204</v>
      </c>
      <c r="AA68" s="1963">
        <f>IFERROR(IF(T68="Probabilidad",(L68-(+L68*W68)),IF(T68="Impacto",L68,"")),"")</f>
        <v>0.6</v>
      </c>
      <c r="AB68" s="1961" t="str">
        <f>IFERROR(IF(AA68="","",IF(AA68&lt;=0.2,"Muy Baja",IF(AA68&lt;=0.4,"Baja",IF(AA68&lt;=0.6,"Media",IF(AA68&lt;=0.8,"Alta","Muy Alta"))))),"")</f>
        <v>Media</v>
      </c>
      <c r="AC68" s="1955">
        <f>+AA68</f>
        <v>0.6</v>
      </c>
      <c r="AD68" s="1961" t="str">
        <f>IFERROR(IF(AE68="","",IF(AE68&lt;=0.2,"Leve",IF(AE68&lt;=0.4,"Menor",IF(AE68&lt;=0.6,"Moderado",IF(AE68&lt;=0.8,"Mayor","Catastrófico"))))),"")</f>
        <v>Moderado</v>
      </c>
      <c r="AE68" s="1955">
        <f>IFERROR(IF(T68="Impacto",(P68-(+P68*W68)),IF(T68="Probabilidad",P68,"")),"")</f>
        <v>0.60000000000000009</v>
      </c>
      <c r="AF68" s="1962" t="str">
        <f>IFERROR(IF(OR(AND(AB68="Muy Baja",AD68="Leve"),AND(AB68="Muy Baja",AD68="Menor"),AND(AB68="Baja",AD68="Leve")),"Bajo",IF(OR(AND(AB68="Muy baja",AD68="Moderado"),AND(AB68="Baja",AD68="Menor"),AND(AB68="Baja",AD68="Moderado"),AND(AB68="Media",AD68="Leve"),AND(AB68="Media",AD68="Menor"),AND(AB68="Media",AD68="Moderado"),AND(AB68="Alta",AD68="Leve"),AND(AB68="Alta",AD68="Menor")),"Moderado",IF(OR(AND(AB68="Muy Baja",AD68="Mayor"),AND(AB68="Baja",AD68="Mayor"),AND(AB68="Media",AD68="Mayor"),AND(AB68="Alta",AD68="Moderado"),AND(AB68="Alta",AD68="Mayor"),AND(AB68="Muy Alta",AD68="Leve"),AND(AB68="Muy Alta",AD68="Menor"),AND(AB68="Muy Alta",AD68="Moderado"),AND(AB68="Muy Alta",AD68="Mayor")),"Alto",IF(OR(AND(AB68="Muy Baja",AD68="Catastrófico"),AND(AB68="Baja",AD68="Catastrófico"),AND(AB68="Media",AD68="Catastrófico"),AND(AB68="Alta",AD68="Catastrófico"),AND(AB68="Muy Alta",AD68="Catastrófico")),"Extremo","")))),"")</f>
        <v>Moderado</v>
      </c>
      <c r="AG68" s="1956" t="s">
        <v>205</v>
      </c>
      <c r="AH68" s="173"/>
      <c r="AI68" s="175"/>
      <c r="AJ68" s="174"/>
      <c r="AK68" s="174"/>
      <c r="AL68" s="173"/>
      <c r="AM68" s="175"/>
    </row>
    <row r="69" spans="1:39" s="36" customFormat="1" ht="202.2" customHeight="1" x14ac:dyDescent="0.3">
      <c r="A69" s="1938"/>
      <c r="B69" s="1938"/>
      <c r="C69" s="1938"/>
      <c r="D69" s="1938"/>
      <c r="E69" s="163" t="s">
        <v>362</v>
      </c>
      <c r="F69" s="1939"/>
      <c r="G69" s="1938"/>
      <c r="H69" s="325"/>
      <c r="I69" s="328"/>
      <c r="J69" s="1938"/>
      <c r="K69" s="1938"/>
      <c r="L69" s="1938"/>
      <c r="M69" s="1938"/>
      <c r="N69" s="1938"/>
      <c r="O69" s="1938"/>
      <c r="P69" s="1938"/>
      <c r="Q69" s="1938"/>
      <c r="R69" s="164">
        <v>2</v>
      </c>
      <c r="S69" s="327" t="s">
        <v>363</v>
      </c>
      <c r="T69" s="1939"/>
      <c r="U69" s="1939"/>
      <c r="V69" s="1939"/>
      <c r="W69" s="1939"/>
      <c r="X69" s="1939"/>
      <c r="Y69" s="1939"/>
      <c r="Z69" s="1939"/>
      <c r="AA69" s="1939"/>
      <c r="AB69" s="1939"/>
      <c r="AC69" s="1939"/>
      <c r="AD69" s="1939"/>
      <c r="AE69" s="1939"/>
      <c r="AF69" s="1939"/>
      <c r="AG69" s="1939"/>
      <c r="AH69" s="178"/>
      <c r="AI69" s="164"/>
      <c r="AJ69" s="179"/>
      <c r="AK69" s="179"/>
      <c r="AL69" s="178"/>
      <c r="AM69" s="164"/>
    </row>
    <row r="70" spans="1:39" s="36" customFormat="1" ht="46.8" x14ac:dyDescent="0.3">
      <c r="A70" s="329">
        <v>2</v>
      </c>
      <c r="B70" s="330" t="s">
        <v>209</v>
      </c>
      <c r="C70" s="330" t="s">
        <v>356</v>
      </c>
      <c r="D70" s="330" t="s">
        <v>583</v>
      </c>
      <c r="E70" s="193" t="s">
        <v>584</v>
      </c>
      <c r="F70" s="1951" t="s">
        <v>585</v>
      </c>
      <c r="G70" s="1943" t="s">
        <v>512</v>
      </c>
      <c r="H70" s="1949" t="s">
        <v>586</v>
      </c>
      <c r="I70" s="1943" t="s">
        <v>198</v>
      </c>
      <c r="J70" s="1944">
        <v>365</v>
      </c>
      <c r="K70" s="1945" t="str">
        <f>IF(J70&lt;=0,"",IF(J70&lt;=2,"Muy Baja",IF(J70&lt;=L1473,"Baja",IF(J70&lt;=500,"Media",IF(J70&lt;=5000,"Alta","Muy Alta")))))</f>
        <v>Media</v>
      </c>
      <c r="L70" s="1946">
        <f>IF(K70="","",IF(K70="Muy Baja",0.2,IF(K70="Baja",0.4,IF(K70="Media",0.6,IF(K70="Alta",0.8,IF(K70="Muy Alta",1,))))))</f>
        <v>0.6</v>
      </c>
      <c r="M70" s="1947" t="s">
        <v>225</v>
      </c>
      <c r="N70" s="1938"/>
      <c r="O70" s="1959"/>
      <c r="P70" s="331"/>
      <c r="Q70" s="1938"/>
      <c r="R70" s="164">
        <v>3</v>
      </c>
      <c r="S70" s="332" t="s">
        <v>587</v>
      </c>
      <c r="T70" s="1960" t="str">
        <f>IF(OR(U70="Preventivo",U70="Detectivo"),"Probabilidad",IF(U70="Correctivo","Impacto",""))</f>
        <v>Probabilidad</v>
      </c>
      <c r="U70" s="1956" t="s">
        <v>207</v>
      </c>
      <c r="V70" s="1956" t="s">
        <v>201</v>
      </c>
      <c r="W70" s="1955" t="str">
        <f>IF(AND(U70="Preventivo",V70="Automático"),"50%",IF(AND(U70="Preventivo",V70="Manual"),"40%",IF(AND(U70="Detectivo",V70="Automático"),"40%",IF(AND(U70="Detectivo",V70="Manual"),"30%",IF(AND(U70="Correctivo",V70="Automático"),"35%",IF(AND(U70="Correctivo",V70="Manual"),"25%",""))))))</f>
        <v>40%</v>
      </c>
      <c r="X70" s="1956" t="s">
        <v>202</v>
      </c>
      <c r="Y70" s="1956" t="s">
        <v>203</v>
      </c>
      <c r="Z70" s="1956" t="s">
        <v>204</v>
      </c>
      <c r="AA70" s="168" t="str">
        <f t="shared" ref="AA70:AA73" si="30">IFERROR(IF(AND(T69="Probabilidad",T70="Probabilidad"),(AC69-(+AC69*W70)),IF(AND(T69="Impacto",T70="Probabilidad"),(AC68-(+AC68*W70)),IF(T70="Impacto",AC69,""))),"")</f>
        <v/>
      </c>
      <c r="AB70" s="169" t="str">
        <f t="shared" ref="AB70:AB79" si="31">IFERROR(IF(AA70="","",IF(AA70&lt;=0.2,"Muy Baja",IF(AA70&lt;=0.4,"Baja",IF(AA70&lt;=0.6,"Media",IF(AA70&lt;=0.8,"Alta","Muy Alta"))))),"")</f>
        <v/>
      </c>
      <c r="AC70" s="170" t="str">
        <f t="shared" ref="AC70:AC79" si="32">+AA70</f>
        <v/>
      </c>
      <c r="AD70" s="169" t="str">
        <f t="shared" ref="AD70:AD79" si="33">IFERROR(IF(AE70="","",IF(AE70&lt;=0.2,"Leve",IF(AE70&lt;=0.4,"Menor",IF(AE70&lt;=0.6,"Moderado",IF(AE70&lt;=0.8,"Mayor","Catastrófico"))))),"")</f>
        <v>Leve</v>
      </c>
      <c r="AE70" s="170">
        <f t="shared" ref="AE70:AE73" si="34">IFERROR(IF(AND(T69="Impacto",T70="Impacto"),(AE69-(+AE69*W70)),IF(AND(T69="Probabilidad",T70="Impacto"),(AE68-(+AE68*W70)),IF(T70="Probabilidad",AE69,""))),"")</f>
        <v>0</v>
      </c>
      <c r="AF70" s="171" t="str">
        <f t="shared" ref="AF70:AF79" si="35">IFERROR(IF(OR(AND(AB70="Muy Baja",AD70="Leve"),AND(AB70="Muy Baja",AD70="Menor"),AND(AB70="Baja",AD70="Leve")),"Bajo",IF(OR(AND(AB70="Muy baja",AD70="Moderado"),AND(AB70="Baja",AD70="Menor"),AND(AB70="Baja",AD70="Moderado"),AND(AB70="Media",AD70="Leve"),AND(AB70="Media",AD70="Menor"),AND(AB70="Media",AD70="Moderado"),AND(AB70="Alta",AD70="Leve"),AND(AB70="Alta",AD70="Menor")),"Moderado",IF(OR(AND(AB70="Muy Baja",AD70="Mayor"),AND(AB70="Baja",AD70="Mayor"),AND(AB70="Media",AD70="Mayor"),AND(AB70="Alta",AD70="Moderado"),AND(AB70="Alta",AD70="Mayor"),AND(AB70="Muy Alta",AD70="Leve"),AND(AB70="Muy Alta",AD70="Menor"),AND(AB70="Muy Alta",AD70="Moderado"),AND(AB70="Muy Alta",AD70="Mayor")),"Alto",IF(OR(AND(AB70="Muy Baja",AD70="Catastrófico"),AND(AB70="Baja",AD70="Catastrófico"),AND(AB70="Media",AD70="Catastrófico"),AND(AB70="Alta",AD70="Catastrófico"),AND(AB70="Muy Alta",AD70="Catastrófico")),"Extremo","")))),"")</f>
        <v/>
      </c>
      <c r="AG70" s="172"/>
      <c r="AH70" s="1957" t="s">
        <v>588</v>
      </c>
      <c r="AI70" s="1958" t="s">
        <v>589</v>
      </c>
      <c r="AJ70" s="179" t="s">
        <v>590</v>
      </c>
      <c r="AK70" s="178" t="s">
        <v>361</v>
      </c>
      <c r="AL70" s="178" t="s">
        <v>361</v>
      </c>
      <c r="AM70" s="164"/>
    </row>
    <row r="71" spans="1:39" s="36" customFormat="1" ht="142.80000000000001" customHeight="1" x14ac:dyDescent="0.3">
      <c r="A71" s="329"/>
      <c r="B71" s="330"/>
      <c r="C71" s="330"/>
      <c r="D71" s="330"/>
      <c r="E71" s="193" t="s">
        <v>591</v>
      </c>
      <c r="F71" s="1939"/>
      <c r="G71" s="1938"/>
      <c r="H71" s="1939"/>
      <c r="I71" s="1938"/>
      <c r="J71" s="1938"/>
      <c r="K71" s="1938"/>
      <c r="L71" s="1938"/>
      <c r="M71" s="1938"/>
      <c r="N71" s="1938"/>
      <c r="O71" s="1938"/>
      <c r="P71" s="331"/>
      <c r="Q71" s="1938"/>
      <c r="R71" s="164">
        <v>4</v>
      </c>
      <c r="S71" s="176" t="s">
        <v>592</v>
      </c>
      <c r="T71" s="1939"/>
      <c r="U71" s="1939"/>
      <c r="V71" s="1939"/>
      <c r="W71" s="1939"/>
      <c r="X71" s="1939"/>
      <c r="Y71" s="1939"/>
      <c r="Z71" s="1939"/>
      <c r="AA71" s="168" t="str">
        <f t="shared" si="30"/>
        <v/>
      </c>
      <c r="AB71" s="169" t="str">
        <f t="shared" si="31"/>
        <v/>
      </c>
      <c r="AC71" s="170" t="str">
        <f t="shared" si="32"/>
        <v/>
      </c>
      <c r="AD71" s="169" t="str">
        <f t="shared" si="33"/>
        <v/>
      </c>
      <c r="AE71" s="170" t="str">
        <f t="shared" si="34"/>
        <v/>
      </c>
      <c r="AF71" s="171" t="str">
        <f t="shared" si="35"/>
        <v/>
      </c>
      <c r="AG71" s="172"/>
      <c r="AH71" s="1939"/>
      <c r="AI71" s="1939"/>
      <c r="AJ71" s="179"/>
      <c r="AK71" s="179"/>
      <c r="AL71" s="178"/>
      <c r="AM71" s="164"/>
    </row>
    <row r="72" spans="1:39" s="36" customFormat="1" ht="165" customHeight="1" x14ac:dyDescent="0.3">
      <c r="A72" s="329"/>
      <c r="B72" s="1943" t="s">
        <v>209</v>
      </c>
      <c r="C72" s="1943" t="s">
        <v>593</v>
      </c>
      <c r="D72" s="1943" t="s">
        <v>594</v>
      </c>
      <c r="E72" s="193" t="s">
        <v>595</v>
      </c>
      <c r="F72" s="1949" t="s">
        <v>596</v>
      </c>
      <c r="G72" s="1950" t="s">
        <v>597</v>
      </c>
      <c r="H72" s="1951" t="s">
        <v>598</v>
      </c>
      <c r="I72" s="1943" t="s">
        <v>198</v>
      </c>
      <c r="J72" s="1944">
        <v>365</v>
      </c>
      <c r="K72" s="1945" t="str">
        <f>IF(J72&lt;=0,"",IF(J72&lt;=2,"Muy Baja",IF(J72&lt;=L1475,"Baja",IF(J72&lt;=500,"Media",IF(J72&lt;=5000,"Alta","Muy Alta")))))</f>
        <v>Media</v>
      </c>
      <c r="L72" s="1946">
        <f>IF(K72="","",IF(K72="Muy Baja",0.2,IF(K72="Baja",0.4,IF(K72="Media",0.6,IF(K72="Alta",0.8,IF(K72="Muy Alta",1,))))))</f>
        <v>0.6</v>
      </c>
      <c r="M72" s="1947" t="s">
        <v>599</v>
      </c>
      <c r="N72" s="1938"/>
      <c r="O72" s="1948" t="str">
        <f>IF(OR(N74='[4]Tabla Impacto'!$C$11,N74='[4]Tabla Impacto'!$D$11),"Leve",IF(OR(N74='[4]Tabla Impacto'!$C$12,N74='[4]Tabla Impacto'!$D$12),"Menor",IF(OR(N74='[4]Tabla Impacto'!$C$13,N74='[4]Tabla Impacto'!$D$13),"Moderado",IF(OR(N74='[4]Tabla Impacto'!$C$14,N74='[4]Tabla Impacto'!$D$14),"Mayor",IF(OR(N74='[4]Tabla Impacto'!$C$15,N74='[4]Tabla Impacto'!$D$15),"Catastrófico","")))))</f>
        <v/>
      </c>
      <c r="P72" s="331"/>
      <c r="Q72" s="1938"/>
      <c r="R72" s="164">
        <v>5</v>
      </c>
      <c r="S72" s="176" t="s">
        <v>600</v>
      </c>
      <c r="T72" s="164" t="str">
        <f t="shared" ref="T72:T79" si="36">IF(OR(U72="Preventivo",U72="Detectivo"),"Probabilidad",IF(U72="Correctivo","Impacto",""))</f>
        <v>Probabilidad</v>
      </c>
      <c r="U72" s="166" t="s">
        <v>200</v>
      </c>
      <c r="V72" s="166" t="s">
        <v>201</v>
      </c>
      <c r="W72" s="167" t="str">
        <f t="shared" ref="W72:W79" si="37">IF(AND(U72="Preventivo",V72="Automático"),"50%",IF(AND(U72="Preventivo",V72="Manual"),"40%",IF(AND(U72="Detectivo",V72="Automático"),"40%",IF(AND(U72="Detectivo",V72="Manual"),"30%",IF(AND(U72="Correctivo",V72="Automático"),"35%",IF(AND(U72="Correctivo",V72="Manual"),"25%",""))))))</f>
        <v>30%</v>
      </c>
      <c r="X72" s="166" t="s">
        <v>208</v>
      </c>
      <c r="Y72" s="166" t="s">
        <v>203</v>
      </c>
      <c r="Z72" s="166" t="s">
        <v>204</v>
      </c>
      <c r="AA72" s="168" t="str">
        <f t="shared" si="30"/>
        <v/>
      </c>
      <c r="AB72" s="169" t="str">
        <f t="shared" si="31"/>
        <v/>
      </c>
      <c r="AC72" s="170" t="str">
        <f t="shared" si="32"/>
        <v/>
      </c>
      <c r="AD72" s="169" t="str">
        <f t="shared" si="33"/>
        <v/>
      </c>
      <c r="AE72" s="170" t="str">
        <f t="shared" si="34"/>
        <v/>
      </c>
      <c r="AF72" s="171" t="str">
        <f t="shared" si="35"/>
        <v/>
      </c>
      <c r="AG72" s="172"/>
      <c r="AH72" s="178" t="s">
        <v>601</v>
      </c>
      <c r="AI72" s="178" t="s">
        <v>602</v>
      </c>
      <c r="AJ72" s="179" t="s">
        <v>603</v>
      </c>
      <c r="AK72" s="179" t="s">
        <v>604</v>
      </c>
      <c r="AL72" s="178" t="s">
        <v>361</v>
      </c>
      <c r="AM72" s="164"/>
    </row>
    <row r="73" spans="1:39" s="36" customFormat="1" ht="150.6" customHeight="1" x14ac:dyDescent="0.3">
      <c r="A73" s="333"/>
      <c r="B73" s="1938"/>
      <c r="C73" s="1938"/>
      <c r="D73" s="1938"/>
      <c r="E73" s="176" t="s">
        <v>605</v>
      </c>
      <c r="F73" s="1938"/>
      <c r="G73" s="1938"/>
      <c r="H73" s="1938"/>
      <c r="I73" s="1938"/>
      <c r="J73" s="1938"/>
      <c r="K73" s="1938"/>
      <c r="L73" s="1938"/>
      <c r="M73" s="1938"/>
      <c r="N73" s="1939"/>
      <c r="O73" s="1938"/>
      <c r="P73" s="334"/>
      <c r="Q73" s="1939"/>
      <c r="R73" s="164">
        <v>6</v>
      </c>
      <c r="S73" s="176" t="s">
        <v>606</v>
      </c>
      <c r="T73" s="164" t="str">
        <f t="shared" si="36"/>
        <v/>
      </c>
      <c r="U73" s="166"/>
      <c r="V73" s="166"/>
      <c r="W73" s="167" t="str">
        <f t="shared" si="37"/>
        <v/>
      </c>
      <c r="X73" s="166"/>
      <c r="Y73" s="166"/>
      <c r="Z73" s="166"/>
      <c r="AA73" s="168" t="str">
        <f t="shared" si="30"/>
        <v/>
      </c>
      <c r="AB73" s="169" t="str">
        <f t="shared" si="31"/>
        <v/>
      </c>
      <c r="AC73" s="170" t="str">
        <f t="shared" si="32"/>
        <v/>
      </c>
      <c r="AD73" s="169" t="str">
        <f t="shared" si="33"/>
        <v/>
      </c>
      <c r="AE73" s="170" t="str">
        <f t="shared" si="34"/>
        <v/>
      </c>
      <c r="AF73" s="171" t="str">
        <f t="shared" si="35"/>
        <v/>
      </c>
      <c r="AG73" s="172"/>
      <c r="AH73" s="178"/>
      <c r="AI73" s="164"/>
      <c r="AJ73" s="179"/>
      <c r="AK73" s="179"/>
      <c r="AL73" s="178"/>
      <c r="AM73" s="164"/>
    </row>
    <row r="74" spans="1:39" s="36" customFormat="1" ht="118.2" customHeight="1" x14ac:dyDescent="0.3">
      <c r="A74" s="1934">
        <v>2</v>
      </c>
      <c r="B74" s="1938"/>
      <c r="C74" s="1938"/>
      <c r="D74" s="1938"/>
      <c r="E74" s="165" t="s">
        <v>607</v>
      </c>
      <c r="F74" s="1939"/>
      <c r="G74" s="1938"/>
      <c r="H74" s="1939"/>
      <c r="I74" s="1938"/>
      <c r="J74" s="1938"/>
      <c r="K74" s="1938"/>
      <c r="L74" s="1938"/>
      <c r="M74" s="1938"/>
      <c r="N74" s="1937">
        <f>IF(NOT(ISERROR(MATCH(M74,'[4]Tabla Impacto'!$B$221:$B$223,0))),'[4]Tabla Impacto'!$F$223&amp;"Por favor no seleccionar los criterios de impacto(Afectación Económica o presupuestal y Pérdida Reputacional)",M74)</f>
        <v>0</v>
      </c>
      <c r="O74" s="1938"/>
      <c r="P74" s="335" t="str">
        <f>IF(O72="","",IF(O72="Leve",0.2,IF(O72="Menor",0.4,IF(O72="Moderado",0.6,IF(O72="Mayor",0.8,IF(O72="Catastrófico",1,))))))</f>
        <v/>
      </c>
      <c r="Q74" s="336" t="str">
        <f>IF(OR(AND(K74="Muy Baja",O72="Leve"),AND(K74="Muy Baja",O72="Menor"),AND(K74="Baja",O72="Leve")),"Bajo",IF(OR(AND(K74="Muy baja",O72="Moderado"),AND(K74="Baja",O72="Menor"),AND(K74="Baja",O72="Moderado"),AND(K74="Media",O72="Leve"),AND(K74="Media",O72="Menor"),AND(K74="Media",O72="Moderado"),AND(K74="Alta",O72="Leve"),AND(K74="Alta",O72="Menor")),"Moderado",IF(OR(AND(K74="Muy Baja",O72="Mayor"),AND(K74="Baja",O72="Mayor"),AND(K74="Media",O72="Mayor"),AND(K74="Alta",O72="Moderado"),AND(K74="Alta",O72="Mayor"),AND(K74="Muy Alta",O72="Leve"),AND(K74="Muy Alta",O72="Menor"),AND(K74="Muy Alta",O72="Moderado"),AND(K74="Muy Alta",O72="Mayor")),"Alto",IF(OR(AND(K74="Muy Baja",O72="Catastrófico"),AND(K74="Baja",O72="Catastrófico"),AND(K74="Media",O72="Catastrófico"),AND(K74="Alta",O72="Catastrófico"),AND(K74="Muy Alta",O72="Catastrófico")),"Extremo",""))))</f>
        <v/>
      </c>
      <c r="R74" s="164">
        <v>1</v>
      </c>
      <c r="S74" s="176" t="s">
        <v>608</v>
      </c>
      <c r="T74" s="164" t="str">
        <f t="shared" si="36"/>
        <v/>
      </c>
      <c r="U74" s="166"/>
      <c r="V74" s="166"/>
      <c r="W74" s="167" t="str">
        <f t="shared" si="37"/>
        <v/>
      </c>
      <c r="X74" s="166"/>
      <c r="Y74" s="166"/>
      <c r="Z74" s="166"/>
      <c r="AA74" s="168" t="str">
        <f>IFERROR(IF(T74="Probabilidad",(L74-(+L74*W74)),IF(T74="Impacto",L74,"")),"")</f>
        <v/>
      </c>
      <c r="AB74" s="169" t="str">
        <f t="shared" si="31"/>
        <v/>
      </c>
      <c r="AC74" s="170" t="str">
        <f t="shared" si="32"/>
        <v/>
      </c>
      <c r="AD74" s="169" t="str">
        <f t="shared" si="33"/>
        <v/>
      </c>
      <c r="AE74" s="170" t="str">
        <f>IFERROR(IF(T74="Impacto",(P74-(+P74*W74)),IF(T74="Probabilidad",P74,"")),"")</f>
        <v/>
      </c>
      <c r="AF74" s="171" t="str">
        <f t="shared" si="35"/>
        <v/>
      </c>
      <c r="AG74" s="172"/>
      <c r="AH74" s="178"/>
      <c r="AI74" s="164"/>
      <c r="AJ74" s="179"/>
      <c r="AK74" s="179"/>
      <c r="AL74" s="178"/>
      <c r="AM74" s="164"/>
    </row>
    <row r="75" spans="1:39" s="36" customFormat="1" ht="55.2" customHeight="1" x14ac:dyDescent="0.3">
      <c r="A75" s="1935"/>
      <c r="B75" s="337"/>
      <c r="C75" s="337"/>
      <c r="D75" s="338"/>
      <c r="E75" s="178"/>
      <c r="F75" s="339"/>
      <c r="G75" s="330"/>
      <c r="H75" s="178"/>
      <c r="I75" s="340"/>
      <c r="J75" s="341"/>
      <c r="K75" s="342"/>
      <c r="L75" s="343"/>
      <c r="M75" s="343"/>
      <c r="N75" s="1938"/>
      <c r="O75" s="342"/>
      <c r="P75" s="343"/>
      <c r="Q75" s="344"/>
      <c r="R75" s="164">
        <v>2</v>
      </c>
      <c r="S75" s="176"/>
      <c r="T75" s="164" t="str">
        <f t="shared" si="36"/>
        <v/>
      </c>
      <c r="U75" s="166"/>
      <c r="V75" s="166"/>
      <c r="W75" s="167" t="str">
        <f t="shared" si="37"/>
        <v/>
      </c>
      <c r="X75" s="166"/>
      <c r="Y75" s="166"/>
      <c r="Z75" s="166"/>
      <c r="AA75" s="168" t="str">
        <f>IFERROR(IF(AND(T74="Probabilidad",T75="Probabilidad"),(AC74-(+AC74*W75)),IF(AND(T74="Impacto",T75="Probabilidad"),(L74-(+L74*W75)),IF(T75="Impacto",AC74,""))),"")</f>
        <v/>
      </c>
      <c r="AB75" s="169" t="str">
        <f t="shared" si="31"/>
        <v/>
      </c>
      <c r="AC75" s="170" t="str">
        <f t="shared" si="32"/>
        <v/>
      </c>
      <c r="AD75" s="169" t="str">
        <f t="shared" si="33"/>
        <v/>
      </c>
      <c r="AE75" s="170" t="str">
        <f>IFERROR(IF(AND(T74="Impacto",T75="Impacto"),(AE74-(+AE74*W75)),IF(AND(T74="Probabilidad",T75="Impacto"),(P74-(+P74*W75)),IF(T75="Probabilidad",AE74,""))),"")</f>
        <v/>
      </c>
      <c r="AF75" s="171" t="str">
        <f t="shared" si="35"/>
        <v/>
      </c>
      <c r="AG75" s="172"/>
      <c r="AH75" s="178"/>
      <c r="AI75" s="164"/>
      <c r="AJ75" s="179"/>
      <c r="AK75" s="179"/>
      <c r="AL75" s="178"/>
      <c r="AM75" s="164"/>
    </row>
    <row r="76" spans="1:39" s="36" customFormat="1" ht="55.2" customHeight="1" x14ac:dyDescent="0.3">
      <c r="A76" s="1935"/>
      <c r="B76" s="337"/>
      <c r="C76" s="1940" t="s">
        <v>609</v>
      </c>
      <c r="D76" s="1941"/>
      <c r="E76" s="1942"/>
      <c r="F76" s="339"/>
      <c r="G76" s="330"/>
      <c r="H76" s="178"/>
      <c r="I76" s="340"/>
      <c r="J76" s="341"/>
      <c r="K76" s="342"/>
      <c r="L76" s="343"/>
      <c r="M76" s="343"/>
      <c r="N76" s="1938"/>
      <c r="O76" s="342"/>
      <c r="P76" s="343"/>
      <c r="Q76" s="344"/>
      <c r="R76" s="164">
        <v>3</v>
      </c>
      <c r="S76" s="177"/>
      <c r="T76" s="164" t="str">
        <f t="shared" si="36"/>
        <v/>
      </c>
      <c r="U76" s="166"/>
      <c r="V76" s="166"/>
      <c r="W76" s="167" t="str">
        <f t="shared" si="37"/>
        <v/>
      </c>
      <c r="X76" s="166"/>
      <c r="Y76" s="166"/>
      <c r="Z76" s="166"/>
      <c r="AA76" s="168" t="str">
        <f t="shared" ref="AA76:AA79" si="38">IFERROR(IF(AND(T75="Probabilidad",T76="Probabilidad"),(AC75-(+AC75*W76)),IF(AND(T75="Impacto",T76="Probabilidad"),(AC74-(+AC74*W76)),IF(T76="Impacto",AC75,""))),"")</f>
        <v/>
      </c>
      <c r="AB76" s="169" t="str">
        <f t="shared" si="31"/>
        <v/>
      </c>
      <c r="AC76" s="170" t="str">
        <f t="shared" si="32"/>
        <v/>
      </c>
      <c r="AD76" s="169" t="str">
        <f t="shared" si="33"/>
        <v/>
      </c>
      <c r="AE76" s="170" t="str">
        <f t="shared" ref="AE76:AE79" si="39">IFERROR(IF(AND(T75="Impacto",T76="Impacto"),(AE75-(+AE75*W76)),IF(AND(T75="Probabilidad",T76="Impacto"),(AE74-(+AE74*W76)),IF(T76="Probabilidad",AE75,""))),"")</f>
        <v/>
      </c>
      <c r="AF76" s="171" t="str">
        <f t="shared" si="35"/>
        <v/>
      </c>
      <c r="AG76" s="172"/>
      <c r="AH76" s="178"/>
      <c r="AI76" s="164"/>
      <c r="AJ76" s="179"/>
      <c r="AK76" s="179"/>
      <c r="AL76" s="178"/>
      <c r="AM76" s="164"/>
    </row>
    <row r="77" spans="1:39" s="36" customFormat="1" ht="55.2" customHeight="1" x14ac:dyDescent="0.3">
      <c r="A77" s="1935"/>
      <c r="B77" s="337"/>
      <c r="C77" s="337"/>
      <c r="D77" s="338"/>
      <c r="E77" s="178"/>
      <c r="F77" s="339"/>
      <c r="G77" s="330"/>
      <c r="H77" s="178"/>
      <c r="I77" s="340"/>
      <c r="J77" s="341"/>
      <c r="K77" s="342"/>
      <c r="L77" s="343"/>
      <c r="M77" s="343"/>
      <c r="N77" s="1938"/>
      <c r="O77" s="342"/>
      <c r="P77" s="343"/>
      <c r="Q77" s="344"/>
      <c r="R77" s="164">
        <v>4</v>
      </c>
      <c r="S77" s="176"/>
      <c r="T77" s="164" t="str">
        <f t="shared" si="36"/>
        <v/>
      </c>
      <c r="U77" s="166"/>
      <c r="V77" s="166"/>
      <c r="W77" s="167" t="str">
        <f t="shared" si="37"/>
        <v/>
      </c>
      <c r="X77" s="166"/>
      <c r="Y77" s="166"/>
      <c r="Z77" s="166"/>
      <c r="AA77" s="168" t="str">
        <f t="shared" si="38"/>
        <v/>
      </c>
      <c r="AB77" s="169" t="str">
        <f t="shared" si="31"/>
        <v/>
      </c>
      <c r="AC77" s="170" t="str">
        <f t="shared" si="32"/>
        <v/>
      </c>
      <c r="AD77" s="169" t="str">
        <f t="shared" si="33"/>
        <v/>
      </c>
      <c r="AE77" s="170" t="str">
        <f t="shared" si="39"/>
        <v/>
      </c>
      <c r="AF77" s="171" t="str">
        <f t="shared" si="35"/>
        <v/>
      </c>
      <c r="AG77" s="172"/>
      <c r="AH77" s="178"/>
      <c r="AI77" s="164"/>
      <c r="AJ77" s="179"/>
      <c r="AK77" s="179"/>
      <c r="AL77" s="178"/>
      <c r="AM77" s="164"/>
    </row>
    <row r="78" spans="1:39" s="36" customFormat="1" ht="55.2" customHeight="1" x14ac:dyDescent="0.3">
      <c r="A78" s="1935"/>
      <c r="B78" s="337"/>
      <c r="C78" s="337"/>
      <c r="D78" s="338"/>
      <c r="E78" s="178"/>
      <c r="F78" s="339"/>
      <c r="G78" s="330"/>
      <c r="H78" s="178"/>
      <c r="I78" s="340"/>
      <c r="J78" s="341"/>
      <c r="K78" s="342"/>
      <c r="L78" s="343"/>
      <c r="M78" s="343"/>
      <c r="N78" s="1938"/>
      <c r="O78" s="342"/>
      <c r="P78" s="343"/>
      <c r="Q78" s="344"/>
      <c r="R78" s="164">
        <v>5</v>
      </c>
      <c r="S78" s="176"/>
      <c r="T78" s="164" t="str">
        <f t="shared" si="36"/>
        <v/>
      </c>
      <c r="U78" s="166"/>
      <c r="V78" s="166"/>
      <c r="W78" s="167" t="str">
        <f t="shared" si="37"/>
        <v/>
      </c>
      <c r="X78" s="166"/>
      <c r="Y78" s="166"/>
      <c r="Z78" s="166"/>
      <c r="AA78" s="168" t="str">
        <f t="shared" si="38"/>
        <v/>
      </c>
      <c r="AB78" s="169" t="str">
        <f t="shared" si="31"/>
        <v/>
      </c>
      <c r="AC78" s="170" t="str">
        <f t="shared" si="32"/>
        <v/>
      </c>
      <c r="AD78" s="169" t="str">
        <f t="shared" si="33"/>
        <v/>
      </c>
      <c r="AE78" s="170" t="str">
        <f t="shared" si="39"/>
        <v/>
      </c>
      <c r="AF78" s="171" t="str">
        <f t="shared" si="35"/>
        <v/>
      </c>
      <c r="AG78" s="172"/>
      <c r="AH78" s="178"/>
      <c r="AI78" s="164"/>
      <c r="AJ78" s="179"/>
      <c r="AK78" s="179"/>
      <c r="AL78" s="178"/>
      <c r="AM78" s="164"/>
    </row>
    <row r="79" spans="1:39" s="36" customFormat="1" ht="55.2" customHeight="1" x14ac:dyDescent="0.3">
      <c r="A79" s="1936"/>
      <c r="B79" s="345"/>
      <c r="C79" s="345"/>
      <c r="D79" s="346"/>
      <c r="E79" s="178"/>
      <c r="F79" s="339"/>
      <c r="G79" s="347"/>
      <c r="H79" s="178"/>
      <c r="I79" s="348"/>
      <c r="J79" s="349"/>
      <c r="K79" s="350"/>
      <c r="L79" s="351"/>
      <c r="M79" s="351"/>
      <c r="N79" s="1939"/>
      <c r="O79" s="350"/>
      <c r="P79" s="351"/>
      <c r="Q79" s="352"/>
      <c r="R79" s="164">
        <v>6</v>
      </c>
      <c r="S79" s="176"/>
      <c r="T79" s="164" t="str">
        <f t="shared" si="36"/>
        <v/>
      </c>
      <c r="U79" s="166"/>
      <c r="V79" s="166"/>
      <c r="W79" s="167" t="str">
        <f t="shared" si="37"/>
        <v/>
      </c>
      <c r="X79" s="166"/>
      <c r="Y79" s="166"/>
      <c r="Z79" s="166"/>
      <c r="AA79" s="168" t="str">
        <f t="shared" si="38"/>
        <v/>
      </c>
      <c r="AB79" s="169" t="str">
        <f t="shared" si="31"/>
        <v/>
      </c>
      <c r="AC79" s="170" t="str">
        <f t="shared" si="32"/>
        <v/>
      </c>
      <c r="AD79" s="169" t="str">
        <f t="shared" si="33"/>
        <v/>
      </c>
      <c r="AE79" s="170" t="str">
        <f t="shared" si="39"/>
        <v/>
      </c>
      <c r="AF79" s="171" t="str">
        <f t="shared" si="35"/>
        <v/>
      </c>
      <c r="AG79" s="172"/>
      <c r="AH79" s="178"/>
      <c r="AI79" s="164"/>
      <c r="AJ79" s="179"/>
      <c r="AK79" s="179"/>
      <c r="AL79" s="178"/>
      <c r="AM79" s="164"/>
    </row>
    <row r="80" spans="1:39" s="184" customFormat="1" ht="16.5" customHeight="1" x14ac:dyDescent="0.25">
      <c r="A80" s="1681" t="s">
        <v>156</v>
      </c>
      <c r="B80" s="1682"/>
      <c r="C80" s="1682"/>
      <c r="D80" s="1682"/>
      <c r="E80" s="1682"/>
      <c r="F80" s="1682"/>
      <c r="G80" s="1682"/>
      <c r="H80" s="1682"/>
      <c r="I80" s="1682"/>
      <c r="J80" s="1682"/>
      <c r="K80" s="1682"/>
      <c r="L80" s="1682"/>
      <c r="M80" s="1682"/>
      <c r="N80" s="1682"/>
      <c r="O80" s="1682"/>
      <c r="P80" s="1682"/>
      <c r="Q80" s="1682"/>
      <c r="R80" s="1682"/>
      <c r="S80" s="1682"/>
      <c r="T80" s="1682"/>
      <c r="U80" s="1682"/>
      <c r="V80" s="1682"/>
      <c r="W80" s="1682"/>
      <c r="X80" s="1682"/>
      <c r="Y80" s="1682"/>
      <c r="Z80" s="1682"/>
      <c r="AA80" s="1682"/>
      <c r="AB80" s="1682"/>
      <c r="AC80" s="1682"/>
      <c r="AD80" s="1682"/>
      <c r="AE80" s="1682"/>
      <c r="AF80" s="1682"/>
      <c r="AG80" s="1682"/>
      <c r="AH80" s="1682"/>
      <c r="AI80" s="1682"/>
      <c r="AJ80" s="1682"/>
      <c r="AK80" s="1682"/>
      <c r="AL80" s="1682"/>
      <c r="AM80" s="1683"/>
    </row>
    <row r="81" spans="1:42" s="184" customFormat="1" ht="24" customHeight="1" x14ac:dyDescent="0.25">
      <c r="A81" s="1684"/>
      <c r="B81" s="1685"/>
      <c r="C81" s="1685"/>
      <c r="D81" s="1685"/>
      <c r="E81" s="1685"/>
      <c r="F81" s="1685"/>
      <c r="G81" s="1685"/>
      <c r="H81" s="1685"/>
      <c r="I81" s="1685"/>
      <c r="J81" s="1685"/>
      <c r="K81" s="1685"/>
      <c r="L81" s="1685"/>
      <c r="M81" s="1685"/>
      <c r="N81" s="1685"/>
      <c r="O81" s="1685"/>
      <c r="P81" s="1685"/>
      <c r="Q81" s="1685"/>
      <c r="R81" s="1685"/>
      <c r="S81" s="1685"/>
      <c r="T81" s="1685"/>
      <c r="U81" s="1685"/>
      <c r="V81" s="1685"/>
      <c r="W81" s="1685"/>
      <c r="X81" s="1685"/>
      <c r="Y81" s="1685"/>
      <c r="Z81" s="1685"/>
      <c r="AA81" s="1685"/>
      <c r="AB81" s="1685"/>
      <c r="AC81" s="1685"/>
      <c r="AD81" s="1685"/>
      <c r="AE81" s="1685"/>
      <c r="AF81" s="1685"/>
      <c r="AG81" s="1685"/>
      <c r="AH81" s="1685"/>
      <c r="AI81" s="1685"/>
      <c r="AJ81" s="1685"/>
      <c r="AK81" s="1685"/>
      <c r="AL81" s="1685"/>
      <c r="AM81" s="1686"/>
      <c r="AN81" s="353"/>
      <c r="AO81" s="353"/>
      <c r="AP81" s="353"/>
    </row>
    <row r="82" spans="1:42" s="184" customFormat="1" x14ac:dyDescent="0.25">
      <c r="A82" s="242"/>
      <c r="B82" s="243"/>
      <c r="C82" s="242"/>
      <c r="D82" s="242"/>
      <c r="E82" s="242"/>
      <c r="F82" s="37"/>
      <c r="G82" s="37"/>
      <c r="H82" s="37"/>
      <c r="I82" s="225"/>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row>
    <row r="83" spans="1:42" s="184" customFormat="1" ht="26.25" customHeight="1" x14ac:dyDescent="0.25">
      <c r="A83" s="1667" t="s">
        <v>157</v>
      </c>
      <c r="B83" s="1668"/>
      <c r="C83" s="1821" t="s">
        <v>397</v>
      </c>
      <c r="D83" s="1822"/>
      <c r="E83" s="1822"/>
      <c r="F83" s="1822"/>
      <c r="G83" s="1822"/>
      <c r="H83" s="1822"/>
      <c r="I83" s="1822"/>
      <c r="J83" s="1822"/>
      <c r="K83" s="1822"/>
      <c r="L83" s="1822"/>
      <c r="M83" s="1822"/>
      <c r="N83" s="1822"/>
      <c r="O83" s="1822"/>
      <c r="P83" s="1822"/>
      <c r="Q83" s="1822"/>
      <c r="R83" s="1822"/>
      <c r="S83" s="1822"/>
      <c r="T83" s="1822"/>
      <c r="U83" s="1822"/>
      <c r="V83" s="1822"/>
      <c r="W83" s="1822"/>
      <c r="X83" s="1822"/>
      <c r="Y83" s="1822"/>
      <c r="Z83" s="1822"/>
      <c r="AA83" s="1822"/>
      <c r="AB83" s="1822"/>
      <c r="AC83" s="1822"/>
      <c r="AD83" s="1822"/>
      <c r="AE83" s="1822"/>
      <c r="AF83" s="1822"/>
      <c r="AG83" s="1822"/>
      <c r="AH83" s="1822"/>
      <c r="AI83" s="1822"/>
      <c r="AJ83" s="1822"/>
      <c r="AK83" s="1822"/>
      <c r="AL83" s="1822"/>
      <c r="AM83" s="1823"/>
      <c r="AN83" s="227"/>
      <c r="AO83" s="227"/>
      <c r="AP83" s="227"/>
    </row>
    <row r="84" spans="1:42" s="184" customFormat="1" ht="30" customHeight="1" x14ac:dyDescent="0.25">
      <c r="A84" s="1667" t="s">
        <v>158</v>
      </c>
      <c r="B84" s="1668"/>
      <c r="C84" s="1669" t="s">
        <v>635</v>
      </c>
      <c r="D84" s="1669"/>
      <c r="E84" s="1669"/>
      <c r="F84" s="1669"/>
      <c r="G84" s="1669"/>
      <c r="H84" s="1669"/>
      <c r="I84" s="1669"/>
      <c r="J84" s="1669"/>
      <c r="K84" s="1669"/>
      <c r="L84" s="1669"/>
      <c r="M84" s="1669"/>
      <c r="N84" s="1669"/>
      <c r="O84" s="1669"/>
      <c r="P84" s="1669"/>
      <c r="Q84" s="1669"/>
      <c r="R84" s="1669"/>
      <c r="S84" s="1669"/>
      <c r="T84" s="1669"/>
      <c r="U84" s="1669"/>
      <c r="V84" s="1669"/>
      <c r="W84" s="1669"/>
      <c r="X84" s="1669"/>
      <c r="Y84" s="1669"/>
      <c r="Z84" s="1669"/>
      <c r="AA84" s="1669"/>
      <c r="AB84" s="1669"/>
      <c r="AC84" s="1669"/>
      <c r="AD84" s="1669"/>
      <c r="AE84" s="1669"/>
      <c r="AF84" s="1669"/>
      <c r="AG84" s="1669"/>
      <c r="AH84" s="1669"/>
      <c r="AI84" s="1669"/>
      <c r="AJ84" s="1669"/>
      <c r="AK84" s="1669"/>
      <c r="AL84" s="1669"/>
      <c r="AM84" s="1669"/>
      <c r="AN84" s="228"/>
      <c r="AO84" s="228"/>
      <c r="AP84" s="228"/>
    </row>
    <row r="85" spans="1:42" s="184" customFormat="1" ht="49.5" customHeight="1" x14ac:dyDescent="0.25">
      <c r="A85" s="1667" t="s">
        <v>159</v>
      </c>
      <c r="B85" s="1668"/>
      <c r="C85" s="1669" t="s">
        <v>398</v>
      </c>
      <c r="D85" s="1669"/>
      <c r="E85" s="1669"/>
      <c r="F85" s="1669"/>
      <c r="G85" s="1669"/>
      <c r="H85" s="1669"/>
      <c r="I85" s="1669"/>
      <c r="J85" s="1669"/>
      <c r="K85" s="1669"/>
      <c r="L85" s="1669"/>
      <c r="M85" s="1669"/>
      <c r="N85" s="1669"/>
      <c r="O85" s="1669"/>
      <c r="P85" s="1669"/>
      <c r="Q85" s="1669"/>
      <c r="R85" s="1669"/>
      <c r="S85" s="1669"/>
      <c r="T85" s="1669"/>
      <c r="U85" s="1669"/>
      <c r="V85" s="1669"/>
      <c r="W85" s="1669"/>
      <c r="X85" s="1669"/>
      <c r="Y85" s="1669"/>
      <c r="Z85" s="1669"/>
      <c r="AA85" s="1669"/>
      <c r="AB85" s="1669"/>
      <c r="AC85" s="1669"/>
      <c r="AD85" s="1669"/>
      <c r="AE85" s="1669"/>
      <c r="AF85" s="1669"/>
      <c r="AG85" s="1669"/>
      <c r="AH85" s="1669"/>
      <c r="AI85" s="1669"/>
      <c r="AJ85" s="1669"/>
      <c r="AK85" s="1669"/>
      <c r="AL85" s="1669"/>
      <c r="AM85" s="1669"/>
      <c r="AN85" s="228"/>
      <c r="AO85" s="228"/>
      <c r="AP85" s="228"/>
    </row>
    <row r="86" spans="1:42" s="184" customFormat="1" x14ac:dyDescent="0.25">
      <c r="A86" s="1670" t="s">
        <v>160</v>
      </c>
      <c r="B86" s="1671"/>
      <c r="C86" s="1672"/>
      <c r="D86" s="1672"/>
      <c r="E86" s="1672"/>
      <c r="F86" s="1672"/>
      <c r="G86" s="1672"/>
      <c r="H86" s="1672"/>
      <c r="I86" s="1672"/>
      <c r="J86" s="1673"/>
      <c r="K86" s="1630" t="s">
        <v>161</v>
      </c>
      <c r="L86" s="1672"/>
      <c r="M86" s="1672"/>
      <c r="N86" s="1672"/>
      <c r="O86" s="1672"/>
      <c r="P86" s="1672"/>
      <c r="Q86" s="1673"/>
      <c r="R86" s="1630" t="s">
        <v>162</v>
      </c>
      <c r="S86" s="1672"/>
      <c r="T86" s="1672"/>
      <c r="U86" s="1672"/>
      <c r="V86" s="1672"/>
      <c r="W86" s="1672"/>
      <c r="X86" s="1672"/>
      <c r="Y86" s="1672"/>
      <c r="Z86" s="1673"/>
      <c r="AA86" s="1630" t="s">
        <v>163</v>
      </c>
      <c r="AB86" s="1672"/>
      <c r="AC86" s="1672"/>
      <c r="AD86" s="1672"/>
      <c r="AE86" s="1672"/>
      <c r="AF86" s="1672"/>
      <c r="AG86" s="1673"/>
      <c r="AH86" s="1630" t="s">
        <v>164</v>
      </c>
      <c r="AI86" s="1672"/>
      <c r="AJ86" s="1672"/>
      <c r="AK86" s="1672"/>
      <c r="AL86" s="1672"/>
      <c r="AM86" s="1673"/>
      <c r="AN86" s="222"/>
      <c r="AO86" s="222"/>
      <c r="AP86" s="222"/>
    </row>
    <row r="87" spans="1:42" s="184" customFormat="1" ht="16.5" customHeight="1" x14ac:dyDescent="0.25">
      <c r="A87" s="1649" t="s">
        <v>165</v>
      </c>
      <c r="B87" s="1651" t="s">
        <v>142</v>
      </c>
      <c r="C87" s="1626" t="s">
        <v>166</v>
      </c>
      <c r="D87" s="1626" t="s">
        <v>167</v>
      </c>
      <c r="E87" s="1631" t="s">
        <v>168</v>
      </c>
      <c r="F87" s="1652" t="s">
        <v>60</v>
      </c>
      <c r="G87" s="56"/>
      <c r="H87" s="56"/>
      <c r="I87" s="1631" t="s">
        <v>169</v>
      </c>
      <c r="J87" s="1626" t="s">
        <v>170</v>
      </c>
      <c r="K87" s="1628" t="s">
        <v>171</v>
      </c>
      <c r="L87" s="1629" t="s">
        <v>172</v>
      </c>
      <c r="M87" s="1631" t="s">
        <v>173</v>
      </c>
      <c r="N87" s="1631" t="s">
        <v>174</v>
      </c>
      <c r="O87" s="1666" t="s">
        <v>175</v>
      </c>
      <c r="P87" s="1629" t="s">
        <v>172</v>
      </c>
      <c r="Q87" s="1626" t="s">
        <v>176</v>
      </c>
      <c r="R87" s="1664" t="s">
        <v>177</v>
      </c>
      <c r="S87" s="1627" t="s">
        <v>178</v>
      </c>
      <c r="T87" s="1631" t="s">
        <v>179</v>
      </c>
      <c r="U87" s="1627" t="s">
        <v>180</v>
      </c>
      <c r="V87" s="1627"/>
      <c r="W87" s="1627"/>
      <c r="X87" s="1627"/>
      <c r="Y87" s="1627"/>
      <c r="Z87" s="1627"/>
      <c r="AA87" s="1663" t="s">
        <v>181</v>
      </c>
      <c r="AB87" s="1663" t="s">
        <v>182</v>
      </c>
      <c r="AC87" s="1663" t="s">
        <v>172</v>
      </c>
      <c r="AD87" s="1663" t="s">
        <v>183</v>
      </c>
      <c r="AE87" s="1663" t="s">
        <v>172</v>
      </c>
      <c r="AF87" s="1663" t="s">
        <v>184</v>
      </c>
      <c r="AG87" s="1664" t="s">
        <v>185</v>
      </c>
      <c r="AH87" s="1627" t="s">
        <v>164</v>
      </c>
      <c r="AI87" s="1627" t="s">
        <v>143</v>
      </c>
      <c r="AJ87" s="1627" t="s">
        <v>186</v>
      </c>
      <c r="AK87" s="1627" t="s">
        <v>187</v>
      </c>
      <c r="AL87" s="1627" t="s">
        <v>189</v>
      </c>
      <c r="AM87" s="1627" t="s">
        <v>611</v>
      </c>
      <c r="AN87" s="354"/>
      <c r="AO87" s="354"/>
      <c r="AP87" s="354"/>
    </row>
    <row r="88" spans="1:42" s="222" customFormat="1" ht="94.5" customHeight="1" x14ac:dyDescent="0.3">
      <c r="A88" s="1650"/>
      <c r="B88" s="1651"/>
      <c r="C88" s="1627"/>
      <c r="D88" s="1627"/>
      <c r="E88" s="1628"/>
      <c r="F88" s="1653"/>
      <c r="G88" s="56" t="s">
        <v>511</v>
      </c>
      <c r="H88" s="56" t="s">
        <v>190</v>
      </c>
      <c r="I88" s="1626"/>
      <c r="J88" s="1627"/>
      <c r="K88" s="1626"/>
      <c r="L88" s="1630"/>
      <c r="M88" s="1626"/>
      <c r="N88" s="1626"/>
      <c r="O88" s="1630"/>
      <c r="P88" s="1630"/>
      <c r="Q88" s="1627"/>
      <c r="R88" s="1665"/>
      <c r="S88" s="1627"/>
      <c r="T88" s="1626"/>
      <c r="U88" s="42" t="s">
        <v>191</v>
      </c>
      <c r="V88" s="42" t="s">
        <v>192</v>
      </c>
      <c r="W88" s="42" t="s">
        <v>193</v>
      </c>
      <c r="X88" s="42" t="s">
        <v>194</v>
      </c>
      <c r="Y88" s="42" t="s">
        <v>195</v>
      </c>
      <c r="Z88" s="42" t="s">
        <v>196</v>
      </c>
      <c r="AA88" s="1663"/>
      <c r="AB88" s="1663"/>
      <c r="AC88" s="1663"/>
      <c r="AD88" s="1663"/>
      <c r="AE88" s="1663"/>
      <c r="AF88" s="1663"/>
      <c r="AG88" s="1665"/>
      <c r="AH88" s="1627"/>
      <c r="AI88" s="1627"/>
      <c r="AJ88" s="1627"/>
      <c r="AK88" s="1627"/>
      <c r="AL88" s="1627"/>
      <c r="AM88" s="1819"/>
      <c r="AN88" s="355" t="s">
        <v>189</v>
      </c>
      <c r="AO88" s="355" t="s">
        <v>187</v>
      </c>
      <c r="AP88" s="355" t="s">
        <v>612</v>
      </c>
    </row>
    <row r="89" spans="1:42" s="231" customFormat="1" ht="114" customHeight="1" x14ac:dyDescent="0.3">
      <c r="A89" s="1618">
        <v>1</v>
      </c>
      <c r="B89" s="1656" t="s">
        <v>197</v>
      </c>
      <c r="C89" s="1870" t="s">
        <v>399</v>
      </c>
      <c r="D89" s="1659" t="s">
        <v>400</v>
      </c>
      <c r="E89" s="1833" t="s">
        <v>401</v>
      </c>
      <c r="F89" s="1603" t="s">
        <v>402</v>
      </c>
      <c r="G89" s="1603" t="s">
        <v>512</v>
      </c>
      <c r="H89" s="1700" t="s">
        <v>403</v>
      </c>
      <c r="I89" s="1701" t="s">
        <v>198</v>
      </c>
      <c r="J89" s="1640">
        <v>360</v>
      </c>
      <c r="K89" s="1643" t="str">
        <f>IF(J89&lt;=0,"",IF(J89&lt;=2,"Muy Baja",IF(J89&lt;=24,"Baja",IF(J89&lt;=500,"Media",IF(J89&lt;=5000,"Alta","Muy Alta")))))</f>
        <v>Media</v>
      </c>
      <c r="L89" s="1632">
        <f>IF(K89="","",IF(K89="Muy Baja",0.2,IF(K89="Baja",0.4,IF(K89="Media",0.6,IF(K89="Alta",0.8,IF(K89="Muy Alta",1,))))))</f>
        <v>0.6</v>
      </c>
      <c r="M89" s="1646" t="s">
        <v>199</v>
      </c>
      <c r="N89" s="1632" t="str">
        <f>IF(NOT(ISERROR(MATCH(M89,'[5]Tabla Impacto'!$B$221:$B$223,0))),'[5]Tabla Impacto'!$F$223&amp;"Por favor no seleccionar los criterios de impacto(Afectación Económica o presupuestal y Pérdida Reputacional)",M89)</f>
        <v xml:space="preserve">     El riesgo afecta la imagen de de la entidad con efecto publicitario sostenido a nivel de sector administrativo, nivel departamental o municipal</v>
      </c>
      <c r="O89" s="1643" t="str">
        <f>IF(OR(N89='[5]Tabla Impacto'!$C$11,N89='[5]Tabla Impacto'!$D$11),"Leve",IF(OR(N89='[5]Tabla Impacto'!$C$12,N89='[5]Tabla Impacto'!$D$12),"Menor",IF(OR(N89='[5]Tabla Impacto'!$C$13,N89='[5]Tabla Impacto'!$D$13),"Moderado",IF(OR(N89='[5]Tabla Impacto'!$C$14,N89='[5]Tabla Impacto'!$D$14),"Mayor",IF(OR(N89='[5]Tabla Impacto'!$C$15,N89='[5]Tabla Impacto'!$D$15),"Catastrófico","")))))</f>
        <v>Mayor</v>
      </c>
      <c r="P89" s="1632">
        <f>IF(O89="","",IF(O89="Leve",0.2,IF(O89="Menor",0.4,IF(O89="Moderado",0.6,IF(O89="Mayor",0.8,IF(O89="Catastrófico",1,))))))</f>
        <v>0.8</v>
      </c>
      <c r="Q89" s="1635" t="str">
        <f>IF(OR(AND(K89="Muy Baja",O89="Leve"),AND(K89="Muy Baja",O89="Menor"),AND(K89="Baja",O89="Leve")),"Bajo",IF(OR(AND(K89="Muy baja",O89="Moderado"),AND(K89="Baja",O89="Menor"),AND(K89="Baja",O89="Moderado"),AND(K89="Media",O89="Leve"),AND(K89="Media",O89="Menor"),AND(K89="Media",O89="Moderado"),AND(K89="Alta",O89="Leve"),AND(K89="Alta",O89="Menor")),"Moderado",IF(OR(AND(K89="Muy Baja",O89="Mayor"),AND(K89="Baja",O89="Mayor"),AND(K89="Media",O89="Mayor"),AND(K89="Alta",O89="Moderado"),AND(K89="Alta",O89="Mayor"),AND(K89="Muy Alta",O89="Leve"),AND(K89="Muy Alta",O89="Menor"),AND(K89="Muy Alta",O89="Moderado"),AND(K89="Muy Alta",O89="Mayor")),"Alto",IF(OR(AND(K89="Muy Baja",O89="Catastrófico"),AND(K89="Baja",O89="Catastrófico"),AND(K89="Media",O89="Catastrófico"),AND(K89="Alta",O89="Catastrófico"),AND(K89="Muy Alta",O89="Catastrófico")),"Extremo",""))))</f>
        <v>Alto</v>
      </c>
      <c r="R89" s="48">
        <v>1</v>
      </c>
      <c r="S89" s="356" t="s">
        <v>613</v>
      </c>
      <c r="T89" s="50" t="str">
        <f>IF(OR(U89="Preventivo",U89="Detectivo"),"Probabilidad",IF(U89="Correctivo","Impacto",""))</f>
        <v>Probabilidad</v>
      </c>
      <c r="U89" s="61" t="s">
        <v>207</v>
      </c>
      <c r="V89" s="61" t="s">
        <v>201</v>
      </c>
      <c r="W89" s="62" t="str">
        <f>IF(AND(U89="Preventivo",V89="Automático"),"50%",IF(AND(U89="Preventivo",V89="Manual"),"40%",IF(AND(U89="Detectivo",V89="Automático"),"40%",IF(AND(U89="Detectivo",V89="Manual"),"30%",IF(AND(U89="Correctivo",V89="Automático"),"35%",IF(AND(U89="Correctivo",V89="Manual"),"25%",""))))))</f>
        <v>40%</v>
      </c>
      <c r="X89" s="61" t="s">
        <v>208</v>
      </c>
      <c r="Y89" s="61" t="s">
        <v>203</v>
      </c>
      <c r="Z89" s="61" t="s">
        <v>204</v>
      </c>
      <c r="AA89" s="63">
        <f>IFERROR(IF(T89="Probabilidad",(L89-(+L89*W89)),IF(T89="Impacto",L89,"")),"")</f>
        <v>0.36</v>
      </c>
      <c r="AB89" s="64" t="str">
        <f>IFERROR(IF(AA89="","",IF(AA89&lt;=0.2,"Muy Baja",IF(AA89&lt;=0.4,"Baja",IF(AA89&lt;=0.6,"Media",IF(AA89&lt;=0.8,"Alta","Muy Alta"))))),"")</f>
        <v>Baja</v>
      </c>
      <c r="AC89" s="65">
        <f>+AA89</f>
        <v>0.36</v>
      </c>
      <c r="AD89" s="64" t="str">
        <f>IFERROR(IF(AE89="","",IF(AE89&lt;=0.2,"Leve",IF(AE89&lt;=0.4,"Menor",IF(AE89&lt;=0.6,"Moderado",IF(AE89&lt;=0.8,"Mayor","Catastrófico"))))),"")</f>
        <v>Mayor</v>
      </c>
      <c r="AE89" s="65">
        <f>IFERROR(IF(T89="Impacto",(P89-(+P89*W89)),IF(T89="Probabilidad",P89,"")),"")</f>
        <v>0.8</v>
      </c>
      <c r="AF89" s="66" t="str">
        <f>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Alto</v>
      </c>
      <c r="AG89" s="1930" t="s">
        <v>205</v>
      </c>
      <c r="AH89" s="223" t="s">
        <v>404</v>
      </c>
      <c r="AI89" s="223" t="s">
        <v>405</v>
      </c>
      <c r="AJ89" s="357">
        <v>45292</v>
      </c>
      <c r="AK89" s="357" t="s">
        <v>614</v>
      </c>
      <c r="AL89" s="357" t="s">
        <v>615</v>
      </c>
      <c r="AM89" s="357" t="s">
        <v>616</v>
      </c>
      <c r="AN89" s="357" t="s">
        <v>617</v>
      </c>
      <c r="AO89" s="357" t="s">
        <v>618</v>
      </c>
      <c r="AP89" s="357" t="s">
        <v>619</v>
      </c>
    </row>
    <row r="90" spans="1:42" s="184" customFormat="1" ht="104.4" customHeight="1" x14ac:dyDescent="0.25">
      <c r="A90" s="1619"/>
      <c r="B90" s="1657"/>
      <c r="C90" s="1933"/>
      <c r="D90" s="1660"/>
      <c r="E90" s="1835"/>
      <c r="F90" s="1604"/>
      <c r="G90" s="1604"/>
      <c r="H90" s="1700"/>
      <c r="I90" s="1702"/>
      <c r="J90" s="1641"/>
      <c r="K90" s="1644"/>
      <c r="L90" s="1633"/>
      <c r="M90" s="1647"/>
      <c r="N90" s="1633">
        <f>IF(NOT(ISERROR(MATCH(M90,_xlfn.ANCHORARRAY(F94),0))),#REF!&amp;"Por favor no seleccionar los criterios de impacto",M90)</f>
        <v>0</v>
      </c>
      <c r="O90" s="1644"/>
      <c r="P90" s="1633"/>
      <c r="Q90" s="1636"/>
      <c r="R90" s="48">
        <v>2</v>
      </c>
      <c r="S90" s="356" t="s">
        <v>406</v>
      </c>
      <c r="T90" s="50" t="str">
        <f>IF(OR(U90="Preventivo",U90="Detectivo"),"Probabilidad",IF(U90="Correctivo","Impacto",""))</f>
        <v>Probabilidad</v>
      </c>
      <c r="U90" s="61" t="s">
        <v>200</v>
      </c>
      <c r="V90" s="61" t="s">
        <v>201</v>
      </c>
      <c r="W90" s="62" t="str">
        <f t="shared" ref="W90:W91" si="40">IF(AND(U90="Preventivo",V90="Automático"),"50%",IF(AND(U90="Preventivo",V90="Manual"),"40%",IF(AND(U90="Detectivo",V90="Automático"),"40%",IF(AND(U90="Detectivo",V90="Manual"),"30%",IF(AND(U90="Correctivo",V90="Automático"),"35%",IF(AND(U90="Correctivo",V90="Manual"),"25%",""))))))</f>
        <v>30%</v>
      </c>
      <c r="X90" s="61" t="s">
        <v>208</v>
      </c>
      <c r="Y90" s="61" t="s">
        <v>203</v>
      </c>
      <c r="Z90" s="61" t="s">
        <v>204</v>
      </c>
      <c r="AA90" s="63">
        <f>IFERROR(IF(AND(T89="Probabilidad",T90="Probabilidad"),(AC89-(+AC89*W90)),IF(AND(T89="Impacto",T90="Probabilidad"),(L89-(+L89*W90)),IF(T90="Impacto",AC89,""))),"")</f>
        <v>0.252</v>
      </c>
      <c r="AB90" s="64" t="str">
        <f t="shared" ref="AB90:AB91" si="41">IFERROR(IF(AA90="","",IF(AA90&lt;=0.2,"Muy Baja",IF(AA90&lt;=0.4,"Baja",IF(AA90&lt;=0.6,"Media",IF(AA90&lt;=0.8,"Alta","Muy Alta"))))),"")</f>
        <v>Baja</v>
      </c>
      <c r="AC90" s="65">
        <f>+AA90</f>
        <v>0.252</v>
      </c>
      <c r="AD90" s="64" t="str">
        <f t="shared" ref="AD90:AD91" si="42">IFERROR(IF(AE90="","",IF(AE90&lt;=0.2,"Leve",IF(AE90&lt;=0.4,"Menor",IF(AE90&lt;=0.6,"Moderado",IF(AE90&lt;=0.8,"Mayor","Catastrófico"))))),"")</f>
        <v>Mayor</v>
      </c>
      <c r="AE90" s="65">
        <f>IFERROR(IF(AND(T89="Impacto",T90="Impacto"),(AE89-(+AE89*W90)),IF(AND(T89="Probabilidad",T90="Impacto"),(P89-(+P89*W90)),IF(T90="Probabilidad",AE89,""))),"")</f>
        <v>0.8</v>
      </c>
      <c r="AF90" s="66" t="str">
        <f t="shared" ref="AF90:AF91" si="43">IFERROR(IF(OR(AND(AB90="Muy Baja",AD90="Leve"),AND(AB90="Muy Baja",AD90="Menor"),AND(AB90="Baja",AD90="Leve")),"Bajo",IF(OR(AND(AB90="Muy baja",AD90="Moderado"),AND(AB90="Baja",AD90="Menor"),AND(AB90="Baja",AD90="Moderado"),AND(AB90="Media",AD90="Leve"),AND(AB90="Media",AD90="Menor"),AND(AB90="Media",AD90="Moderado"),AND(AB90="Alta",AD90="Leve"),AND(AB90="Alta",AD90="Menor")),"Moderado",IF(OR(AND(AB90="Muy Baja",AD90="Mayor"),AND(AB90="Baja",AD90="Mayor"),AND(AB90="Media",AD90="Mayor"),AND(AB90="Alta",AD90="Moderado"),AND(AB90="Alta",AD90="Mayor"),AND(AB90="Muy Alta",AD90="Leve"),AND(AB90="Muy Alta",AD90="Menor"),AND(AB90="Muy Alta",AD90="Moderado"),AND(AB90="Muy Alta",AD90="Mayor")),"Alto",IF(OR(AND(AB90="Muy Baja",AD90="Catastrófico"),AND(AB90="Baja",AD90="Catastrófico"),AND(AB90="Media",AD90="Catastrófico"),AND(AB90="Alta",AD90="Catastrófico"),AND(AB90="Muy Alta",AD90="Catastrófico")),"Extremo","")))),"")</f>
        <v>Alto</v>
      </c>
      <c r="AG90" s="1931"/>
      <c r="AH90" s="213" t="s">
        <v>407</v>
      </c>
      <c r="AI90" s="213" t="s">
        <v>405</v>
      </c>
      <c r="AJ90" s="357">
        <v>45292</v>
      </c>
      <c r="AK90" s="357" t="s">
        <v>614</v>
      </c>
      <c r="AL90" s="357" t="s">
        <v>620</v>
      </c>
      <c r="AM90" s="357" t="s">
        <v>616</v>
      </c>
      <c r="AN90" s="357" t="s">
        <v>620</v>
      </c>
      <c r="AO90" s="357" t="s">
        <v>621</v>
      </c>
      <c r="AP90" s="357" t="s">
        <v>620</v>
      </c>
    </row>
    <row r="91" spans="1:42" s="184" customFormat="1" ht="127.8" customHeight="1" x14ac:dyDescent="0.25">
      <c r="A91" s="1619"/>
      <c r="B91" s="1657"/>
      <c r="C91" s="1933"/>
      <c r="D91" s="1660"/>
      <c r="E91" s="358" t="s">
        <v>408</v>
      </c>
      <c r="F91" s="1604"/>
      <c r="G91" s="1604"/>
      <c r="H91" s="1700"/>
      <c r="I91" s="1702"/>
      <c r="J91" s="1641"/>
      <c r="K91" s="1644"/>
      <c r="L91" s="1633"/>
      <c r="M91" s="1647"/>
      <c r="N91" s="1633">
        <f>IF(NOT(ISERROR(MATCH(M91,_xlfn.ANCHORARRAY(F95),0))),#REF!&amp;"Por favor no seleccionar los criterios de impacto",M91)</f>
        <v>0</v>
      </c>
      <c r="O91" s="1644"/>
      <c r="P91" s="1633"/>
      <c r="Q91" s="1636"/>
      <c r="R91" s="48">
        <v>3</v>
      </c>
      <c r="S91" s="356" t="s">
        <v>409</v>
      </c>
      <c r="T91" s="50" t="str">
        <f t="shared" ref="T91" si="44">IF(OR(U91="Preventivo",U91="Detectivo"),"Probabilidad",IF(U91="Correctivo","Impacto",""))</f>
        <v>Probabilidad</v>
      </c>
      <c r="U91" s="61" t="s">
        <v>200</v>
      </c>
      <c r="V91" s="61" t="s">
        <v>201</v>
      </c>
      <c r="W91" s="62" t="str">
        <f t="shared" si="40"/>
        <v>30%</v>
      </c>
      <c r="X91" s="61" t="s">
        <v>202</v>
      </c>
      <c r="Y91" s="61" t="s">
        <v>203</v>
      </c>
      <c r="Z91" s="61" t="s">
        <v>298</v>
      </c>
      <c r="AA91" s="63">
        <f>IFERROR(IF(AND(T90="Probabilidad",T91="Probabilidad"),(AC90-(+AC90*W91)),IF(AND(T90="Impacto",T91="Probabilidad"),(AC89-(+AC89*W91)),IF(T91="Impacto",AC90,""))),"")</f>
        <v>0.1764</v>
      </c>
      <c r="AB91" s="64" t="str">
        <f t="shared" si="41"/>
        <v>Muy Baja</v>
      </c>
      <c r="AC91" s="65">
        <f t="shared" ref="AC91" si="45">+AA91</f>
        <v>0.1764</v>
      </c>
      <c r="AD91" s="64" t="str">
        <f t="shared" si="42"/>
        <v>Mayor</v>
      </c>
      <c r="AE91" s="65">
        <f t="shared" ref="AE91" si="46">IFERROR(IF(AND(T90="Impacto",T91="Impacto"),(AE90-(+AE90*W91)),IF(AND(T90="Probabilidad",T91="Impacto"),(AE89-(+AE89*W91)),IF(T91="Probabilidad",AE90,""))),"")</f>
        <v>0.8</v>
      </c>
      <c r="AF91" s="66" t="str">
        <f t="shared" si="43"/>
        <v>Alto</v>
      </c>
      <c r="AG91" s="1932"/>
      <c r="AH91" s="213" t="s">
        <v>410</v>
      </c>
      <c r="AI91" s="213" t="s">
        <v>411</v>
      </c>
      <c r="AJ91" s="357">
        <v>45292</v>
      </c>
      <c r="AK91" s="357" t="s">
        <v>614</v>
      </c>
      <c r="AL91" s="357" t="s">
        <v>622</v>
      </c>
      <c r="AM91" s="357" t="s">
        <v>616</v>
      </c>
      <c r="AN91" s="357" t="s">
        <v>622</v>
      </c>
      <c r="AO91" s="357" t="s">
        <v>621</v>
      </c>
      <c r="AP91" s="357" t="s">
        <v>623</v>
      </c>
    </row>
    <row r="92" spans="1:42" s="184" customFormat="1" ht="144" customHeight="1" x14ac:dyDescent="0.25">
      <c r="A92" s="1618">
        <v>2</v>
      </c>
      <c r="B92" s="1614" t="s">
        <v>197</v>
      </c>
      <c r="C92" s="1601" t="s">
        <v>412</v>
      </c>
      <c r="D92" s="1914" t="s">
        <v>624</v>
      </c>
      <c r="E92" s="359" t="s">
        <v>413</v>
      </c>
      <c r="F92" s="1638" t="s">
        <v>414</v>
      </c>
      <c r="G92" s="1603" t="s">
        <v>512</v>
      </c>
      <c r="H92" s="1894" t="s">
        <v>415</v>
      </c>
      <c r="I92" s="1608" t="s">
        <v>198</v>
      </c>
      <c r="J92" s="1640">
        <v>180</v>
      </c>
      <c r="K92" s="1643" t="str">
        <f>IF(J92&lt;=0,"",IF(J92&lt;=2,"Muy Baja",IF(J92&lt;=24,"Baja",IF(J92&lt;=500,"Media",IF(J92&lt;=5000,"Alta","Muy Alta")))))</f>
        <v>Media</v>
      </c>
      <c r="L92" s="1632">
        <f>IF(K92="","",IF(K92="Muy Baja",0.2,IF(K92="Baja",0.4,IF(K92="Media",0.6,IF(K92="Alta",0.8,IF(K92="Muy Alta",1,))))))</f>
        <v>0.6</v>
      </c>
      <c r="M92" s="1646" t="s">
        <v>199</v>
      </c>
      <c r="N92" s="1632" t="str">
        <f>IF(NOT(ISERROR(MATCH(M92,'[5]Tabla Impacto'!$B$221:$B$223,0))),'[5]Tabla Impacto'!$F$223&amp;"Por favor no seleccionar los criterios de impacto(Afectación Económica o presupuestal y Pérdida Reputacional)",M92)</f>
        <v xml:space="preserve">     El riesgo afecta la imagen de de la entidad con efecto publicitario sostenido a nivel de sector administrativo, nivel departamental o municipal</v>
      </c>
      <c r="O92" s="1643" t="str">
        <f>IF(OR(N92='[5]Tabla Impacto'!$C$11,N92='[5]Tabla Impacto'!$D$11),"Leve",IF(OR(N92='[5]Tabla Impacto'!$C$12,N92='[5]Tabla Impacto'!$D$12),"Menor",IF(OR(N92='[5]Tabla Impacto'!$C$13,N92='[5]Tabla Impacto'!$D$13),"Moderado",IF(OR(N92='[5]Tabla Impacto'!$C$14,N92='[5]Tabla Impacto'!$D$14),"Mayor",IF(OR(N92='[5]Tabla Impacto'!$C$15,N92='[5]Tabla Impacto'!$D$15),"Catastrófico","")))))</f>
        <v>Mayor</v>
      </c>
      <c r="P92" s="1632">
        <f>IF(O92="","",IF(O92="Leve",0.2,IF(O92="Menor",0.4,IF(O92="Moderado",0.6,IF(O92="Mayor",0.8,IF(O92="Catastrófico",1,))))))</f>
        <v>0.8</v>
      </c>
      <c r="Q92" s="1635" t="str">
        <f>IF(OR(AND(K92="Muy Baja",O92="Leve"),AND(K92="Muy Baja",O92="Menor"),AND(K92="Baja",O92="Leve")),"Bajo",IF(OR(AND(K92="Muy baja",O92="Moderado"),AND(K92="Baja",O92="Menor"),AND(K92="Baja",O92="Moderado"),AND(K92="Media",O92="Leve"),AND(K92="Media",O92="Menor"),AND(K92="Media",O92="Moderado"),AND(K92="Alta",O92="Leve"),AND(K92="Alta",O92="Menor")),"Moderado",IF(OR(AND(K92="Muy Baja",O92="Mayor"),AND(K92="Baja",O92="Mayor"),AND(K92="Media",O92="Mayor"),AND(K92="Alta",O92="Moderado"),AND(K92="Alta",O92="Mayor"),AND(K92="Muy Alta",O92="Leve"),AND(K92="Muy Alta",O92="Menor"),AND(K92="Muy Alta",O92="Moderado"),AND(K92="Muy Alta",O92="Mayor")),"Alto",IF(OR(AND(K92="Muy Baja",O92="Catastrófico"),AND(K92="Baja",O92="Catastrófico"),AND(K92="Media",O92="Catastrófico"),AND(K92="Alta",O92="Catastrófico"),AND(K92="Muy Alta",O92="Catastrófico")),"Extremo",""))))</f>
        <v>Alto</v>
      </c>
      <c r="R92" s="48">
        <v>1</v>
      </c>
      <c r="S92" s="60" t="s">
        <v>625</v>
      </c>
      <c r="T92" s="50" t="str">
        <f>IF(OR(U92="Preventivo",U92="Detectivo"),"Probabilidad",IF(U92="Correctivo","Impacto",""))</f>
        <v>Impacto</v>
      </c>
      <c r="U92" s="61" t="s">
        <v>308</v>
      </c>
      <c r="V92" s="61" t="s">
        <v>201</v>
      </c>
      <c r="W92" s="62" t="str">
        <f>IF(AND(U92="Preventivo",V92="Automático"),"50%",IF(AND(U92="Preventivo",V92="Manual"),"40%",IF(AND(U92="Detectivo",V92="Automático"),"40%",IF(AND(U92="Detectivo",V92="Manual"),"30%",IF(AND(U92="Correctivo",V92="Automático"),"35%",IF(AND(U92="Correctivo",V92="Manual"),"25%",""))))))</f>
        <v>25%</v>
      </c>
      <c r="X92" s="61" t="s">
        <v>208</v>
      </c>
      <c r="Y92" s="61" t="s">
        <v>210</v>
      </c>
      <c r="Z92" s="61" t="s">
        <v>204</v>
      </c>
      <c r="AA92" s="63">
        <f>IFERROR(IF(T92="Probabilidad",(L92-(+L92*W92)),IF(T92="Impacto",L92,"")),"")</f>
        <v>0.6</v>
      </c>
      <c r="AB92" s="64" t="str">
        <f>IFERROR(IF(AA92="","",IF(AA92&lt;=0.2,"Muy Baja",IF(AA92&lt;=0.4,"Baja",IF(AA92&lt;=0.6,"Media",IF(AA92&lt;=0.8,"Alta","Muy Alta"))))),"")</f>
        <v>Media</v>
      </c>
      <c r="AC92" s="65">
        <f>+AA92</f>
        <v>0.6</v>
      </c>
      <c r="AD92" s="64" t="str">
        <f>IFERROR(IF(AE92="","",IF(AE92&lt;=0.2,"Leve",IF(AE92&lt;=0.4,"Menor",IF(AE92&lt;=0.6,"Moderado",IF(AE92&lt;=0.8,"Mayor","Catastrófico"))))),"")</f>
        <v>Moderado</v>
      </c>
      <c r="AE92" s="65">
        <f>IFERROR(IF(T92="Impacto",(P92-(+P92*W92)),IF(T92="Probabilidad",P92,"")),"")</f>
        <v>0.60000000000000009</v>
      </c>
      <c r="AF92" s="66" t="str">
        <f>IFERROR(IF(OR(AND(AB92="Muy Baja",AD92="Leve"),AND(AB92="Muy Baja",AD92="Menor"),AND(AB92="Baja",AD92="Leve")),"Bajo",IF(OR(AND(AB92="Muy baja",AD92="Moderado"),AND(AB92="Baja",AD92="Menor"),AND(AB92="Baja",AD92="Moderado"),AND(AB92="Media",AD92="Leve"),AND(AB92="Media",AD92="Menor"),AND(AB92="Media",AD92="Moderado"),AND(AB92="Alta",AD92="Leve"),AND(AB92="Alta",AD92="Menor")),"Moderado",IF(OR(AND(AB92="Muy Baja",AD92="Mayor"),AND(AB92="Baja",AD92="Mayor"),AND(AB92="Media",AD92="Mayor"),AND(AB92="Alta",AD92="Moderado"),AND(AB92="Alta",AD92="Mayor"),AND(AB92="Muy Alta",AD92="Leve"),AND(AB92="Muy Alta",AD92="Menor"),AND(AB92="Muy Alta",AD92="Moderado"),AND(AB92="Muy Alta",AD92="Mayor")),"Alto",IF(OR(AND(AB92="Muy Baja",AD92="Catastrófico"),AND(AB92="Baja",AD92="Catastrófico"),AND(AB92="Media",AD92="Catastrófico"),AND(AB92="Alta",AD92="Catastrófico"),AND(AB92="Muy Alta",AD92="Catastrófico")),"Extremo","")))),"")</f>
        <v>Moderado</v>
      </c>
      <c r="AG92" s="1866" t="s">
        <v>205</v>
      </c>
      <c r="AH92" s="213" t="s">
        <v>416</v>
      </c>
      <c r="AI92" s="215" t="s">
        <v>417</v>
      </c>
      <c r="AJ92" s="357">
        <v>45292</v>
      </c>
      <c r="AK92" s="357">
        <v>45383</v>
      </c>
      <c r="AL92" s="357" t="s">
        <v>622</v>
      </c>
      <c r="AM92" s="357" t="s">
        <v>616</v>
      </c>
      <c r="AN92" s="357" t="s">
        <v>622</v>
      </c>
      <c r="AO92" s="357" t="s">
        <v>626</v>
      </c>
      <c r="AP92" s="357" t="s">
        <v>627</v>
      </c>
    </row>
    <row r="93" spans="1:42" s="184" customFormat="1" ht="171.6" customHeight="1" x14ac:dyDescent="0.25">
      <c r="A93" s="1619"/>
      <c r="B93" s="1621"/>
      <c r="C93" s="1899"/>
      <c r="D93" s="1915"/>
      <c r="E93" s="359" t="s">
        <v>418</v>
      </c>
      <c r="F93" s="1687"/>
      <c r="G93" s="1604"/>
      <c r="H93" s="1895"/>
      <c r="I93" s="1609"/>
      <c r="J93" s="1641"/>
      <c r="K93" s="1644"/>
      <c r="L93" s="1633"/>
      <c r="M93" s="1647"/>
      <c r="N93" s="1633">
        <f>IF(NOT(ISERROR(MATCH(M93,_xlfn.ANCHORARRAY(#REF!),0))),#REF!&amp;"Por favor no seleccionar los criterios de impacto",M93)</f>
        <v>0</v>
      </c>
      <c r="O93" s="1644"/>
      <c r="P93" s="1633"/>
      <c r="Q93" s="1636"/>
      <c r="R93" s="48">
        <v>2</v>
      </c>
      <c r="S93" s="60" t="s">
        <v>419</v>
      </c>
      <c r="T93" s="50" t="str">
        <f>IF(OR(U93="Preventivo",U93="Detectivo"),"Probabilidad",IF(U93="Correctivo","Impacto",""))</f>
        <v>Probabilidad</v>
      </c>
      <c r="U93" s="61" t="s">
        <v>200</v>
      </c>
      <c r="V93" s="61" t="s">
        <v>201</v>
      </c>
      <c r="W93" s="62" t="str">
        <f t="shared" ref="W93" si="47">IF(AND(U93="Preventivo",V93="Automático"),"50%",IF(AND(U93="Preventivo",V93="Manual"),"40%",IF(AND(U93="Detectivo",V93="Automático"),"40%",IF(AND(U93="Detectivo",V93="Manual"),"30%",IF(AND(U93="Correctivo",V93="Automático"),"35%",IF(AND(U93="Correctivo",V93="Manual"),"25%",""))))))</f>
        <v>30%</v>
      </c>
      <c r="X93" s="61" t="s">
        <v>208</v>
      </c>
      <c r="Y93" s="61" t="s">
        <v>203</v>
      </c>
      <c r="Z93" s="61" t="s">
        <v>204</v>
      </c>
      <c r="AA93" s="63">
        <f>IFERROR(IF(AND(T92="Probabilidad",T93="Probabilidad"),(AC92-(+AC92*W93)),IF(AND(T92="Impacto",T93="Probabilidad"),(L92-(+L92*W93)),IF(T93="Impacto",AC92,""))),"")</f>
        <v>0.42</v>
      </c>
      <c r="AB93" s="64" t="str">
        <f t="shared" ref="AB93" si="48">IFERROR(IF(AA93="","",IF(AA93&lt;=0.2,"Muy Baja",IF(AA93&lt;=0.4,"Baja",IF(AA93&lt;=0.6,"Media",IF(AA93&lt;=0.8,"Alta","Muy Alta"))))),"")</f>
        <v>Media</v>
      </c>
      <c r="AC93" s="65">
        <f>+AA93</f>
        <v>0.42</v>
      </c>
      <c r="AD93" s="64" t="str">
        <f t="shared" ref="AD93" si="49">IFERROR(IF(AE93="","",IF(AE93&lt;=0.2,"Leve",IF(AE93&lt;=0.4,"Menor",IF(AE93&lt;=0.6,"Moderado",IF(AE93&lt;=0.8,"Mayor","Catastrófico"))))),"")</f>
        <v>Moderado</v>
      </c>
      <c r="AE93" s="65">
        <f>IFERROR(IF(AND(T92="Impacto",T93="Impacto"),(AE92-(+AE92*W93)),IF(AND(T92="Probabilidad",T93="Impacto"),(P92-(+P92*W93)),IF(T93="Probabilidad",AE92,""))),"")</f>
        <v>0.60000000000000009</v>
      </c>
      <c r="AF93" s="66" t="str">
        <f t="shared" ref="AF93" si="50">IFERROR(IF(OR(AND(AB93="Muy Baja",AD93="Leve"),AND(AB93="Muy Baja",AD93="Menor"),AND(AB93="Baja",AD93="Leve")),"Bajo",IF(OR(AND(AB93="Muy baja",AD93="Moderado"),AND(AB93="Baja",AD93="Menor"),AND(AB93="Baja",AD93="Moderado"),AND(AB93="Media",AD93="Leve"),AND(AB93="Media",AD93="Menor"),AND(AB93="Media",AD93="Moderado"),AND(AB93="Alta",AD93="Leve"),AND(AB93="Alta",AD93="Menor")),"Moderado",IF(OR(AND(AB93="Muy Baja",AD93="Mayor"),AND(AB93="Baja",AD93="Mayor"),AND(AB93="Media",AD93="Mayor"),AND(AB93="Alta",AD93="Moderado"),AND(AB93="Alta",AD93="Mayor"),AND(AB93="Muy Alta",AD93="Leve"),AND(AB93="Muy Alta",AD93="Menor"),AND(AB93="Muy Alta",AD93="Moderado"),AND(AB93="Muy Alta",AD93="Mayor")),"Alto",IF(OR(AND(AB93="Muy Baja",AD93="Catastrófico"),AND(AB93="Baja",AD93="Catastrófico"),AND(AB93="Media",AD93="Catastrófico"),AND(AB93="Alta",AD93="Catastrófico"),AND(AB93="Muy Alta",AD93="Catastrófico")),"Extremo","")))),"")</f>
        <v>Moderado</v>
      </c>
      <c r="AG93" s="1867"/>
      <c r="AH93" s="213" t="s">
        <v>420</v>
      </c>
      <c r="AI93" s="215" t="s">
        <v>417</v>
      </c>
      <c r="AJ93" s="357">
        <v>45292</v>
      </c>
      <c r="AK93" s="357">
        <v>45383</v>
      </c>
      <c r="AL93" s="357" t="s">
        <v>628</v>
      </c>
      <c r="AM93" s="357" t="s">
        <v>616</v>
      </c>
      <c r="AN93" s="357" t="s">
        <v>622</v>
      </c>
      <c r="AO93" s="357" t="s">
        <v>621</v>
      </c>
      <c r="AP93" s="357" t="s">
        <v>629</v>
      </c>
    </row>
    <row r="94" spans="1:42" s="184" customFormat="1" ht="142.80000000000001" customHeight="1" x14ac:dyDescent="0.25">
      <c r="A94" s="1618">
        <v>3</v>
      </c>
      <c r="B94" s="1614" t="s">
        <v>209</v>
      </c>
      <c r="C94" s="1614" t="s">
        <v>412</v>
      </c>
      <c r="D94" s="1622" t="s">
        <v>630</v>
      </c>
      <c r="E94" s="88" t="s">
        <v>631</v>
      </c>
      <c r="F94" s="1625" t="s">
        <v>632</v>
      </c>
      <c r="G94" s="1603" t="s">
        <v>597</v>
      </c>
      <c r="H94" s="1894" t="s">
        <v>633</v>
      </c>
      <c r="I94" s="1608" t="s">
        <v>198</v>
      </c>
      <c r="J94" s="1611">
        <v>180</v>
      </c>
      <c r="K94" s="1595" t="str">
        <f t="shared" ref="K94" si="51">IF(J94&lt;=0,"",IF(J94&lt;=2,"Muy Baja",IF(J94&lt;=24,"Baja",IF(J94&lt;=500,"Media",IF(J94&lt;=5000,"Alta","Muy Alta")))))</f>
        <v>Media</v>
      </c>
      <c r="L94" s="1592">
        <f t="shared" ref="L94" si="52">IF(K94="","",IF(K94="Muy Baja",0.2,IF(K94="Baja",0.4,IF(K94="Media",0.6,IF(K94="Alta",0.8,IF(K94="Muy Alta",1,))))))</f>
        <v>0.6</v>
      </c>
      <c r="M94" s="1589" t="s">
        <v>199</v>
      </c>
      <c r="N94" s="1592" t="str">
        <f>IF(NOT(ISERROR(MATCH(M94,'[5]Tabla Impacto'!$B$221:$B$223,0))),'[5]Tabla Impacto'!$F$223&amp;"Por favor no seleccionar los criterios de impacto(Afectación Económica o presupuestal y Pérdida Reputacional)",M94)</f>
        <v xml:space="preserve">     El riesgo afecta la imagen de de la entidad con efecto publicitario sostenido a nivel de sector administrativo, nivel departamental o municipal</v>
      </c>
      <c r="O94" s="1595" t="str">
        <f>IF(OR(N94='[5]Tabla Impacto'!$C$11,N94='[5]Tabla Impacto'!$D$11),"Leve",IF(OR(N94='[5]Tabla Impacto'!$C$12,N94='[5]Tabla Impacto'!$D$12),"Menor",IF(OR(N94='[5]Tabla Impacto'!$C$13,N94='[5]Tabla Impacto'!$D$13),"Moderado",IF(OR(N94='[5]Tabla Impacto'!$C$14,N94='[5]Tabla Impacto'!$D$14),"Mayor",IF(OR(N94='[5]Tabla Impacto'!$C$15,N94='[5]Tabla Impacto'!$D$15),"Catastrófico","")))))</f>
        <v>Mayor</v>
      </c>
      <c r="P94" s="1592">
        <f t="shared" ref="P94" si="53">IF(O94="","",IF(O94="Leve",0.2,IF(O94="Menor",0.4,IF(O94="Moderado",0.6,IF(O94="Mayor",0.8,IF(O94="Catastrófico",1,))))))</f>
        <v>0.8</v>
      </c>
      <c r="Q94" s="1598" t="str">
        <f t="shared" ref="Q94" si="54">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Alto</v>
      </c>
      <c r="R94" s="48">
        <v>1</v>
      </c>
      <c r="S94" s="49"/>
      <c r="T94" s="50" t="str">
        <f>IF(OR(U94="Preventivo",U94="Detectivo"),"Probabilidad",IF(U94="Correctivo","Impacto",""))</f>
        <v>Probabilidad</v>
      </c>
      <c r="U94" s="61" t="s">
        <v>207</v>
      </c>
      <c r="V94" s="61"/>
      <c r="W94" s="62" t="str">
        <f>IF(AND(U94="Preventivo",V94="Automático"),"50%",IF(AND(U94="Preventivo",V94="Manual"),"40%",IF(AND(U94="Detectivo",V94="Automático"),"40%",IF(AND(U94="Detectivo",V94="Manual"),"30%",IF(AND(U94="Correctivo",V94="Automático"),"35%",IF(AND(U94="Correctivo",V94="Manual"),"25%",""))))))</f>
        <v/>
      </c>
      <c r="X94" s="61"/>
      <c r="Y94" s="61"/>
      <c r="Z94" s="61"/>
      <c r="AA94" s="63" t="str">
        <f>IFERROR(IF(T94="Probabilidad",(L94-(+L94*W94)),IF(T94="Impacto",L94,"")),"")</f>
        <v/>
      </c>
      <c r="AB94" s="64" t="str">
        <f>IFERROR(IF(AA94="","",IF(AA94&lt;=0.2,"Muy Baja",IF(AA94&lt;=0.4,"Baja",IF(AA94&lt;=0.6,"Media",IF(AA94&lt;=0.8,"Alta","Muy Alta"))))),"")</f>
        <v/>
      </c>
      <c r="AC94" s="65" t="str">
        <f>+AA94</f>
        <v/>
      </c>
      <c r="AD94" s="64" t="str">
        <f>IFERROR(IF(AE94="","",IF(AE94&lt;=0.2,"Leve",IF(AE94&lt;=0.4,"Menor",IF(AE94&lt;=0.6,"Moderado",IF(AE94&lt;=0.8,"Mayor","Catastrófico"))))),"")</f>
        <v>Mayor</v>
      </c>
      <c r="AE94" s="65">
        <f>IFERROR(IF(T94="Impacto",(P94-(+P94*W94)),IF(T94="Probabilidad",P94,"")),"")</f>
        <v>0.8</v>
      </c>
      <c r="AF94" s="66" t="str">
        <f>IFERROR(IF(OR(AND(AB94="Muy Baja",AD94="Leve"),AND(AB94="Muy Baja",AD94="Menor"),AND(AB94="Baja",AD94="Leve")),"Bajo",IF(OR(AND(AB94="Muy baja",AD94="Moderado"),AND(AB94="Baja",AD94="Menor"),AND(AB94="Baja",AD94="Moderado"),AND(AB94="Media",AD94="Leve"),AND(AB94="Media",AD94="Menor"),AND(AB94="Media",AD94="Moderado"),AND(AB94="Alta",AD94="Leve"),AND(AB94="Alta",AD94="Menor")),"Moderado",IF(OR(AND(AB94="Muy Baja",AD94="Mayor"),AND(AB94="Baja",AD94="Mayor"),AND(AB94="Media",AD94="Mayor"),AND(AB94="Alta",AD94="Moderado"),AND(AB94="Alta",AD94="Mayor"),AND(AB94="Muy Alta",AD94="Leve"),AND(AB94="Muy Alta",AD94="Menor"),AND(AB94="Muy Alta",AD94="Moderado"),AND(AB94="Muy Alta",AD94="Mayor")),"Alto",IF(OR(AND(AB94="Muy Baja",AD94="Catastrófico"),AND(AB94="Baja",AD94="Catastrófico"),AND(AB94="Media",AD94="Catastrófico"),AND(AB94="Alta",AD94="Catastrófico"),AND(AB94="Muy Alta",AD94="Catastrófico")),"Extremo","")))),"")</f>
        <v/>
      </c>
      <c r="AG94" s="81"/>
      <c r="AH94" s="77"/>
      <c r="AI94" s="78"/>
      <c r="AJ94" s="82"/>
      <c r="AK94" s="82"/>
      <c r="AL94" s="77"/>
      <c r="AM94" s="78"/>
      <c r="AN94" s="229"/>
      <c r="AO94" s="229"/>
      <c r="AP94" s="229"/>
    </row>
    <row r="95" spans="1:42" s="184" customFormat="1" ht="57.75" customHeight="1" x14ac:dyDescent="0.25">
      <c r="A95" s="1619"/>
      <c r="B95" s="1621"/>
      <c r="C95" s="1621"/>
      <c r="D95" s="1623"/>
      <c r="E95" s="88" t="s">
        <v>634</v>
      </c>
      <c r="F95" s="1625"/>
      <c r="G95" s="1604"/>
      <c r="H95" s="1895"/>
      <c r="I95" s="1609"/>
      <c r="J95" s="1612"/>
      <c r="K95" s="1596"/>
      <c r="L95" s="1593"/>
      <c r="M95" s="1590"/>
      <c r="N95" s="1593">
        <f>IF(NOT(ISERROR(MATCH(M95,_xlfn.ANCHORARRAY(#REF!),0))),#REF!&amp;"Por favor no seleccionar los criterios de impacto",M95)</f>
        <v>0</v>
      </c>
      <c r="O95" s="1596"/>
      <c r="P95" s="1593"/>
      <c r="Q95" s="1599"/>
      <c r="R95" s="48">
        <v>2</v>
      </c>
      <c r="S95" s="49"/>
      <c r="T95" s="50" t="str">
        <f>IF(OR(U95="Preventivo",U95="Detectivo"),"Probabilidad",IF(U95="Correctivo","Impacto",""))</f>
        <v/>
      </c>
      <c r="U95" s="61"/>
      <c r="V95" s="61"/>
      <c r="W95" s="62" t="str">
        <f t="shared" ref="W95" si="55">IF(AND(U95="Preventivo",V95="Automático"),"50%",IF(AND(U95="Preventivo",V95="Manual"),"40%",IF(AND(U95="Detectivo",V95="Automático"),"40%",IF(AND(U95="Detectivo",V95="Manual"),"30%",IF(AND(U95="Correctivo",V95="Automático"),"35%",IF(AND(U95="Correctivo",V95="Manual"),"25%",""))))))</f>
        <v/>
      </c>
      <c r="X95" s="61"/>
      <c r="Y95" s="61"/>
      <c r="Z95" s="61"/>
      <c r="AA95" s="63" t="str">
        <f>IFERROR(IF(AND(T94="Probabilidad",T95="Probabilidad"),(AC94-(+AC94*W95)),IF(AND(T94="Impacto",T95="Probabilidad"),(L94-(+L94*W95)),IF(T95="Impacto",AC94,""))),"")</f>
        <v/>
      </c>
      <c r="AB95" s="64" t="str">
        <f t="shared" ref="AB95" si="56">IFERROR(IF(AA95="","",IF(AA95&lt;=0.2,"Muy Baja",IF(AA95&lt;=0.4,"Baja",IF(AA95&lt;=0.6,"Media",IF(AA95&lt;=0.8,"Alta","Muy Alta"))))),"")</f>
        <v/>
      </c>
      <c r="AC95" s="65" t="str">
        <f>+AA95</f>
        <v/>
      </c>
      <c r="AD95" s="64" t="str">
        <f t="shared" ref="AD95" si="57">IFERROR(IF(AE95="","",IF(AE95&lt;=0.2,"Leve",IF(AE95&lt;=0.4,"Menor",IF(AE95&lt;=0.6,"Moderado",IF(AE95&lt;=0.8,"Mayor","Catastrófico"))))),"")</f>
        <v/>
      </c>
      <c r="AE95" s="65" t="str">
        <f>IFERROR(IF(AND(T94="Impacto",T95="Impacto"),(AE94-(+AE94*W95)),IF(AND(T94="Probabilidad",T95="Impacto"),(P94-(+P94*W95)),IF(T95="Probabilidad",AE94,""))),"")</f>
        <v/>
      </c>
      <c r="AF95" s="66" t="str">
        <f t="shared" ref="AF95" si="58">IFERROR(IF(OR(AND(AB95="Muy Baja",AD95="Leve"),AND(AB95="Muy Baja",AD95="Menor"),AND(AB95="Baja",AD95="Leve")),"Bajo",IF(OR(AND(AB95="Muy baja",AD95="Moderado"),AND(AB95="Baja",AD95="Menor"),AND(AB95="Baja",AD95="Moderado"),AND(AB95="Media",AD95="Leve"),AND(AB95="Media",AD95="Menor"),AND(AB95="Media",AD95="Moderado"),AND(AB95="Alta",AD95="Leve"),AND(AB95="Alta",AD95="Menor")),"Moderado",IF(OR(AND(AB95="Muy Baja",AD95="Mayor"),AND(AB95="Baja",AD95="Mayor"),AND(AB95="Media",AD95="Mayor"),AND(AB95="Alta",AD95="Moderado"),AND(AB95="Alta",AD95="Mayor"),AND(AB95="Muy Alta",AD95="Leve"),AND(AB95="Muy Alta",AD95="Menor"),AND(AB95="Muy Alta",AD95="Moderado"),AND(AB95="Muy Alta",AD95="Mayor")),"Alto",IF(OR(AND(AB95="Muy Baja",AD95="Catastrófico"),AND(AB95="Baja",AD95="Catastrófico"),AND(AB95="Media",AD95="Catastrófico"),AND(AB95="Alta",AD95="Catastrófico"),AND(AB95="Muy Alta",AD95="Catastrófico")),"Extremo","")))),"")</f>
        <v/>
      </c>
      <c r="AG95" s="81"/>
      <c r="AH95" s="77"/>
      <c r="AI95" s="78"/>
      <c r="AJ95" s="82"/>
      <c r="AK95" s="82"/>
      <c r="AL95" s="77"/>
      <c r="AM95" s="78"/>
      <c r="AN95" s="229"/>
      <c r="AO95" s="229"/>
      <c r="AP95" s="229"/>
    </row>
    <row r="96" spans="1:42" s="184" customFormat="1" ht="16.5" customHeight="1" x14ac:dyDescent="0.25">
      <c r="A96" s="1681" t="s">
        <v>156</v>
      </c>
      <c r="B96" s="1682"/>
      <c r="C96" s="1682"/>
      <c r="D96" s="1682"/>
      <c r="E96" s="1682"/>
      <c r="F96" s="1682"/>
      <c r="G96" s="1682"/>
      <c r="H96" s="1682"/>
      <c r="I96" s="1682"/>
      <c r="J96" s="1682"/>
      <c r="K96" s="1682"/>
      <c r="L96" s="1682"/>
      <c r="M96" s="1682"/>
      <c r="N96" s="1682"/>
      <c r="O96" s="1682"/>
      <c r="P96" s="1682"/>
      <c r="Q96" s="1682"/>
      <c r="R96" s="1682"/>
      <c r="S96" s="1682"/>
      <c r="T96" s="1682"/>
      <c r="U96" s="1682"/>
      <c r="V96" s="1682"/>
      <c r="W96" s="1682"/>
      <c r="X96" s="1682"/>
      <c r="Y96" s="1682"/>
      <c r="Z96" s="1682"/>
      <c r="AA96" s="1682"/>
      <c r="AB96" s="1682"/>
      <c r="AC96" s="1682"/>
      <c r="AD96" s="1682"/>
      <c r="AE96" s="1682"/>
      <c r="AF96" s="1682"/>
      <c r="AG96" s="1682"/>
      <c r="AH96" s="1682"/>
      <c r="AI96" s="1682"/>
      <c r="AJ96" s="1682"/>
      <c r="AK96" s="1682"/>
      <c r="AL96" s="1682"/>
      <c r="AM96" s="1683"/>
      <c r="AN96" s="37"/>
      <c r="AO96" s="37"/>
      <c r="AP96" s="37"/>
    </row>
    <row r="97" spans="1:42" s="184" customFormat="1" ht="24" customHeight="1" x14ac:dyDescent="0.25">
      <c r="A97" s="1684"/>
      <c r="B97" s="1685"/>
      <c r="C97" s="1685"/>
      <c r="D97" s="1685"/>
      <c r="E97" s="1685"/>
      <c r="F97" s="1685"/>
      <c r="G97" s="1685"/>
      <c r="H97" s="1685"/>
      <c r="I97" s="1685"/>
      <c r="J97" s="1685"/>
      <c r="K97" s="1685"/>
      <c r="L97" s="1685"/>
      <c r="M97" s="1685"/>
      <c r="N97" s="1685"/>
      <c r="O97" s="1685"/>
      <c r="P97" s="1685"/>
      <c r="Q97" s="1685"/>
      <c r="R97" s="1685"/>
      <c r="S97" s="1685"/>
      <c r="T97" s="1685"/>
      <c r="U97" s="1685"/>
      <c r="V97" s="1685"/>
      <c r="W97" s="1685"/>
      <c r="X97" s="1685"/>
      <c r="Y97" s="1685"/>
      <c r="Z97" s="1685"/>
      <c r="AA97" s="1685"/>
      <c r="AB97" s="1685"/>
      <c r="AC97" s="1685"/>
      <c r="AD97" s="1685"/>
      <c r="AE97" s="1685"/>
      <c r="AF97" s="1685"/>
      <c r="AG97" s="1685"/>
      <c r="AH97" s="1685"/>
      <c r="AI97" s="1685"/>
      <c r="AJ97" s="1685"/>
      <c r="AK97" s="1685"/>
      <c r="AL97" s="1685"/>
      <c r="AM97" s="1686"/>
      <c r="AN97" s="37"/>
      <c r="AO97" s="37"/>
      <c r="AP97" s="37"/>
    </row>
    <row r="98" spans="1:42" s="184" customFormat="1" x14ac:dyDescent="0.25">
      <c r="A98" s="242"/>
      <c r="B98" s="243"/>
      <c r="C98" s="242"/>
      <c r="D98" s="242"/>
      <c r="E98" s="242"/>
      <c r="F98" s="37"/>
      <c r="G98" s="37"/>
      <c r="H98" s="225"/>
      <c r="I98" s="225"/>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row>
    <row r="99" spans="1:42" s="184" customFormat="1" ht="26.25" customHeight="1" x14ac:dyDescent="0.25">
      <c r="A99" s="1667" t="s">
        <v>157</v>
      </c>
      <c r="B99" s="1929"/>
      <c r="C99" s="1821" t="s">
        <v>495</v>
      </c>
      <c r="D99" s="1822"/>
      <c r="E99" s="1822"/>
      <c r="F99" s="1822"/>
      <c r="G99" s="1822"/>
      <c r="H99" s="1822"/>
      <c r="I99" s="1822"/>
      <c r="J99" s="1822"/>
      <c r="K99" s="1822"/>
      <c r="L99" s="1822"/>
      <c r="M99" s="1822"/>
      <c r="N99" s="1822"/>
      <c r="O99" s="1822"/>
      <c r="P99" s="1822"/>
      <c r="Q99" s="1822"/>
      <c r="R99" s="1822"/>
      <c r="S99" s="1822"/>
      <c r="T99" s="1822"/>
      <c r="U99" s="1822"/>
      <c r="V99" s="1822"/>
      <c r="W99" s="1822"/>
      <c r="X99" s="1822"/>
      <c r="Y99" s="1822"/>
      <c r="Z99" s="1822"/>
      <c r="AA99" s="1822"/>
      <c r="AB99" s="1822"/>
      <c r="AC99" s="1822"/>
      <c r="AD99" s="1822"/>
      <c r="AE99" s="1822"/>
      <c r="AF99" s="1822"/>
      <c r="AG99" s="1822"/>
      <c r="AH99" s="1822"/>
      <c r="AI99" s="1822"/>
      <c r="AJ99" s="1822"/>
      <c r="AK99" s="1822"/>
      <c r="AL99" s="1822"/>
      <c r="AM99" s="1823"/>
      <c r="AN99" s="37"/>
      <c r="AO99" s="37"/>
      <c r="AP99" s="37"/>
    </row>
    <row r="100" spans="1:42" s="184" customFormat="1" ht="75.75" customHeight="1" x14ac:dyDescent="0.25">
      <c r="A100" s="1667" t="s">
        <v>158</v>
      </c>
      <c r="B100" s="1929"/>
      <c r="C100" s="1821" t="s">
        <v>636</v>
      </c>
      <c r="D100" s="1822"/>
      <c r="E100" s="1822"/>
      <c r="F100" s="1822"/>
      <c r="G100" s="1822"/>
      <c r="H100" s="1822"/>
      <c r="I100" s="1822"/>
      <c r="J100" s="1822"/>
      <c r="K100" s="1822"/>
      <c r="L100" s="1822"/>
      <c r="M100" s="1822"/>
      <c r="N100" s="1822"/>
      <c r="O100" s="1822"/>
      <c r="P100" s="1822"/>
      <c r="Q100" s="1822"/>
      <c r="R100" s="1822"/>
      <c r="S100" s="1822"/>
      <c r="T100" s="1822"/>
      <c r="U100" s="1822"/>
      <c r="V100" s="1822"/>
      <c r="W100" s="1822"/>
      <c r="X100" s="1822"/>
      <c r="Y100" s="1822"/>
      <c r="Z100" s="1822"/>
      <c r="AA100" s="1822"/>
      <c r="AB100" s="1822"/>
      <c r="AC100" s="1822"/>
      <c r="AD100" s="1822"/>
      <c r="AE100" s="1822"/>
      <c r="AF100" s="1822"/>
      <c r="AG100" s="1822"/>
      <c r="AH100" s="1822"/>
      <c r="AI100" s="1822"/>
      <c r="AJ100" s="1822"/>
      <c r="AK100" s="1822"/>
      <c r="AL100" s="1822"/>
      <c r="AM100" s="1823"/>
      <c r="AN100" s="37"/>
      <c r="AO100" s="37"/>
      <c r="AP100" s="37"/>
    </row>
    <row r="101" spans="1:42" s="184" customFormat="1" ht="49.5" customHeight="1" x14ac:dyDescent="0.25">
      <c r="A101" s="1667" t="s">
        <v>159</v>
      </c>
      <c r="B101" s="1929"/>
      <c r="C101" s="1821" t="s">
        <v>637</v>
      </c>
      <c r="D101" s="1822"/>
      <c r="E101" s="1822"/>
      <c r="F101" s="1822"/>
      <c r="G101" s="1822"/>
      <c r="H101" s="1822"/>
      <c r="I101" s="1822"/>
      <c r="J101" s="1822"/>
      <c r="K101" s="1822"/>
      <c r="L101" s="1822"/>
      <c r="M101" s="1822"/>
      <c r="N101" s="1822"/>
      <c r="O101" s="1822"/>
      <c r="P101" s="1822"/>
      <c r="Q101" s="1822"/>
      <c r="R101" s="1822"/>
      <c r="S101" s="1822"/>
      <c r="T101" s="1822"/>
      <c r="U101" s="1822"/>
      <c r="V101" s="1822"/>
      <c r="W101" s="1822"/>
      <c r="X101" s="1822"/>
      <c r="Y101" s="1822"/>
      <c r="Z101" s="1822"/>
      <c r="AA101" s="1822"/>
      <c r="AB101" s="1822"/>
      <c r="AC101" s="1822"/>
      <c r="AD101" s="1822"/>
      <c r="AE101" s="1822"/>
      <c r="AF101" s="1822"/>
      <c r="AG101" s="1822"/>
      <c r="AH101" s="1822"/>
      <c r="AI101" s="1822"/>
      <c r="AJ101" s="1822"/>
      <c r="AK101" s="1822"/>
      <c r="AL101" s="1822"/>
      <c r="AM101" s="1823"/>
      <c r="AN101" s="37"/>
      <c r="AO101" s="37"/>
      <c r="AP101" s="37"/>
    </row>
    <row r="102" spans="1:42" s="184" customFormat="1" ht="28.8" customHeight="1" x14ac:dyDescent="0.25">
      <c r="A102" s="1670" t="s">
        <v>160</v>
      </c>
      <c r="B102" s="1671"/>
      <c r="C102" s="1671"/>
      <c r="D102" s="1671"/>
      <c r="E102" s="1671"/>
      <c r="F102" s="1671"/>
      <c r="G102" s="1671"/>
      <c r="H102" s="1671"/>
      <c r="I102" s="1671"/>
      <c r="J102" s="1928"/>
      <c r="K102" s="1670" t="s">
        <v>161</v>
      </c>
      <c r="L102" s="1671"/>
      <c r="M102" s="1671"/>
      <c r="N102" s="1671"/>
      <c r="O102" s="1671"/>
      <c r="P102" s="1671"/>
      <c r="Q102" s="1928"/>
      <c r="R102" s="1670" t="s">
        <v>162</v>
      </c>
      <c r="S102" s="1671"/>
      <c r="T102" s="1671"/>
      <c r="U102" s="1671"/>
      <c r="V102" s="1671"/>
      <c r="W102" s="1671"/>
      <c r="X102" s="1671"/>
      <c r="Y102" s="1671"/>
      <c r="Z102" s="1928"/>
      <c r="AA102" s="1670" t="s">
        <v>163</v>
      </c>
      <c r="AB102" s="1671"/>
      <c r="AC102" s="1671"/>
      <c r="AD102" s="1671"/>
      <c r="AE102" s="1671"/>
      <c r="AF102" s="1671"/>
      <c r="AG102" s="1928"/>
      <c r="AH102" s="1670" t="s">
        <v>164</v>
      </c>
      <c r="AI102" s="1671"/>
      <c r="AJ102" s="1671"/>
      <c r="AK102" s="1671"/>
      <c r="AL102" s="1671"/>
      <c r="AM102" s="1928"/>
      <c r="AN102" s="37"/>
      <c r="AO102" s="37"/>
      <c r="AP102" s="37"/>
    </row>
    <row r="103" spans="1:42" s="184" customFormat="1" ht="16.5" customHeight="1" x14ac:dyDescent="0.25">
      <c r="A103" s="1649" t="s">
        <v>165</v>
      </c>
      <c r="B103" s="1651" t="s">
        <v>142</v>
      </c>
      <c r="C103" s="1626" t="s">
        <v>166</v>
      </c>
      <c r="D103" s="1626" t="s">
        <v>167</v>
      </c>
      <c r="E103" s="39"/>
      <c r="F103" s="1652" t="s">
        <v>60</v>
      </c>
      <c r="G103" s="1652" t="s">
        <v>511</v>
      </c>
      <c r="H103" s="1631" t="s">
        <v>169</v>
      </c>
      <c r="I103" s="40"/>
      <c r="J103" s="1626" t="s">
        <v>170</v>
      </c>
      <c r="K103" s="1628" t="s">
        <v>171</v>
      </c>
      <c r="L103" s="1629" t="s">
        <v>172</v>
      </c>
      <c r="M103" s="1631" t="s">
        <v>173</v>
      </c>
      <c r="N103" s="1631" t="s">
        <v>174</v>
      </c>
      <c r="O103" s="1666" t="s">
        <v>175</v>
      </c>
      <c r="P103" s="1629" t="s">
        <v>172</v>
      </c>
      <c r="Q103" s="1626" t="s">
        <v>176</v>
      </c>
      <c r="R103" s="1664" t="s">
        <v>177</v>
      </c>
      <c r="S103" s="1627" t="s">
        <v>178</v>
      </c>
      <c r="T103" s="1631" t="s">
        <v>179</v>
      </c>
      <c r="U103" s="1627" t="s">
        <v>180</v>
      </c>
      <c r="V103" s="1627"/>
      <c r="W103" s="1627"/>
      <c r="X103" s="1627"/>
      <c r="Y103" s="1627"/>
      <c r="Z103" s="1627"/>
      <c r="AA103" s="1663" t="s">
        <v>181</v>
      </c>
      <c r="AB103" s="1663" t="s">
        <v>182</v>
      </c>
      <c r="AC103" s="1663" t="s">
        <v>172</v>
      </c>
      <c r="AD103" s="1663" t="s">
        <v>183</v>
      </c>
      <c r="AE103" s="1663" t="s">
        <v>172</v>
      </c>
      <c r="AF103" s="1663" t="s">
        <v>184</v>
      </c>
      <c r="AG103" s="1664" t="s">
        <v>185</v>
      </c>
      <c r="AH103" s="1627" t="s">
        <v>164</v>
      </c>
      <c r="AI103" s="1627" t="s">
        <v>143</v>
      </c>
      <c r="AJ103" s="1627" t="s">
        <v>186</v>
      </c>
      <c r="AK103" s="1627" t="s">
        <v>187</v>
      </c>
      <c r="AL103" s="1627" t="s">
        <v>188</v>
      </c>
      <c r="AM103" s="1627" t="s">
        <v>189</v>
      </c>
      <c r="AN103" s="37"/>
      <c r="AO103" s="37"/>
      <c r="AP103" s="37"/>
    </row>
    <row r="104" spans="1:42" s="222" customFormat="1" ht="94.5" customHeight="1" x14ac:dyDescent="0.3">
      <c r="A104" s="1650"/>
      <c r="B104" s="1651"/>
      <c r="C104" s="1627"/>
      <c r="D104" s="1627"/>
      <c r="E104" s="41" t="s">
        <v>168</v>
      </c>
      <c r="F104" s="1651"/>
      <c r="G104" s="1651"/>
      <c r="H104" s="1626"/>
      <c r="I104" s="39" t="s">
        <v>211</v>
      </c>
      <c r="J104" s="1627"/>
      <c r="K104" s="1626"/>
      <c r="L104" s="1630"/>
      <c r="M104" s="1626"/>
      <c r="N104" s="1626"/>
      <c r="O104" s="1630"/>
      <c r="P104" s="1630"/>
      <c r="Q104" s="1627"/>
      <c r="R104" s="1665"/>
      <c r="S104" s="1627"/>
      <c r="T104" s="1626"/>
      <c r="U104" s="42" t="s">
        <v>191</v>
      </c>
      <c r="V104" s="42" t="s">
        <v>192</v>
      </c>
      <c r="W104" s="42" t="s">
        <v>193</v>
      </c>
      <c r="X104" s="42" t="s">
        <v>194</v>
      </c>
      <c r="Y104" s="42" t="s">
        <v>195</v>
      </c>
      <c r="Z104" s="42" t="s">
        <v>196</v>
      </c>
      <c r="AA104" s="1663"/>
      <c r="AB104" s="1663"/>
      <c r="AC104" s="1663"/>
      <c r="AD104" s="1663"/>
      <c r="AE104" s="1663"/>
      <c r="AF104" s="1663"/>
      <c r="AG104" s="1665"/>
      <c r="AH104" s="1627"/>
      <c r="AI104" s="1627"/>
      <c r="AJ104" s="1627"/>
      <c r="AK104" s="1627"/>
      <c r="AL104" s="1627"/>
      <c r="AM104" s="1627"/>
      <c r="AN104" s="230"/>
      <c r="AO104" s="230"/>
      <c r="AP104" s="230"/>
    </row>
    <row r="105" spans="1:42" s="231" customFormat="1" ht="93" customHeight="1" x14ac:dyDescent="0.3">
      <c r="A105" s="1851">
        <v>1</v>
      </c>
      <c r="B105" s="1614" t="s">
        <v>209</v>
      </c>
      <c r="C105" s="1614" t="s">
        <v>496</v>
      </c>
      <c r="D105" s="1614" t="s">
        <v>497</v>
      </c>
      <c r="E105" s="1601" t="s">
        <v>498</v>
      </c>
      <c r="F105" s="1830" t="s">
        <v>499</v>
      </c>
      <c r="G105" s="217" t="s">
        <v>512</v>
      </c>
      <c r="H105" s="1614" t="s">
        <v>198</v>
      </c>
      <c r="I105" s="43" t="s">
        <v>500</v>
      </c>
      <c r="J105" s="1611">
        <v>365</v>
      </c>
      <c r="K105" s="1595" t="str">
        <f>IF(J105&lt;=0,"",IF(J105&lt;=2,"Muy Baja",IF(J105&lt;=24,"Baja",IF(J105&lt;=500,"Media",IF(J105&lt;=5000,"Alta","Muy Alta")))))</f>
        <v>Media</v>
      </c>
      <c r="L105" s="1592">
        <f>IF(K105="","",IF(K105="Muy Baja",0.2,IF(K105="Baja",0.4,IF(K105="Media",0.6,IF(K105="Alta",0.8,IF(K105="Muy Alta",1,))))))</f>
        <v>0.6</v>
      </c>
      <c r="M105" s="1589" t="s">
        <v>199</v>
      </c>
      <c r="N105" s="1592" t="str">
        <f>IF(NOT(ISERROR(MATCH(M105,'[6]Tabla Impacto'!$B$221:$B$223,0))),'[6]Tabla Impacto'!$F$223&amp;"Por favor no seleccionar los criterios de impacto(Afectación Económica o presupuestal y Pérdida Reputacional)",M105)</f>
        <v xml:space="preserve">     El riesgo afecta la imagen de de la entidad con efecto publicitario sostenido a nivel de sector administrativo, nivel departamental o municipal</v>
      </c>
      <c r="O105" s="1595" t="str">
        <f>IF(OR(N105='[6]Tabla Impacto'!$C$11,N105='[6]Tabla Impacto'!$D$11),"Leve",IF(OR(N105='[6]Tabla Impacto'!$C$12,N105='[6]Tabla Impacto'!$D$12),"Menor",IF(OR(N105='[6]Tabla Impacto'!$C$13,N105='[6]Tabla Impacto'!$D$13),"Moderado",IF(OR(N105='[6]Tabla Impacto'!$C$14,N105='[6]Tabla Impacto'!$D$14),"Mayor",IF(OR(N105='[6]Tabla Impacto'!$C$15,N105='[6]Tabla Impacto'!$D$15),"Catastrófico","")))))</f>
        <v>Mayor</v>
      </c>
      <c r="P105" s="1592">
        <f>IF(O105="","",IF(O105="Leve",0.2,IF(O105="Menor",0.4,IF(O105="Moderado",0.6,IF(O105="Mayor",0.8,IF(O105="Catastrófico",1,))))))</f>
        <v>0.8</v>
      </c>
      <c r="Q105" s="1598" t="str">
        <f>IF(OR(AND(K105="Muy Baja",O105="Leve"),AND(K105="Muy Baja",O105="Menor"),AND(K105="Baja",O105="Leve")),"Bajo",IF(OR(AND(K105="Muy baja",O105="Moderado"),AND(K105="Baja",O105="Menor"),AND(K105="Baja",O105="Moderado"),AND(K105="Media",O105="Leve"),AND(K105="Media",O105="Menor"),AND(K105="Media",O105="Moderado"),AND(K105="Alta",O105="Leve"),AND(K105="Alta",O105="Menor")),"Moderado",IF(OR(AND(K105="Muy Baja",O105="Mayor"),AND(K105="Baja",O105="Mayor"),AND(K105="Media",O105="Mayor"),AND(K105="Alta",O105="Moderado"),AND(K105="Alta",O105="Mayor"),AND(K105="Muy Alta",O105="Leve"),AND(K105="Muy Alta",O105="Menor"),AND(K105="Muy Alta",O105="Moderado"),AND(K105="Muy Alta",O105="Mayor")),"Alto",IF(OR(AND(K105="Muy Baja",O105="Catastrófico"),AND(K105="Baja",O105="Catastrófico"),AND(K105="Media",O105="Catastrófico"),AND(K105="Alta",O105="Catastrófico"),AND(K105="Muy Alta",O105="Catastrófico")),"Extremo",""))))</f>
        <v>Alto</v>
      </c>
      <c r="R105" s="48">
        <v>1</v>
      </c>
      <c r="S105" s="49" t="s">
        <v>501</v>
      </c>
      <c r="T105" s="50" t="str">
        <f>IF(OR(U105="Preventivo",U105="Detectivo"),"Probabilidad",IF(U105="Correctivo","Impacto",""))</f>
        <v>Probabilidad</v>
      </c>
      <c r="U105" s="51" t="s">
        <v>200</v>
      </c>
      <c r="V105" s="51" t="s">
        <v>201</v>
      </c>
      <c r="W105" s="52" t="str">
        <f>IF(AND(U105="Preventivo",V105="Automático"),"50%",IF(AND(U105="Preventivo",V105="Manual"),"40%",IF(AND(U105="Detectivo",V105="Automático"),"40%",IF(AND(U105="Detectivo",V105="Manual"),"30%",IF(AND(U105="Correctivo",V105="Automático"),"35%",IF(AND(U105="Correctivo",V105="Manual"),"25%",""))))))</f>
        <v>30%</v>
      </c>
      <c r="X105" s="51" t="s">
        <v>202</v>
      </c>
      <c r="Y105" s="51" t="s">
        <v>203</v>
      </c>
      <c r="Z105" s="51" t="s">
        <v>204</v>
      </c>
      <c r="AA105" s="63">
        <f>IFERROR(IF(T105="Probabilidad",(L105-(+L105*W105)),IF(T105="Impacto",L105,"")),"")</f>
        <v>0.42</v>
      </c>
      <c r="AB105" s="218" t="str">
        <f>IFERROR(IF(AA105="","",IF(AA105&lt;=0.2,"Muy Baja",IF(AA105&lt;=0.4,"Baja",IF(AA105&lt;=0.6,"Media",IF(AA105&lt;=0.8,"Alta","Muy Alta"))))),"")</f>
        <v>Media</v>
      </c>
      <c r="AC105" s="219">
        <f>+AA105</f>
        <v>0.42</v>
      </c>
      <c r="AD105" s="218" t="str">
        <f>IFERROR(IF(AE105="","",IF(AE105&lt;=0.2,"Leve",IF(AE105&lt;=0.4,"Menor",IF(AE105&lt;=0.6,"Moderado",IF(AE105&lt;=0.8,"Mayor","Catastrófico"))))),"")</f>
        <v>Mayor</v>
      </c>
      <c r="AE105" s="219">
        <f>IFERROR(IF(T105="Impacto",(P105-(+P105*W105)),IF(T105="Probabilidad",P105,"")),"")</f>
        <v>0.8</v>
      </c>
      <c r="AF105" s="220" t="str">
        <f>IFERROR(IF(OR(AND(AB105="Muy Baja",AD105="Leve"),AND(AB105="Muy Baja",AD105="Menor"),AND(AB105="Baja",AD105="Leve")),"Bajo",IF(OR(AND(AB105="Muy baja",AD105="Moderado"),AND(AB105="Baja",AD105="Menor"),AND(AB105="Baja",AD105="Moderado"),AND(AB105="Media",AD105="Leve"),AND(AB105="Media",AD105="Menor"),AND(AB105="Media",AD105="Moderado"),AND(AB105="Alta",AD105="Leve"),AND(AB105="Alta",AD105="Menor")),"Moderado",IF(OR(AND(AB105="Muy Baja",AD105="Mayor"),AND(AB105="Baja",AD105="Mayor"),AND(AB105="Media",AD105="Mayor"),AND(AB105="Alta",AD105="Moderado"),AND(AB105="Alta",AD105="Mayor"),AND(AB105="Muy Alta",AD105="Leve"),AND(AB105="Muy Alta",AD105="Menor"),AND(AB105="Muy Alta",AD105="Moderado"),AND(AB105="Muy Alta",AD105="Mayor")),"Alto",IF(OR(AND(AB105="Muy Baja",AD105="Catastrófico"),AND(AB105="Baja",AD105="Catastrófico"),AND(AB105="Media",AD105="Catastrófico"),AND(AB105="Alta",AD105="Catastrófico"),AND(AB105="Muy Alta",AD105="Catastrófico")),"Extremo","")))),"")</f>
        <v>Alto</v>
      </c>
      <c r="AG105" s="1924" t="s">
        <v>205</v>
      </c>
      <c r="AH105" s="1614" t="s">
        <v>502</v>
      </c>
      <c r="AI105" s="1614" t="s">
        <v>503</v>
      </c>
      <c r="AJ105" s="234" t="s">
        <v>504</v>
      </c>
      <c r="AK105" s="235">
        <v>45289</v>
      </c>
      <c r="AL105" s="237" t="s">
        <v>638</v>
      </c>
      <c r="AM105" s="78"/>
      <c r="AN105" s="224"/>
      <c r="AO105" s="224"/>
      <c r="AP105" s="224"/>
    </row>
    <row r="106" spans="1:42" s="184" customFormat="1" ht="72.75" customHeight="1" x14ac:dyDescent="0.25">
      <c r="A106" s="1927"/>
      <c r="B106" s="1621"/>
      <c r="C106" s="1621"/>
      <c r="D106" s="1621"/>
      <c r="E106" s="1899"/>
      <c r="F106" s="1831"/>
      <c r="G106" s="221"/>
      <c r="H106" s="1621"/>
      <c r="I106" s="53"/>
      <c r="J106" s="1612"/>
      <c r="K106" s="1596"/>
      <c r="L106" s="1593"/>
      <c r="M106" s="1590"/>
      <c r="N106" s="1593">
        <f>IF(NOT(ISERROR(MATCH(M106,_xlfn.ANCHORARRAY(F117),0))),L119&amp;"Por favor no seleccionar los criterios de impacto",M106)</f>
        <v>0</v>
      </c>
      <c r="O106" s="1596"/>
      <c r="P106" s="1593"/>
      <c r="Q106" s="1599"/>
      <c r="R106" s="48">
        <v>2</v>
      </c>
      <c r="S106" s="49" t="s">
        <v>505</v>
      </c>
      <c r="T106" s="50" t="str">
        <f>IF(OR(U106="Preventivo",U106="Detectivo"),"Probabilidad",IF(U106="Correctivo","Impacto",""))</f>
        <v>Probabilidad</v>
      </c>
      <c r="U106" s="51" t="s">
        <v>207</v>
      </c>
      <c r="V106" s="51" t="s">
        <v>201</v>
      </c>
      <c r="W106" s="52" t="str">
        <f t="shared" ref="W106:W110" si="59">IF(AND(U106="Preventivo",V106="Automático"),"50%",IF(AND(U106="Preventivo",V106="Manual"),"40%",IF(AND(U106="Detectivo",V106="Automático"),"40%",IF(AND(U106="Detectivo",V106="Manual"),"30%",IF(AND(U106="Correctivo",V106="Automático"),"35%",IF(AND(U106="Correctivo",V106="Manual"),"25%",""))))))</f>
        <v>40%</v>
      </c>
      <c r="X106" s="51" t="s">
        <v>202</v>
      </c>
      <c r="Y106" s="51" t="s">
        <v>203</v>
      </c>
      <c r="Z106" s="51" t="s">
        <v>204</v>
      </c>
      <c r="AA106" s="63">
        <f>IFERROR(IF(AND(T105="Probabilidad",T106="Probabilidad"),(AC105-(+AC105*W106)),IF(T106="Probabilidad",(L105-(+L105*W106)),IF(T106="Impacto",AC105,""))),"")</f>
        <v>0.252</v>
      </c>
      <c r="AB106" s="218" t="str">
        <f t="shared" ref="AB106:AB110" si="60">IFERROR(IF(AA106="","",IF(AA106&lt;=0.2,"Muy Baja",IF(AA106&lt;=0.4,"Baja",IF(AA106&lt;=0.6,"Media",IF(AA106&lt;=0.8,"Alta","Muy Alta"))))),"")</f>
        <v>Baja</v>
      </c>
      <c r="AC106" s="219">
        <f t="shared" ref="AC106:AC110" si="61">+AA106</f>
        <v>0.252</v>
      </c>
      <c r="AD106" s="218" t="str">
        <f t="shared" ref="AD106:AD110" si="62">IFERROR(IF(AE106="","",IF(AE106&lt;=0.2,"Leve",IF(AE106&lt;=0.4,"Menor",IF(AE106&lt;=0.6,"Moderado",IF(AE106&lt;=0.8,"Mayor","Catastrófico"))))),"")</f>
        <v>Mayor</v>
      </c>
      <c r="AE106" s="219">
        <f>IFERROR(IF(AND(T105="Impacto",T106="Impacto"),(AE105-(+AE105*W106)),IF(T106="Impacto",($P$10-(+$P$10*W106)),IF(T106="Probabilidad",AE105,""))),"")</f>
        <v>0.8</v>
      </c>
      <c r="AF106" s="220" t="str">
        <f t="shared" ref="AF106:AF110" si="63">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Alto</v>
      </c>
      <c r="AG106" s="1925"/>
      <c r="AH106" s="1621"/>
      <c r="AI106" s="1621"/>
      <c r="AJ106" s="82">
        <v>44942</v>
      </c>
      <c r="AK106" s="235">
        <v>45289</v>
      </c>
      <c r="AL106" s="237" t="s">
        <v>506</v>
      </c>
      <c r="AM106" s="78"/>
      <c r="AN106" s="37"/>
      <c r="AO106" s="37"/>
      <c r="AP106" s="37"/>
    </row>
    <row r="107" spans="1:42" s="184" customFormat="1" ht="94.5" customHeight="1" x14ac:dyDescent="0.25">
      <c r="A107" s="1927"/>
      <c r="B107" s="1621"/>
      <c r="C107" s="1621"/>
      <c r="D107" s="1621"/>
      <c r="E107" s="55" t="s">
        <v>507</v>
      </c>
      <c r="F107" s="1831"/>
      <c r="G107" s="221"/>
      <c r="H107" s="1621"/>
      <c r="I107" s="53"/>
      <c r="J107" s="1612"/>
      <c r="K107" s="1596"/>
      <c r="L107" s="1593"/>
      <c r="M107" s="1590"/>
      <c r="N107" s="1593">
        <f>IF(NOT(ISERROR(MATCH(M107,_xlfn.ANCHORARRAY(F118),0))),L120&amp;"Por favor no seleccionar los criterios de impacto",M107)</f>
        <v>0</v>
      </c>
      <c r="O107" s="1596"/>
      <c r="P107" s="1593"/>
      <c r="Q107" s="1599"/>
      <c r="R107" s="48">
        <v>3</v>
      </c>
      <c r="S107" s="49" t="s">
        <v>508</v>
      </c>
      <c r="T107" s="50" t="str">
        <f>IF(OR(U107="Preventivo",U107="Detectivo"),"Probabilidad",IF(U107="Correctivo","Impacto",""))</f>
        <v>Probabilidad</v>
      </c>
      <c r="U107" s="51" t="s">
        <v>207</v>
      </c>
      <c r="V107" s="51" t="s">
        <v>201</v>
      </c>
      <c r="W107" s="52" t="str">
        <f t="shared" si="59"/>
        <v>40%</v>
      </c>
      <c r="X107" s="51" t="s">
        <v>202</v>
      </c>
      <c r="Y107" s="51" t="s">
        <v>203</v>
      </c>
      <c r="Z107" s="51" t="s">
        <v>204</v>
      </c>
      <c r="AA107" s="63">
        <f>IFERROR(IF(AND(T106="Probabilidad",T107="Probabilidad"),(AC106-(+AC106*W107)),IF(AND(T106="Impacto",T107="Probabilidad"),(AC105-(+AC105*W107)),IF(T107="Impacto",AC106,""))),"")</f>
        <v>0.1512</v>
      </c>
      <c r="AB107" s="218" t="str">
        <f t="shared" si="60"/>
        <v>Muy Baja</v>
      </c>
      <c r="AC107" s="219">
        <f t="shared" si="61"/>
        <v>0.1512</v>
      </c>
      <c r="AD107" s="218" t="str">
        <f t="shared" si="62"/>
        <v>Mayor</v>
      </c>
      <c r="AE107" s="219">
        <f>IFERROR(IF(AND(T106="Impacto",T107="Impacto"),(AE106-(+AE106*W107)),IF(AND(T106="Probabilidad",T107="Impacto"),(AE105-(+AE105*W107)),IF(T107="Probabilidad",AE106,""))),"")</f>
        <v>0.8</v>
      </c>
      <c r="AF107" s="220" t="str">
        <f t="shared" si="63"/>
        <v>Alto</v>
      </c>
      <c r="AG107" s="1926"/>
      <c r="AH107" s="1621"/>
      <c r="AI107" s="1621"/>
      <c r="AJ107" s="82">
        <v>44936</v>
      </c>
      <c r="AK107" s="235">
        <v>45289</v>
      </c>
      <c r="AL107" s="236" t="s">
        <v>639</v>
      </c>
      <c r="AM107" s="78"/>
      <c r="AN107" s="37"/>
      <c r="AO107" s="37"/>
      <c r="AP107" s="37"/>
    </row>
    <row r="108" spans="1:42" s="184" customFormat="1" ht="151.5" customHeight="1" x14ac:dyDescent="0.25">
      <c r="A108" s="1927"/>
      <c r="B108" s="1621"/>
      <c r="C108" s="1621"/>
      <c r="D108" s="1621"/>
      <c r="E108" s="55"/>
      <c r="F108" s="1831"/>
      <c r="G108" s="221"/>
      <c r="H108" s="1621"/>
      <c r="I108" s="53"/>
      <c r="J108" s="1612"/>
      <c r="K108" s="1596"/>
      <c r="L108" s="1593"/>
      <c r="M108" s="1590"/>
      <c r="N108" s="1593">
        <f>IF(NOT(ISERROR(MATCH(M108,_xlfn.ANCHORARRAY(F119),0))),L121&amp;"Por favor no seleccionar los criterios de impacto",M108)</f>
        <v>0</v>
      </c>
      <c r="O108" s="1596"/>
      <c r="P108" s="1593"/>
      <c r="Q108" s="1599"/>
      <c r="R108" s="48">
        <v>4</v>
      </c>
      <c r="S108" s="49" t="s">
        <v>509</v>
      </c>
      <c r="T108" s="50" t="str">
        <f>IF(OR(U108="Preventivo",U108="Detectivo"),"Probabilidad",IF(U108="Correctivo","Impacto",""))</f>
        <v>Probabilidad</v>
      </c>
      <c r="U108" s="51" t="s">
        <v>200</v>
      </c>
      <c r="V108" s="51" t="s">
        <v>201</v>
      </c>
      <c r="W108" s="52" t="str">
        <f>IF(AND(U108="Preventivo",V108="Automático"),"50%",IF(AND(U108="Preventivo",V108="Manual"),"40%",IF(AND(U108="Detectivo",V108="Automático"),"40%",IF(AND(U108="Detectivo",V108="Manual"),"30%",IF(AND(U108="Correctivo",V108="Automático"),"35%",IF(AND(U108="Correctivo",V108="Manual"),"25%",""))))))</f>
        <v>30%</v>
      </c>
      <c r="X108" s="51" t="s">
        <v>202</v>
      </c>
      <c r="Y108" s="51"/>
      <c r="Z108" s="51"/>
      <c r="AA108" s="63" t="str">
        <f>IFERROR(IF(AND(T107="Probabilidad",#REF!="Probabilidad"),(AC107-(+AC107*#REF!)),IF(AND(T107="Impacto",#REF!="Probabilidad"),(AC106-(+AC106*#REF!)),IF(#REF!="Impacto",AC107,""))),"")</f>
        <v/>
      </c>
      <c r="AB108" s="218" t="str">
        <f t="shared" si="60"/>
        <v/>
      </c>
      <c r="AC108" s="219" t="str">
        <f t="shared" si="61"/>
        <v/>
      </c>
      <c r="AD108" s="218" t="str">
        <f t="shared" si="62"/>
        <v/>
      </c>
      <c r="AE108" s="219" t="str">
        <f>IFERROR(IF(AND(T107="Impacto",#REF!="Impacto"),(AE107-(+AE107*#REF!)),IF(AND(T107="Probabilidad",#REF!="Impacto"),(AE106-(+AE106*#REF!)),IF(#REF!="Probabilidad",AE107,""))),"")</f>
        <v/>
      </c>
      <c r="AF108" s="220" t="str">
        <f>IFERROR(IF(OR(AND(AB108="Muy Baja",AD108="Leve"),AND(AB108="Muy Baja",AD108="Menor"),AND(AB108="Baja",AD108="Leve")),"Bajo",IF(OR(AND(AB108="Muy baja",AD108="Moderado"),AND(AB108="Baja",AD108="Menor"),AND(AB108="Baja",AD108="Moderado"),AND(AB108="Media",AD108="Leve"),AND(AB108="Media",AD108="Menor"),AND(AB108="Media",AD108="Moderado"),AND(AB108="Alta",AD108="Leve"),AND(AB108="Alta",AD108="Menor")),"Moderado",IF(OR(AND(AB108="Muy Baja",AD108="Mayor"),AND(AB108="Baja",AD108="Mayor"),AND(AB108="Media",AD108="Mayor"),AND(AB108="Alta",AD108="Moderado"),AND(AB108="Alta",AD108="Mayor"),AND(AB108="Muy Alta",AD108="Leve"),AND(AB108="Muy Alta",AD108="Menor"),AND(AB108="Muy Alta",AD108="Moderado"),AND(AB108="Muy Alta",AD108="Mayor")),"Alto",IF(OR(AND(AB108="Muy Baja",AD108="Catastrófico"),AND(AB108="Baja",AD108="Catastrófico"),AND(AB108="Media",AD108="Catastrófico"),AND(AB108="Alta",AD108="Catastrófico"),AND(AB108="Muy Alta",AD108="Catastrófico")),"Extremo","")))),"")</f>
        <v/>
      </c>
      <c r="AG108" s="153"/>
      <c r="AH108" s="1621"/>
      <c r="AI108" s="1615"/>
      <c r="AJ108" s="234" t="s">
        <v>510</v>
      </c>
      <c r="AK108" s="235">
        <v>45289</v>
      </c>
      <c r="AL108" s="237" t="s">
        <v>638</v>
      </c>
      <c r="AM108" s="78"/>
      <c r="AN108" s="37"/>
      <c r="AO108" s="37"/>
      <c r="AP108" s="37"/>
    </row>
    <row r="109" spans="1:42" s="184" customFormat="1" ht="151.5" customHeight="1" x14ac:dyDescent="0.25">
      <c r="A109" s="1927"/>
      <c r="B109" s="1621"/>
      <c r="C109" s="1621"/>
      <c r="D109" s="1621"/>
      <c r="E109" s="55"/>
      <c r="F109" s="1831"/>
      <c r="G109" s="221"/>
      <c r="H109" s="1621"/>
      <c r="I109" s="53"/>
      <c r="J109" s="1612"/>
      <c r="K109" s="1596"/>
      <c r="L109" s="1593"/>
      <c r="M109" s="1590"/>
      <c r="N109" s="1593">
        <f>IF(NOT(ISERROR(MATCH(M109,_xlfn.ANCHORARRAY(F120),0))),L122&amp;"Por favor no seleccionar los criterios de impacto",M109)</f>
        <v>0</v>
      </c>
      <c r="O109" s="1596"/>
      <c r="P109" s="1593"/>
      <c r="Q109" s="1599"/>
      <c r="R109" s="48">
        <v>5</v>
      </c>
      <c r="Y109" s="51"/>
      <c r="Z109" s="51"/>
      <c r="AA109" s="63" t="str">
        <f>IFERROR(IF(AND(#REF!="Probabilidad",T108="Probabilidad"),(AC108-(+AC108*W108)),IF(AND(#REF!="Impacto",T108="Probabilidad"),(AC107-(+AC107*W108)),IF(T108="Impacto",AC108,""))),"")</f>
        <v/>
      </c>
      <c r="AB109" s="218" t="str">
        <f t="shared" si="60"/>
        <v/>
      </c>
      <c r="AC109" s="219" t="str">
        <f t="shared" si="61"/>
        <v/>
      </c>
      <c r="AD109" s="218" t="str">
        <f t="shared" si="62"/>
        <v/>
      </c>
      <c r="AE109" s="219" t="str">
        <f>IFERROR(IF(AND(#REF!="Impacto",T108="Impacto"),(AE108-(+AE108*W108)),IF(AND(#REF!="Probabilidad",T108="Impacto"),(AE107-(+AE107*W108)),IF(T108="Probabilidad",AE108,""))),"")</f>
        <v/>
      </c>
      <c r="AF109" s="220" t="str">
        <f t="shared" si="63"/>
        <v/>
      </c>
      <c r="AG109" s="153"/>
      <c r="AH109" s="1621"/>
      <c r="AI109" s="78"/>
      <c r="AM109" s="78"/>
      <c r="AN109" s="37"/>
      <c r="AO109" s="37"/>
      <c r="AP109" s="37"/>
    </row>
    <row r="110" spans="1:42" s="184" customFormat="1" ht="151.5" customHeight="1" x14ac:dyDescent="0.25">
      <c r="A110" s="1852"/>
      <c r="B110" s="1615"/>
      <c r="C110" s="1615"/>
      <c r="D110" s="1615"/>
      <c r="E110" s="89"/>
      <c r="F110" s="1832"/>
      <c r="G110" s="238"/>
      <c r="H110" s="1615"/>
      <c r="I110" s="89"/>
      <c r="J110" s="1613"/>
      <c r="K110" s="1597"/>
      <c r="L110" s="1594"/>
      <c r="M110" s="1591"/>
      <c r="N110" s="1594">
        <f>IF(NOT(ISERROR(MATCH(M110,_xlfn.ANCHORARRAY(F121),0))),L123&amp;"Por favor no seleccionar los criterios de impacto",M110)</f>
        <v>0</v>
      </c>
      <c r="O110" s="1597"/>
      <c r="P110" s="1594"/>
      <c r="Q110" s="1600"/>
      <c r="R110" s="48">
        <v>6</v>
      </c>
      <c r="S110" s="49"/>
      <c r="T110" s="50" t="str">
        <f t="shared" ref="T110" si="64">IF(OR(U110="Preventivo",U110="Detectivo"),"Probabilidad",IF(U110="Correctivo","Impacto",""))</f>
        <v/>
      </c>
      <c r="U110" s="51"/>
      <c r="V110" s="51"/>
      <c r="W110" s="52" t="str">
        <f t="shared" si="59"/>
        <v/>
      </c>
      <c r="X110" s="51"/>
      <c r="Y110" s="51"/>
      <c r="Z110" s="51"/>
      <c r="AA110" s="63" t="str">
        <f>IFERROR(IF(AND(T108="Probabilidad",T110="Probabilidad"),(AC109-(+AC109*W110)),IF(AND(T108="Impacto",T110="Probabilidad"),(AC108-(+AC108*W110)),IF(T110="Impacto",AC109,""))),"")</f>
        <v/>
      </c>
      <c r="AB110" s="218" t="str">
        <f t="shared" si="60"/>
        <v/>
      </c>
      <c r="AC110" s="219" t="str">
        <f t="shared" si="61"/>
        <v/>
      </c>
      <c r="AD110" s="218" t="str">
        <f t="shared" si="62"/>
        <v/>
      </c>
      <c r="AE110" s="219" t="str">
        <f>IFERROR(IF(AND(T108="Impacto",T110="Impacto"),(AE109-(+AE109*W110)),IF(AND(T108="Probabilidad",T110="Impacto"),(AE108-(+AE108*W110)),IF(T110="Probabilidad",AE109,""))),"")</f>
        <v/>
      </c>
      <c r="AF110" s="220" t="str">
        <f t="shared" si="63"/>
        <v/>
      </c>
      <c r="AG110" s="153"/>
      <c r="AH110" s="1615"/>
      <c r="AI110" s="78"/>
      <c r="AM110" s="78"/>
      <c r="AN110" s="37"/>
      <c r="AO110" s="37"/>
      <c r="AP110" s="37"/>
    </row>
    <row r="111" spans="1:42" s="184" customFormat="1" ht="16.5" customHeight="1" x14ac:dyDescent="0.25">
      <c r="A111" s="1681" t="s">
        <v>156</v>
      </c>
      <c r="B111" s="1682"/>
      <c r="C111" s="1682"/>
      <c r="D111" s="1682"/>
      <c r="E111" s="1682"/>
      <c r="F111" s="1682"/>
      <c r="G111" s="1682"/>
      <c r="H111" s="1682"/>
      <c r="I111" s="1682"/>
      <c r="J111" s="1682"/>
      <c r="K111" s="1682"/>
      <c r="L111" s="1682"/>
      <c r="M111" s="1682"/>
      <c r="N111" s="1682"/>
      <c r="O111" s="1682"/>
      <c r="P111" s="1682"/>
      <c r="Q111" s="1682"/>
      <c r="R111" s="1682"/>
      <c r="S111" s="1682"/>
      <c r="T111" s="1682"/>
      <c r="U111" s="1682"/>
      <c r="V111" s="1682"/>
      <c r="W111" s="1682"/>
      <c r="X111" s="1682"/>
      <c r="Y111" s="1682"/>
      <c r="Z111" s="1682"/>
      <c r="AA111" s="1682"/>
      <c r="AB111" s="1682"/>
      <c r="AC111" s="1682"/>
      <c r="AD111" s="1682"/>
      <c r="AE111" s="1682"/>
      <c r="AF111" s="1682"/>
      <c r="AG111" s="1682"/>
      <c r="AH111" s="1682"/>
      <c r="AI111" s="1682"/>
      <c r="AJ111" s="1682"/>
      <c r="AK111" s="1682"/>
      <c r="AL111" s="1682"/>
      <c r="AM111" s="1683"/>
      <c r="AN111" s="37"/>
      <c r="AO111" s="37"/>
      <c r="AP111" s="37"/>
    </row>
    <row r="112" spans="1:42" s="184" customFormat="1" ht="24" customHeight="1" x14ac:dyDescent="0.25">
      <c r="A112" s="1684"/>
      <c r="B112" s="1685"/>
      <c r="C112" s="1685"/>
      <c r="D112" s="1685"/>
      <c r="E112" s="1685"/>
      <c r="F112" s="1685"/>
      <c r="G112" s="1685"/>
      <c r="H112" s="1685"/>
      <c r="I112" s="1685"/>
      <c r="J112" s="1685"/>
      <c r="K112" s="1685"/>
      <c r="L112" s="1685"/>
      <c r="M112" s="1685"/>
      <c r="N112" s="1685"/>
      <c r="O112" s="1685"/>
      <c r="P112" s="1685"/>
      <c r="Q112" s="1685"/>
      <c r="R112" s="1685"/>
      <c r="S112" s="1685"/>
      <c r="T112" s="1685"/>
      <c r="U112" s="1685"/>
      <c r="V112" s="1685"/>
      <c r="W112" s="1685"/>
      <c r="X112" s="1685"/>
      <c r="Y112" s="1685"/>
      <c r="Z112" s="1685"/>
      <c r="AA112" s="1685"/>
      <c r="AB112" s="1685"/>
      <c r="AC112" s="1685"/>
      <c r="AD112" s="1685"/>
      <c r="AE112" s="1685"/>
      <c r="AF112" s="1685"/>
      <c r="AG112" s="1685"/>
      <c r="AH112" s="1685"/>
      <c r="AI112" s="1685"/>
      <c r="AJ112" s="1685"/>
      <c r="AK112" s="1685"/>
      <c r="AL112" s="1685"/>
      <c r="AM112" s="1686"/>
      <c r="AN112" s="37"/>
      <c r="AO112" s="37"/>
      <c r="AP112" s="37"/>
    </row>
    <row r="114" spans="1:39" s="184" customFormat="1" ht="26.25" customHeight="1" x14ac:dyDescent="0.25">
      <c r="A114" s="1667" t="s">
        <v>157</v>
      </c>
      <c r="B114" s="1668"/>
      <c r="C114" s="1923" t="s">
        <v>640</v>
      </c>
      <c r="D114" s="1923"/>
      <c r="E114" s="1923"/>
      <c r="F114" s="1923"/>
      <c r="G114" s="1923"/>
      <c r="H114" s="1923"/>
      <c r="I114" s="1923"/>
      <c r="J114" s="1923"/>
      <c r="K114" s="1923"/>
      <c r="L114" s="1923"/>
      <c r="M114" s="1923"/>
      <c r="N114" s="1923"/>
      <c r="O114" s="1923"/>
      <c r="P114" s="1923"/>
      <c r="Q114" s="1923"/>
      <c r="R114" s="1923"/>
      <c r="S114" s="1923"/>
      <c r="T114" s="1923"/>
      <c r="U114" s="1923"/>
      <c r="V114" s="1923"/>
      <c r="W114" s="1923"/>
      <c r="X114" s="1923"/>
      <c r="Y114" s="1923"/>
      <c r="Z114" s="1923"/>
      <c r="AA114" s="1923"/>
      <c r="AB114" s="1923"/>
      <c r="AC114" s="1923"/>
      <c r="AD114" s="1923"/>
      <c r="AE114" s="1923"/>
      <c r="AF114" s="1923"/>
      <c r="AG114" s="1923"/>
      <c r="AH114" s="1923"/>
      <c r="AI114" s="1923"/>
      <c r="AJ114" s="1923"/>
      <c r="AK114" s="1923"/>
      <c r="AL114" s="1923"/>
      <c r="AM114" s="1923"/>
    </row>
    <row r="115" spans="1:39" s="184" customFormat="1" ht="65.25" customHeight="1" x14ac:dyDescent="0.25">
      <c r="A115" s="1667" t="s">
        <v>158</v>
      </c>
      <c r="B115" s="1668"/>
      <c r="C115" s="1821" t="s">
        <v>641</v>
      </c>
      <c r="D115" s="1822"/>
      <c r="E115" s="1822"/>
      <c r="F115" s="1822"/>
      <c r="G115" s="1822"/>
      <c r="H115" s="1822"/>
      <c r="I115" s="1822"/>
      <c r="J115" s="1822"/>
      <c r="K115" s="1822"/>
      <c r="L115" s="1822"/>
      <c r="M115" s="1822"/>
      <c r="N115" s="1822"/>
      <c r="O115" s="1822"/>
      <c r="P115" s="1822"/>
      <c r="Q115" s="1822"/>
      <c r="R115" s="1822"/>
      <c r="S115" s="1822"/>
      <c r="T115" s="1822"/>
      <c r="U115" s="1822"/>
      <c r="V115" s="1822"/>
      <c r="W115" s="1822"/>
      <c r="X115" s="1822"/>
      <c r="Y115" s="1822"/>
      <c r="Z115" s="1822"/>
      <c r="AA115" s="1822"/>
      <c r="AB115" s="1822"/>
      <c r="AC115" s="1822"/>
      <c r="AD115" s="1822"/>
      <c r="AE115" s="1822"/>
      <c r="AF115" s="1822"/>
      <c r="AG115" s="1822"/>
      <c r="AH115" s="1822"/>
      <c r="AI115" s="1822"/>
      <c r="AJ115" s="1822"/>
      <c r="AK115" s="1822"/>
      <c r="AL115" s="1822"/>
      <c r="AM115" s="1823"/>
    </row>
    <row r="116" spans="1:39" s="184" customFormat="1" ht="49.5" customHeight="1" x14ac:dyDescent="0.25">
      <c r="A116" s="1667" t="s">
        <v>159</v>
      </c>
      <c r="B116" s="1668"/>
      <c r="C116" s="1821" t="s">
        <v>642</v>
      </c>
      <c r="D116" s="1822"/>
      <c r="E116" s="1822"/>
      <c r="F116" s="1822"/>
      <c r="G116" s="1822"/>
      <c r="H116" s="1822"/>
      <c r="I116" s="1822"/>
      <c r="J116" s="1822"/>
      <c r="K116" s="1822"/>
      <c r="L116" s="1822"/>
      <c r="M116" s="1822"/>
      <c r="N116" s="1822"/>
      <c r="O116" s="1822"/>
      <c r="P116" s="1822"/>
      <c r="Q116" s="1822"/>
      <c r="R116" s="1822"/>
      <c r="S116" s="1822"/>
      <c r="T116" s="1822"/>
      <c r="U116" s="1822"/>
      <c r="V116" s="1822"/>
      <c r="W116" s="1822"/>
      <c r="X116" s="1822"/>
      <c r="Y116" s="1822"/>
      <c r="Z116" s="1822"/>
      <c r="AA116" s="1822"/>
      <c r="AB116" s="1822"/>
      <c r="AC116" s="1822"/>
      <c r="AD116" s="1822"/>
      <c r="AE116" s="1822"/>
      <c r="AF116" s="1822"/>
      <c r="AG116" s="1822"/>
      <c r="AH116" s="1822"/>
      <c r="AI116" s="1822"/>
      <c r="AJ116" s="1822"/>
      <c r="AK116" s="1822"/>
      <c r="AL116" s="1822"/>
      <c r="AM116" s="1823"/>
    </row>
    <row r="117" spans="1:39" s="184" customFormat="1" x14ac:dyDescent="0.25">
      <c r="A117" s="1670" t="s">
        <v>160</v>
      </c>
      <c r="B117" s="1671"/>
      <c r="C117" s="1672"/>
      <c r="D117" s="1672"/>
      <c r="E117" s="1672"/>
      <c r="F117" s="1672"/>
      <c r="G117" s="1672"/>
      <c r="H117" s="1672"/>
      <c r="I117" s="1672"/>
      <c r="J117" s="1673"/>
      <c r="K117" s="1630" t="s">
        <v>161</v>
      </c>
      <c r="L117" s="1672"/>
      <c r="M117" s="1672"/>
      <c r="N117" s="1672"/>
      <c r="O117" s="1672"/>
      <c r="P117" s="1672"/>
      <c r="Q117" s="1673"/>
      <c r="R117" s="1630" t="s">
        <v>162</v>
      </c>
      <c r="S117" s="1672"/>
      <c r="T117" s="1672"/>
      <c r="U117" s="1672"/>
      <c r="V117" s="1672"/>
      <c r="W117" s="1672"/>
      <c r="X117" s="1672"/>
      <c r="Y117" s="1672"/>
      <c r="Z117" s="1673"/>
      <c r="AA117" s="1630" t="s">
        <v>163</v>
      </c>
      <c r="AB117" s="1672"/>
      <c r="AC117" s="1672"/>
      <c r="AD117" s="1672"/>
      <c r="AE117" s="1672"/>
      <c r="AF117" s="1672"/>
      <c r="AG117" s="1673"/>
      <c r="AH117" s="1630" t="s">
        <v>164</v>
      </c>
      <c r="AI117" s="1672"/>
      <c r="AJ117" s="1672"/>
      <c r="AK117" s="1672"/>
      <c r="AL117" s="1672"/>
      <c r="AM117" s="1673"/>
    </row>
    <row r="118" spans="1:39" s="184" customFormat="1" ht="16.5" customHeight="1" x14ac:dyDescent="0.25">
      <c r="A118" s="1649" t="s">
        <v>165</v>
      </c>
      <c r="B118" s="1651" t="s">
        <v>142</v>
      </c>
      <c r="C118" s="1626" t="s">
        <v>166</v>
      </c>
      <c r="D118" s="1626" t="s">
        <v>167</v>
      </c>
      <c r="E118" s="1631" t="s">
        <v>168</v>
      </c>
      <c r="F118" s="1652" t="s">
        <v>60</v>
      </c>
      <c r="G118" s="56"/>
      <c r="H118" s="56"/>
      <c r="I118" s="1631" t="s">
        <v>169</v>
      </c>
      <c r="J118" s="1626" t="s">
        <v>170</v>
      </c>
      <c r="K118" s="1628" t="s">
        <v>171</v>
      </c>
      <c r="L118" s="1629" t="s">
        <v>172</v>
      </c>
      <c r="M118" s="1631" t="s">
        <v>173</v>
      </c>
      <c r="N118" s="1631" t="s">
        <v>174</v>
      </c>
      <c r="O118" s="1666" t="s">
        <v>175</v>
      </c>
      <c r="P118" s="1629" t="s">
        <v>172</v>
      </c>
      <c r="Q118" s="1626" t="s">
        <v>176</v>
      </c>
      <c r="R118" s="1664" t="s">
        <v>177</v>
      </c>
      <c r="S118" s="1627" t="s">
        <v>178</v>
      </c>
      <c r="T118" s="1631" t="s">
        <v>179</v>
      </c>
      <c r="U118" s="1627" t="s">
        <v>180</v>
      </c>
      <c r="V118" s="1627"/>
      <c r="W118" s="1627"/>
      <c r="X118" s="1627"/>
      <c r="Y118" s="1627"/>
      <c r="Z118" s="1627"/>
      <c r="AA118" s="1663" t="s">
        <v>181</v>
      </c>
      <c r="AB118" s="1663" t="s">
        <v>182</v>
      </c>
      <c r="AC118" s="1663" t="s">
        <v>172</v>
      </c>
      <c r="AD118" s="1663" t="s">
        <v>183</v>
      </c>
      <c r="AE118" s="1663" t="s">
        <v>172</v>
      </c>
      <c r="AF118" s="1663" t="s">
        <v>184</v>
      </c>
      <c r="AG118" s="1664" t="s">
        <v>185</v>
      </c>
      <c r="AH118" s="1627" t="s">
        <v>164</v>
      </c>
      <c r="AI118" s="1627" t="s">
        <v>143</v>
      </c>
      <c r="AJ118" s="1627" t="s">
        <v>186</v>
      </c>
      <c r="AK118" s="1627" t="s">
        <v>187</v>
      </c>
      <c r="AL118" s="1627" t="s">
        <v>188</v>
      </c>
      <c r="AM118" s="1627" t="s">
        <v>189</v>
      </c>
    </row>
    <row r="119" spans="1:39" s="222" customFormat="1" ht="94.5" customHeight="1" x14ac:dyDescent="0.3">
      <c r="A119" s="1650"/>
      <c r="B119" s="1651"/>
      <c r="C119" s="1627"/>
      <c r="D119" s="1627"/>
      <c r="E119" s="1628"/>
      <c r="F119" s="1653"/>
      <c r="G119" s="56" t="s">
        <v>610</v>
      </c>
      <c r="H119" s="56" t="s">
        <v>190</v>
      </c>
      <c r="I119" s="1626"/>
      <c r="J119" s="1627"/>
      <c r="K119" s="1626"/>
      <c r="L119" s="1630"/>
      <c r="M119" s="1626"/>
      <c r="N119" s="1626"/>
      <c r="O119" s="1630"/>
      <c r="P119" s="1630"/>
      <c r="Q119" s="1627"/>
      <c r="R119" s="1665"/>
      <c r="S119" s="1627"/>
      <c r="T119" s="1626"/>
      <c r="U119" s="42" t="s">
        <v>191</v>
      </c>
      <c r="V119" s="42" t="s">
        <v>192</v>
      </c>
      <c r="W119" s="42" t="s">
        <v>193</v>
      </c>
      <c r="X119" s="42" t="s">
        <v>194</v>
      </c>
      <c r="Y119" s="42" t="s">
        <v>195</v>
      </c>
      <c r="Z119" s="42" t="s">
        <v>196</v>
      </c>
      <c r="AA119" s="1663"/>
      <c r="AB119" s="1663"/>
      <c r="AC119" s="1663"/>
      <c r="AD119" s="1663"/>
      <c r="AE119" s="1663"/>
      <c r="AF119" s="1663"/>
      <c r="AG119" s="1665"/>
      <c r="AH119" s="1627"/>
      <c r="AI119" s="1627"/>
      <c r="AJ119" s="1627"/>
      <c r="AK119" s="1627"/>
      <c r="AL119" s="1627"/>
      <c r="AM119" s="1627"/>
    </row>
    <row r="120" spans="1:39" s="231" customFormat="1" ht="86.25" customHeight="1" x14ac:dyDescent="0.3">
      <c r="A120" s="1618">
        <v>1</v>
      </c>
      <c r="B120" s="1656" t="s">
        <v>209</v>
      </c>
      <c r="C120" s="1656" t="s">
        <v>444</v>
      </c>
      <c r="D120" s="1698" t="s">
        <v>445</v>
      </c>
      <c r="E120" s="1921" t="s">
        <v>446</v>
      </c>
      <c r="F120" s="1700" t="s">
        <v>447</v>
      </c>
      <c r="G120" s="217" t="s">
        <v>512</v>
      </c>
      <c r="H120" s="1700" t="s">
        <v>448</v>
      </c>
      <c r="I120" s="1701" t="s">
        <v>198</v>
      </c>
      <c r="J120" s="1640">
        <v>360</v>
      </c>
      <c r="K120" s="1643" t="str">
        <f>IF(J120&lt;=0,"",IF(J120&lt;=2,"Muy Baja",IF(J120&lt;=24,"Baja",IF(J120&lt;=500,"Media",IF(J120&lt;=5000,"Alta","Muy Alta")))))</f>
        <v>Media</v>
      </c>
      <c r="L120" s="1632">
        <f>IF(K120="","",IF(K120="Muy Baja",0.2,IF(K120="Baja",0.4,IF(K120="Media",0.6,IF(K120="Alta",0.8,IF(K120="Muy Alta",1,))))))</f>
        <v>0.6</v>
      </c>
      <c r="M120" s="1646" t="s">
        <v>303</v>
      </c>
      <c r="N120" s="1632" t="str">
        <f>IF(NOT(ISERROR(MATCH(M120,'[7]Tabla Impacto'!$B$221:$B$223,0))),'[7]Tabla Impacto'!$F$223&amp;"Por favor no seleccionar los criterios de impacto(Afectación Económica o presupuestal y Pérdida Reputacional)",M120)</f>
        <v xml:space="preserve">     El riesgo afecta la imagen de la entidad a nivel nacional, con efecto publicitarios sostenible a nivel país</v>
      </c>
      <c r="O120" s="1643" t="str">
        <f>IF(OR(N120='[7]Tabla Impacto'!$C$11,N120='[7]Tabla Impacto'!$D$11),"Leve",IF(OR(N120='[7]Tabla Impacto'!$C$12,N120='[7]Tabla Impacto'!$D$12),"Menor",IF(OR(N120='[7]Tabla Impacto'!$C$13,N120='[7]Tabla Impacto'!$D$13),"Moderado",IF(OR(N120='[7]Tabla Impacto'!$C$14,N120='[7]Tabla Impacto'!$D$14),"Mayor",IF(OR(N120='[7]Tabla Impacto'!$C$15,N120='[7]Tabla Impacto'!$D$15),"Catastrófico","")))))</f>
        <v>Catastrófico</v>
      </c>
      <c r="P120" s="1632">
        <f>IF(O120="","",IF(O120="Leve",0.2,IF(O120="Menor",0.4,IF(O120="Moderado",0.6,IF(O120="Mayor",0.8,IF(O120="Catastrófico",1,))))))</f>
        <v>1</v>
      </c>
      <c r="Q120" s="1635" t="str">
        <f>IF(OR(AND(K120="Muy Baja",O120="Leve"),AND(K120="Muy Baja",O120="Menor"),AND(K120="Baja",O120="Leve")),"Bajo",IF(OR(AND(K120="Muy baja",O120="Moderado"),AND(K120="Baja",O120="Menor"),AND(K120="Baja",O120="Moderado"),AND(K120="Media",O120="Leve"),AND(K120="Media",O120="Menor"),AND(K120="Media",O120="Moderado"),AND(K120="Alta",O120="Leve"),AND(K120="Alta",O120="Menor")),"Moderado",IF(OR(AND(K120="Muy Baja",O120="Mayor"),AND(K120="Baja",O120="Mayor"),AND(K120="Media",O120="Mayor"),AND(K120="Alta",O120="Moderado"),AND(K120="Alta",O120="Mayor"),AND(K120="Muy Alta",O120="Leve"),AND(K120="Muy Alta",O120="Menor"),AND(K120="Muy Alta",O120="Moderado"),AND(K120="Muy Alta",O120="Mayor")),"Alto",IF(OR(AND(K120="Muy Baja",O120="Catastrófico"),AND(K120="Baja",O120="Catastrófico"),AND(K120="Media",O120="Catastrófico"),AND(K120="Alta",O120="Catastrófico"),AND(K120="Muy Alta",O120="Catastrófico")),"Extremo",""))))</f>
        <v>Extremo</v>
      </c>
      <c r="R120" s="48">
        <v>1</v>
      </c>
      <c r="S120" s="60" t="s">
        <v>449</v>
      </c>
      <c r="T120" s="50" t="str">
        <f>IF(OR(U120="Preventivo",U120="Detectivo"),"Probabilidad",IF(U120="Correctivo","Impacto",""))</f>
        <v>Probabilidad</v>
      </c>
      <c r="U120" s="61" t="s">
        <v>200</v>
      </c>
      <c r="V120" s="61" t="s">
        <v>201</v>
      </c>
      <c r="W120" s="62" t="str">
        <f>IF(AND(U120="Preventivo",V120="Automático"),"50%",IF(AND(U120="Preventivo",V120="Manual"),"40%",IF(AND(U120="Detectivo",V120="Automático"),"40%",IF(AND(U120="Detectivo",V120="Manual"),"30%",IF(AND(U120="Correctivo",V120="Automático"),"35%",IF(AND(U120="Correctivo",V120="Manual"),"25%",""))))))</f>
        <v>30%</v>
      </c>
      <c r="X120" s="61" t="s">
        <v>202</v>
      </c>
      <c r="Y120" s="61" t="s">
        <v>203</v>
      </c>
      <c r="Z120" s="61" t="s">
        <v>204</v>
      </c>
      <c r="AA120" s="63">
        <f>IFERROR(IF(T120="Probabilidad",(L120-(+L120*W120)),IF(T120="Impacto",L120,"")),"")</f>
        <v>0.42</v>
      </c>
      <c r="AB120" s="64" t="str">
        <f>IFERROR(IF(AA120="","",IF(AA120&lt;=0.2,"Muy Baja",IF(AA120&lt;=0.4,"Baja",IF(AA120&lt;=0.6,"Media",IF(AA120&lt;=0.8,"Alta","Muy Alta"))))),"")</f>
        <v>Media</v>
      </c>
      <c r="AC120" s="65">
        <f>+AA120</f>
        <v>0.42</v>
      </c>
      <c r="AD120" s="64" t="str">
        <f>IFERROR(IF(AE120="","",IF(AE120&lt;=0.2,"Leve",IF(AE120&lt;=0.4,"Menor",IF(AE120&lt;=0.6,"Moderado",IF(AE120&lt;=0.8,"Mayor","Catastrófico"))))),"")</f>
        <v>Catastrófico</v>
      </c>
      <c r="AE120" s="65">
        <f>IFERROR(IF(T120="Impacto",(P120-(+P120*W120)),IF(T120="Probabilidad",P120,"")),"")</f>
        <v>1</v>
      </c>
      <c r="AF120" s="66" t="str">
        <f>IFERROR(IF(OR(AND(AB120="Muy Baja",AD120="Leve"),AND(AB120="Muy Baja",AD120="Menor"),AND(AB120="Baja",AD120="Leve")),"Bajo",IF(OR(AND(AB120="Muy baja",AD120="Moderado"),AND(AB120="Baja",AD120="Menor"),AND(AB120="Baja",AD120="Moderado"),AND(AB120="Media",AD120="Leve"),AND(AB120="Media",AD120="Menor"),AND(AB120="Media",AD120="Moderado"),AND(AB120="Alta",AD120="Leve"),AND(AB120="Alta",AD120="Menor")),"Moderado",IF(OR(AND(AB120="Muy Baja",AD120="Mayor"),AND(AB120="Baja",AD120="Mayor"),AND(AB120="Media",AD120="Mayor"),AND(AB120="Alta",AD120="Moderado"),AND(AB120="Alta",AD120="Mayor"),AND(AB120="Muy Alta",AD120="Leve"),AND(AB120="Muy Alta",AD120="Menor"),AND(AB120="Muy Alta",AD120="Moderado"),AND(AB120="Muy Alta",AD120="Mayor")),"Alto",IF(OR(AND(AB120="Muy Baja",AD120="Catastrófico"),AND(AB120="Baja",AD120="Catastrófico"),AND(AB120="Media",AD120="Catastrófico"),AND(AB120="Alta",AD120="Catastrófico"),AND(AB120="Muy Alta",AD120="Catastrófico")),"Extremo","")))),"")</f>
        <v>Extremo</v>
      </c>
      <c r="AG120" s="81"/>
      <c r="AH120" s="1656" t="s">
        <v>450</v>
      </c>
      <c r="AI120" s="1640" t="s">
        <v>451</v>
      </c>
      <c r="AJ120" s="1918">
        <v>45444</v>
      </c>
      <c r="AK120" s="1918" t="s">
        <v>643</v>
      </c>
      <c r="AL120" s="360" t="s">
        <v>644</v>
      </c>
      <c r="AM120" s="70" t="s">
        <v>206</v>
      </c>
    </row>
    <row r="121" spans="1:39" s="184" customFormat="1" ht="67.2" x14ac:dyDescent="0.25">
      <c r="A121" s="1619"/>
      <c r="B121" s="1657"/>
      <c r="C121" s="1657"/>
      <c r="D121" s="1699"/>
      <c r="E121" s="1922"/>
      <c r="F121" s="1700"/>
      <c r="G121" s="154"/>
      <c r="H121" s="1700"/>
      <c r="I121" s="1702"/>
      <c r="J121" s="1641"/>
      <c r="K121" s="1644"/>
      <c r="L121" s="1633"/>
      <c r="M121" s="1647"/>
      <c r="N121" s="1633">
        <f>IF(NOT(ISERROR(MATCH(M121,_xlfn.ANCHORARRAY(F132),0))),L134&amp;"Por favor no seleccionar los criterios de impacto",M121)</f>
        <v>0</v>
      </c>
      <c r="O121" s="1644"/>
      <c r="P121" s="1633"/>
      <c r="Q121" s="1636"/>
      <c r="R121" s="48">
        <v>2</v>
      </c>
      <c r="S121" s="49" t="s">
        <v>452</v>
      </c>
      <c r="T121" s="50" t="str">
        <f t="shared" ref="T121:T125" si="65">IF(OR(U121="Preventivo",U121="Detectivo"),"Probabilidad",IF(U121="Correctivo","Impacto",""))</f>
        <v>Probabilidad</v>
      </c>
      <c r="U121" s="61" t="s">
        <v>200</v>
      </c>
      <c r="V121" s="61" t="s">
        <v>201</v>
      </c>
      <c r="W121" s="62" t="str">
        <f t="shared" ref="W121:W125" si="66">IF(AND(U121="Preventivo",V121="Automático"),"50%",IF(AND(U121="Preventivo",V121="Manual"),"40%",IF(AND(U121="Detectivo",V121="Automático"),"40%",IF(AND(U121="Detectivo",V121="Manual"),"30%",IF(AND(U121="Correctivo",V121="Automático"),"35%",IF(AND(U121="Correctivo",V121="Manual"),"25%",""))))))</f>
        <v>30%</v>
      </c>
      <c r="X121" s="61" t="s">
        <v>208</v>
      </c>
      <c r="Y121" s="61" t="s">
        <v>203</v>
      </c>
      <c r="Z121" s="61" t="s">
        <v>204</v>
      </c>
      <c r="AA121" s="63">
        <f>IFERROR(IF(AND(T120="Probabilidad",T121="Probabilidad"),(AC120-(+AC120*W121)),IF(AND(T120="Impacto",T121="Probabilidad"),(AC119-(+AC119*W121)),IF(T121="Impacto",AC120,""))),"")</f>
        <v>0.29399999999999998</v>
      </c>
      <c r="AB121" s="64" t="str">
        <f t="shared" ref="AB121:AB125" si="67">IFERROR(IF(AA121="","",IF(AA121&lt;=0.2,"Muy Baja",IF(AA121&lt;=0.4,"Baja",IF(AA121&lt;=0.6,"Media",IF(AA121&lt;=0.8,"Alta","Muy Alta"))))),"")</f>
        <v>Baja</v>
      </c>
      <c r="AC121" s="65">
        <f t="shared" ref="AC121:AC125" si="68">+AA121</f>
        <v>0.29399999999999998</v>
      </c>
      <c r="AD121" s="218" t="str">
        <f t="shared" ref="AD121:AD125" si="69">IFERROR(IF(AE121="","",IF(AE121&lt;=0.2,"Leve",IF(AE121&lt;=0.4,"Menor",IF(AE121&lt;=0.6,"Moderado",IF(AE121&lt;=0.8,"Mayor","Catastrófico"))))),"")</f>
        <v>Catastrófico</v>
      </c>
      <c r="AE121" s="219">
        <f>IFERROR(IF(AND(T120="Impacto",T121="Impacto"),(AE120-(+AE120*W121)),IF(AND(T120="Probabilidad",T121="Impacto"),(AE119-(+AE119*W121)),IF(T121="Probabilidad",AE120,""))),"")</f>
        <v>1</v>
      </c>
      <c r="AF121" s="66" t="str">
        <f t="shared" ref="AF121:AF125" si="70">IFERROR(IF(OR(AND(AB121="Muy Baja",AD121="Leve"),AND(AB121="Muy Baja",AD121="Menor"),AND(AB121="Baja",AD121="Leve")),"Bajo",IF(OR(AND(AB121="Muy baja",AD121="Moderado"),AND(AB121="Baja",AD121="Menor"),AND(AB121="Baja",AD121="Moderado"),AND(AB121="Media",AD121="Leve"),AND(AB121="Media",AD121="Menor"),AND(AB121="Media",AD121="Moderado"),AND(AB121="Alta",AD121="Leve"),AND(AB121="Alta",AD121="Menor")),"Moderado",IF(OR(AND(AB121="Muy Baja",AD121="Mayor"),AND(AB121="Baja",AD121="Mayor"),AND(AB121="Media",AD121="Mayor"),AND(AB121="Alta",AD121="Moderado"),AND(AB121="Alta",AD121="Mayor"),AND(AB121="Muy Alta",AD121="Leve"),AND(AB121="Muy Alta",AD121="Menor"),AND(AB121="Muy Alta",AD121="Moderado"),AND(AB121="Muy Alta",AD121="Mayor")),"Alto",IF(OR(AND(AB121="Muy Baja",AD121="Catastrófico"),AND(AB121="Baja",AD121="Catastrófico"),AND(AB121="Media",AD121="Catastrófico"),AND(AB121="Alta",AD121="Catastrófico"),AND(AB121="Muy Alta",AD121="Catastrófico")),"Extremo","")))),"")</f>
        <v>Extremo</v>
      </c>
      <c r="AG121" s="81"/>
      <c r="AH121" s="1657"/>
      <c r="AI121" s="1641"/>
      <c r="AJ121" s="1919"/>
      <c r="AK121" s="1919"/>
      <c r="AL121" s="77"/>
      <c r="AM121" s="78" t="s">
        <v>206</v>
      </c>
    </row>
    <row r="122" spans="1:39" s="184" customFormat="1" ht="66.75" customHeight="1" x14ac:dyDescent="0.25">
      <c r="A122" s="1619"/>
      <c r="B122" s="1657"/>
      <c r="C122" s="1657"/>
      <c r="D122" s="1699"/>
      <c r="E122" s="74" t="s">
        <v>453</v>
      </c>
      <c r="F122" s="1700"/>
      <c r="G122" s="154"/>
      <c r="H122" s="1700"/>
      <c r="I122" s="1702"/>
      <c r="J122" s="1641"/>
      <c r="K122" s="1644"/>
      <c r="L122" s="1633"/>
      <c r="M122" s="1647"/>
      <c r="N122" s="1633">
        <f>IF(NOT(ISERROR(MATCH(M122,_xlfn.ANCHORARRAY(F133),0))),L135&amp;"Por favor no seleccionar los criterios de impacto",M122)</f>
        <v>0</v>
      </c>
      <c r="O122" s="1644"/>
      <c r="P122" s="1633"/>
      <c r="Q122" s="1636"/>
      <c r="R122" s="48">
        <v>3</v>
      </c>
      <c r="S122" s="79" t="s">
        <v>454</v>
      </c>
      <c r="T122" s="50" t="str">
        <f t="shared" si="65"/>
        <v>Probabilidad</v>
      </c>
      <c r="U122" s="61" t="s">
        <v>207</v>
      </c>
      <c r="V122" s="61" t="s">
        <v>201</v>
      </c>
      <c r="W122" s="62" t="str">
        <f t="shared" si="66"/>
        <v>40%</v>
      </c>
      <c r="X122" s="61" t="s">
        <v>208</v>
      </c>
      <c r="Y122" s="61" t="s">
        <v>203</v>
      </c>
      <c r="Z122" s="61" t="s">
        <v>204</v>
      </c>
      <c r="AA122" s="63">
        <f t="shared" ref="AA122:AA125" si="71">IFERROR(IF(AND(T121="Probabilidad",T122="Probabilidad"),(AC121-(+AC121*W122)),IF(AND(T121="Impacto",T122="Probabilidad"),(AC120-(+AC120*W122)),IF(T122="Impacto",AC121,""))),"")</f>
        <v>0.1764</v>
      </c>
      <c r="AB122" s="64" t="str">
        <f t="shared" si="67"/>
        <v>Muy Baja</v>
      </c>
      <c r="AC122" s="65">
        <f t="shared" si="68"/>
        <v>0.1764</v>
      </c>
      <c r="AD122" s="218" t="str">
        <f t="shared" si="69"/>
        <v>Catastrófico</v>
      </c>
      <c r="AE122" s="219">
        <f t="shared" ref="AE122:AE125" si="72">IFERROR(IF(AND(T121="Impacto",T122="Impacto"),(AE121-(+AE121*W122)),IF(AND(T121="Probabilidad",T122="Impacto"),(AE120-(+AE120*W122)),IF(T122="Probabilidad",AE121,""))),"")</f>
        <v>1</v>
      </c>
      <c r="AF122" s="66" t="str">
        <f t="shared" si="70"/>
        <v>Extremo</v>
      </c>
      <c r="AG122" s="81"/>
      <c r="AH122" s="1658"/>
      <c r="AI122" s="1642"/>
      <c r="AJ122" s="1920"/>
      <c r="AK122" s="1920"/>
      <c r="AL122" s="77"/>
      <c r="AM122" s="78"/>
    </row>
    <row r="123" spans="1:39" s="184" customFormat="1" ht="134.25" customHeight="1" x14ac:dyDescent="0.25">
      <c r="A123" s="1619"/>
      <c r="B123" s="1657"/>
      <c r="C123" s="1657"/>
      <c r="D123" s="1699"/>
      <c r="E123" s="74" t="s">
        <v>455</v>
      </c>
      <c r="F123" s="1700"/>
      <c r="G123" s="154"/>
      <c r="H123" s="1700"/>
      <c r="I123" s="1702"/>
      <c r="J123" s="1641"/>
      <c r="K123" s="1644"/>
      <c r="L123" s="1633"/>
      <c r="M123" s="1647"/>
      <c r="N123" s="1633">
        <f>IF(NOT(ISERROR(MATCH(M123,_xlfn.ANCHORARRAY(F134),0))),L136&amp;"Por favor no seleccionar los criterios de impacto",M123)</f>
        <v>0</v>
      </c>
      <c r="O123" s="1644"/>
      <c r="P123" s="1633"/>
      <c r="Q123" s="1636"/>
      <c r="R123" s="48">
        <v>4</v>
      </c>
      <c r="S123" s="183" t="s">
        <v>456</v>
      </c>
      <c r="T123" s="50" t="str">
        <f t="shared" si="65"/>
        <v>Impacto</v>
      </c>
      <c r="U123" s="61" t="s">
        <v>308</v>
      </c>
      <c r="V123" s="61" t="s">
        <v>201</v>
      </c>
      <c r="W123" s="62" t="str">
        <f t="shared" si="66"/>
        <v>25%</v>
      </c>
      <c r="X123" s="61" t="s">
        <v>208</v>
      </c>
      <c r="Y123" s="61" t="s">
        <v>210</v>
      </c>
      <c r="Z123" s="61" t="s">
        <v>204</v>
      </c>
      <c r="AA123" s="63">
        <f t="shared" si="71"/>
        <v>0.1764</v>
      </c>
      <c r="AB123" s="64" t="str">
        <f t="shared" si="67"/>
        <v>Muy Baja</v>
      </c>
      <c r="AC123" s="65">
        <f t="shared" si="68"/>
        <v>0.1764</v>
      </c>
      <c r="AD123" s="218" t="str">
        <f t="shared" si="69"/>
        <v>Mayor</v>
      </c>
      <c r="AE123" s="219">
        <f t="shared" si="72"/>
        <v>0.75</v>
      </c>
      <c r="AF123" s="66" t="str">
        <f t="shared" si="70"/>
        <v>Alto</v>
      </c>
      <c r="AG123" s="81"/>
      <c r="AH123" s="69" t="s">
        <v>457</v>
      </c>
      <c r="AI123" s="77" t="s">
        <v>451</v>
      </c>
      <c r="AJ123" s="82"/>
      <c r="AK123" s="100" t="s">
        <v>645</v>
      </c>
      <c r="AL123" s="77" t="s">
        <v>155</v>
      </c>
      <c r="AM123" s="78" t="s">
        <v>206</v>
      </c>
    </row>
    <row r="124" spans="1:39" s="184" customFormat="1" ht="84" customHeight="1" x14ac:dyDescent="0.25">
      <c r="A124" s="1619"/>
      <c r="B124" s="1657"/>
      <c r="C124" s="1657"/>
      <c r="D124" s="1699"/>
      <c r="E124" s="80" t="s">
        <v>458</v>
      </c>
      <c r="F124" s="1700"/>
      <c r="G124" s="154"/>
      <c r="H124" s="1700"/>
      <c r="I124" s="1702"/>
      <c r="J124" s="1641"/>
      <c r="K124" s="1644"/>
      <c r="L124" s="1633"/>
      <c r="M124" s="1647"/>
      <c r="N124" s="1633">
        <f>IF(NOT(ISERROR(MATCH(M124,_xlfn.ANCHORARRAY(F135),0))),L137&amp;"Por favor no seleccionar los criterios de impacto",M124)</f>
        <v>0</v>
      </c>
      <c r="O124" s="1644"/>
      <c r="P124" s="1633"/>
      <c r="Q124" s="1636"/>
      <c r="R124" s="48">
        <v>5</v>
      </c>
      <c r="S124" s="49" t="s">
        <v>459</v>
      </c>
      <c r="T124" s="50" t="str">
        <f t="shared" si="65"/>
        <v>Probabilidad</v>
      </c>
      <c r="U124" s="61" t="s">
        <v>207</v>
      </c>
      <c r="V124" s="61" t="s">
        <v>201</v>
      </c>
      <c r="W124" s="62" t="str">
        <f t="shared" si="66"/>
        <v>40%</v>
      </c>
      <c r="X124" s="61" t="s">
        <v>208</v>
      </c>
      <c r="Y124" s="61" t="s">
        <v>203</v>
      </c>
      <c r="Z124" s="61" t="s">
        <v>204</v>
      </c>
      <c r="AA124" s="63">
        <f t="shared" si="71"/>
        <v>0.10584</v>
      </c>
      <c r="AB124" s="64" t="s">
        <v>460</v>
      </c>
      <c r="AC124" s="65">
        <f t="shared" si="68"/>
        <v>0.10584</v>
      </c>
      <c r="AD124" s="218" t="s">
        <v>461</v>
      </c>
      <c r="AE124" s="219">
        <f t="shared" si="72"/>
        <v>0.75</v>
      </c>
      <c r="AF124" s="66" t="s">
        <v>462</v>
      </c>
      <c r="AG124" s="81"/>
      <c r="AH124" s="77" t="s">
        <v>463</v>
      </c>
      <c r="AI124" s="77" t="s">
        <v>464</v>
      </c>
      <c r="AJ124" s="100"/>
      <c r="AK124" s="100" t="s">
        <v>646</v>
      </c>
      <c r="AL124" s="77" t="s">
        <v>465</v>
      </c>
      <c r="AM124" s="78" t="s">
        <v>295</v>
      </c>
    </row>
    <row r="125" spans="1:39" s="184" customFormat="1" ht="42.75" customHeight="1" x14ac:dyDescent="0.25">
      <c r="A125" s="1620"/>
      <c r="B125" s="1658"/>
      <c r="C125" s="1658"/>
      <c r="D125" s="1704"/>
      <c r="E125" s="80"/>
      <c r="F125" s="1700"/>
      <c r="G125" s="154"/>
      <c r="H125" s="1700"/>
      <c r="I125" s="1706"/>
      <c r="J125" s="1642"/>
      <c r="K125" s="1645"/>
      <c r="L125" s="1634"/>
      <c r="M125" s="1648"/>
      <c r="N125" s="1634">
        <f>IF(NOT(ISERROR(MATCH(M125,_xlfn.ANCHORARRAY(F136),0))),L138&amp;"Por favor no seleccionar los criterios de impacto",M125)</f>
        <v>0</v>
      </c>
      <c r="O125" s="1645"/>
      <c r="P125" s="1634"/>
      <c r="Q125" s="1637"/>
      <c r="R125" s="48">
        <v>6</v>
      </c>
      <c r="S125" s="49"/>
      <c r="T125" s="50" t="str">
        <f t="shared" si="65"/>
        <v/>
      </c>
      <c r="U125" s="61"/>
      <c r="V125" s="61"/>
      <c r="W125" s="62" t="str">
        <f t="shared" si="66"/>
        <v/>
      </c>
      <c r="X125" s="61"/>
      <c r="Y125" s="61"/>
      <c r="Z125" s="61"/>
      <c r="AA125" s="63" t="str">
        <f t="shared" si="71"/>
        <v/>
      </c>
      <c r="AB125" s="64" t="str">
        <f t="shared" si="67"/>
        <v/>
      </c>
      <c r="AC125" s="65" t="str">
        <f t="shared" si="68"/>
        <v/>
      </c>
      <c r="AD125" s="218" t="str">
        <f t="shared" si="69"/>
        <v/>
      </c>
      <c r="AE125" s="219" t="str">
        <f t="shared" si="72"/>
        <v/>
      </c>
      <c r="AF125" s="66" t="str">
        <f t="shared" si="70"/>
        <v/>
      </c>
      <c r="AG125" s="81"/>
      <c r="AH125" s="77"/>
      <c r="AI125" s="78"/>
      <c r="AJ125" s="82"/>
      <c r="AK125" s="82"/>
      <c r="AL125" s="77"/>
      <c r="AM125" s="78"/>
    </row>
    <row r="126" spans="1:39" s="184" customFormat="1" ht="16.5" customHeight="1" x14ac:dyDescent="0.25">
      <c r="A126" s="1681" t="s">
        <v>156</v>
      </c>
      <c r="B126" s="1682"/>
      <c r="C126" s="1682"/>
      <c r="D126" s="1682"/>
      <c r="E126" s="1682"/>
      <c r="F126" s="1682"/>
      <c r="G126" s="1682"/>
      <c r="H126" s="1682"/>
      <c r="I126" s="1682"/>
      <c r="J126" s="1682"/>
      <c r="K126" s="1682"/>
      <c r="L126" s="1682"/>
      <c r="M126" s="1682"/>
      <c r="N126" s="1682"/>
      <c r="O126" s="1682"/>
      <c r="P126" s="1682"/>
      <c r="Q126" s="1682"/>
      <c r="R126" s="1682"/>
      <c r="S126" s="1682"/>
      <c r="T126" s="1682"/>
      <c r="U126" s="1682"/>
      <c r="V126" s="1682"/>
      <c r="W126" s="1682"/>
      <c r="X126" s="1682"/>
      <c r="Y126" s="1682"/>
      <c r="Z126" s="1682"/>
      <c r="AA126" s="1682"/>
      <c r="AB126" s="1682"/>
      <c r="AC126" s="1682"/>
      <c r="AD126" s="1682"/>
      <c r="AE126" s="1682"/>
      <c r="AF126" s="1682"/>
      <c r="AG126" s="1682"/>
      <c r="AH126" s="1682"/>
      <c r="AI126" s="1682"/>
      <c r="AJ126" s="1682"/>
      <c r="AK126" s="1682"/>
      <c r="AL126" s="1682"/>
      <c r="AM126" s="1683"/>
    </row>
    <row r="127" spans="1:39" s="184" customFormat="1" ht="24" customHeight="1" x14ac:dyDescent="0.25">
      <c r="A127" s="1684"/>
      <c r="B127" s="1685"/>
      <c r="C127" s="1685"/>
      <c r="D127" s="1685"/>
      <c r="E127" s="1685"/>
      <c r="F127" s="1685"/>
      <c r="G127" s="1685"/>
      <c r="H127" s="1685"/>
      <c r="I127" s="1685"/>
      <c r="J127" s="1685"/>
      <c r="K127" s="1685"/>
      <c r="L127" s="1685"/>
      <c r="M127" s="1685"/>
      <c r="N127" s="1685"/>
      <c r="O127" s="1685"/>
      <c r="P127" s="1685"/>
      <c r="Q127" s="1685"/>
      <c r="R127" s="1685"/>
      <c r="S127" s="1685"/>
      <c r="T127" s="1685"/>
      <c r="U127" s="1685"/>
      <c r="V127" s="1685"/>
      <c r="W127" s="1685"/>
      <c r="X127" s="1685"/>
      <c r="Y127" s="1685"/>
      <c r="Z127" s="1685"/>
      <c r="AA127" s="1685"/>
      <c r="AB127" s="1685"/>
      <c r="AC127" s="1685"/>
      <c r="AD127" s="1685"/>
      <c r="AE127" s="1685"/>
      <c r="AF127" s="1685"/>
      <c r="AG127" s="1685"/>
      <c r="AH127" s="1685"/>
      <c r="AI127" s="1685"/>
      <c r="AJ127" s="1685"/>
      <c r="AK127" s="1685"/>
      <c r="AL127" s="1685"/>
      <c r="AM127" s="1686"/>
    </row>
    <row r="129" spans="1:41" s="184" customFormat="1" ht="26.25" customHeight="1" x14ac:dyDescent="0.25">
      <c r="A129" s="1667" t="s">
        <v>157</v>
      </c>
      <c r="B129" s="1668"/>
      <c r="C129" s="1821" t="s">
        <v>648</v>
      </c>
      <c r="D129" s="1822"/>
      <c r="E129" s="1822"/>
      <c r="F129" s="1822"/>
      <c r="G129" s="1822"/>
      <c r="H129" s="1822"/>
      <c r="I129" s="1822"/>
      <c r="J129" s="1822"/>
      <c r="K129" s="1822"/>
      <c r="L129" s="1822"/>
      <c r="M129" s="1822"/>
      <c r="N129" s="1822"/>
      <c r="O129" s="1822"/>
      <c r="P129" s="1822"/>
      <c r="Q129" s="1822"/>
      <c r="R129" s="1822"/>
      <c r="S129" s="1822"/>
      <c r="T129" s="1822"/>
      <c r="U129" s="1822"/>
      <c r="V129" s="1822"/>
      <c r="W129" s="1822"/>
      <c r="X129" s="1822"/>
      <c r="Y129" s="1822"/>
      <c r="Z129" s="1822"/>
      <c r="AA129" s="1822"/>
      <c r="AB129" s="1822"/>
      <c r="AC129" s="1822"/>
      <c r="AD129" s="1822"/>
      <c r="AE129" s="1822"/>
      <c r="AF129" s="1822"/>
      <c r="AG129" s="1822"/>
      <c r="AH129" s="1822"/>
      <c r="AI129" s="1822"/>
      <c r="AJ129" s="1822"/>
      <c r="AK129" s="1822"/>
      <c r="AL129" s="1822"/>
      <c r="AM129" s="1823"/>
      <c r="AN129" s="37"/>
      <c r="AO129" s="37"/>
    </row>
    <row r="130" spans="1:41" s="184" customFormat="1" ht="30" customHeight="1" x14ac:dyDescent="0.25">
      <c r="A130" s="1667" t="s">
        <v>158</v>
      </c>
      <c r="B130" s="1668"/>
      <c r="C130" s="1669" t="s">
        <v>649</v>
      </c>
      <c r="D130" s="1669"/>
      <c r="E130" s="1669"/>
      <c r="F130" s="1669"/>
      <c r="G130" s="1669"/>
      <c r="H130" s="1669"/>
      <c r="I130" s="1669"/>
      <c r="J130" s="1669"/>
      <c r="K130" s="1669"/>
      <c r="L130" s="1669"/>
      <c r="M130" s="1669"/>
      <c r="N130" s="1669"/>
      <c r="O130" s="1669"/>
      <c r="P130" s="1669"/>
      <c r="Q130" s="1669"/>
      <c r="R130" s="1669"/>
      <c r="S130" s="1669"/>
      <c r="T130" s="1669"/>
      <c r="U130" s="1669"/>
      <c r="V130" s="1669"/>
      <c r="W130" s="1669"/>
      <c r="X130" s="1669"/>
      <c r="Y130" s="1669"/>
      <c r="Z130" s="1669"/>
      <c r="AA130" s="1669"/>
      <c r="AB130" s="1669"/>
      <c r="AC130" s="1669"/>
      <c r="AD130" s="1669"/>
      <c r="AE130" s="1669"/>
      <c r="AF130" s="1669"/>
      <c r="AG130" s="1669"/>
      <c r="AH130" s="1669"/>
      <c r="AI130" s="1669"/>
      <c r="AJ130" s="1669"/>
      <c r="AK130" s="1669"/>
      <c r="AL130" s="1669"/>
      <c r="AM130" s="1669"/>
      <c r="AN130" s="37"/>
      <c r="AO130" s="37"/>
    </row>
    <row r="131" spans="1:41" s="184" customFormat="1" ht="49.5" customHeight="1" x14ac:dyDescent="0.25">
      <c r="A131" s="1667" t="s">
        <v>159</v>
      </c>
      <c r="B131" s="1668"/>
      <c r="C131" s="1669"/>
      <c r="D131" s="1669"/>
      <c r="E131" s="1669"/>
      <c r="F131" s="1669"/>
      <c r="G131" s="1669"/>
      <c r="H131" s="1669"/>
      <c r="I131" s="1669"/>
      <c r="J131" s="1669"/>
      <c r="K131" s="1669"/>
      <c r="L131" s="1669"/>
      <c r="M131" s="1669"/>
      <c r="N131" s="1669"/>
      <c r="O131" s="1669"/>
      <c r="P131" s="1669"/>
      <c r="Q131" s="1669"/>
      <c r="R131" s="1669"/>
      <c r="S131" s="1669"/>
      <c r="T131" s="1669"/>
      <c r="U131" s="1669"/>
      <c r="V131" s="1669"/>
      <c r="W131" s="1669"/>
      <c r="X131" s="1669"/>
      <c r="Y131" s="1669"/>
      <c r="Z131" s="1669"/>
      <c r="AA131" s="1669"/>
      <c r="AB131" s="1669"/>
      <c r="AC131" s="1669"/>
      <c r="AD131" s="1669"/>
      <c r="AE131" s="1669"/>
      <c r="AF131" s="1669"/>
      <c r="AG131" s="1669"/>
      <c r="AH131" s="1669"/>
      <c r="AI131" s="1669"/>
      <c r="AJ131" s="1669"/>
      <c r="AK131" s="1669"/>
      <c r="AL131" s="1669"/>
      <c r="AM131" s="1669"/>
      <c r="AN131" s="37"/>
      <c r="AO131" s="37"/>
    </row>
    <row r="132" spans="1:41" s="184" customFormat="1" x14ac:dyDescent="0.25">
      <c r="A132" s="1670" t="s">
        <v>160</v>
      </c>
      <c r="B132" s="1671"/>
      <c r="C132" s="1672"/>
      <c r="D132" s="1672"/>
      <c r="E132" s="1672"/>
      <c r="F132" s="1672"/>
      <c r="G132" s="1672"/>
      <c r="H132" s="1672"/>
      <c r="I132" s="1672"/>
      <c r="J132" s="1673"/>
      <c r="K132" s="1630" t="s">
        <v>161</v>
      </c>
      <c r="L132" s="1672"/>
      <c r="M132" s="1672"/>
      <c r="N132" s="1672"/>
      <c r="O132" s="1672"/>
      <c r="P132" s="1672"/>
      <c r="Q132" s="1673"/>
      <c r="R132" s="1630" t="s">
        <v>162</v>
      </c>
      <c r="S132" s="1672"/>
      <c r="T132" s="1672"/>
      <c r="U132" s="1672"/>
      <c r="V132" s="1672"/>
      <c r="W132" s="1672"/>
      <c r="X132" s="1672"/>
      <c r="Y132" s="1672"/>
      <c r="Z132" s="1673"/>
      <c r="AA132" s="1630" t="s">
        <v>163</v>
      </c>
      <c r="AB132" s="1672"/>
      <c r="AC132" s="1672"/>
      <c r="AD132" s="1672"/>
      <c r="AE132" s="1672"/>
      <c r="AF132" s="1672"/>
      <c r="AG132" s="1673"/>
      <c r="AH132" s="1630" t="s">
        <v>164</v>
      </c>
      <c r="AI132" s="1672"/>
      <c r="AJ132" s="1672"/>
      <c r="AK132" s="1672"/>
      <c r="AL132" s="1672"/>
      <c r="AM132" s="1673"/>
      <c r="AN132" s="37"/>
      <c r="AO132" s="37"/>
    </row>
    <row r="133" spans="1:41" s="184" customFormat="1" ht="16.5" customHeight="1" x14ac:dyDescent="0.25">
      <c r="A133" s="1649" t="s">
        <v>165</v>
      </c>
      <c r="B133" s="1651" t="s">
        <v>142</v>
      </c>
      <c r="C133" s="1626" t="s">
        <v>166</v>
      </c>
      <c r="D133" s="1626" t="s">
        <v>167</v>
      </c>
      <c r="E133" s="1631" t="s">
        <v>168</v>
      </c>
      <c r="F133" s="1652" t="s">
        <v>60</v>
      </c>
      <c r="G133" s="56"/>
      <c r="H133" s="56"/>
      <c r="I133" s="1631" t="s">
        <v>169</v>
      </c>
      <c r="J133" s="1626" t="s">
        <v>170</v>
      </c>
      <c r="K133" s="1628" t="s">
        <v>171</v>
      </c>
      <c r="L133" s="1629" t="s">
        <v>172</v>
      </c>
      <c r="M133" s="1631" t="s">
        <v>173</v>
      </c>
      <c r="N133" s="1631" t="s">
        <v>174</v>
      </c>
      <c r="O133" s="1666" t="s">
        <v>175</v>
      </c>
      <c r="P133" s="1629" t="s">
        <v>172</v>
      </c>
      <c r="Q133" s="1626" t="s">
        <v>176</v>
      </c>
      <c r="R133" s="1664" t="s">
        <v>177</v>
      </c>
      <c r="S133" s="1627" t="s">
        <v>178</v>
      </c>
      <c r="T133" s="1631" t="s">
        <v>179</v>
      </c>
      <c r="U133" s="1627" t="s">
        <v>180</v>
      </c>
      <c r="V133" s="1627"/>
      <c r="W133" s="1627"/>
      <c r="X133" s="1627"/>
      <c r="Y133" s="1627"/>
      <c r="Z133" s="1627"/>
      <c r="AA133" s="1663" t="s">
        <v>181</v>
      </c>
      <c r="AB133" s="1663" t="s">
        <v>182</v>
      </c>
      <c r="AC133" s="1663" t="s">
        <v>172</v>
      </c>
      <c r="AD133" s="1663" t="s">
        <v>183</v>
      </c>
      <c r="AE133" s="1663" t="s">
        <v>172</v>
      </c>
      <c r="AF133" s="1663" t="s">
        <v>184</v>
      </c>
      <c r="AG133" s="1664" t="s">
        <v>185</v>
      </c>
      <c r="AH133" s="1627" t="s">
        <v>164</v>
      </c>
      <c r="AI133" s="1627" t="s">
        <v>143</v>
      </c>
      <c r="AJ133" s="1627" t="s">
        <v>186</v>
      </c>
      <c r="AK133" s="1627" t="s">
        <v>187</v>
      </c>
      <c r="AL133" s="1627" t="s">
        <v>188</v>
      </c>
      <c r="AM133" s="1819" t="s">
        <v>189</v>
      </c>
      <c r="AN133" s="1917" t="s">
        <v>650</v>
      </c>
      <c r="AO133" s="1917"/>
    </row>
    <row r="134" spans="1:41" s="222" customFormat="1" ht="94.5" customHeight="1" x14ac:dyDescent="0.3">
      <c r="A134" s="1650"/>
      <c r="B134" s="1651"/>
      <c r="C134" s="1627"/>
      <c r="D134" s="1627"/>
      <c r="E134" s="1628"/>
      <c r="F134" s="1653"/>
      <c r="G134" s="56" t="s">
        <v>610</v>
      </c>
      <c r="H134" s="56" t="s">
        <v>190</v>
      </c>
      <c r="I134" s="1626"/>
      <c r="J134" s="1627"/>
      <c r="K134" s="1626"/>
      <c r="L134" s="1630"/>
      <c r="M134" s="1626"/>
      <c r="N134" s="1626"/>
      <c r="O134" s="1630"/>
      <c r="P134" s="1630"/>
      <c r="Q134" s="1627"/>
      <c r="R134" s="1665"/>
      <c r="S134" s="1627"/>
      <c r="T134" s="1626"/>
      <c r="U134" s="42" t="s">
        <v>191</v>
      </c>
      <c r="V134" s="42" t="s">
        <v>192</v>
      </c>
      <c r="W134" s="42" t="s">
        <v>193</v>
      </c>
      <c r="X134" s="42" t="s">
        <v>194</v>
      </c>
      <c r="Y134" s="42" t="s">
        <v>195</v>
      </c>
      <c r="Z134" s="42" t="s">
        <v>196</v>
      </c>
      <c r="AA134" s="1663"/>
      <c r="AB134" s="1663"/>
      <c r="AC134" s="1663"/>
      <c r="AD134" s="1663"/>
      <c r="AE134" s="1663"/>
      <c r="AF134" s="1663"/>
      <c r="AG134" s="1665"/>
      <c r="AH134" s="1627"/>
      <c r="AI134" s="1627"/>
      <c r="AJ134" s="1627"/>
      <c r="AK134" s="1627"/>
      <c r="AL134" s="1627"/>
      <c r="AM134" s="1819"/>
      <c r="AN134" s="1917"/>
      <c r="AO134" s="1917"/>
    </row>
    <row r="135" spans="1:41" s="231" customFormat="1" ht="123.75" customHeight="1" x14ac:dyDescent="0.3">
      <c r="A135" s="1618">
        <v>1</v>
      </c>
      <c r="B135" s="1656" t="s">
        <v>209</v>
      </c>
      <c r="C135" s="1656" t="s">
        <v>421</v>
      </c>
      <c r="D135" s="1698" t="s">
        <v>422</v>
      </c>
      <c r="E135" s="150" t="s">
        <v>423</v>
      </c>
      <c r="F135" s="1700" t="s">
        <v>424</v>
      </c>
      <c r="G135" s="1693" t="s">
        <v>512</v>
      </c>
      <c r="H135" s="1700" t="s">
        <v>425</v>
      </c>
      <c r="I135" s="1701" t="s">
        <v>198</v>
      </c>
      <c r="J135" s="1640">
        <v>5</v>
      </c>
      <c r="K135" s="1643" t="str">
        <f>IF(J135&lt;=0,"",IF(J135&lt;=2,"Muy Baja",IF(J135&lt;=24,"Baja",IF(J135&lt;=500,"Media",IF(J135&lt;=5000,"Alta","Muy Alta")))))</f>
        <v>Baja</v>
      </c>
      <c r="L135" s="1632">
        <f>IF(K135="","",IF(K135="Muy Baja",0.2,IF(K135="Baja",0.4,IF(K135="Media",0.6,IF(K135="Alta",0.8,IF(K135="Muy Alta",1,))))))</f>
        <v>0.4</v>
      </c>
      <c r="M135" s="1646" t="s">
        <v>225</v>
      </c>
      <c r="N135" s="1632" t="str">
        <f>IF(NOT(ISERROR(MATCH(M135,'[8]Tabla Impacto'!$B$221:$B$223,0))),'[8]Tabla Impacto'!$F$223&amp;"Por favor no seleccionar los criterios de impacto(Afectación Económica o presupuestal y Pérdida Reputacional)",M135)</f>
        <v xml:space="preserve">     El riesgo afecta la imagen de la entidad con algunos usuarios de relevancia frente al logro de los objetivos</v>
      </c>
      <c r="O135" s="1643" t="str">
        <f>IF(OR(N135='[8]Tabla Impacto'!$C$11,N135='[8]Tabla Impacto'!$D$11),"Leve",IF(OR(N135='[8]Tabla Impacto'!$C$12,N135='[8]Tabla Impacto'!$D$12),"Menor",IF(OR(N135='[8]Tabla Impacto'!$C$13,N135='[8]Tabla Impacto'!$D$13),"Moderado",IF(OR(N135='[8]Tabla Impacto'!$C$14,N135='[8]Tabla Impacto'!$D$14),"Mayor",IF(OR(N135='[8]Tabla Impacto'!$C$15,N135='[8]Tabla Impacto'!$D$15),"Catastrófico","")))))</f>
        <v>Moderado</v>
      </c>
      <c r="P135" s="1632">
        <f>IF(O135="","",IF(O135="Leve",0.2,IF(O135="Menor",0.4,IF(O135="Moderado",0.6,IF(O135="Mayor",0.8,IF(O135="Catastrófico",1,))))))</f>
        <v>0.6</v>
      </c>
      <c r="Q135" s="1635" t="str">
        <f>IF(OR(AND(K135="Muy Baja",O135="Leve"),AND(K135="Muy Baja",O135="Menor"),AND(K135="Baja",O135="Leve")),"Bajo",IF(OR(AND(K135="Muy baja",O135="Moderado"),AND(K135="Baja",O135="Menor"),AND(K135="Baja",O135="Moderado"),AND(K135="Media",O135="Leve"),AND(K135="Media",O135="Menor"),AND(K135="Media",O135="Moderado"),AND(K135="Alta",O135="Leve"),AND(K135="Alta",O135="Menor")),"Moderado",IF(OR(AND(K135="Muy Baja",O135="Mayor"),AND(K135="Baja",O135="Mayor"),AND(K135="Media",O135="Mayor"),AND(K135="Alta",O135="Moderado"),AND(K135="Alta",O135="Mayor"),AND(K135="Muy Alta",O135="Leve"),AND(K135="Muy Alta",O135="Menor"),AND(K135="Muy Alta",O135="Moderado"),AND(K135="Muy Alta",O135="Mayor")),"Alto",IF(OR(AND(K135="Muy Baja",O135="Catastrófico"),AND(K135="Baja",O135="Catastrófico"),AND(K135="Media",O135="Catastrófico"),AND(K135="Alta",O135="Catastrófico"),AND(K135="Muy Alta",O135="Catastrófico")),"Extremo",""))))</f>
        <v>Moderado</v>
      </c>
      <c r="R135" s="48">
        <v>1</v>
      </c>
      <c r="S135" s="60" t="s">
        <v>426</v>
      </c>
      <c r="T135" s="50" t="str">
        <f>IF(OR(U135="Preventivo",U135="Detectivo"),"Probabilidad",IF(U135="Correctivo","Impacto",""))</f>
        <v>Probabilidad</v>
      </c>
      <c r="U135" s="61" t="s">
        <v>200</v>
      </c>
      <c r="V135" s="61" t="s">
        <v>201</v>
      </c>
      <c r="W135" s="62" t="str">
        <f>IF(AND(U135="Preventivo",V135="Automático"),"50%",IF(AND(U135="Preventivo",V135="Manual"),"40%",IF(AND(U135="Detectivo",V135="Automático"),"40%",IF(AND(U135="Detectivo",V135="Manual"),"30%",IF(AND(U135="Correctivo",V135="Automático"),"35%",IF(AND(U135="Correctivo",V135="Manual"),"25%",""))))))</f>
        <v>30%</v>
      </c>
      <c r="X135" s="61" t="s">
        <v>202</v>
      </c>
      <c r="Y135" s="61" t="s">
        <v>203</v>
      </c>
      <c r="Z135" s="61" t="s">
        <v>204</v>
      </c>
      <c r="AA135" s="63">
        <f>IFERROR(IF(T135="Probabilidad",(L135-(+L135*W135)),IF(T135="Impacto",L135,"")),"")</f>
        <v>0.28000000000000003</v>
      </c>
      <c r="AB135" s="209" t="str">
        <f>IFERROR(IF(AA135="","",IF(AA135&lt;=0.2,"Muy Baja",IF(AA135&lt;=0.4,"Baja",IF(AA135&lt;=0.6,"Media",IF(AA135&lt;=0.8,"Alta","Muy Alta"))))),"")</f>
        <v>Baja</v>
      </c>
      <c r="AC135" s="65">
        <f>+AA135</f>
        <v>0.28000000000000003</v>
      </c>
      <c r="AD135" s="209" t="str">
        <f>IFERROR(IF(AE135="","",IF(AE135&lt;=0.2,"Leve",IF(AE135&lt;=0.4,"Menor",IF(AE135&lt;=0.6,"Moderado",IF(AE135&lt;=0.8,"Mayor","Catastrófico"))))),"")</f>
        <v>Moderado</v>
      </c>
      <c r="AE135" s="65">
        <f>IFERROR(IF(T135="Impacto",(P135-(+P135*W135)),IF(T135="Probabilidad",P135,"")),"")</f>
        <v>0.6</v>
      </c>
      <c r="AF135" s="210" t="str">
        <f>IFERROR(IF(OR(AND(AB135="Muy Baja",AD135="Leve"),AND(AB135="Muy Baja",AD135="Menor"),AND(AB135="Baja",AD135="Leve")),"Bajo",IF(OR(AND(AB135="Muy baja",AD135="Moderado"),AND(AB135="Baja",AD135="Menor"),AND(AB135="Baja",AD135="Moderado"),AND(AB135="Media",AD135="Leve"),AND(AB135="Media",AD135="Menor"),AND(AB135="Media",AD135="Moderado"),AND(AB135="Alta",AD135="Leve"),AND(AB135="Alta",AD135="Menor")),"Moderado",IF(OR(AND(AB135="Muy Baja",AD135="Mayor"),AND(AB135="Baja",AD135="Mayor"),AND(AB135="Media",AD135="Mayor"),AND(AB135="Alta",AD135="Moderado"),AND(AB135="Alta",AD135="Mayor"),AND(AB135="Muy Alta",AD135="Leve"),AND(AB135="Muy Alta",AD135="Menor"),AND(AB135="Muy Alta",AD135="Moderado"),AND(AB135="Muy Alta",AD135="Mayor")),"Alto",IF(OR(AND(AB135="Muy Baja",AD135="Catastrófico"),AND(AB135="Baja",AD135="Catastrófico"),AND(AB135="Media",AD135="Catastrófico"),AND(AB135="Alta",AD135="Catastrófico"),AND(AB135="Muy Alta",AD135="Catastrófico")),"Extremo","")))),"")</f>
        <v>Moderado</v>
      </c>
      <c r="AG135" s="81" t="s">
        <v>205</v>
      </c>
      <c r="AH135" s="69" t="s">
        <v>427</v>
      </c>
      <c r="AI135" s="1870" t="s">
        <v>428</v>
      </c>
      <c r="AJ135" s="1896" t="s">
        <v>360</v>
      </c>
      <c r="AK135" s="1896" t="s">
        <v>148</v>
      </c>
      <c r="AL135" s="1656" t="s">
        <v>429</v>
      </c>
      <c r="AM135" s="1912" t="s">
        <v>206</v>
      </c>
      <c r="AN135" s="1901" t="s">
        <v>651</v>
      </c>
      <c r="AO135" s="1901"/>
    </row>
    <row r="136" spans="1:41" s="184" customFormat="1" ht="108" customHeight="1" x14ac:dyDescent="0.25">
      <c r="A136" s="1619"/>
      <c r="B136" s="1657"/>
      <c r="C136" s="1657"/>
      <c r="D136" s="1699"/>
      <c r="E136" s="150" t="s">
        <v>362</v>
      </c>
      <c r="F136" s="1700"/>
      <c r="G136" s="1694"/>
      <c r="H136" s="1700"/>
      <c r="I136" s="1702"/>
      <c r="J136" s="1641"/>
      <c r="K136" s="1644"/>
      <c r="L136" s="1633"/>
      <c r="M136" s="1647"/>
      <c r="N136" s="1633">
        <f>IF(NOT(ISERROR(MATCH(M136,_xlfn.ANCHORARRAY(F143),0))),L145&amp;"Por favor no seleccionar los criterios de impacto",M136)</f>
        <v>0</v>
      </c>
      <c r="O136" s="1644"/>
      <c r="P136" s="1633"/>
      <c r="Q136" s="1636"/>
      <c r="R136" s="48">
        <v>2</v>
      </c>
      <c r="S136" s="60" t="s">
        <v>430</v>
      </c>
      <c r="T136" s="50" t="str">
        <f>IF(OR(U136="Preventivo",U136="Detectivo"),"Probabilidad",IF(U136="Correctivo","Impacto",""))</f>
        <v>Probabilidad</v>
      </c>
      <c r="U136" s="61" t="s">
        <v>207</v>
      </c>
      <c r="V136" s="61" t="s">
        <v>201</v>
      </c>
      <c r="W136" s="62" t="str">
        <f t="shared" ref="W136" si="73">IF(AND(U136="Preventivo",V136="Automático"),"50%",IF(AND(U136="Preventivo",V136="Manual"),"40%",IF(AND(U136="Detectivo",V136="Automático"),"40%",IF(AND(U136="Detectivo",V136="Manual"),"30%",IF(AND(U136="Correctivo",V136="Automático"),"35%",IF(AND(U136="Correctivo",V136="Manual"),"25%",""))))))</f>
        <v>40%</v>
      </c>
      <c r="X136" s="61" t="s">
        <v>202</v>
      </c>
      <c r="Y136" s="61" t="s">
        <v>203</v>
      </c>
      <c r="Z136" s="61" t="s">
        <v>204</v>
      </c>
      <c r="AA136" s="63">
        <f>IFERROR(IF(AND(T135="Probabilidad",T136="Probabilidad"),(AC135-(+AC135*W136)),IF(AND(T135="Impacto",T136="Probabilidad"),(L135-(+L135*W136)),IF(T136="Impacto",AC135,""))),"")</f>
        <v>0.16800000000000001</v>
      </c>
      <c r="AB136" s="64" t="str">
        <f t="shared" ref="AB136" si="74">IFERROR(IF(AA136="","",IF(AA136&lt;=0.2,"Muy Baja",IF(AA136&lt;=0.4,"Baja",IF(AA136&lt;=0.6,"Media",IF(AA136&lt;=0.8,"Alta","Muy Alta"))))),"")</f>
        <v>Muy Baja</v>
      </c>
      <c r="AC136" s="65">
        <f>+AA136</f>
        <v>0.16800000000000001</v>
      </c>
      <c r="AD136" s="64" t="str">
        <f t="shared" ref="AD136" si="75">IFERROR(IF(AE136="","",IF(AE136&lt;=0.2,"Leve",IF(AE136&lt;=0.4,"Menor",IF(AE136&lt;=0.6,"Moderado",IF(AE136&lt;=0.8,"Mayor","Catastrófico"))))),"")</f>
        <v>Moderado</v>
      </c>
      <c r="AE136" s="65">
        <f>IFERROR(IF(AND(T135="Impacto",T136="Impacto"),(AE135-(+AE135*W136)),IF(AND(T135="Probabilidad",T136="Impacto"),(P135-(+P135*W136)),IF(T136="Probabilidad",AE135,""))),"")</f>
        <v>0.6</v>
      </c>
      <c r="AF136" s="66" t="str">
        <f t="shared" ref="AF136" si="76">IFERROR(IF(OR(AND(AB136="Muy Baja",AD136="Leve"),AND(AB136="Muy Baja",AD136="Menor"),AND(AB136="Baja",AD136="Leve")),"Bajo",IF(OR(AND(AB136="Muy baja",AD136="Moderado"),AND(AB136="Baja",AD136="Menor"),AND(AB136="Baja",AD136="Moderado"),AND(AB136="Media",AD136="Leve"),AND(AB136="Media",AD136="Menor"),AND(AB136="Media",AD136="Moderado"),AND(AB136="Alta",AD136="Leve"),AND(AB136="Alta",AD136="Menor")),"Moderado",IF(OR(AND(AB136="Muy Baja",AD136="Mayor"),AND(AB136="Baja",AD136="Mayor"),AND(AB136="Media",AD136="Mayor"),AND(AB136="Alta",AD136="Moderado"),AND(AB136="Alta",AD136="Mayor"),AND(AB136="Muy Alta",AD136="Leve"),AND(AB136="Muy Alta",AD136="Menor"),AND(AB136="Muy Alta",AD136="Moderado"),AND(AB136="Muy Alta",AD136="Mayor")),"Alto",IF(OR(AND(AB136="Muy Baja",AD136="Catastrófico"),AND(AB136="Baja",AD136="Catastrófico"),AND(AB136="Media",AD136="Catastrófico"),AND(AB136="Alta",AD136="Catastrófico"),AND(AB136="Muy Alta",AD136="Catastrófico")),"Extremo","")))),"")</f>
        <v>Moderado</v>
      </c>
      <c r="AG136" s="81" t="s">
        <v>205</v>
      </c>
      <c r="AH136" s="77" t="s">
        <v>431</v>
      </c>
      <c r="AI136" s="1871"/>
      <c r="AJ136" s="1911"/>
      <c r="AK136" s="1911"/>
      <c r="AL136" s="1658"/>
      <c r="AM136" s="1913"/>
      <c r="AN136" s="1901"/>
      <c r="AO136" s="1901"/>
    </row>
    <row r="137" spans="1:41" s="184" customFormat="1" ht="71.25" customHeight="1" x14ac:dyDescent="0.25">
      <c r="A137" s="1618">
        <v>2</v>
      </c>
      <c r="B137" s="1601" t="s">
        <v>209</v>
      </c>
      <c r="C137" s="1614" t="s">
        <v>432</v>
      </c>
      <c r="D137" s="1914" t="s">
        <v>433</v>
      </c>
      <c r="E137" s="1902" t="s">
        <v>434</v>
      </c>
      <c r="F137" s="1638" t="s">
        <v>435</v>
      </c>
      <c r="G137" s="1693" t="s">
        <v>597</v>
      </c>
      <c r="H137" s="1638" t="s">
        <v>652</v>
      </c>
      <c r="I137" s="1608" t="s">
        <v>198</v>
      </c>
      <c r="J137" s="1611">
        <v>12</v>
      </c>
      <c r="K137" s="1595" t="str">
        <f>IF(J137&lt;=0,"",IF(J137&lt;=2,"Muy Baja",IF(J137&lt;=24,"Baja",IF(J137&lt;=500,"Media",IF(J137&lt;=5000,"Alta","Muy Alta")))))</f>
        <v>Baja</v>
      </c>
      <c r="L137" s="1592">
        <f>IF(K137="","",IF(K137="Muy Baja",0.2,IF(K137="Baja",0.4,IF(K137="Media",0.6,IF(K137="Alta",0.8,IF(K137="Muy Alta",1,))))))</f>
        <v>0.4</v>
      </c>
      <c r="M137" s="1589" t="s">
        <v>225</v>
      </c>
      <c r="N137" s="1592" t="str">
        <f>IF(NOT(ISERROR(MATCH(M137,'[8]Tabla Impacto'!$B$221:$B$223,0))),'[8]Tabla Impacto'!$F$223&amp;"Por favor no seleccionar los criterios de impacto(Afectación Económica o presupuestal y Pérdida Reputacional)",M137)</f>
        <v xml:space="preserve">     El riesgo afecta la imagen de la entidad con algunos usuarios de relevancia frente al logro de los objetivos</v>
      </c>
      <c r="O137" s="1595" t="str">
        <f>IF(OR(N137='[8]Tabla Impacto'!$C$11,N137='[8]Tabla Impacto'!$D$11),"Leve",IF(OR(N137='[8]Tabla Impacto'!$C$12,N137='[8]Tabla Impacto'!$D$12),"Menor",IF(OR(N137='[8]Tabla Impacto'!$C$13,N137='[8]Tabla Impacto'!$D$13),"Moderado",IF(OR(N137='[8]Tabla Impacto'!$C$14,N137='[8]Tabla Impacto'!$D$14),"Mayor",IF(OR(N137='[8]Tabla Impacto'!$C$15,N137='[8]Tabla Impacto'!$D$15),"Catastrófico","")))))</f>
        <v>Moderado</v>
      </c>
      <c r="P137" s="1592">
        <f>IF(O137="","",IF(O137="Leve",0.2,IF(O137="Menor",0.4,IF(O137="Moderado",0.6,IF(O137="Mayor",0.8,IF(O137="Catastrófico",1,))))))</f>
        <v>0.6</v>
      </c>
      <c r="Q137" s="1598" t="str">
        <f>IF(OR(AND(K137="Muy Baja",O137="Leve"),AND(K137="Muy Baja",O137="Menor"),AND(K137="Baja",O137="Leve")),"Bajo",IF(OR(AND(K137="Muy baja",O137="Moderado"),AND(K137="Baja",O137="Menor"),AND(K137="Baja",O137="Moderado"),AND(K137="Media",O137="Leve"),AND(K137="Media",O137="Menor"),AND(K137="Media",O137="Moderado"),AND(K137="Alta",O137="Leve"),AND(K137="Alta",O137="Menor")),"Moderado",IF(OR(AND(K137="Muy Baja",O137="Mayor"),AND(K137="Baja",O137="Mayor"),AND(K137="Media",O137="Mayor"),AND(K137="Alta",O137="Moderado"),AND(K137="Alta",O137="Mayor"),AND(K137="Muy Alta",O137="Leve"),AND(K137="Muy Alta",O137="Menor"),AND(K137="Muy Alta",O137="Moderado"),AND(K137="Muy Alta",O137="Mayor")),"Alto",IF(OR(AND(K137="Muy Baja",O137="Catastrófico"),AND(K137="Baja",O137="Catastrófico"),AND(K137="Media",O137="Catastrófico"),AND(K137="Alta",O137="Catastrófico"),AND(K137="Muy Alta",O137="Catastrófico")),"Extremo",""))))</f>
        <v>Moderado</v>
      </c>
      <c r="R137" s="48">
        <v>1</v>
      </c>
      <c r="S137" s="1581" t="s">
        <v>653</v>
      </c>
      <c r="T137" s="1878" t="str">
        <f>IF(OR(U137="Preventivo",U137="Detectivo"),"Probabilidad",IF(U137="Correctivo","Impacto",""))</f>
        <v>Probabilidad</v>
      </c>
      <c r="U137" s="1866" t="s">
        <v>207</v>
      </c>
      <c r="V137" s="1866" t="s">
        <v>201</v>
      </c>
      <c r="W137" s="1862" t="str">
        <f>IF(AND(U137="Preventivo",V137="Automático"),"50%",IF(AND(U137="Preventivo",V137="Manual"),"40%",IF(AND(U137="Detectivo",V137="Automático"),"40%",IF(AND(U137="Detectivo",V137="Manual"),"30%",IF(AND(U137="Correctivo",V137="Automático"),"35%",IF(AND(U137="Correctivo",V137="Manual"),"25%",""))))))</f>
        <v>40%</v>
      </c>
      <c r="X137" s="1866" t="s">
        <v>202</v>
      </c>
      <c r="Y137" s="1866" t="s">
        <v>203</v>
      </c>
      <c r="Z137" s="1866" t="s">
        <v>204</v>
      </c>
      <c r="AA137" s="1874">
        <f>IFERROR(IF(T137="Probabilidad",(L137-(+L137*W137)),IF(T137="Impacto",L137,"")),"")</f>
        <v>0.24</v>
      </c>
      <c r="AB137" s="1876" t="str">
        <f>IFERROR(IF(AA137="","",IF(AA137&lt;=0.2,"Muy Baja",IF(AA137&lt;=0.4,"Baja",IF(AA137&lt;=0.6,"Media",IF(AA137&lt;=0.8,"Alta","Muy Alta"))))),"")</f>
        <v>Baja</v>
      </c>
      <c r="AC137" s="1862">
        <f>+AA137</f>
        <v>0.24</v>
      </c>
      <c r="AD137" s="1876" t="str">
        <f>IFERROR(IF(AE137="","",IF(AE137&lt;=0.2,"Leve",IF(AE137&lt;=0.4,"Menor",IF(AE137&lt;=0.6,"Moderado",IF(AE137&lt;=0.8,"Mayor","Catastrófico"))))),"")</f>
        <v>Moderado</v>
      </c>
      <c r="AE137" s="1862">
        <f>IFERROR(IF(T137="Impacto",(P137-(+P137*W137)),IF(T137="Probabilidad",P137,"")),"")</f>
        <v>0.6</v>
      </c>
      <c r="AF137" s="1864" t="str">
        <f>IFERROR(IF(OR(AND(AB137="Muy Baja",AD137="Leve"),AND(AB137="Muy Baja",AD137="Menor"),AND(AB137="Baja",AD137="Leve")),"Bajo",IF(OR(AND(AB137="Muy baja",AD137="Moderado"),AND(AB137="Baja",AD137="Menor"),AND(AB137="Baja",AD137="Moderado"),AND(AB137="Media",AD137="Leve"),AND(AB137="Media",AD137="Menor"),AND(AB137="Media",AD137="Moderado"),AND(AB137="Alta",AD137="Leve"),AND(AB137="Alta",AD137="Menor")),"Moderado",IF(OR(AND(AB137="Muy Baja",AD137="Mayor"),AND(AB137="Baja",AD137="Mayor"),AND(AB137="Media",AD137="Mayor"),AND(AB137="Alta",AD137="Moderado"),AND(AB137="Alta",AD137="Mayor"),AND(AB137="Muy Alta",AD137="Leve"),AND(AB137="Muy Alta",AD137="Menor"),AND(AB137="Muy Alta",AD137="Moderado"),AND(AB137="Muy Alta",AD137="Mayor")),"Alto",IF(OR(AND(AB137="Muy Baja",AD137="Catastrófico"),AND(AB137="Baja",AD137="Catastrófico"),AND(AB137="Media",AD137="Catastrófico"),AND(AB137="Alta",AD137="Catastrófico"),AND(AB137="Muy Alta",AD137="Catastrófico")),"Extremo","")))),"")</f>
        <v>Moderado</v>
      </c>
      <c r="AG137" s="1866" t="s">
        <v>205</v>
      </c>
      <c r="AH137" s="1601" t="s">
        <v>436</v>
      </c>
      <c r="AI137" s="1601" t="s">
        <v>428</v>
      </c>
      <c r="AJ137" s="1896" t="s">
        <v>360</v>
      </c>
      <c r="AK137" s="1896" t="s">
        <v>148</v>
      </c>
      <c r="AL137" s="1601" t="s">
        <v>654</v>
      </c>
      <c r="AM137" s="1855" t="s">
        <v>206</v>
      </c>
      <c r="AN137" s="1901" t="s">
        <v>655</v>
      </c>
      <c r="AO137" s="1901"/>
    </row>
    <row r="138" spans="1:41" s="184" customFormat="1" ht="30" customHeight="1" x14ac:dyDescent="0.25">
      <c r="A138" s="1619"/>
      <c r="B138" s="1899"/>
      <c r="C138" s="1621"/>
      <c r="D138" s="1915"/>
      <c r="E138" s="1903"/>
      <c r="F138" s="1687"/>
      <c r="G138" s="1694"/>
      <c r="H138" s="1687"/>
      <c r="I138" s="1609"/>
      <c r="J138" s="1612"/>
      <c r="K138" s="1596"/>
      <c r="L138" s="1593"/>
      <c r="M138" s="1590"/>
      <c r="N138" s="1593">
        <f>IF(NOT(ISERROR(MATCH(M138,_xlfn.ANCHORARRAY(F149),0))),L151&amp;"Por favor no seleccionar los criterios de impacto",M138)</f>
        <v>0</v>
      </c>
      <c r="O138" s="1596"/>
      <c r="P138" s="1593"/>
      <c r="Q138" s="1599"/>
      <c r="R138" s="48">
        <v>2</v>
      </c>
      <c r="S138" s="1909"/>
      <c r="T138" s="1910"/>
      <c r="U138" s="1883"/>
      <c r="V138" s="1883"/>
      <c r="W138" s="1905"/>
      <c r="X138" s="1883"/>
      <c r="Y138" s="1883"/>
      <c r="Z138" s="1883"/>
      <c r="AA138" s="1907"/>
      <c r="AB138" s="1908"/>
      <c r="AC138" s="1905"/>
      <c r="AD138" s="1908"/>
      <c r="AE138" s="1905"/>
      <c r="AF138" s="1906"/>
      <c r="AG138" s="1883"/>
      <c r="AH138" s="1899"/>
      <c r="AI138" s="1899"/>
      <c r="AJ138" s="1897"/>
      <c r="AK138" s="1897"/>
      <c r="AL138" s="1899"/>
      <c r="AM138" s="1900"/>
      <c r="AN138" s="1901"/>
      <c r="AO138" s="1901"/>
    </row>
    <row r="139" spans="1:41" s="184" customFormat="1" ht="25.5" customHeight="1" x14ac:dyDescent="0.25">
      <c r="A139" s="1619"/>
      <c r="B139" s="1899"/>
      <c r="C139" s="1621"/>
      <c r="D139" s="1915"/>
      <c r="E139" s="1903"/>
      <c r="F139" s="1687"/>
      <c r="G139" s="1694"/>
      <c r="H139" s="1687"/>
      <c r="I139" s="1609"/>
      <c r="J139" s="1612"/>
      <c r="K139" s="1596"/>
      <c r="L139" s="1593"/>
      <c r="M139" s="1590"/>
      <c r="N139" s="1593">
        <f>IF(NOT(ISERROR(MATCH(M139,_xlfn.ANCHORARRAY(F150),0))),L152&amp;"Por favor no seleccionar los criterios de impacto",M139)</f>
        <v>0</v>
      </c>
      <c r="O139" s="1596"/>
      <c r="P139" s="1593"/>
      <c r="Q139" s="1599"/>
      <c r="R139" s="48">
        <v>3</v>
      </c>
      <c r="S139" s="1909"/>
      <c r="T139" s="1910"/>
      <c r="U139" s="1883"/>
      <c r="V139" s="1883"/>
      <c r="W139" s="1905"/>
      <c r="X139" s="1883"/>
      <c r="Y139" s="1883"/>
      <c r="Z139" s="1883"/>
      <c r="AA139" s="1907"/>
      <c r="AB139" s="1908"/>
      <c r="AC139" s="1905"/>
      <c r="AD139" s="1908"/>
      <c r="AE139" s="1905"/>
      <c r="AF139" s="1906"/>
      <c r="AG139" s="1883"/>
      <c r="AH139" s="1899"/>
      <c r="AI139" s="1899"/>
      <c r="AJ139" s="1897"/>
      <c r="AK139" s="1897"/>
      <c r="AL139" s="1899"/>
      <c r="AM139" s="1900"/>
      <c r="AN139" s="1901"/>
      <c r="AO139" s="1901"/>
    </row>
    <row r="140" spans="1:41" s="184" customFormat="1" ht="25.5" customHeight="1" x14ac:dyDescent="0.25">
      <c r="A140" s="1619"/>
      <c r="B140" s="1899"/>
      <c r="C140" s="1621"/>
      <c r="D140" s="1915"/>
      <c r="E140" s="1903"/>
      <c r="F140" s="1687"/>
      <c r="G140" s="1694"/>
      <c r="H140" s="1687"/>
      <c r="I140" s="1609"/>
      <c r="J140" s="1612"/>
      <c r="K140" s="1596"/>
      <c r="L140" s="1593"/>
      <c r="M140" s="1590"/>
      <c r="N140" s="1593">
        <f>IF(NOT(ISERROR(MATCH(M140,_xlfn.ANCHORARRAY(F151),0))),L153&amp;"Por favor no seleccionar los criterios de impacto",M140)</f>
        <v>0</v>
      </c>
      <c r="O140" s="1596"/>
      <c r="P140" s="1593"/>
      <c r="Q140" s="1599"/>
      <c r="R140" s="48">
        <v>4</v>
      </c>
      <c r="S140" s="1909"/>
      <c r="T140" s="1910"/>
      <c r="U140" s="1883"/>
      <c r="V140" s="1883"/>
      <c r="W140" s="1905"/>
      <c r="X140" s="1883"/>
      <c r="Y140" s="1883"/>
      <c r="Z140" s="1883"/>
      <c r="AA140" s="1907"/>
      <c r="AB140" s="1908"/>
      <c r="AC140" s="1905"/>
      <c r="AD140" s="1908"/>
      <c r="AE140" s="1905"/>
      <c r="AF140" s="1906"/>
      <c r="AG140" s="1883"/>
      <c r="AH140" s="1899"/>
      <c r="AI140" s="1899"/>
      <c r="AJ140" s="1897"/>
      <c r="AK140" s="1897"/>
      <c r="AL140" s="1899"/>
      <c r="AM140" s="1900"/>
      <c r="AN140" s="1901"/>
      <c r="AO140" s="1901"/>
    </row>
    <row r="141" spans="1:41" s="184" customFormat="1" ht="24" customHeight="1" x14ac:dyDescent="0.25">
      <c r="A141" s="1619"/>
      <c r="B141" s="1899"/>
      <c r="C141" s="1621"/>
      <c r="D141" s="1915"/>
      <c r="E141" s="1904"/>
      <c r="F141" s="1687"/>
      <c r="G141" s="1694"/>
      <c r="H141" s="1687"/>
      <c r="I141" s="1609"/>
      <c r="J141" s="1612"/>
      <c r="K141" s="1596"/>
      <c r="L141" s="1593"/>
      <c r="M141" s="1590"/>
      <c r="N141" s="1593">
        <f>IF(NOT(ISERROR(MATCH(M141,_xlfn.ANCHORARRAY(F152),0))),L154&amp;"Por favor no seleccionar los criterios de impacto",M141)</f>
        <v>0</v>
      </c>
      <c r="O141" s="1596"/>
      <c r="P141" s="1593"/>
      <c r="Q141" s="1599"/>
      <c r="R141" s="48">
        <v>5</v>
      </c>
      <c r="S141" s="1909"/>
      <c r="T141" s="1910"/>
      <c r="U141" s="1883"/>
      <c r="V141" s="1883"/>
      <c r="W141" s="1905"/>
      <c r="X141" s="1883"/>
      <c r="Y141" s="1883"/>
      <c r="Z141" s="1883"/>
      <c r="AA141" s="1907"/>
      <c r="AB141" s="1908"/>
      <c r="AC141" s="1905"/>
      <c r="AD141" s="1908"/>
      <c r="AE141" s="1905"/>
      <c r="AF141" s="1906"/>
      <c r="AG141" s="1883"/>
      <c r="AH141" s="1899"/>
      <c r="AI141" s="1899"/>
      <c r="AJ141" s="1897"/>
      <c r="AK141" s="1897"/>
      <c r="AL141" s="1899"/>
      <c r="AM141" s="1900"/>
      <c r="AN141" s="1901"/>
      <c r="AO141" s="1901"/>
    </row>
    <row r="142" spans="1:41" s="184" customFormat="1" ht="25.5" customHeight="1" x14ac:dyDescent="0.25">
      <c r="A142" s="1619"/>
      <c r="B142" s="1899"/>
      <c r="C142" s="1615"/>
      <c r="D142" s="1915"/>
      <c r="E142" s="1902" t="s">
        <v>437</v>
      </c>
      <c r="F142" s="1687"/>
      <c r="G142" s="1694"/>
      <c r="H142" s="1687"/>
      <c r="I142" s="1610"/>
      <c r="J142" s="1613"/>
      <c r="K142" s="1597"/>
      <c r="L142" s="1594"/>
      <c r="M142" s="1591"/>
      <c r="N142" s="1594">
        <f>IF(NOT(ISERROR(MATCH(M142,_xlfn.ANCHORARRAY(F153),0))),L155&amp;"Por favor no seleccionar los criterios de impacto",M142)</f>
        <v>0</v>
      </c>
      <c r="O142" s="1597"/>
      <c r="P142" s="1594"/>
      <c r="Q142" s="1600"/>
      <c r="R142" s="48">
        <v>6</v>
      </c>
      <c r="S142" s="1909"/>
      <c r="T142" s="1910"/>
      <c r="U142" s="1883"/>
      <c r="V142" s="1883"/>
      <c r="W142" s="1905"/>
      <c r="X142" s="1883"/>
      <c r="Y142" s="1883"/>
      <c r="Z142" s="1883"/>
      <c r="AA142" s="1907"/>
      <c r="AB142" s="1908"/>
      <c r="AC142" s="1905"/>
      <c r="AD142" s="1908"/>
      <c r="AE142" s="1905"/>
      <c r="AF142" s="1906"/>
      <c r="AG142" s="1883"/>
      <c r="AH142" s="1899"/>
      <c r="AI142" s="1899"/>
      <c r="AJ142" s="1897"/>
      <c r="AK142" s="1897"/>
      <c r="AL142" s="1899"/>
      <c r="AM142" s="1900"/>
      <c r="AN142" s="1901"/>
      <c r="AO142" s="1901"/>
    </row>
    <row r="143" spans="1:41" s="184" customFormat="1" ht="30.75" customHeight="1" x14ac:dyDescent="0.25">
      <c r="A143" s="1619"/>
      <c r="B143" s="1899"/>
      <c r="C143" s="1614" t="s">
        <v>438</v>
      </c>
      <c r="D143" s="1915"/>
      <c r="E143" s="1903"/>
      <c r="F143" s="1687"/>
      <c r="G143" s="1694"/>
      <c r="H143" s="1687"/>
      <c r="I143" s="1608" t="s">
        <v>198</v>
      </c>
      <c r="J143" s="1611">
        <v>12</v>
      </c>
      <c r="K143" s="1595" t="str">
        <f t="shared" ref="K143" si="77">IF(J143&lt;=0,"",IF(J143&lt;=2,"Muy Baja",IF(J143&lt;=24,"Baja",IF(J143&lt;=500,"Media",IF(J143&lt;=5000,"Alta","Muy Alta")))))</f>
        <v>Baja</v>
      </c>
      <c r="L143" s="1592">
        <f t="shared" ref="L143" si="78">IF(K143="","",IF(K143="Muy Baja",0.2,IF(K143="Baja",0.4,IF(K143="Media",0.6,IF(K143="Alta",0.8,IF(K143="Muy Alta",1,))))))</f>
        <v>0.4</v>
      </c>
      <c r="M143" s="1589" t="s">
        <v>225</v>
      </c>
      <c r="N143" s="1592" t="str">
        <f>IF(NOT(ISERROR(MATCH(M143,'[8]Tabla Impacto'!$B$221:$B$223,0))),'[8]Tabla Impacto'!$F$223&amp;"Por favor no seleccionar los criterios de impacto(Afectación Económica o presupuestal y Pérdida Reputacional)",M143)</f>
        <v xml:space="preserve">     El riesgo afecta la imagen de la entidad con algunos usuarios de relevancia frente al logro de los objetivos</v>
      </c>
      <c r="O143" s="1595" t="str">
        <f>IF(OR(N143='[8]Tabla Impacto'!$C$11,N143='[8]Tabla Impacto'!$D$11),"Leve",IF(OR(N143='[8]Tabla Impacto'!$C$12,N143='[8]Tabla Impacto'!$D$12),"Menor",IF(OR(N143='[8]Tabla Impacto'!$C$13,N143='[8]Tabla Impacto'!$D$13),"Moderado",IF(OR(N143='[8]Tabla Impacto'!$C$14,N143='[8]Tabla Impacto'!$D$14),"Mayor",IF(OR(N143='[8]Tabla Impacto'!$C$15,N143='[8]Tabla Impacto'!$D$15),"Catastrófico","")))))</f>
        <v>Moderado</v>
      </c>
      <c r="P143" s="1592">
        <f t="shared" ref="P143" si="79">IF(O143="","",IF(O143="Leve",0.2,IF(O143="Menor",0.4,IF(O143="Moderado",0.6,IF(O143="Mayor",0.8,IF(O143="Catastrófico",1,))))))</f>
        <v>0.6</v>
      </c>
      <c r="Q143" s="1598" t="str">
        <f t="shared" ref="Q143" si="80">IF(OR(AND(K143="Muy Baja",O143="Leve"),AND(K143="Muy Baja",O143="Menor"),AND(K143="Baja",O143="Leve")),"Bajo",IF(OR(AND(K143="Muy baja",O143="Moderado"),AND(K143="Baja",O143="Menor"),AND(K143="Baja",O143="Moderado"),AND(K143="Media",O143="Leve"),AND(K143="Media",O143="Menor"),AND(K143="Media",O143="Moderado"),AND(K143="Alta",O143="Leve"),AND(K143="Alta",O143="Menor")),"Moderado",IF(OR(AND(K143="Muy Baja",O143="Mayor"),AND(K143="Baja",O143="Mayor"),AND(K143="Media",O143="Mayor"),AND(K143="Alta",O143="Moderado"),AND(K143="Alta",O143="Mayor"),AND(K143="Muy Alta",O143="Leve"),AND(K143="Muy Alta",O143="Menor"),AND(K143="Muy Alta",O143="Moderado"),AND(K143="Muy Alta",O143="Mayor")),"Alto",IF(OR(AND(K143="Muy Baja",O143="Catastrófico"),AND(K143="Baja",O143="Catastrófico"),AND(K143="Media",O143="Catastrófico"),AND(K143="Alta",O143="Catastrófico"),AND(K143="Muy Alta",O143="Catastrófico")),"Extremo",""))))</f>
        <v>Moderado</v>
      </c>
      <c r="R143" s="48">
        <v>1</v>
      </c>
      <c r="S143" s="1909"/>
      <c r="T143" s="1910"/>
      <c r="U143" s="1883"/>
      <c r="V143" s="1883"/>
      <c r="W143" s="1905"/>
      <c r="X143" s="1883"/>
      <c r="Y143" s="1883"/>
      <c r="Z143" s="1883"/>
      <c r="AA143" s="1907"/>
      <c r="AB143" s="1908"/>
      <c r="AC143" s="1905"/>
      <c r="AD143" s="1908"/>
      <c r="AE143" s="1905"/>
      <c r="AF143" s="1906"/>
      <c r="AG143" s="1883"/>
      <c r="AH143" s="1899"/>
      <c r="AI143" s="1899"/>
      <c r="AJ143" s="1897"/>
      <c r="AK143" s="1897"/>
      <c r="AL143" s="1899"/>
      <c r="AM143" s="1900"/>
      <c r="AN143" s="1901"/>
      <c r="AO143" s="1901"/>
    </row>
    <row r="144" spans="1:41" s="184" customFormat="1" ht="26.25" customHeight="1" x14ac:dyDescent="0.25">
      <c r="A144" s="1619"/>
      <c r="B144" s="1899"/>
      <c r="C144" s="1621"/>
      <c r="D144" s="1915"/>
      <c r="E144" s="1903"/>
      <c r="F144" s="1687"/>
      <c r="G144" s="1694"/>
      <c r="H144" s="1687"/>
      <c r="I144" s="1609"/>
      <c r="J144" s="1612"/>
      <c r="K144" s="1596"/>
      <c r="L144" s="1593"/>
      <c r="M144" s="1590"/>
      <c r="N144" s="1593">
        <f>IF(NOT(ISERROR(MATCH(M144,_xlfn.ANCHORARRAY(F155),0))),L157&amp;"Por favor no seleccionar los criterios de impacto",M144)</f>
        <v>0</v>
      </c>
      <c r="O144" s="1596"/>
      <c r="P144" s="1593"/>
      <c r="Q144" s="1599"/>
      <c r="R144" s="48">
        <v>2</v>
      </c>
      <c r="S144" s="1909"/>
      <c r="T144" s="1910"/>
      <c r="U144" s="1883"/>
      <c r="V144" s="1883"/>
      <c r="W144" s="1905"/>
      <c r="X144" s="1883"/>
      <c r="Y144" s="1883"/>
      <c r="Z144" s="1883"/>
      <c r="AA144" s="1907"/>
      <c r="AB144" s="1908"/>
      <c r="AC144" s="1905"/>
      <c r="AD144" s="1908"/>
      <c r="AE144" s="1905"/>
      <c r="AF144" s="1906"/>
      <c r="AG144" s="1883"/>
      <c r="AH144" s="1899"/>
      <c r="AI144" s="1899"/>
      <c r="AJ144" s="1897"/>
      <c r="AK144" s="1897"/>
      <c r="AL144" s="1899"/>
      <c r="AM144" s="1900"/>
      <c r="AN144" s="1901"/>
      <c r="AO144" s="1901"/>
    </row>
    <row r="145" spans="1:45" s="184" customFormat="1" ht="26.25" customHeight="1" x14ac:dyDescent="0.25">
      <c r="A145" s="1619"/>
      <c r="B145" s="1899"/>
      <c r="C145" s="1621"/>
      <c r="D145" s="1915"/>
      <c r="E145" s="1903"/>
      <c r="F145" s="1687"/>
      <c r="G145" s="1694"/>
      <c r="H145" s="1687"/>
      <c r="I145" s="1609"/>
      <c r="J145" s="1612"/>
      <c r="K145" s="1596"/>
      <c r="L145" s="1593"/>
      <c r="M145" s="1590"/>
      <c r="N145" s="1593">
        <f>IF(NOT(ISERROR(MATCH(M145,_xlfn.ANCHORARRAY(F156),0))),L158&amp;"Por favor no seleccionar los criterios de impacto",M145)</f>
        <v>0</v>
      </c>
      <c r="O145" s="1596"/>
      <c r="P145" s="1593"/>
      <c r="Q145" s="1599"/>
      <c r="R145" s="48">
        <v>3</v>
      </c>
      <c r="S145" s="1582"/>
      <c r="T145" s="1879"/>
      <c r="U145" s="1867"/>
      <c r="V145" s="1867"/>
      <c r="W145" s="1863"/>
      <c r="X145" s="1867"/>
      <c r="Y145" s="1867"/>
      <c r="Z145" s="1867"/>
      <c r="AA145" s="1875"/>
      <c r="AB145" s="1877"/>
      <c r="AC145" s="1863"/>
      <c r="AD145" s="1877"/>
      <c r="AE145" s="1863"/>
      <c r="AF145" s="1865"/>
      <c r="AG145" s="1867"/>
      <c r="AH145" s="1602"/>
      <c r="AI145" s="1602"/>
      <c r="AJ145" s="1898"/>
      <c r="AK145" s="1898"/>
      <c r="AL145" s="1602"/>
      <c r="AM145" s="1856"/>
      <c r="AN145" s="1901"/>
      <c r="AO145" s="1901"/>
      <c r="AP145" s="37"/>
      <c r="AQ145" s="37"/>
      <c r="AR145" s="37"/>
      <c r="AS145" s="37"/>
    </row>
    <row r="146" spans="1:45" s="184" customFormat="1" ht="26.25" customHeight="1" x14ac:dyDescent="0.25">
      <c r="A146" s="1619"/>
      <c r="B146" s="1899"/>
      <c r="C146" s="1621"/>
      <c r="D146" s="1915"/>
      <c r="E146" s="1903"/>
      <c r="F146" s="1687"/>
      <c r="G146" s="1694"/>
      <c r="H146" s="1687"/>
      <c r="I146" s="1609"/>
      <c r="J146" s="1612"/>
      <c r="K146" s="1596"/>
      <c r="L146" s="1593"/>
      <c r="M146" s="1590"/>
      <c r="N146" s="1593">
        <f>IF(NOT(ISERROR(MATCH(M146,_xlfn.ANCHORARRAY(F157),0))),L159&amp;"Por favor no seleccionar los criterios de impacto",M146)</f>
        <v>0</v>
      </c>
      <c r="O146" s="1596"/>
      <c r="P146" s="1593"/>
      <c r="Q146" s="1599"/>
      <c r="R146" s="48">
        <v>4</v>
      </c>
      <c r="S146" s="1581" t="s">
        <v>656</v>
      </c>
      <c r="T146" s="1878" t="str">
        <f t="shared" ref="T146" si="81">IF(OR(U146="Preventivo",U146="Detectivo"),"Probabilidad",IF(U146="Correctivo","Impacto",""))</f>
        <v>Probabilidad</v>
      </c>
      <c r="U146" s="1866" t="s">
        <v>207</v>
      </c>
      <c r="V146" s="1866" t="s">
        <v>201</v>
      </c>
      <c r="W146" s="1862" t="str">
        <f t="shared" ref="W146" si="82">IF(AND(U146="Preventivo",V146="Automático"),"50%",IF(AND(U146="Preventivo",V146="Manual"),"40%",IF(AND(U146="Detectivo",V146="Automático"),"40%",IF(AND(U146="Detectivo",V146="Manual"),"30%",IF(AND(U146="Correctivo",V146="Automático"),"35%",IF(AND(U146="Correctivo",V146="Manual"),"25%",""))))))</f>
        <v>40%</v>
      </c>
      <c r="X146" s="1866" t="s">
        <v>202</v>
      </c>
      <c r="Y146" s="1866" t="s">
        <v>203</v>
      </c>
      <c r="Z146" s="1866" t="s">
        <v>204</v>
      </c>
      <c r="AA146" s="1874">
        <v>0.24</v>
      </c>
      <c r="AB146" s="1876" t="str">
        <f t="shared" ref="AB146:AB148" si="83">IFERROR(IF(AA146="","",IF(AA146&lt;=0.2,"Muy Baja",IF(AA146&lt;=0.4,"Baja",IF(AA146&lt;=0.6,"Media",IF(AA146&lt;=0.8,"Alta","Muy Alta"))))),"")</f>
        <v>Baja</v>
      </c>
      <c r="AC146" s="1862">
        <f t="shared" ref="AC146" si="84">+AA146</f>
        <v>0.24</v>
      </c>
      <c r="AD146" s="1876" t="str">
        <f>IFERROR(IF(AE146="","",IF(AE146&lt;=0.2,"Leve",IF(AE146&lt;=0.4,"Menor",IF(AE146&lt;=0.6,"Moderado",IF(AE146&lt;=0.8,"Mayor","Catastrófico"))))),"")</f>
        <v>Moderado</v>
      </c>
      <c r="AE146" s="1862">
        <v>0.6</v>
      </c>
      <c r="AF146" s="1864" t="str">
        <f t="shared" ref="AF146" si="85">IFERROR(IF(OR(AND(AB146="Muy Baja",AD146="Leve"),AND(AB146="Muy Baja",AD146="Menor"),AND(AB146="Baja",AD146="Leve")),"Bajo",IF(OR(AND(AB146="Muy baja",AD146="Moderado"),AND(AB146="Baja",AD146="Menor"),AND(AB146="Baja",AD146="Moderado"),AND(AB146="Media",AD146="Leve"),AND(AB146="Media",AD146="Menor"),AND(AB146="Media",AD146="Moderado"),AND(AB146="Alta",AD146="Leve"),AND(AB146="Alta",AD146="Menor")),"Moderado",IF(OR(AND(AB146="Muy Baja",AD146="Mayor"),AND(AB146="Baja",AD146="Mayor"),AND(AB146="Media",AD146="Mayor"),AND(AB146="Alta",AD146="Moderado"),AND(AB146="Alta",AD146="Mayor"),AND(AB146="Muy Alta",AD146="Leve"),AND(AB146="Muy Alta",AD146="Menor"),AND(AB146="Muy Alta",AD146="Moderado"),AND(AB146="Muy Alta",AD146="Mayor")),"Alto",IF(OR(AND(AB146="Muy Baja",AD146="Catastrófico"),AND(AB146="Baja",AD146="Catastrófico"),AND(AB146="Media",AD146="Catastrófico"),AND(AB146="Alta",AD146="Catastrófico"),AND(AB146="Muy Alta",AD146="Catastrófico")),"Extremo","")))),"")</f>
        <v>Moderado</v>
      </c>
      <c r="AG146" s="1866" t="s">
        <v>205</v>
      </c>
      <c r="AH146" s="1601" t="s">
        <v>439</v>
      </c>
      <c r="AI146" s="1601" t="s">
        <v>440</v>
      </c>
      <c r="AJ146" s="1896" t="s">
        <v>360</v>
      </c>
      <c r="AK146" s="1896" t="s">
        <v>148</v>
      </c>
      <c r="AL146" s="1601" t="s">
        <v>441</v>
      </c>
      <c r="AM146" s="1855" t="s">
        <v>206</v>
      </c>
      <c r="AN146" s="1901" t="s">
        <v>657</v>
      </c>
      <c r="AO146" s="1901"/>
      <c r="AP146" s="37"/>
      <c r="AQ146" s="37"/>
      <c r="AR146" s="37"/>
      <c r="AS146" s="37"/>
    </row>
    <row r="147" spans="1:45" s="184" customFormat="1" ht="26.25" customHeight="1" x14ac:dyDescent="0.25">
      <c r="A147" s="1619"/>
      <c r="B147" s="1899"/>
      <c r="C147" s="1621"/>
      <c r="D147" s="1915"/>
      <c r="E147" s="1903"/>
      <c r="F147" s="1687"/>
      <c r="G147" s="1694"/>
      <c r="H147" s="1687"/>
      <c r="I147" s="1609"/>
      <c r="J147" s="1612"/>
      <c r="K147" s="1596"/>
      <c r="L147" s="1593"/>
      <c r="M147" s="1590"/>
      <c r="N147" s="1593">
        <f>IF(NOT(ISERROR(MATCH(M147,_xlfn.ANCHORARRAY(F158),0))),L160&amp;"Por favor no seleccionar los criterios de impacto",M147)</f>
        <v>0</v>
      </c>
      <c r="O147" s="1596"/>
      <c r="P147" s="1593"/>
      <c r="Q147" s="1599"/>
      <c r="R147" s="48">
        <v>5</v>
      </c>
      <c r="S147" s="1909"/>
      <c r="T147" s="1910"/>
      <c r="U147" s="1883"/>
      <c r="V147" s="1883"/>
      <c r="W147" s="1905"/>
      <c r="X147" s="1883"/>
      <c r="Y147" s="1883"/>
      <c r="Z147" s="1883"/>
      <c r="AA147" s="1907"/>
      <c r="AB147" s="1908" t="str">
        <f t="shared" si="83"/>
        <v/>
      </c>
      <c r="AC147" s="1905"/>
      <c r="AD147" s="1908"/>
      <c r="AE147" s="1905"/>
      <c r="AF147" s="1906"/>
      <c r="AG147" s="1883"/>
      <c r="AH147" s="1899"/>
      <c r="AI147" s="1899"/>
      <c r="AJ147" s="1897"/>
      <c r="AK147" s="1897"/>
      <c r="AL147" s="1899"/>
      <c r="AM147" s="1900"/>
      <c r="AN147" s="1901"/>
      <c r="AO147" s="1901"/>
      <c r="AP147" s="37"/>
      <c r="AQ147" s="37"/>
      <c r="AR147" s="37"/>
      <c r="AS147" s="37"/>
    </row>
    <row r="148" spans="1:45" s="184" customFormat="1" ht="26.25" customHeight="1" x14ac:dyDescent="0.25">
      <c r="A148" s="1619"/>
      <c r="B148" s="1899"/>
      <c r="C148" s="1615"/>
      <c r="D148" s="1915"/>
      <c r="E148" s="1904"/>
      <c r="F148" s="1687"/>
      <c r="G148" s="1694"/>
      <c r="H148" s="1687"/>
      <c r="I148" s="1610"/>
      <c r="J148" s="1613"/>
      <c r="K148" s="1597"/>
      <c r="L148" s="1594"/>
      <c r="M148" s="1591"/>
      <c r="N148" s="1594">
        <f>IF(NOT(ISERROR(MATCH(M148,_xlfn.ANCHORARRAY(F159),0))),L161&amp;"Por favor no seleccionar los criterios de impacto",M148)</f>
        <v>0</v>
      </c>
      <c r="O148" s="1597"/>
      <c r="P148" s="1594"/>
      <c r="Q148" s="1600"/>
      <c r="R148" s="48">
        <v>6</v>
      </c>
      <c r="S148" s="1909"/>
      <c r="T148" s="1910"/>
      <c r="U148" s="1883"/>
      <c r="V148" s="1883"/>
      <c r="W148" s="1905"/>
      <c r="X148" s="1883"/>
      <c r="Y148" s="1883"/>
      <c r="Z148" s="1883"/>
      <c r="AA148" s="1907"/>
      <c r="AB148" s="1908" t="str">
        <f t="shared" si="83"/>
        <v/>
      </c>
      <c r="AC148" s="1905"/>
      <c r="AD148" s="1908"/>
      <c r="AE148" s="1905"/>
      <c r="AF148" s="1906"/>
      <c r="AG148" s="1883"/>
      <c r="AH148" s="1899"/>
      <c r="AI148" s="1899"/>
      <c r="AJ148" s="1897"/>
      <c r="AK148" s="1897"/>
      <c r="AL148" s="1899"/>
      <c r="AM148" s="1900"/>
      <c r="AN148" s="1901"/>
      <c r="AO148" s="1901"/>
      <c r="AP148" s="37"/>
      <c r="AQ148" s="37"/>
      <c r="AR148" s="37"/>
      <c r="AS148" s="37"/>
    </row>
    <row r="149" spans="1:45" s="184" customFormat="1" ht="26.25" customHeight="1" x14ac:dyDescent="0.25">
      <c r="A149" s="1619"/>
      <c r="B149" s="1899"/>
      <c r="C149" s="1614" t="s">
        <v>442</v>
      </c>
      <c r="D149" s="1915"/>
      <c r="E149" s="1902" t="s">
        <v>443</v>
      </c>
      <c r="F149" s="1687"/>
      <c r="G149" s="1694"/>
      <c r="H149" s="1687"/>
      <c r="I149" s="1608" t="s">
        <v>198</v>
      </c>
      <c r="J149" s="1611">
        <v>12</v>
      </c>
      <c r="K149" s="1595" t="str">
        <f t="shared" ref="K149" si="86">IF(J149&lt;=0,"",IF(J149&lt;=2,"Muy Baja",IF(J149&lt;=24,"Baja",IF(J149&lt;=500,"Media",IF(J149&lt;=5000,"Alta","Muy Alta")))))</f>
        <v>Baja</v>
      </c>
      <c r="L149" s="1592">
        <f t="shared" ref="L149" si="87">IF(K149="","",IF(K149="Muy Baja",0.2,IF(K149="Baja",0.4,IF(K149="Media",0.6,IF(K149="Alta",0.8,IF(K149="Muy Alta",1,))))))</f>
        <v>0.4</v>
      </c>
      <c r="M149" s="1589" t="s">
        <v>225</v>
      </c>
      <c r="N149" s="1592" t="str">
        <f>IF(NOT(ISERROR(MATCH(M149,'[8]Tabla Impacto'!$B$221:$B$223,0))),'[8]Tabla Impacto'!$F$223&amp;"Por favor no seleccionar los criterios de impacto(Afectación Económica o presupuestal y Pérdida Reputacional)",M149)</f>
        <v xml:space="preserve">     El riesgo afecta la imagen de la entidad con algunos usuarios de relevancia frente al logro de los objetivos</v>
      </c>
      <c r="O149" s="1595" t="str">
        <f>IF(OR(N149='[8]Tabla Impacto'!$C$11,N149='[8]Tabla Impacto'!$D$11),"Leve",IF(OR(N149='[8]Tabla Impacto'!$C$12,N149='[8]Tabla Impacto'!$D$12),"Menor",IF(OR(N149='[8]Tabla Impacto'!$C$13,N149='[8]Tabla Impacto'!$D$13),"Moderado",IF(OR(N149='[8]Tabla Impacto'!$C$14,N149='[8]Tabla Impacto'!$D$14),"Mayor",IF(OR(N149='[8]Tabla Impacto'!$C$15,N149='[8]Tabla Impacto'!$D$15),"Catastrófico","")))))</f>
        <v>Moderado</v>
      </c>
      <c r="P149" s="1592">
        <f t="shared" ref="P149" si="88">IF(O149="","",IF(O149="Leve",0.2,IF(O149="Menor",0.4,IF(O149="Moderado",0.6,IF(O149="Mayor",0.8,IF(O149="Catastrófico",1,))))))</f>
        <v>0.6</v>
      </c>
      <c r="Q149" s="1598" t="str">
        <f t="shared" ref="Q149" si="89">IF(OR(AND(K149="Muy Baja",O149="Leve"),AND(K149="Muy Baja",O149="Menor"),AND(K149="Baja",O149="Leve")),"Bajo",IF(OR(AND(K149="Muy baja",O149="Moderado"),AND(K149="Baja",O149="Menor"),AND(K149="Baja",O149="Moderado"),AND(K149="Media",O149="Leve"),AND(K149="Media",O149="Menor"),AND(K149="Media",O149="Moderado"),AND(K149="Alta",O149="Leve"),AND(K149="Alta",O149="Menor")),"Moderado",IF(OR(AND(K149="Muy Baja",O149="Mayor"),AND(K149="Baja",O149="Mayor"),AND(K149="Media",O149="Mayor"),AND(K149="Alta",O149="Moderado"),AND(K149="Alta",O149="Mayor"),AND(K149="Muy Alta",O149="Leve"),AND(K149="Muy Alta",O149="Menor"),AND(K149="Muy Alta",O149="Moderado"),AND(K149="Muy Alta",O149="Mayor")),"Alto",IF(OR(AND(K149="Muy Baja",O149="Catastrófico"),AND(K149="Baja",O149="Catastrófico"),AND(K149="Media",O149="Catastrófico"),AND(K149="Alta",O149="Catastrófico"),AND(K149="Muy Alta",O149="Catastrófico")),"Extremo",""))))</f>
        <v>Moderado</v>
      </c>
      <c r="R149" s="48">
        <v>1</v>
      </c>
      <c r="S149" s="1909"/>
      <c r="T149" s="1910"/>
      <c r="U149" s="1883"/>
      <c r="V149" s="1883"/>
      <c r="W149" s="1905"/>
      <c r="X149" s="1883"/>
      <c r="Y149" s="1883"/>
      <c r="Z149" s="1883"/>
      <c r="AA149" s="1907"/>
      <c r="AB149" s="1908" t="str">
        <f>IFERROR(IF(AA149="","",IF(AA149&lt;=0.2,"Muy Baja",IF(AA149&lt;=0.4,"Baja",IF(AA149&lt;=0.6,"Media",IF(AA149&lt;=0.8,"Alta","Muy Alta"))))),"")</f>
        <v/>
      </c>
      <c r="AC149" s="1905"/>
      <c r="AD149" s="1908"/>
      <c r="AE149" s="1905"/>
      <c r="AF149" s="1906"/>
      <c r="AG149" s="1883"/>
      <c r="AH149" s="1899"/>
      <c r="AI149" s="1899"/>
      <c r="AJ149" s="1897"/>
      <c r="AK149" s="1897"/>
      <c r="AL149" s="1899"/>
      <c r="AM149" s="1900"/>
      <c r="AN149" s="1901"/>
      <c r="AO149" s="1901"/>
      <c r="AP149" s="37"/>
      <c r="AQ149" s="37"/>
      <c r="AR149" s="37"/>
      <c r="AS149" s="37"/>
    </row>
    <row r="150" spans="1:45" s="184" customFormat="1" ht="26.25" customHeight="1" x14ac:dyDescent="0.25">
      <c r="A150" s="1619"/>
      <c r="B150" s="1899"/>
      <c r="C150" s="1621"/>
      <c r="D150" s="1915"/>
      <c r="E150" s="1903"/>
      <c r="F150" s="1687"/>
      <c r="G150" s="1694"/>
      <c r="H150" s="1687"/>
      <c r="I150" s="1609"/>
      <c r="J150" s="1612"/>
      <c r="K150" s="1596"/>
      <c r="L150" s="1593"/>
      <c r="M150" s="1590"/>
      <c r="N150" s="1593">
        <f>IF(NOT(ISERROR(MATCH(M150,_xlfn.ANCHORARRAY(F161),0))),L163&amp;"Por favor no seleccionar los criterios de impacto",M150)</f>
        <v>0</v>
      </c>
      <c r="O150" s="1596"/>
      <c r="P150" s="1593"/>
      <c r="Q150" s="1599"/>
      <c r="R150" s="48">
        <v>2</v>
      </c>
      <c r="S150" s="1909"/>
      <c r="T150" s="1910"/>
      <c r="U150" s="1883"/>
      <c r="V150" s="1883"/>
      <c r="W150" s="1905"/>
      <c r="X150" s="1883"/>
      <c r="Y150" s="1883"/>
      <c r="Z150" s="1883"/>
      <c r="AA150" s="1907"/>
      <c r="AB150" s="1908" t="str">
        <f t="shared" ref="AB150:AB154" si="90">IFERROR(IF(AA150="","",IF(AA150&lt;=0.2,"Muy Baja",IF(AA150&lt;=0.4,"Baja",IF(AA150&lt;=0.6,"Media",IF(AA150&lt;=0.8,"Alta","Muy Alta"))))),"")</f>
        <v/>
      </c>
      <c r="AC150" s="1905"/>
      <c r="AD150" s="1908"/>
      <c r="AE150" s="1905"/>
      <c r="AF150" s="1906"/>
      <c r="AG150" s="1883"/>
      <c r="AH150" s="1899"/>
      <c r="AI150" s="1899"/>
      <c r="AJ150" s="1897"/>
      <c r="AK150" s="1897"/>
      <c r="AL150" s="1899"/>
      <c r="AM150" s="1900"/>
      <c r="AN150" s="1901"/>
      <c r="AO150" s="1901"/>
      <c r="AP150" s="37"/>
      <c r="AQ150" s="37"/>
      <c r="AR150" s="37"/>
      <c r="AS150" s="37"/>
    </row>
    <row r="151" spans="1:45" s="184" customFormat="1" ht="26.25" customHeight="1" x14ac:dyDescent="0.25">
      <c r="A151" s="1619"/>
      <c r="B151" s="1899"/>
      <c r="C151" s="1621"/>
      <c r="D151" s="1915"/>
      <c r="E151" s="1903"/>
      <c r="F151" s="1687"/>
      <c r="G151" s="1694"/>
      <c r="H151" s="1687"/>
      <c r="I151" s="1609"/>
      <c r="J151" s="1612"/>
      <c r="K151" s="1596"/>
      <c r="L151" s="1593"/>
      <c r="M151" s="1590"/>
      <c r="N151" s="1593">
        <f>IF(NOT(ISERROR(MATCH(M151,_xlfn.ANCHORARRAY(F162),0))),L164&amp;"Por favor no seleccionar los criterios de impacto",M151)</f>
        <v>0</v>
      </c>
      <c r="O151" s="1596"/>
      <c r="P151" s="1593"/>
      <c r="Q151" s="1599"/>
      <c r="R151" s="48">
        <v>3</v>
      </c>
      <c r="S151" s="1909"/>
      <c r="T151" s="1910"/>
      <c r="U151" s="1883"/>
      <c r="V151" s="1883"/>
      <c r="W151" s="1905"/>
      <c r="X151" s="1883"/>
      <c r="Y151" s="1883"/>
      <c r="Z151" s="1883"/>
      <c r="AA151" s="1907"/>
      <c r="AB151" s="1908" t="str">
        <f t="shared" si="90"/>
        <v/>
      </c>
      <c r="AC151" s="1905"/>
      <c r="AD151" s="1908"/>
      <c r="AE151" s="1905"/>
      <c r="AF151" s="1906"/>
      <c r="AG151" s="1883"/>
      <c r="AH151" s="1899"/>
      <c r="AI151" s="1899"/>
      <c r="AJ151" s="1897"/>
      <c r="AK151" s="1897"/>
      <c r="AL151" s="1899"/>
      <c r="AM151" s="1900"/>
      <c r="AN151" s="1901"/>
      <c r="AO151" s="1901"/>
      <c r="AP151" s="37"/>
      <c r="AQ151" s="37"/>
      <c r="AR151" s="37"/>
      <c r="AS151" s="37"/>
    </row>
    <row r="152" spans="1:45" s="184" customFormat="1" ht="26.25" customHeight="1" x14ac:dyDescent="0.25">
      <c r="A152" s="1619"/>
      <c r="B152" s="1899"/>
      <c r="C152" s="1621"/>
      <c r="D152" s="1915"/>
      <c r="E152" s="1903"/>
      <c r="F152" s="1687"/>
      <c r="G152" s="1694"/>
      <c r="H152" s="1687"/>
      <c r="I152" s="1609"/>
      <c r="J152" s="1612"/>
      <c r="K152" s="1596"/>
      <c r="L152" s="1593"/>
      <c r="M152" s="1590"/>
      <c r="N152" s="1593">
        <f>IF(NOT(ISERROR(MATCH(M152,_xlfn.ANCHORARRAY(F163),0))),L165&amp;"Por favor no seleccionar los criterios de impacto",M152)</f>
        <v>0</v>
      </c>
      <c r="O152" s="1596"/>
      <c r="P152" s="1593"/>
      <c r="Q152" s="1599"/>
      <c r="R152" s="48">
        <v>4</v>
      </c>
      <c r="S152" s="1909"/>
      <c r="T152" s="1910"/>
      <c r="U152" s="1883"/>
      <c r="V152" s="1883"/>
      <c r="W152" s="1905"/>
      <c r="X152" s="1883"/>
      <c r="Y152" s="1883"/>
      <c r="Z152" s="1883"/>
      <c r="AA152" s="1907"/>
      <c r="AB152" s="1908" t="str">
        <f t="shared" si="90"/>
        <v/>
      </c>
      <c r="AC152" s="1905"/>
      <c r="AD152" s="1908"/>
      <c r="AE152" s="1905"/>
      <c r="AF152" s="1906"/>
      <c r="AG152" s="1883"/>
      <c r="AH152" s="1899"/>
      <c r="AI152" s="1899"/>
      <c r="AJ152" s="1897"/>
      <c r="AK152" s="1897"/>
      <c r="AL152" s="1899"/>
      <c r="AM152" s="1900"/>
      <c r="AN152" s="1901"/>
      <c r="AO152" s="1901"/>
      <c r="AP152" s="37"/>
      <c r="AQ152" s="37"/>
      <c r="AR152" s="37"/>
      <c r="AS152" s="37"/>
    </row>
    <row r="153" spans="1:45" s="184" customFormat="1" ht="26.25" customHeight="1" x14ac:dyDescent="0.25">
      <c r="A153" s="1619"/>
      <c r="B153" s="1899"/>
      <c r="C153" s="1621"/>
      <c r="D153" s="1915"/>
      <c r="E153" s="1903"/>
      <c r="F153" s="1687"/>
      <c r="G153" s="1694"/>
      <c r="H153" s="1687"/>
      <c r="I153" s="1609"/>
      <c r="J153" s="1612"/>
      <c r="K153" s="1596"/>
      <c r="L153" s="1593"/>
      <c r="M153" s="1590"/>
      <c r="N153" s="1593">
        <f>IF(NOT(ISERROR(MATCH(M153,_xlfn.ANCHORARRAY(F164),0))),L166&amp;"Por favor no seleccionar los criterios de impacto",M153)</f>
        <v>0</v>
      </c>
      <c r="O153" s="1596"/>
      <c r="P153" s="1593"/>
      <c r="Q153" s="1599"/>
      <c r="R153" s="48">
        <v>5</v>
      </c>
      <c r="S153" s="1909"/>
      <c r="T153" s="1910"/>
      <c r="U153" s="1883"/>
      <c r="V153" s="1883"/>
      <c r="W153" s="1905"/>
      <c r="X153" s="1883"/>
      <c r="Y153" s="1883"/>
      <c r="Z153" s="1883"/>
      <c r="AA153" s="1907"/>
      <c r="AB153" s="1908" t="str">
        <f t="shared" si="90"/>
        <v/>
      </c>
      <c r="AC153" s="1905"/>
      <c r="AD153" s="1908"/>
      <c r="AE153" s="1905"/>
      <c r="AF153" s="1906"/>
      <c r="AG153" s="1883"/>
      <c r="AH153" s="1899"/>
      <c r="AI153" s="1899"/>
      <c r="AJ153" s="1897"/>
      <c r="AK153" s="1897"/>
      <c r="AL153" s="1899"/>
      <c r="AM153" s="1900"/>
      <c r="AN153" s="1901"/>
      <c r="AO153" s="1901"/>
      <c r="AP153" s="37"/>
      <c r="AQ153" s="37"/>
      <c r="AR153" s="37"/>
      <c r="AS153" s="37"/>
    </row>
    <row r="154" spans="1:45" s="184" customFormat="1" ht="26.25" customHeight="1" x14ac:dyDescent="0.25">
      <c r="A154" s="1620"/>
      <c r="B154" s="1602"/>
      <c r="C154" s="1615"/>
      <c r="D154" s="1916"/>
      <c r="E154" s="1904"/>
      <c r="F154" s="1639"/>
      <c r="G154" s="1695"/>
      <c r="H154" s="1639"/>
      <c r="I154" s="1610"/>
      <c r="J154" s="1613"/>
      <c r="K154" s="1597"/>
      <c r="L154" s="1594"/>
      <c r="M154" s="1591"/>
      <c r="N154" s="1594">
        <f>IF(NOT(ISERROR(MATCH(M154,_xlfn.ANCHORARRAY(F165),0))),L167&amp;"Por favor no seleccionar los criterios de impacto",M154)</f>
        <v>0</v>
      </c>
      <c r="O154" s="1597"/>
      <c r="P154" s="1594"/>
      <c r="Q154" s="1600"/>
      <c r="R154" s="48">
        <v>6</v>
      </c>
      <c r="S154" s="1582"/>
      <c r="T154" s="1879"/>
      <c r="U154" s="1867"/>
      <c r="V154" s="1867"/>
      <c r="W154" s="1863"/>
      <c r="X154" s="1867"/>
      <c r="Y154" s="1867"/>
      <c r="Z154" s="1867"/>
      <c r="AA154" s="1875"/>
      <c r="AB154" s="1877" t="str">
        <f t="shared" si="90"/>
        <v/>
      </c>
      <c r="AC154" s="1863"/>
      <c r="AD154" s="1877"/>
      <c r="AE154" s="1863"/>
      <c r="AF154" s="1865"/>
      <c r="AG154" s="1867"/>
      <c r="AH154" s="1602"/>
      <c r="AI154" s="1602"/>
      <c r="AJ154" s="1898"/>
      <c r="AK154" s="1898"/>
      <c r="AL154" s="1602"/>
      <c r="AM154" s="1856"/>
      <c r="AN154" s="1901"/>
      <c r="AO154" s="1901"/>
      <c r="AP154" s="37"/>
      <c r="AQ154" s="37"/>
      <c r="AR154" s="37"/>
      <c r="AS154" s="37"/>
    </row>
    <row r="155" spans="1:45" s="184" customFormat="1" ht="16.5" customHeight="1" x14ac:dyDescent="0.25">
      <c r="A155" s="1681"/>
      <c r="B155" s="1682"/>
      <c r="C155" s="1682"/>
      <c r="D155" s="1682"/>
      <c r="E155" s="1682"/>
      <c r="F155" s="1682"/>
      <c r="G155" s="1682"/>
      <c r="H155" s="1682"/>
      <c r="I155" s="1682"/>
      <c r="J155" s="1682"/>
      <c r="K155" s="1682"/>
      <c r="L155" s="1682"/>
      <c r="M155" s="1682"/>
      <c r="N155" s="1682"/>
      <c r="O155" s="1682"/>
      <c r="P155" s="1682"/>
      <c r="Q155" s="1682"/>
      <c r="R155" s="1682"/>
      <c r="S155" s="1682"/>
      <c r="T155" s="1682"/>
      <c r="U155" s="1682"/>
      <c r="V155" s="1682"/>
      <c r="W155" s="1682"/>
      <c r="X155" s="1682"/>
      <c r="Y155" s="1682"/>
      <c r="Z155" s="1682"/>
      <c r="AA155" s="1682"/>
      <c r="AB155" s="1682"/>
      <c r="AC155" s="1682"/>
      <c r="AD155" s="1682"/>
      <c r="AE155" s="1682"/>
      <c r="AF155" s="1682"/>
      <c r="AG155" s="1682"/>
      <c r="AH155" s="1682"/>
      <c r="AI155" s="1682"/>
      <c r="AJ155" s="1682"/>
      <c r="AK155" s="1682"/>
      <c r="AL155" s="37"/>
      <c r="AM155" s="37"/>
      <c r="AN155" s="37"/>
      <c r="AO155" s="37"/>
      <c r="AP155" s="37"/>
      <c r="AQ155" s="37"/>
      <c r="AR155" s="37"/>
      <c r="AS155" s="37"/>
    </row>
    <row r="156" spans="1:45" s="184" customFormat="1" ht="24" customHeight="1" x14ac:dyDescent="0.25">
      <c r="A156" s="1684"/>
      <c r="B156" s="1685"/>
      <c r="C156" s="1685"/>
      <c r="D156" s="1685"/>
      <c r="E156" s="1685"/>
      <c r="F156" s="1685"/>
      <c r="G156" s="1685"/>
      <c r="H156" s="1685"/>
      <c r="I156" s="1685"/>
      <c r="J156" s="1685"/>
      <c r="K156" s="1685"/>
      <c r="L156" s="1685"/>
      <c r="M156" s="1685"/>
      <c r="N156" s="1685"/>
      <c r="O156" s="1685"/>
      <c r="P156" s="1685"/>
      <c r="Q156" s="1685"/>
      <c r="R156" s="1685"/>
      <c r="S156" s="1685"/>
      <c r="T156" s="1685"/>
      <c r="U156" s="1685"/>
      <c r="V156" s="1685"/>
      <c r="W156" s="1685"/>
      <c r="X156" s="1685"/>
      <c r="Y156" s="1685"/>
      <c r="Z156" s="1685"/>
      <c r="AA156" s="1685"/>
      <c r="AB156" s="1685"/>
      <c r="AC156" s="1685"/>
      <c r="AD156" s="1685"/>
      <c r="AE156" s="1685"/>
      <c r="AF156" s="1685"/>
      <c r="AG156" s="1685"/>
      <c r="AH156" s="1685"/>
      <c r="AI156" s="1685"/>
      <c r="AJ156" s="1685"/>
      <c r="AK156" s="1685"/>
      <c r="AL156" s="37"/>
      <c r="AM156" s="37"/>
      <c r="AN156" s="37"/>
      <c r="AO156" s="37"/>
      <c r="AP156" s="37"/>
      <c r="AQ156" s="37"/>
      <c r="AR156" s="37"/>
      <c r="AS156" s="37"/>
    </row>
    <row r="157" spans="1:45" s="184" customFormat="1" x14ac:dyDescent="0.25">
      <c r="A157" s="242"/>
      <c r="B157" s="243"/>
      <c r="C157" s="242"/>
      <c r="D157" s="242"/>
      <c r="E157" s="242"/>
      <c r="F157" s="37"/>
      <c r="G157" s="37"/>
      <c r="H157" s="37"/>
      <c r="I157" s="225"/>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row>
    <row r="158" spans="1:45" s="184" customFormat="1" ht="26.25" customHeight="1" x14ac:dyDescent="0.25">
      <c r="A158" s="1667" t="s">
        <v>157</v>
      </c>
      <c r="B158" s="1668"/>
      <c r="C158" s="1821" t="s">
        <v>658</v>
      </c>
      <c r="D158" s="1822"/>
      <c r="E158" s="1822"/>
      <c r="F158" s="1822"/>
      <c r="G158" s="1822"/>
      <c r="H158" s="1822"/>
      <c r="I158" s="1822"/>
      <c r="J158" s="1822"/>
      <c r="K158" s="1822"/>
      <c r="L158" s="1822"/>
      <c r="M158" s="1822"/>
      <c r="N158" s="1822"/>
      <c r="O158" s="1822"/>
      <c r="P158" s="1822"/>
      <c r="Q158" s="1822"/>
      <c r="R158" s="1822"/>
      <c r="S158" s="1822"/>
      <c r="T158" s="1822"/>
      <c r="U158" s="1822"/>
      <c r="V158" s="1822"/>
      <c r="W158" s="1822"/>
      <c r="X158" s="1822"/>
      <c r="Y158" s="1822"/>
      <c r="Z158" s="1822"/>
      <c r="AA158" s="1822"/>
      <c r="AB158" s="1822"/>
      <c r="AC158" s="1822"/>
      <c r="AD158" s="1822"/>
      <c r="AE158" s="1822"/>
      <c r="AF158" s="1822"/>
      <c r="AG158" s="1822"/>
      <c r="AH158" s="1822"/>
      <c r="AI158" s="1822"/>
      <c r="AJ158" s="1822"/>
      <c r="AK158" s="1822"/>
      <c r="AL158" s="1822"/>
      <c r="AM158" s="1822"/>
      <c r="AN158" s="1822"/>
      <c r="AO158" s="1822"/>
      <c r="AP158" s="37"/>
      <c r="AQ158" s="37"/>
      <c r="AR158" s="37"/>
      <c r="AS158" s="37"/>
    </row>
    <row r="159" spans="1:45" s="184" customFormat="1" ht="30" customHeight="1" x14ac:dyDescent="0.25">
      <c r="A159" s="1667" t="s">
        <v>158</v>
      </c>
      <c r="B159" s="1668"/>
      <c r="C159" s="1821" t="s">
        <v>659</v>
      </c>
      <c r="D159" s="1822"/>
      <c r="E159" s="1822"/>
      <c r="F159" s="1822"/>
      <c r="G159" s="1822"/>
      <c r="H159" s="1822"/>
      <c r="I159" s="1822"/>
      <c r="J159" s="1822"/>
      <c r="K159" s="1822"/>
      <c r="L159" s="1822"/>
      <c r="M159" s="1822"/>
      <c r="N159" s="1822"/>
      <c r="O159" s="1822"/>
      <c r="P159" s="1822"/>
      <c r="Q159" s="1822"/>
      <c r="R159" s="1822"/>
      <c r="S159" s="1822"/>
      <c r="T159" s="1822"/>
      <c r="U159" s="1822"/>
      <c r="V159" s="1822"/>
      <c r="W159" s="1822"/>
      <c r="X159" s="1822"/>
      <c r="Y159" s="1822"/>
      <c r="Z159" s="1822"/>
      <c r="AA159" s="1822"/>
      <c r="AB159" s="1822"/>
      <c r="AC159" s="1822"/>
      <c r="AD159" s="1822"/>
      <c r="AE159" s="1822"/>
      <c r="AF159" s="1822"/>
      <c r="AG159" s="1822"/>
      <c r="AH159" s="1822"/>
      <c r="AI159" s="1822"/>
      <c r="AJ159" s="1822"/>
      <c r="AK159" s="1822"/>
      <c r="AL159" s="1822"/>
      <c r="AM159" s="1822"/>
      <c r="AN159" s="1822"/>
      <c r="AO159" s="1822"/>
      <c r="AP159" s="37"/>
      <c r="AQ159" s="37"/>
      <c r="AR159" s="37"/>
      <c r="AS159" s="37"/>
    </row>
    <row r="160" spans="1:45" s="184" customFormat="1" ht="49.5" customHeight="1" x14ac:dyDescent="0.25">
      <c r="A160" s="1667" t="s">
        <v>159</v>
      </c>
      <c r="B160" s="1668"/>
      <c r="C160" s="1884" t="s">
        <v>660</v>
      </c>
      <c r="D160" s="1885"/>
      <c r="E160" s="1885"/>
      <c r="F160" s="1885"/>
      <c r="G160" s="1885"/>
      <c r="H160" s="1885"/>
      <c r="I160" s="1885"/>
      <c r="J160" s="1885"/>
      <c r="K160" s="1885"/>
      <c r="L160" s="1885"/>
      <c r="M160" s="1885"/>
      <c r="N160" s="1885"/>
      <c r="O160" s="1885"/>
      <c r="P160" s="1885"/>
      <c r="Q160" s="1885"/>
      <c r="R160" s="1885"/>
      <c r="S160" s="1885"/>
      <c r="T160" s="1885"/>
      <c r="U160" s="1885"/>
      <c r="V160" s="1885"/>
      <c r="W160" s="1885"/>
      <c r="X160" s="1885"/>
      <c r="Y160" s="1885"/>
      <c r="Z160" s="1885"/>
      <c r="AA160" s="1885"/>
      <c r="AB160" s="1885"/>
      <c r="AC160" s="1885"/>
      <c r="AD160" s="1885"/>
      <c r="AE160" s="1885"/>
      <c r="AF160" s="1885"/>
      <c r="AG160" s="1885"/>
      <c r="AH160" s="1885"/>
      <c r="AI160" s="1885"/>
      <c r="AJ160" s="1885"/>
      <c r="AK160" s="1885"/>
      <c r="AL160" s="1885"/>
      <c r="AM160" s="1885"/>
      <c r="AN160" s="1885"/>
      <c r="AO160" s="1885"/>
      <c r="AP160" s="37"/>
      <c r="AQ160" s="37"/>
      <c r="AR160" s="37"/>
      <c r="AS160" s="37"/>
    </row>
    <row r="161" spans="1:45" s="184" customFormat="1" x14ac:dyDescent="0.25">
      <c r="A161" s="1670" t="s">
        <v>160</v>
      </c>
      <c r="B161" s="1671"/>
      <c r="C161" s="1672"/>
      <c r="D161" s="1672"/>
      <c r="E161" s="1672"/>
      <c r="F161" s="1672"/>
      <c r="G161" s="1672"/>
      <c r="H161" s="1672"/>
      <c r="I161" s="1672"/>
      <c r="J161" s="1673"/>
      <c r="K161" s="1630" t="s">
        <v>161</v>
      </c>
      <c r="L161" s="1672"/>
      <c r="M161" s="1672"/>
      <c r="N161" s="1672"/>
      <c r="O161" s="1672"/>
      <c r="P161" s="1672"/>
      <c r="Q161" s="1673"/>
      <c r="R161" s="1630" t="s">
        <v>162</v>
      </c>
      <c r="S161" s="1672"/>
      <c r="T161" s="1672"/>
      <c r="U161" s="1672"/>
      <c r="V161" s="1672"/>
      <c r="W161" s="1672"/>
      <c r="X161" s="1672"/>
      <c r="Y161" s="1672"/>
      <c r="Z161" s="1673"/>
      <c r="AA161" s="1630" t="s">
        <v>163</v>
      </c>
      <c r="AB161" s="1672"/>
      <c r="AC161" s="1672"/>
      <c r="AD161" s="1672"/>
      <c r="AE161" s="1672"/>
      <c r="AF161" s="1672"/>
      <c r="AG161" s="1673"/>
      <c r="AH161" s="1630" t="s">
        <v>164</v>
      </c>
      <c r="AI161" s="1672"/>
      <c r="AJ161" s="1672"/>
      <c r="AK161" s="1672"/>
      <c r="AL161" s="37"/>
      <c r="AM161" s="37"/>
      <c r="AN161" s="37"/>
      <c r="AO161" s="37"/>
      <c r="AP161" s="37"/>
      <c r="AQ161" s="37"/>
      <c r="AR161" s="37"/>
      <c r="AS161" s="37"/>
    </row>
    <row r="162" spans="1:45" s="184" customFormat="1" ht="16.5" customHeight="1" x14ac:dyDescent="0.25">
      <c r="A162" s="1649" t="s">
        <v>165</v>
      </c>
      <c r="B162" s="1651" t="s">
        <v>142</v>
      </c>
      <c r="C162" s="1626" t="s">
        <v>166</v>
      </c>
      <c r="D162" s="1626" t="s">
        <v>167</v>
      </c>
      <c r="E162" s="1631" t="s">
        <v>168</v>
      </c>
      <c r="F162" s="1652" t="s">
        <v>60</v>
      </c>
      <c r="G162" s="56"/>
      <c r="H162" s="56"/>
      <c r="I162" s="1631" t="s">
        <v>169</v>
      </c>
      <c r="J162" s="1626" t="s">
        <v>170</v>
      </c>
      <c r="K162" s="1628" t="s">
        <v>171</v>
      </c>
      <c r="L162" s="1629" t="s">
        <v>172</v>
      </c>
      <c r="M162" s="1631" t="s">
        <v>173</v>
      </c>
      <c r="N162" s="1631" t="s">
        <v>174</v>
      </c>
      <c r="O162" s="1666" t="s">
        <v>175</v>
      </c>
      <c r="P162" s="1629" t="s">
        <v>172</v>
      </c>
      <c r="Q162" s="1626" t="s">
        <v>176</v>
      </c>
      <c r="R162" s="1664" t="s">
        <v>177</v>
      </c>
      <c r="S162" s="1627" t="s">
        <v>178</v>
      </c>
      <c r="T162" s="1631" t="s">
        <v>179</v>
      </c>
      <c r="U162" s="1627" t="s">
        <v>180</v>
      </c>
      <c r="V162" s="1627"/>
      <c r="W162" s="1627"/>
      <c r="X162" s="1627"/>
      <c r="Y162" s="1627"/>
      <c r="Z162" s="1627"/>
      <c r="AA162" s="1663" t="s">
        <v>181</v>
      </c>
      <c r="AB162" s="1663" t="s">
        <v>182</v>
      </c>
      <c r="AC162" s="1663" t="s">
        <v>172</v>
      </c>
      <c r="AD162" s="1663" t="s">
        <v>183</v>
      </c>
      <c r="AE162" s="1663" t="s">
        <v>172</v>
      </c>
      <c r="AF162" s="1663" t="s">
        <v>184</v>
      </c>
      <c r="AG162" s="1664" t="s">
        <v>185</v>
      </c>
      <c r="AH162" s="1627" t="s">
        <v>164</v>
      </c>
      <c r="AI162" s="1627" t="s">
        <v>143</v>
      </c>
      <c r="AJ162" s="1627" t="s">
        <v>186</v>
      </c>
      <c r="AK162" s="1627" t="s">
        <v>187</v>
      </c>
      <c r="AL162" s="1627" t="s">
        <v>188</v>
      </c>
      <c r="AM162" s="1627" t="s">
        <v>189</v>
      </c>
      <c r="AN162" s="1627" t="s">
        <v>187</v>
      </c>
      <c r="AO162" s="1627" t="s">
        <v>188</v>
      </c>
      <c r="AP162" s="1627" t="s">
        <v>189</v>
      </c>
      <c r="AQ162" s="1627" t="s">
        <v>187</v>
      </c>
      <c r="AR162" s="1627" t="s">
        <v>188</v>
      </c>
      <c r="AS162" s="1627" t="s">
        <v>189</v>
      </c>
    </row>
    <row r="163" spans="1:45" s="222" customFormat="1" ht="94.5" customHeight="1" x14ac:dyDescent="0.3">
      <c r="A163" s="1650"/>
      <c r="B163" s="1651"/>
      <c r="C163" s="1627"/>
      <c r="D163" s="1627"/>
      <c r="E163" s="1628"/>
      <c r="F163" s="1653"/>
      <c r="G163" s="56" t="s">
        <v>610</v>
      </c>
      <c r="H163" s="56" t="s">
        <v>190</v>
      </c>
      <c r="I163" s="1626"/>
      <c r="J163" s="1627"/>
      <c r="K163" s="1626"/>
      <c r="L163" s="1630"/>
      <c r="M163" s="1626"/>
      <c r="N163" s="1626"/>
      <c r="O163" s="1630"/>
      <c r="P163" s="1630"/>
      <c r="Q163" s="1627"/>
      <c r="R163" s="1665"/>
      <c r="S163" s="1627"/>
      <c r="T163" s="1626"/>
      <c r="U163" s="42" t="s">
        <v>191</v>
      </c>
      <c r="V163" s="42" t="s">
        <v>192</v>
      </c>
      <c r="W163" s="42" t="s">
        <v>193</v>
      </c>
      <c r="X163" s="42" t="s">
        <v>194</v>
      </c>
      <c r="Y163" s="42" t="s">
        <v>195</v>
      </c>
      <c r="Z163" s="42" t="s">
        <v>196</v>
      </c>
      <c r="AA163" s="1663"/>
      <c r="AB163" s="1663"/>
      <c r="AC163" s="1663"/>
      <c r="AD163" s="1663"/>
      <c r="AE163" s="1663"/>
      <c r="AF163" s="1663"/>
      <c r="AG163" s="1665"/>
      <c r="AH163" s="1627"/>
      <c r="AI163" s="1627"/>
      <c r="AJ163" s="1627"/>
      <c r="AK163" s="1627"/>
      <c r="AL163" s="1627"/>
      <c r="AM163" s="1627"/>
      <c r="AN163" s="1627"/>
      <c r="AO163" s="1627"/>
      <c r="AP163" s="1627"/>
      <c r="AQ163" s="1627"/>
      <c r="AR163" s="1627"/>
      <c r="AS163" s="1627"/>
    </row>
    <row r="164" spans="1:45" s="231" customFormat="1" ht="75.599999999999994" customHeight="1" x14ac:dyDescent="0.3">
      <c r="A164" s="1618">
        <v>1</v>
      </c>
      <c r="B164" s="1656" t="s">
        <v>209</v>
      </c>
      <c r="C164" s="1656" t="s">
        <v>661</v>
      </c>
      <c r="D164" s="1698" t="s">
        <v>662</v>
      </c>
      <c r="E164" s="216" t="s">
        <v>396</v>
      </c>
      <c r="F164" s="1700" t="s">
        <v>663</v>
      </c>
      <c r="G164" s="1603" t="s">
        <v>512</v>
      </c>
      <c r="H164" s="1700" t="s">
        <v>664</v>
      </c>
      <c r="I164" s="1701" t="s">
        <v>198</v>
      </c>
      <c r="J164" s="1640">
        <v>36</v>
      </c>
      <c r="K164" s="1643" t="str">
        <f>IF(J164&lt;=0,"",IF(J164&lt;=2,"Muy Baja",IF(J164&lt;=24,"Baja",IF(J164&lt;=500,"Media",IF(J164&lt;=5000,"Alta","Muy Alta")))))</f>
        <v>Media</v>
      </c>
      <c r="L164" s="1632">
        <f>IF(K164="","",IF(K164="Muy Baja",0.2,IF(K164="Baja",0.4,IF(K164="Media",0.6,IF(K164="Alta",0.8,IF(K164="Muy Alta",1,))))))</f>
        <v>0.6</v>
      </c>
      <c r="M164" s="1646" t="s">
        <v>225</v>
      </c>
      <c r="N164" s="1632" t="str">
        <f>IF(NOT(ISERROR(MATCH(M164,'[9]Tabla Impacto'!$B$221:$B$223,0))),'[9]Tabla Impacto'!$F$223&amp;"Por favor no seleccionar los criterios de impacto(Afectación Económica o presupuestal y Pérdida Reputacional)",M164)</f>
        <v xml:space="preserve">     El riesgo afecta la imagen de la entidad con algunos usuarios de relevancia frente al logro de los objetivos</v>
      </c>
      <c r="O164" s="1643" t="str">
        <f>IF(OR(N164='[9]Tabla Impacto'!$C$11,N164='[9]Tabla Impacto'!$D$11),"Leve",IF(OR(N164='[9]Tabla Impacto'!$C$12,N164='[9]Tabla Impacto'!$D$12),"Menor",IF(OR(N164='[9]Tabla Impacto'!$C$13,N164='[9]Tabla Impacto'!$D$13),"Moderado",IF(OR(N164='[9]Tabla Impacto'!$C$14,N164='[9]Tabla Impacto'!$D$14),"Mayor",IF(OR(N164='[9]Tabla Impacto'!$C$15,N164='[9]Tabla Impacto'!$D$15),"Catastrófico","")))))</f>
        <v>Moderado</v>
      </c>
      <c r="P164" s="1632">
        <f>IF(O164="","",IF(O164="Leve",0.2,IF(O164="Menor",0.4,IF(O164="Moderado",0.6,IF(O164="Mayor",0.8,IF(O164="Catastrófico",1,))))))</f>
        <v>0.6</v>
      </c>
      <c r="Q164" s="1635" t="str">
        <f>IF(OR(AND(K164="Muy Baja",O164="Leve"),AND(K164="Muy Baja",O164="Menor"),AND(K164="Baja",O164="Leve")),"Bajo",IF(OR(AND(K164="Muy baja",O164="Moderado"),AND(K164="Baja",O164="Menor"),AND(K164="Baja",O164="Moderado"),AND(K164="Media",O164="Leve"),AND(K164="Media",O164="Menor"),AND(K164="Media",O164="Moderado"),AND(K164="Alta",O164="Leve"),AND(K164="Alta",O164="Menor")),"Moderado",IF(OR(AND(K164="Muy Baja",O164="Mayor"),AND(K164="Baja",O164="Mayor"),AND(K164="Media",O164="Mayor"),AND(K164="Alta",O164="Moderado"),AND(K164="Alta",O164="Mayor"),AND(K164="Muy Alta",O164="Leve"),AND(K164="Muy Alta",O164="Menor"),AND(K164="Muy Alta",O164="Moderado"),AND(K164="Muy Alta",O164="Mayor")),"Alto",IF(OR(AND(K164="Muy Baja",O164="Catastrófico"),AND(K164="Baja",O164="Catastrófico"),AND(K164="Media",O164="Catastrófico"),AND(K164="Alta",O164="Catastrófico"),AND(K164="Muy Alta",O164="Catastrófico")),"Extremo",""))))</f>
        <v>Moderado</v>
      </c>
      <c r="R164" s="48">
        <v>1</v>
      </c>
      <c r="S164" s="362" t="s">
        <v>665</v>
      </c>
      <c r="T164" s="50" t="str">
        <f t="shared" ref="T164:T167" si="91">IF(OR(U164="Preventivo",U164="Detectivo"),"Probabilidad",IF(U164="Correctivo","Impacto",""))</f>
        <v>Probabilidad</v>
      </c>
      <c r="U164" s="61" t="s">
        <v>200</v>
      </c>
      <c r="V164" s="61" t="s">
        <v>201</v>
      </c>
      <c r="W164" s="62" t="str">
        <f>IF(AND(U164="Preventivo",V164="Automático"),"50%",IF(AND(U164="Preventivo",V164="Manual"),"40%",IF(AND(U164="Detectivo",V164="Automático"),"40%",IF(AND(U164="Detectivo",V164="Manual"),"30%",IF(AND(U164="Correctivo",V164="Automático"),"35%",IF(AND(U164="Correctivo",V164="Manual"),"25%",""))))))</f>
        <v>30%</v>
      </c>
      <c r="X164" s="61" t="s">
        <v>208</v>
      </c>
      <c r="Y164" s="61" t="s">
        <v>203</v>
      </c>
      <c r="Z164" s="61" t="s">
        <v>204</v>
      </c>
      <c r="AA164" s="63">
        <f>IFERROR(IF(T164="Probabilidad",(L164-(+L164*W164)),IF(T164="Impacto",L164,"")),"")</f>
        <v>0.42</v>
      </c>
      <c r="AB164" s="64" t="str">
        <f>IFERROR(IF(AA164="","",IF(AA164&lt;=0.2,"Muy Baja",IF(AA164&lt;=0.4,"Baja",IF(AA164&lt;=0.6,"Media",IF(AA164&lt;=0.8,"Alta","Muy Alta"))))),"")</f>
        <v>Media</v>
      </c>
      <c r="AC164" s="65">
        <f>+AA164</f>
        <v>0.42</v>
      </c>
      <c r="AD164" s="64" t="str">
        <f>IFERROR(IF(AE164="","",IF(AE164&lt;=0.2,"Leve",IF(AE164&lt;=0.4,"Menor",IF(AE164&lt;=0.6,"Moderado",IF(AE164&lt;=0.8,"Mayor","Catastrófico"))))),"")</f>
        <v>Moderado</v>
      </c>
      <c r="AE164" s="65">
        <f>IFERROR(IF(T164="Impacto",(P164-(+P164*W164)),IF(T164="Probabilidad",P164,"")),"")</f>
        <v>0.6</v>
      </c>
      <c r="AF164" s="66" t="str">
        <f>IFERROR(IF(OR(AND(AB164="Muy Baja",AD164="Leve"),AND(AB164="Muy Baja",AD164="Menor"),AND(AB164="Baja",AD164="Leve")),"Bajo",IF(OR(AND(AB164="Muy baja",AD164="Moderado"),AND(AB164="Baja",AD164="Menor"),AND(AB164="Baja",AD164="Moderado"),AND(AB164="Media",AD164="Leve"),AND(AB164="Media",AD164="Menor"),AND(AB164="Media",AD164="Moderado"),AND(AB164="Alta",AD164="Leve"),AND(AB164="Alta",AD164="Menor")),"Moderado",IF(OR(AND(AB164="Muy Baja",AD164="Mayor"),AND(AB164="Baja",AD164="Mayor"),AND(AB164="Media",AD164="Mayor"),AND(AB164="Alta",AD164="Moderado"),AND(AB164="Alta",AD164="Mayor"),AND(AB164="Muy Alta",AD164="Leve"),AND(AB164="Muy Alta",AD164="Menor"),AND(AB164="Muy Alta",AD164="Moderado"),AND(AB164="Muy Alta",AD164="Mayor")),"Alto",IF(OR(AND(AB164="Muy Baja",AD164="Catastrófico"),AND(AB164="Baja",AD164="Catastrófico"),AND(AB164="Media",AD164="Catastrófico"),AND(AB164="Alta",AD164="Catastrófico"),AND(AB164="Muy Alta",AD164="Catastrófico")),"Extremo","")))),"")</f>
        <v>Moderado</v>
      </c>
      <c r="AG164" s="81" t="s">
        <v>205</v>
      </c>
      <c r="AH164" s="1892" t="s">
        <v>666</v>
      </c>
      <c r="AI164" s="1656" t="s">
        <v>667</v>
      </c>
      <c r="AJ164" s="1890">
        <v>45292</v>
      </c>
      <c r="AK164" s="1890" t="s">
        <v>668</v>
      </c>
      <c r="AL164" s="1656" t="s">
        <v>669</v>
      </c>
      <c r="AM164" s="1640" t="s">
        <v>206</v>
      </c>
      <c r="AN164" s="1890" t="s">
        <v>670</v>
      </c>
      <c r="AO164" s="1616" t="s">
        <v>671</v>
      </c>
      <c r="AP164" s="1640" t="s">
        <v>206</v>
      </c>
      <c r="AQ164" s="1890" t="s">
        <v>672</v>
      </c>
      <c r="AR164" s="1616" t="s">
        <v>673</v>
      </c>
      <c r="AS164" s="1640" t="s">
        <v>206</v>
      </c>
    </row>
    <row r="165" spans="1:45" s="184" customFormat="1" ht="94.95" customHeight="1" x14ac:dyDescent="0.25">
      <c r="A165" s="1619"/>
      <c r="B165" s="1657"/>
      <c r="C165" s="1657"/>
      <c r="D165" s="1699"/>
      <c r="E165" s="54" t="s">
        <v>674</v>
      </c>
      <c r="F165" s="1700"/>
      <c r="G165" s="1604"/>
      <c r="H165" s="1700"/>
      <c r="I165" s="1702"/>
      <c r="J165" s="1641"/>
      <c r="K165" s="1644"/>
      <c r="L165" s="1633"/>
      <c r="M165" s="1647"/>
      <c r="N165" s="1633">
        <f>IF(NOT(ISERROR(MATCH(M165,_xlfn.ANCHORARRAY(#REF!),0))),#REF!&amp;"Por favor no seleccionar los criterios de impacto",M165)</f>
        <v>0</v>
      </c>
      <c r="O165" s="1644"/>
      <c r="P165" s="1633"/>
      <c r="Q165" s="1636"/>
      <c r="R165" s="48">
        <v>2</v>
      </c>
      <c r="S165" s="362" t="s">
        <v>675</v>
      </c>
      <c r="T165" s="50" t="str">
        <f t="shared" si="91"/>
        <v>Probabilidad</v>
      </c>
      <c r="U165" s="61" t="s">
        <v>207</v>
      </c>
      <c r="V165" s="61" t="s">
        <v>201</v>
      </c>
      <c r="W165" s="62" t="str">
        <f t="shared" ref="W165" si="92">IF(AND(U165="Preventivo",V165="Automático"),"50%",IF(AND(U165="Preventivo",V165="Manual"),"40%",IF(AND(U165="Detectivo",V165="Automático"),"40%",IF(AND(U165="Detectivo",V165="Manual"),"30%",IF(AND(U165="Correctivo",V165="Automático"),"35%",IF(AND(U165="Correctivo",V165="Manual"),"25%",""))))))</f>
        <v>40%</v>
      </c>
      <c r="X165" s="61" t="s">
        <v>208</v>
      </c>
      <c r="Y165" s="61" t="s">
        <v>203</v>
      </c>
      <c r="Z165" s="61" t="s">
        <v>204</v>
      </c>
      <c r="AA165" s="63">
        <f>IFERROR(IF(AND(T164="Probabilidad",T165="Probabilidad"),(AC164-(+AC164*W165)),IF(AND(T164="Impacto",T165="Probabilidad"),(L164-(+L164*W165)),IF(T165="Impacto",AC164,""))),"")</f>
        <v>0.252</v>
      </c>
      <c r="AB165" s="64" t="str">
        <f t="shared" ref="AB165" si="93">IFERROR(IF(AA165="","",IF(AA165&lt;=0.2,"Muy Baja",IF(AA165&lt;=0.4,"Baja",IF(AA165&lt;=0.6,"Media",IF(AA165&lt;=0.8,"Alta","Muy Alta"))))),"")</f>
        <v>Baja</v>
      </c>
      <c r="AC165" s="65">
        <f>+AA165</f>
        <v>0.252</v>
      </c>
      <c r="AD165" s="64" t="str">
        <f t="shared" ref="AD165" si="94">IFERROR(IF(AE165="","",IF(AE165&lt;=0.2,"Leve",IF(AE165&lt;=0.4,"Menor",IF(AE165&lt;=0.6,"Moderado",IF(AE165&lt;=0.8,"Mayor","Catastrófico"))))),"")</f>
        <v>Moderado</v>
      </c>
      <c r="AE165" s="65">
        <f>IFERROR(IF(AND(T164="Impacto",T165="Impacto"),(AE164-(+AE164*W165)),IF(AND(T164="Probabilidad",T165="Impacto"),(P164-(+P164*W165)),IF(T165="Probabilidad",AE164,""))),"")</f>
        <v>0.6</v>
      </c>
      <c r="AF165" s="66" t="str">
        <f t="shared" ref="AF165" si="95">IFERROR(IF(OR(AND(AB165="Muy Baja",AD165="Leve"),AND(AB165="Muy Baja",AD165="Menor"),AND(AB165="Baja",AD165="Leve")),"Bajo",IF(OR(AND(AB165="Muy baja",AD165="Moderado"),AND(AB165="Baja",AD165="Menor"),AND(AB165="Baja",AD165="Moderado"),AND(AB165="Media",AD165="Leve"),AND(AB165="Media",AD165="Menor"),AND(AB165="Media",AD165="Moderado"),AND(AB165="Alta",AD165="Leve"),AND(AB165="Alta",AD165="Menor")),"Moderado",IF(OR(AND(AB165="Muy Baja",AD165="Mayor"),AND(AB165="Baja",AD165="Mayor"),AND(AB165="Media",AD165="Mayor"),AND(AB165="Alta",AD165="Moderado"),AND(AB165="Alta",AD165="Mayor"),AND(AB165="Muy Alta",AD165="Leve"),AND(AB165="Muy Alta",AD165="Menor"),AND(AB165="Muy Alta",AD165="Moderado"),AND(AB165="Muy Alta",AD165="Mayor")),"Alto",IF(OR(AND(AB165="Muy Baja",AD165="Catastrófico"),AND(AB165="Baja",AD165="Catastrófico"),AND(AB165="Media",AD165="Catastrófico"),AND(AB165="Alta",AD165="Catastrófico"),AND(AB165="Muy Alta",AD165="Catastrófico")),"Extremo","")))),"")</f>
        <v>Moderado</v>
      </c>
      <c r="AG165" s="81" t="s">
        <v>205</v>
      </c>
      <c r="AH165" s="1893"/>
      <c r="AI165" s="1658"/>
      <c r="AJ165" s="1891"/>
      <c r="AK165" s="1891"/>
      <c r="AL165" s="1658"/>
      <c r="AM165" s="1642"/>
      <c r="AN165" s="1891"/>
      <c r="AO165" s="1617"/>
      <c r="AP165" s="1642"/>
      <c r="AQ165" s="1891"/>
      <c r="AR165" s="1617"/>
      <c r="AS165" s="1642"/>
    </row>
    <row r="166" spans="1:45" s="184" customFormat="1" ht="92.4" customHeight="1" x14ac:dyDescent="0.25">
      <c r="A166" s="1618">
        <v>2</v>
      </c>
      <c r="B166" s="1614" t="s">
        <v>209</v>
      </c>
      <c r="C166" s="1614" t="s">
        <v>676</v>
      </c>
      <c r="D166" s="1622" t="s">
        <v>677</v>
      </c>
      <c r="E166" s="314" t="s">
        <v>678</v>
      </c>
      <c r="F166" s="1625" t="s">
        <v>679</v>
      </c>
      <c r="G166" s="1603" t="s">
        <v>597</v>
      </c>
      <c r="H166" s="1894" t="s">
        <v>680</v>
      </c>
      <c r="I166" s="1608" t="s">
        <v>198</v>
      </c>
      <c r="J166" s="1611">
        <v>365</v>
      </c>
      <c r="K166" s="1595" t="str">
        <f>IF(J166&lt;=0,"",IF(J166&lt;=2,"Muy Baja",IF(J166&lt;=24,"Baja",IF(J166&lt;=500,"Media",IF(J166&lt;=5000,"Alta","Muy Alta")))))</f>
        <v>Media</v>
      </c>
      <c r="L166" s="1592">
        <f>IF(K166="","",IF(K166="Muy Baja",0.2,IF(K166="Baja",0.4,IF(K166="Media",0.6,IF(K166="Alta",0.8,IF(K166="Muy Alta",1,))))))</f>
        <v>0.6</v>
      </c>
      <c r="M166" s="1589" t="s">
        <v>282</v>
      </c>
      <c r="N166" s="1592" t="str">
        <f>IF(NOT(ISERROR(MATCH(M166,'[9]Tabla Impacto'!$B$221:$B$223,0))),'[9]Tabla Impacto'!$F$223&amp;"Por favor no seleccionar los criterios de impacto(Afectación Económica o presupuestal y Pérdida Reputacional)",M166)</f>
        <v xml:space="preserve">     Entre 1000 y 5000 SMLMV </v>
      </c>
      <c r="O166" s="1595" t="str">
        <f>IF(OR(N166='[9]Tabla Impacto'!$C$11,N166='[9]Tabla Impacto'!$D$11),"Leve",IF(OR(N166='[9]Tabla Impacto'!$C$12,N166='[9]Tabla Impacto'!$D$12),"Menor",IF(OR(N166='[9]Tabla Impacto'!$C$13,N166='[9]Tabla Impacto'!$D$13),"Moderado",IF(OR(N166='[9]Tabla Impacto'!$C$14,N166='[9]Tabla Impacto'!$D$14),"Mayor",IF(OR(N166='[9]Tabla Impacto'!$C$15,N166='[9]Tabla Impacto'!$D$15),"Catastrófico","")))))</f>
        <v>Moderado</v>
      </c>
      <c r="P166" s="1592">
        <f>IF(O166="","",IF(O166="Leve",0.2,IF(O166="Menor",0.4,IF(O166="Moderado",0.6,IF(O166="Mayor",0.8,IF(O166="Catastrófico",1,))))))</f>
        <v>0.6</v>
      </c>
      <c r="Q166" s="1598" t="str">
        <f>IF(OR(AND(K166="Muy Baja",O166="Leve"),AND(K166="Muy Baja",O166="Menor"),AND(K166="Baja",O166="Leve")),"Bajo",IF(OR(AND(K166="Muy baja",O166="Moderado"),AND(K166="Baja",O166="Menor"),AND(K166="Baja",O166="Moderado"),AND(K166="Media",O166="Leve"),AND(K166="Media",O166="Menor"),AND(K166="Media",O166="Moderado"),AND(K166="Alta",O166="Leve"),AND(K166="Alta",O166="Menor")),"Moderado",IF(OR(AND(K166="Muy Baja",O166="Mayor"),AND(K166="Baja",O166="Mayor"),AND(K166="Media",O166="Mayor"),AND(K166="Alta",O166="Moderado"),AND(K166="Alta",O166="Mayor"),AND(K166="Muy Alta",O166="Leve"),AND(K166="Muy Alta",O166="Menor"),AND(K166="Muy Alta",O166="Moderado"),AND(K166="Muy Alta",O166="Mayor")),"Alto",IF(OR(AND(K166="Muy Baja",O166="Catastrófico"),AND(K166="Baja",O166="Catastrófico"),AND(K166="Media",O166="Catastrófico"),AND(K166="Alta",O166="Catastrófico"),AND(K166="Muy Alta",O166="Catastrófico")),"Extremo",""))))</f>
        <v>Moderado</v>
      </c>
      <c r="R166" s="48">
        <v>1</v>
      </c>
      <c r="S166" s="49" t="s">
        <v>681</v>
      </c>
      <c r="T166" s="50" t="str">
        <f t="shared" si="91"/>
        <v/>
      </c>
      <c r="U166" s="61"/>
      <c r="V166" s="61"/>
      <c r="W166" s="62" t="str">
        <f>IF(AND(U166="Preventivo",V166="Automático"),"50%",IF(AND(U166="Preventivo",V166="Manual"),"40%",IF(AND(U166="Detectivo",V166="Automático"),"40%",IF(AND(U166="Detectivo",V166="Manual"),"30%",IF(AND(U166="Correctivo",V166="Automático"),"35%",IF(AND(U166="Correctivo",V166="Manual"),"25%",""))))))</f>
        <v/>
      </c>
      <c r="X166" s="61" t="s">
        <v>202</v>
      </c>
      <c r="Y166" s="61"/>
      <c r="Z166" s="61" t="s">
        <v>298</v>
      </c>
      <c r="AA166" s="63" t="str">
        <f>IFERROR(IF(T166="Probabilidad",(L166-(+L166*W166)),IF(T166="Impacto",L166,"")),"")</f>
        <v/>
      </c>
      <c r="AB166" s="64" t="str">
        <f>IFERROR(IF(AA166="","",IF(AA166&lt;=0.2,"Muy Baja",IF(AA166&lt;=0.4,"Baja",IF(AA166&lt;=0.6,"Media",IF(AA166&lt;=0.8,"Alta","Muy Alta"))))),"")</f>
        <v/>
      </c>
      <c r="AC166" s="65" t="str">
        <f t="shared" ref="AC166:AC167" si="96">+AA166</f>
        <v/>
      </c>
      <c r="AD166" s="64" t="str">
        <f>IFERROR(IF(AE166="","",IF(AE166&lt;=0.2,"Leve",IF(AE166&lt;=0.4,"Menor",IF(AE166&lt;=0.6,"Moderado",IF(AE166&lt;=0.8,"Mayor","Catastrófico"))))),"")</f>
        <v/>
      </c>
      <c r="AE166" s="65" t="str">
        <f>IFERROR(IF(T166="Impacto",(P166-(+P166*W166)),IF(T166="Probabilidad",P166,"")),"")</f>
        <v/>
      </c>
      <c r="AF166" s="66" t="str">
        <f>IFERROR(IF(OR(AND(AB166="Muy Baja",AD166="Leve"),AND(AB166="Muy Baja",AD166="Menor"),AND(AB166="Baja",AD166="Leve")),"Bajo",IF(OR(AND(AB166="Muy baja",AD166="Moderado"),AND(AB166="Baja",AD166="Menor"),AND(AB166="Baja",AD166="Moderado"),AND(AB166="Media",AD166="Leve"),AND(AB166="Media",AD166="Menor"),AND(AB166="Media",AD166="Moderado"),AND(AB166="Alta",AD166="Leve"),AND(AB166="Alta",AD166="Menor")),"Moderado",IF(OR(AND(AB166="Muy Baja",AD166="Mayor"),AND(AB166="Baja",AD166="Mayor"),AND(AB166="Media",AD166="Mayor"),AND(AB166="Alta",AD166="Moderado"),AND(AB166="Alta",AD166="Mayor"),AND(AB166="Muy Alta",AD166="Leve"),AND(AB166="Muy Alta",AD166="Menor"),AND(AB166="Muy Alta",AD166="Moderado"),AND(AB166="Muy Alta",AD166="Mayor")),"Alto",IF(OR(AND(AB166="Muy Baja",AD166="Catastrófico"),AND(AB166="Baja",AD166="Catastrófico"),AND(AB166="Media",AD166="Catastrófico"),AND(AB166="Alta",AD166="Catastrófico"),AND(AB166="Muy Alta",AD166="Catastrófico")),"Extremo","")))),"")</f>
        <v/>
      </c>
      <c r="AG166" s="81" t="s">
        <v>205</v>
      </c>
      <c r="AH166" s="1886" t="s">
        <v>682</v>
      </c>
      <c r="AI166" s="1656" t="s">
        <v>667</v>
      </c>
      <c r="AJ166" s="1888">
        <v>45505</v>
      </c>
      <c r="AK166" s="82" t="s">
        <v>668</v>
      </c>
      <c r="AL166" s="77" t="s">
        <v>683</v>
      </c>
      <c r="AM166" s="1640" t="s">
        <v>206</v>
      </c>
      <c r="AN166" s="82" t="s">
        <v>670</v>
      </c>
      <c r="AO166" s="38" t="s">
        <v>684</v>
      </c>
      <c r="AP166" s="1640" t="s">
        <v>206</v>
      </c>
      <c r="AQ166" s="82" t="s">
        <v>672</v>
      </c>
      <c r="AR166" s="38" t="s">
        <v>685</v>
      </c>
      <c r="AS166" s="1640" t="s">
        <v>206</v>
      </c>
    </row>
    <row r="167" spans="1:45" s="184" customFormat="1" ht="78" customHeight="1" x14ac:dyDescent="0.25">
      <c r="A167" s="1619"/>
      <c r="B167" s="1621"/>
      <c r="C167" s="1621"/>
      <c r="D167" s="1623"/>
      <c r="E167" s="314" t="s">
        <v>686</v>
      </c>
      <c r="F167" s="1625"/>
      <c r="G167" s="1604"/>
      <c r="H167" s="1895"/>
      <c r="I167" s="1609"/>
      <c r="J167" s="1612"/>
      <c r="K167" s="1596"/>
      <c r="L167" s="1593"/>
      <c r="M167" s="1590"/>
      <c r="N167" s="1593">
        <f>IF(NOT(ISERROR(MATCH(M167,_xlfn.ANCHORARRAY(#REF!),0))),#REF!&amp;"Por favor no seleccionar los criterios de impacto",M167)</f>
        <v>0</v>
      </c>
      <c r="O167" s="1596"/>
      <c r="P167" s="1593"/>
      <c r="Q167" s="1599"/>
      <c r="R167" s="48">
        <v>2</v>
      </c>
      <c r="S167" s="49"/>
      <c r="T167" s="50" t="str">
        <f t="shared" si="91"/>
        <v/>
      </c>
      <c r="U167" s="61"/>
      <c r="V167" s="61"/>
      <c r="W167" s="62" t="str">
        <f t="shared" ref="W167" si="97">IF(AND(U167="Preventivo",V167="Automático"),"50%",IF(AND(U167="Preventivo",V167="Manual"),"40%",IF(AND(U167="Detectivo",V167="Automático"),"40%",IF(AND(U167="Detectivo",V167="Manual"),"30%",IF(AND(U167="Correctivo",V167="Automático"),"35%",IF(AND(U167="Correctivo",V167="Manual"),"25%",""))))))</f>
        <v/>
      </c>
      <c r="X167" s="61"/>
      <c r="Y167" s="61"/>
      <c r="Z167" s="61"/>
      <c r="AA167" s="63" t="str">
        <f>IFERROR(IF(AND(T166="Probabilidad",T167="Probabilidad"),(AC166-(+AC166*W167)),IF(AND(T166="Impacto",T167="Probabilidad"),(L166-(+L166*W167)),IF(T167="Impacto",AC166,""))),"")</f>
        <v/>
      </c>
      <c r="AB167" s="64" t="str">
        <f t="shared" ref="AB167" si="98">IFERROR(IF(AA167="","",IF(AA167&lt;=0.2,"Muy Baja",IF(AA167&lt;=0.4,"Baja",IF(AA167&lt;=0.6,"Media",IF(AA167&lt;=0.8,"Alta","Muy Alta"))))),"")</f>
        <v/>
      </c>
      <c r="AC167" s="65" t="str">
        <f t="shared" si="96"/>
        <v/>
      </c>
      <c r="AD167" s="64" t="str">
        <f t="shared" ref="AD167" si="99">IFERROR(IF(AE167="","",IF(AE167&lt;=0.2,"Leve",IF(AE167&lt;=0.4,"Menor",IF(AE167&lt;=0.6,"Moderado",IF(AE167&lt;=0.8,"Mayor","Catastrófico"))))),"")</f>
        <v/>
      </c>
      <c r="AE167" s="65" t="str">
        <f>IFERROR(IF(AND(T166="Impacto",T167="Impacto"),(AE166-(+AE166*W167)),IF(AND(T166="Probabilidad",T167="Impacto"),(P166-(+P166*W167)),IF(T167="Probabilidad",AE166,""))),"")</f>
        <v/>
      </c>
      <c r="AF167" s="66" t="str">
        <f t="shared" ref="AF167" si="100">IFERROR(IF(OR(AND(AB167="Muy Baja",AD167="Leve"),AND(AB167="Muy Baja",AD167="Menor"),AND(AB167="Baja",AD167="Leve")),"Bajo",IF(OR(AND(AB167="Muy baja",AD167="Moderado"),AND(AB167="Baja",AD167="Menor"),AND(AB167="Baja",AD167="Moderado"),AND(AB167="Media",AD167="Leve"),AND(AB167="Media",AD167="Menor"),AND(AB167="Media",AD167="Moderado"),AND(AB167="Alta",AD167="Leve"),AND(AB167="Alta",AD167="Menor")),"Moderado",IF(OR(AND(AB167="Muy Baja",AD167="Mayor"),AND(AB167="Baja",AD167="Mayor"),AND(AB167="Media",AD167="Mayor"),AND(AB167="Alta",AD167="Moderado"),AND(AB167="Alta",AD167="Mayor"),AND(AB167="Muy Alta",AD167="Leve"),AND(AB167="Muy Alta",AD167="Menor"),AND(AB167="Muy Alta",AD167="Moderado"),AND(AB167="Muy Alta",AD167="Mayor")),"Alto",IF(OR(AND(AB167="Muy Baja",AD167="Catastrófico"),AND(AB167="Baja",AD167="Catastrófico"),AND(AB167="Media",AD167="Catastrófico"),AND(AB167="Alta",AD167="Catastrófico"),AND(AB167="Muy Alta",AD167="Catastrófico")),"Extremo","")))),"")</f>
        <v/>
      </c>
      <c r="AG167" s="81" t="s">
        <v>205</v>
      </c>
      <c r="AH167" s="1887"/>
      <c r="AI167" s="1658"/>
      <c r="AJ167" s="1889"/>
      <c r="AK167" s="82"/>
      <c r="AL167" s="77"/>
      <c r="AM167" s="1642"/>
      <c r="AN167" s="82"/>
      <c r="AO167" s="77"/>
      <c r="AP167" s="1642"/>
      <c r="AQ167" s="82"/>
      <c r="AR167" s="77"/>
      <c r="AS167" s="1642"/>
    </row>
    <row r="168" spans="1:45" s="184" customFormat="1" ht="16.5" customHeight="1" x14ac:dyDescent="0.25">
      <c r="A168" s="1681" t="s">
        <v>156</v>
      </c>
      <c r="B168" s="1682"/>
      <c r="C168" s="1682"/>
      <c r="D168" s="1682"/>
      <c r="E168" s="1682"/>
      <c r="F168" s="1682"/>
      <c r="G168" s="1682"/>
      <c r="H168" s="1682"/>
      <c r="I168" s="1682"/>
      <c r="J168" s="1682"/>
      <c r="K168" s="1682"/>
      <c r="L168" s="1682"/>
      <c r="M168" s="1682"/>
      <c r="N168" s="1682"/>
      <c r="O168" s="1682"/>
      <c r="P168" s="1682"/>
      <c r="Q168" s="1682"/>
      <c r="R168" s="1682"/>
      <c r="S168" s="1682"/>
      <c r="T168" s="1682"/>
      <c r="U168" s="1682"/>
      <c r="V168" s="1682"/>
      <c r="W168" s="1682"/>
      <c r="X168" s="1682"/>
      <c r="Y168" s="1682"/>
      <c r="Z168" s="1682"/>
      <c r="AA168" s="1682"/>
      <c r="AB168" s="1682"/>
      <c r="AC168" s="1682"/>
      <c r="AD168" s="1682"/>
      <c r="AE168" s="1682"/>
      <c r="AF168" s="1682"/>
      <c r="AG168" s="1682"/>
      <c r="AH168" s="1682"/>
      <c r="AI168" s="1682"/>
      <c r="AJ168" s="1682"/>
      <c r="AK168" s="1682"/>
      <c r="AL168" s="1682"/>
      <c r="AM168" s="1683"/>
      <c r="AN168" s="37"/>
      <c r="AO168" s="364"/>
      <c r="AP168" s="37"/>
      <c r="AQ168" s="37"/>
      <c r="AR168" s="37"/>
      <c r="AS168" s="37"/>
    </row>
    <row r="169" spans="1:45" s="184" customFormat="1" ht="24" customHeight="1" x14ac:dyDescent="0.25">
      <c r="A169" s="1684"/>
      <c r="B169" s="1685"/>
      <c r="C169" s="1685"/>
      <c r="D169" s="1685"/>
      <c r="E169" s="1685"/>
      <c r="F169" s="1685"/>
      <c r="G169" s="1685"/>
      <c r="H169" s="1685"/>
      <c r="I169" s="1685"/>
      <c r="J169" s="1685"/>
      <c r="K169" s="1685"/>
      <c r="L169" s="1685"/>
      <c r="M169" s="1685"/>
      <c r="N169" s="1685"/>
      <c r="O169" s="1685"/>
      <c r="P169" s="1685"/>
      <c r="Q169" s="1685"/>
      <c r="R169" s="1685"/>
      <c r="S169" s="1685"/>
      <c r="T169" s="1685"/>
      <c r="U169" s="1685"/>
      <c r="V169" s="1685"/>
      <c r="W169" s="1685"/>
      <c r="X169" s="1685"/>
      <c r="Y169" s="1685"/>
      <c r="Z169" s="1685"/>
      <c r="AA169" s="1685"/>
      <c r="AB169" s="1685"/>
      <c r="AC169" s="1685"/>
      <c r="AD169" s="1685"/>
      <c r="AE169" s="1685"/>
      <c r="AF169" s="1685"/>
      <c r="AG169" s="1685"/>
      <c r="AH169" s="1685"/>
      <c r="AI169" s="1685"/>
      <c r="AJ169" s="1685"/>
      <c r="AK169" s="1685"/>
      <c r="AL169" s="1685"/>
      <c r="AM169" s="1686"/>
      <c r="AN169" s="365"/>
      <c r="AO169" s="364"/>
      <c r="AP169" s="37"/>
      <c r="AQ169" s="37"/>
      <c r="AR169" s="37"/>
      <c r="AS169" s="37"/>
    </row>
    <row r="170" spans="1:45" s="184" customFormat="1" x14ac:dyDescent="0.25">
      <c r="A170" s="242"/>
      <c r="B170" s="243"/>
      <c r="C170" s="242"/>
      <c r="D170" s="242"/>
      <c r="E170" s="242"/>
      <c r="F170" s="37"/>
      <c r="G170" s="37"/>
      <c r="H170" s="37"/>
      <c r="I170" s="225"/>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66"/>
      <c r="AO170" s="364"/>
      <c r="AP170" s="37"/>
      <c r="AQ170" s="37"/>
      <c r="AR170" s="37"/>
      <c r="AS170" s="37"/>
    </row>
    <row r="171" spans="1:45" s="184" customFormat="1" ht="26.25" customHeight="1" x14ac:dyDescent="0.25">
      <c r="A171" s="1667" t="s">
        <v>157</v>
      </c>
      <c r="B171" s="1668"/>
      <c r="C171" s="1680" t="s">
        <v>705</v>
      </c>
      <c r="D171" s="1680"/>
      <c r="E171" s="1680"/>
      <c r="F171" s="1680"/>
      <c r="G171" s="1680"/>
      <c r="H171" s="1680"/>
      <c r="I171" s="1680"/>
      <c r="J171" s="1680"/>
      <c r="K171" s="1680"/>
      <c r="L171" s="1680"/>
      <c r="M171" s="1680"/>
      <c r="N171" s="1680"/>
      <c r="O171" s="1680"/>
      <c r="P171" s="1680"/>
      <c r="Q171" s="1680"/>
      <c r="R171" s="1680"/>
      <c r="S171" s="1680"/>
      <c r="T171" s="1680"/>
      <c r="U171" s="1680"/>
      <c r="V171" s="1680"/>
      <c r="W171" s="1680"/>
      <c r="X171" s="1680"/>
      <c r="Y171" s="1680"/>
      <c r="Z171" s="1680"/>
      <c r="AA171" s="1680"/>
      <c r="AB171" s="1680"/>
      <c r="AC171" s="1680"/>
      <c r="AD171" s="1680"/>
      <c r="AE171" s="1680"/>
      <c r="AF171" s="1680"/>
      <c r="AG171" s="1680"/>
      <c r="AH171" s="1680"/>
      <c r="AI171" s="1680"/>
      <c r="AJ171" s="1680"/>
      <c r="AK171" s="1680"/>
      <c r="AL171" s="1680"/>
      <c r="AM171" s="1680"/>
      <c r="AN171" s="37"/>
      <c r="AO171" s="364"/>
      <c r="AP171" s="37"/>
      <c r="AQ171" s="37"/>
      <c r="AR171" s="37"/>
      <c r="AS171" s="37"/>
    </row>
    <row r="172" spans="1:45" s="184" customFormat="1" ht="30" customHeight="1" x14ac:dyDescent="0.25">
      <c r="A172" s="1667" t="s">
        <v>158</v>
      </c>
      <c r="B172" s="1668"/>
      <c r="C172" s="1669" t="s">
        <v>706</v>
      </c>
      <c r="D172" s="1669"/>
      <c r="E172" s="1669"/>
      <c r="F172" s="1669"/>
      <c r="G172" s="1669"/>
      <c r="H172" s="1669"/>
      <c r="I172" s="1669"/>
      <c r="J172" s="1669"/>
      <c r="K172" s="1669"/>
      <c r="L172" s="1669"/>
      <c r="M172" s="1669"/>
      <c r="N172" s="1669"/>
      <c r="O172" s="1669"/>
      <c r="P172" s="1669"/>
      <c r="Q172" s="1669"/>
      <c r="R172" s="1669"/>
      <c r="S172" s="1669"/>
      <c r="T172" s="1669"/>
      <c r="U172" s="1669"/>
      <c r="V172" s="1669"/>
      <c r="W172" s="1669"/>
      <c r="X172" s="1669"/>
      <c r="Y172" s="1669"/>
      <c r="Z172" s="1669"/>
      <c r="AA172" s="1669"/>
      <c r="AB172" s="1669"/>
      <c r="AC172" s="1669"/>
      <c r="AD172" s="1669"/>
      <c r="AE172" s="1669"/>
      <c r="AF172" s="1669"/>
      <c r="AG172" s="1669"/>
      <c r="AH172" s="1669"/>
      <c r="AI172" s="1669"/>
      <c r="AJ172" s="1669"/>
      <c r="AK172" s="1669"/>
      <c r="AL172" s="1669"/>
      <c r="AM172" s="1669"/>
      <c r="AN172" s="367"/>
      <c r="AO172" s="37"/>
      <c r="AP172" s="37"/>
      <c r="AQ172" s="37"/>
      <c r="AR172" s="37"/>
      <c r="AS172" s="37"/>
    </row>
    <row r="173" spans="1:45" s="184" customFormat="1" ht="49.5" customHeight="1" x14ac:dyDescent="0.25">
      <c r="A173" s="1667" t="s">
        <v>159</v>
      </c>
      <c r="B173" s="1668"/>
      <c r="C173" s="1669" t="s">
        <v>687</v>
      </c>
      <c r="D173" s="1669"/>
      <c r="E173" s="1669"/>
      <c r="F173" s="1669"/>
      <c r="G173" s="1669"/>
      <c r="H173" s="1669"/>
      <c r="I173" s="1669"/>
      <c r="J173" s="1669"/>
      <c r="K173" s="1669"/>
      <c r="L173" s="1669"/>
      <c r="M173" s="1669"/>
      <c r="N173" s="1669"/>
      <c r="O173" s="1669"/>
      <c r="P173" s="1669"/>
      <c r="Q173" s="1669"/>
      <c r="R173" s="1669"/>
      <c r="S173" s="1669"/>
      <c r="T173" s="1669"/>
      <c r="U173" s="1669"/>
      <c r="V173" s="1669"/>
      <c r="W173" s="1669"/>
      <c r="X173" s="1669"/>
      <c r="Y173" s="1669"/>
      <c r="Z173" s="1669"/>
      <c r="AA173" s="1669"/>
      <c r="AB173" s="1669"/>
      <c r="AC173" s="1669"/>
      <c r="AD173" s="1669"/>
      <c r="AE173" s="1669"/>
      <c r="AF173" s="1669"/>
      <c r="AG173" s="1669"/>
      <c r="AH173" s="1669"/>
      <c r="AI173" s="1669"/>
      <c r="AJ173" s="1669"/>
      <c r="AK173" s="1669"/>
      <c r="AL173" s="1669"/>
      <c r="AM173" s="1669"/>
      <c r="AN173" s="367"/>
      <c r="AO173" s="364"/>
      <c r="AP173" s="37"/>
      <c r="AQ173" s="37"/>
      <c r="AR173" s="37"/>
      <c r="AS173" s="37"/>
    </row>
    <row r="174" spans="1:45" s="184" customFormat="1" x14ac:dyDescent="0.25">
      <c r="A174" s="1670" t="s">
        <v>160</v>
      </c>
      <c r="B174" s="1671"/>
      <c r="C174" s="1672"/>
      <c r="D174" s="1672"/>
      <c r="E174" s="1672"/>
      <c r="F174" s="1672"/>
      <c r="G174" s="1672"/>
      <c r="H174" s="1672"/>
      <c r="I174" s="1672"/>
      <c r="J174" s="1673"/>
      <c r="K174" s="1630" t="s">
        <v>161</v>
      </c>
      <c r="L174" s="1672"/>
      <c r="M174" s="1672"/>
      <c r="N174" s="1672"/>
      <c r="O174" s="1672"/>
      <c r="P174" s="1672"/>
      <c r="Q174" s="1673"/>
      <c r="R174" s="1630" t="s">
        <v>162</v>
      </c>
      <c r="S174" s="1672"/>
      <c r="T174" s="1672"/>
      <c r="U174" s="1672"/>
      <c r="V174" s="1672"/>
      <c r="W174" s="1672"/>
      <c r="X174" s="1672"/>
      <c r="Y174" s="1672"/>
      <c r="Z174" s="1673"/>
      <c r="AA174" s="1630" t="s">
        <v>163</v>
      </c>
      <c r="AB174" s="1672"/>
      <c r="AC174" s="1672"/>
      <c r="AD174" s="1672"/>
      <c r="AE174" s="1672"/>
      <c r="AF174" s="1672"/>
      <c r="AG174" s="1673"/>
      <c r="AH174" s="1630" t="s">
        <v>164</v>
      </c>
      <c r="AI174" s="1672"/>
      <c r="AJ174" s="1672"/>
      <c r="AK174" s="1672"/>
      <c r="AL174" s="1672"/>
      <c r="AM174" s="1673"/>
      <c r="AN174" s="368"/>
      <c r="AO174" s="369"/>
      <c r="AP174" s="37"/>
      <c r="AQ174" s="37"/>
      <c r="AR174" s="37"/>
      <c r="AS174" s="37"/>
    </row>
    <row r="175" spans="1:45" s="184" customFormat="1" ht="16.5" customHeight="1" x14ac:dyDescent="0.25">
      <c r="A175" s="1649" t="s">
        <v>165</v>
      </c>
      <c r="B175" s="1651" t="s">
        <v>142</v>
      </c>
      <c r="C175" s="1626" t="s">
        <v>166</v>
      </c>
      <c r="D175" s="1626" t="s">
        <v>167</v>
      </c>
      <c r="E175" s="1631" t="s">
        <v>168</v>
      </c>
      <c r="F175" s="1652" t="s">
        <v>60</v>
      </c>
      <c r="G175" s="56"/>
      <c r="H175" s="56"/>
      <c r="I175" s="1631" t="s">
        <v>169</v>
      </c>
      <c r="J175" s="1626" t="s">
        <v>170</v>
      </c>
      <c r="K175" s="1628" t="s">
        <v>171</v>
      </c>
      <c r="L175" s="1629" t="s">
        <v>172</v>
      </c>
      <c r="M175" s="1631" t="s">
        <v>173</v>
      </c>
      <c r="N175" s="1631" t="s">
        <v>174</v>
      </c>
      <c r="O175" s="1666" t="s">
        <v>175</v>
      </c>
      <c r="P175" s="1629" t="s">
        <v>172</v>
      </c>
      <c r="Q175" s="1626" t="s">
        <v>176</v>
      </c>
      <c r="R175" s="1664" t="s">
        <v>177</v>
      </c>
      <c r="S175" s="1627" t="s">
        <v>178</v>
      </c>
      <c r="T175" s="1631" t="s">
        <v>179</v>
      </c>
      <c r="U175" s="1627" t="s">
        <v>180</v>
      </c>
      <c r="V175" s="1627"/>
      <c r="W175" s="1627"/>
      <c r="X175" s="1627"/>
      <c r="Y175" s="1627"/>
      <c r="Z175" s="1627"/>
      <c r="AA175" s="1663" t="s">
        <v>181</v>
      </c>
      <c r="AB175" s="1663" t="s">
        <v>182</v>
      </c>
      <c r="AC175" s="1663" t="s">
        <v>172</v>
      </c>
      <c r="AD175" s="1663" t="s">
        <v>183</v>
      </c>
      <c r="AE175" s="1663" t="s">
        <v>172</v>
      </c>
      <c r="AF175" s="1663" t="s">
        <v>184</v>
      </c>
      <c r="AG175" s="1664" t="s">
        <v>185</v>
      </c>
      <c r="AH175" s="1627" t="s">
        <v>164</v>
      </c>
      <c r="AI175" s="1627" t="s">
        <v>143</v>
      </c>
      <c r="AJ175" s="1627" t="s">
        <v>186</v>
      </c>
      <c r="AK175" s="1627" t="s">
        <v>187</v>
      </c>
      <c r="AL175" s="1627" t="s">
        <v>688</v>
      </c>
      <c r="AM175" s="1627" t="s">
        <v>189</v>
      </c>
      <c r="AN175" s="369"/>
      <c r="AO175" s="369"/>
      <c r="AP175" s="37"/>
      <c r="AQ175" s="37"/>
      <c r="AR175" s="37"/>
      <c r="AS175" s="37"/>
    </row>
    <row r="176" spans="1:45" s="222" customFormat="1" ht="94.5" customHeight="1" x14ac:dyDescent="0.3">
      <c r="A176" s="1650"/>
      <c r="B176" s="1651"/>
      <c r="C176" s="1627"/>
      <c r="D176" s="1627"/>
      <c r="E176" s="1628"/>
      <c r="F176" s="1653"/>
      <c r="G176" s="56" t="s">
        <v>511</v>
      </c>
      <c r="H176" s="56" t="s">
        <v>190</v>
      </c>
      <c r="I176" s="1626"/>
      <c r="J176" s="1627"/>
      <c r="K176" s="1626"/>
      <c r="L176" s="1630"/>
      <c r="M176" s="1626"/>
      <c r="N176" s="1626"/>
      <c r="O176" s="1630"/>
      <c r="P176" s="1630"/>
      <c r="Q176" s="1627"/>
      <c r="R176" s="1665"/>
      <c r="S176" s="1627"/>
      <c r="T176" s="1626"/>
      <c r="U176" s="42" t="s">
        <v>191</v>
      </c>
      <c r="V176" s="42" t="s">
        <v>192</v>
      </c>
      <c r="W176" s="42" t="s">
        <v>193</v>
      </c>
      <c r="X176" s="42" t="s">
        <v>194</v>
      </c>
      <c r="Y176" s="42" t="s">
        <v>195</v>
      </c>
      <c r="Z176" s="42" t="s">
        <v>196</v>
      </c>
      <c r="AA176" s="1663"/>
      <c r="AB176" s="1663"/>
      <c r="AC176" s="1663"/>
      <c r="AD176" s="1663"/>
      <c r="AE176" s="1663"/>
      <c r="AF176" s="1663"/>
      <c r="AG176" s="1665"/>
      <c r="AH176" s="1627"/>
      <c r="AI176" s="1627"/>
      <c r="AJ176" s="1627"/>
      <c r="AK176" s="1631"/>
      <c r="AL176" s="1627"/>
      <c r="AM176" s="1627"/>
      <c r="AN176" s="222" t="s">
        <v>689</v>
      </c>
      <c r="AO176" s="222" t="s">
        <v>690</v>
      </c>
      <c r="AP176" s="230"/>
      <c r="AQ176" s="230"/>
      <c r="AR176" s="230"/>
      <c r="AS176" s="230"/>
    </row>
    <row r="177" spans="1:41" s="231" customFormat="1" ht="239.25" customHeight="1" x14ac:dyDescent="0.3">
      <c r="A177" s="1618">
        <v>1</v>
      </c>
      <c r="B177" s="1656" t="s">
        <v>209</v>
      </c>
      <c r="C177" s="44" t="s">
        <v>691</v>
      </c>
      <c r="D177" s="44" t="s">
        <v>692</v>
      </c>
      <c r="E177" s="45" t="s">
        <v>693</v>
      </c>
      <c r="F177" s="1700" t="s">
        <v>694</v>
      </c>
      <c r="G177" s="1603" t="s">
        <v>512</v>
      </c>
      <c r="H177" s="1700" t="s">
        <v>695</v>
      </c>
      <c r="I177" s="1701" t="s">
        <v>198</v>
      </c>
      <c r="J177" s="1640">
        <v>240</v>
      </c>
      <c r="K177" s="1643" t="str">
        <f>IF(J177&lt;=0,"",IF(J177&lt;=2,"Muy Baja",IF(J177&lt;=24,"Baja",IF(J177&lt;=500,"Media",IF(J177&lt;=5000,"Alta","Muy Alta")))))</f>
        <v>Media</v>
      </c>
      <c r="L177" s="1632">
        <f>IF(K177="","",IF(K177="Muy Baja",0.2,IF(K177="Baja",0.4,IF(K177="Media",0.6,IF(K177="Alta",0.8,IF(K177="Muy Alta",1,))))))</f>
        <v>0.6</v>
      </c>
      <c r="M177" s="1646" t="s">
        <v>199</v>
      </c>
      <c r="N177" s="1632" t="str">
        <f>IF(NOT(ISERROR(MATCH(M177,'[10]Tabla Impacto'!$B$221:$B$223,0))),'[10]Tabla Impacto'!$F$223&amp;"Por favor no seleccionar los criterios de impacto(Afectación Económica o presupuestal y Pérdida Reputacional)",M177)</f>
        <v xml:space="preserve">     El riesgo afecta la imagen de de la entidad con efecto publicitario sostenido a nivel de sector administrativo, nivel departamental o municipal</v>
      </c>
      <c r="O177" s="1643" t="str">
        <f>IF(OR(N177='[10]Tabla Impacto'!$C$11,N177='[10]Tabla Impacto'!$D$11),"Leve",IF(OR(N177='[10]Tabla Impacto'!$C$12,N177='[10]Tabla Impacto'!$D$12),"Menor",IF(OR(N177='[10]Tabla Impacto'!$C$13,N177='[10]Tabla Impacto'!$D$13),"Moderado",IF(OR(N177='[10]Tabla Impacto'!$C$14,N177='[10]Tabla Impacto'!$D$14),"Mayor",IF(OR(N177='[10]Tabla Impacto'!$C$15,N177='[10]Tabla Impacto'!$D$15),"Catastrófico","")))))</f>
        <v>Mayor</v>
      </c>
      <c r="P177" s="1632">
        <f>IF(O177="","",IF(O177="Leve",0.2,IF(O177="Menor",0.4,IF(O177="Moderado",0.6,IF(O177="Mayor",0.8,IF(O177="Catastrófico",1,))))))</f>
        <v>0.8</v>
      </c>
      <c r="Q177" s="1635" t="str">
        <f>IF(OR(AND(K177="Muy Baja",O177="Leve"),AND(K177="Muy Baja",O177="Menor"),AND(K177="Baja",O177="Leve")),"Bajo",IF(OR(AND(K177="Muy baja",O177="Moderado"),AND(K177="Baja",O177="Menor"),AND(K177="Baja",O177="Moderado"),AND(K177="Media",O177="Leve"),AND(K177="Media",O177="Menor"),AND(K177="Media",O177="Moderado"),AND(K177="Alta",O177="Leve"),AND(K177="Alta",O177="Menor")),"Moderado",IF(OR(AND(K177="Muy Baja",O177="Mayor"),AND(K177="Baja",O177="Mayor"),AND(K177="Media",O177="Mayor"),AND(K177="Alta",O177="Moderado"),AND(K177="Alta",O177="Mayor"),AND(K177="Muy Alta",O177="Leve"),AND(K177="Muy Alta",O177="Menor"),AND(K177="Muy Alta",O177="Moderado"),AND(K177="Muy Alta",O177="Mayor")),"Alto",IF(OR(AND(K177="Muy Baja",O177="Catastrófico"),AND(K177="Baja",O177="Catastrófico"),AND(K177="Media",O177="Catastrófico"),AND(K177="Alta",O177="Catastrófico"),AND(K177="Muy Alta",O177="Catastrófico")),"Extremo",""))))</f>
        <v>Alto</v>
      </c>
      <c r="R177" s="48">
        <v>1</v>
      </c>
      <c r="S177" s="49" t="s">
        <v>212</v>
      </c>
      <c r="T177" s="50" t="str">
        <f>IF(OR(U177="Preventivo",U177="Detectivo"),"Probabilidad",IF(U177="Correctivo","Impacto",""))</f>
        <v>Probabilidad</v>
      </c>
      <c r="U177" s="61" t="s">
        <v>207</v>
      </c>
      <c r="V177" s="61" t="s">
        <v>201</v>
      </c>
      <c r="W177" s="62" t="str">
        <f>IF(AND(U177="Preventivo",V177="Automático"),"50%",IF(AND(U177="Preventivo",V177="Manual"),"40%",IF(AND(U177="Detectivo",V177="Automático"),"40%",IF(AND(U177="Detectivo",V177="Manual"),"30%",IF(AND(U177="Correctivo",V177="Automático"),"35%",IF(AND(U177="Correctivo",V177="Manual"),"25%",""))))))</f>
        <v>40%</v>
      </c>
      <c r="X177" s="61" t="s">
        <v>202</v>
      </c>
      <c r="Y177" s="61" t="s">
        <v>203</v>
      </c>
      <c r="Z177" s="61" t="s">
        <v>204</v>
      </c>
      <c r="AA177" s="63">
        <f>IFERROR(IF(T177="Probabilidad",(L177-(+L177*W177)),IF(T177="Impacto",L177,"")),"")</f>
        <v>0.36</v>
      </c>
      <c r="AB177" s="64" t="str">
        <f>IFERROR(IF(AA177="","",IF(AA177&lt;=0.2,"Muy Baja",IF(AA177&lt;=0.4,"Baja",IF(AA177&lt;=0.6,"Media",IF(AA177&lt;=0.8,"Alta","Muy Alta"))))),"")</f>
        <v>Baja</v>
      </c>
      <c r="AC177" s="65">
        <f>+AA177</f>
        <v>0.36</v>
      </c>
      <c r="AD177" s="64" t="str">
        <f>IFERROR(IF(AE177="","",IF(AE177&lt;=0.2,"Leve",IF(AE177&lt;=0.4,"Menor",IF(AE177&lt;=0.6,"Moderado",IF(AE177&lt;=0.8,"Mayor","Catastrófico"))))),"")</f>
        <v>Mayor</v>
      </c>
      <c r="AE177" s="65">
        <f>IFERROR(IF(T177="Impacto",(P177-(+P177*W177)),IF(T177="Probabilidad",P177,"")),"")</f>
        <v>0.8</v>
      </c>
      <c r="AF177" s="66" t="str">
        <f>IFERROR(IF(OR(AND(AB177="Muy Baja",AD177="Leve"),AND(AB177="Muy Baja",AD177="Menor"),AND(AB177="Baja",AD177="Leve")),"Bajo",IF(OR(AND(AB177="Muy baja",AD177="Moderado"),AND(AB177="Baja",AD177="Menor"),AND(AB177="Baja",AD177="Moderado"),AND(AB177="Media",AD177="Leve"),AND(AB177="Media",AD177="Menor"),AND(AB177="Media",AD177="Moderado"),AND(AB177="Alta",AD177="Leve"),AND(AB177="Alta",AD177="Menor")),"Moderado",IF(OR(AND(AB177="Muy Baja",AD177="Mayor"),AND(AB177="Baja",AD177="Mayor"),AND(AB177="Media",AD177="Mayor"),AND(AB177="Alta",AD177="Moderado"),AND(AB177="Alta",AD177="Mayor"),AND(AB177="Muy Alta",AD177="Leve"),AND(AB177="Muy Alta",AD177="Menor"),AND(AB177="Muy Alta",AD177="Moderado"),AND(AB177="Muy Alta",AD177="Mayor")),"Alto",IF(OR(AND(AB177="Muy Baja",AD177="Catastrófico"),AND(AB177="Baja",AD177="Catastrófico"),AND(AB177="Media",AD177="Catastrófico"),AND(AB177="Alta",AD177="Catastrófico"),AND(AB177="Muy Alta",AD177="Catastrófico")),"Extremo","")))),"")</f>
        <v>Alto</v>
      </c>
      <c r="AG177" s="1866" t="s">
        <v>205</v>
      </c>
      <c r="AH177" s="370" t="s">
        <v>696</v>
      </c>
      <c r="AI177" s="371" t="s">
        <v>697</v>
      </c>
      <c r="AJ177" s="372">
        <v>45168</v>
      </c>
      <c r="AK177" s="373">
        <v>45338</v>
      </c>
      <c r="AL177" s="59" t="s">
        <v>698</v>
      </c>
      <c r="AM177" s="232" t="s">
        <v>206</v>
      </c>
      <c r="AN177" s="374" t="s">
        <v>699</v>
      </c>
      <c r="AO177" s="374" t="s">
        <v>700</v>
      </c>
    </row>
    <row r="178" spans="1:41" s="184" customFormat="1" ht="96.6" x14ac:dyDescent="0.25">
      <c r="A178" s="1619"/>
      <c r="B178" s="1657"/>
      <c r="C178" s="44" t="s">
        <v>691</v>
      </c>
      <c r="D178" s="44" t="s">
        <v>692</v>
      </c>
      <c r="E178" s="54" t="s">
        <v>701</v>
      </c>
      <c r="F178" s="1700"/>
      <c r="G178" s="1604"/>
      <c r="H178" s="1700"/>
      <c r="I178" s="1702"/>
      <c r="J178" s="1641"/>
      <c r="K178" s="1644"/>
      <c r="L178" s="1633"/>
      <c r="M178" s="1647"/>
      <c r="N178" s="1633">
        <f>IF(NOT(ISERROR(MATCH(M178,_xlfn.ANCHORARRAY(F189),0))),L191&amp;"Por favor no seleccionar los criterios de impacto",M178)</f>
        <v>0</v>
      </c>
      <c r="O178" s="1644"/>
      <c r="P178" s="1633"/>
      <c r="Q178" s="1636"/>
      <c r="R178" s="48">
        <v>2</v>
      </c>
      <c r="S178" s="362" t="s">
        <v>214</v>
      </c>
      <c r="T178" s="50" t="str">
        <f>IF(OR(U178="Preventivo",U178="Detectivo"),"Probabilidad",IF(U178="Correctivo","Impacto",""))</f>
        <v>Probabilidad</v>
      </c>
      <c r="U178" s="61" t="s">
        <v>207</v>
      </c>
      <c r="V178" s="61" t="s">
        <v>201</v>
      </c>
      <c r="W178" s="62" t="str">
        <f>IF(AND(U178="Preventivo",V178="Automático"),"50%",IF(AND(U178="Preventivo",V178="Manual"),"40%",IF(AND(U178="Detectivo",V178="Automático"),"40%",IF(AND(U178="Detectivo",V178="Manual"),"30%",IF(AND(U178="Correctivo",V178="Automático"),"35%",IF(AND(U178="Correctivo",V178="Manual"),"25%",""))))))</f>
        <v>40%</v>
      </c>
      <c r="X178" s="61" t="s">
        <v>202</v>
      </c>
      <c r="Y178" s="61" t="s">
        <v>203</v>
      </c>
      <c r="Z178" s="61" t="s">
        <v>204</v>
      </c>
      <c r="AA178" s="63">
        <f>IFERROR(IF(AND(T177="Probabilidad",T178="Probabilidad"),(AC177-(+AC177*W178)),IF(AND(T177="Impacto",T178="Probabilidad"),(L177-(+L177*W178)),IF(T178="Impacto",AC177,""))),"")</f>
        <v>0.216</v>
      </c>
      <c r="AB178" s="64" t="str">
        <f t="shared" ref="AB178:AB182" si="101">IFERROR(IF(AA178="","",IF(AA178&lt;=0.2,"Muy Baja",IF(AA178&lt;=0.4,"Baja",IF(AA178&lt;=0.6,"Media",IF(AA178&lt;=0.8,"Alta","Muy Alta"))))),"")</f>
        <v>Baja</v>
      </c>
      <c r="AC178" s="65">
        <f>+AA178</f>
        <v>0.216</v>
      </c>
      <c r="AD178" s="64" t="str">
        <f t="shared" ref="AD178:AD182" si="102">IFERROR(IF(AE178="","",IF(AE178&lt;=0.2,"Leve",IF(AE178&lt;=0.4,"Menor",IF(AE178&lt;=0.6,"Moderado",IF(AE178&lt;=0.8,"Mayor","Catastrófico"))))),"")</f>
        <v>Mayor</v>
      </c>
      <c r="AE178" s="65">
        <f>IFERROR(IF(AND(T177="Impacto",T178="Impacto"),(AE177-(+AE177*W178)),IF(AND(T177="Probabilidad",T178="Impacto"),(P177-(+P177*W178)),IF(T178="Probabilidad",AE177,""))),"")</f>
        <v>0.8</v>
      </c>
      <c r="AF178" s="66" t="str">
        <f t="shared" ref="AF178:AF182" si="103">IFERROR(IF(OR(AND(AB178="Muy Baja",AD178="Leve"),AND(AB178="Muy Baja",AD178="Menor"),AND(AB178="Baja",AD178="Leve")),"Bajo",IF(OR(AND(AB178="Muy baja",AD178="Moderado"),AND(AB178="Baja",AD178="Menor"),AND(AB178="Baja",AD178="Moderado"),AND(AB178="Media",AD178="Leve"),AND(AB178="Media",AD178="Menor"),AND(AB178="Media",AD178="Moderado"),AND(AB178="Alta",AD178="Leve"),AND(AB178="Alta",AD178="Menor")),"Moderado",IF(OR(AND(AB178="Muy Baja",AD178="Mayor"),AND(AB178="Baja",AD178="Mayor"),AND(AB178="Media",AD178="Mayor"),AND(AB178="Alta",AD178="Moderado"),AND(AB178="Alta",AD178="Mayor"),AND(AB178="Muy Alta",AD178="Leve"),AND(AB178="Muy Alta",AD178="Menor"),AND(AB178="Muy Alta",AD178="Moderado"),AND(AB178="Muy Alta",AD178="Mayor")),"Alto",IF(OR(AND(AB178="Muy Baja",AD178="Catastrófico"),AND(AB178="Baja",AD178="Catastrófico"),AND(AB178="Media",AD178="Catastrófico"),AND(AB178="Alta",AD178="Catastrófico"),AND(AB178="Muy Alta",AD178="Catastrófico")),"Extremo","")))),"")</f>
        <v>Alto</v>
      </c>
      <c r="AG178" s="1883"/>
      <c r="AH178" s="375"/>
      <c r="AI178" s="371" t="s">
        <v>697</v>
      </c>
      <c r="AJ178" s="372">
        <v>45168</v>
      </c>
      <c r="AK178" s="376"/>
      <c r="AL178" s="377" t="s">
        <v>702</v>
      </c>
      <c r="AM178" s="232" t="s">
        <v>206</v>
      </c>
      <c r="AN178" s="374" t="s">
        <v>699</v>
      </c>
      <c r="AO178" s="378" t="s">
        <v>702</v>
      </c>
    </row>
    <row r="179" spans="1:41" s="184" customFormat="1" ht="172.5" customHeight="1" x14ac:dyDescent="0.25">
      <c r="A179" s="1619"/>
      <c r="B179" s="1657"/>
      <c r="C179" s="44"/>
      <c r="D179" s="44"/>
      <c r="E179" s="55" t="s">
        <v>215</v>
      </c>
      <c r="F179" s="1700"/>
      <c r="G179" s="1604"/>
      <c r="H179" s="1700"/>
      <c r="I179" s="1702"/>
      <c r="J179" s="1641"/>
      <c r="K179" s="1644"/>
      <c r="L179" s="1633"/>
      <c r="M179" s="1647"/>
      <c r="N179" s="1633">
        <f>IF(NOT(ISERROR(MATCH(M179,_xlfn.ANCHORARRAY(F190),0))),L192&amp;"Por favor no seleccionar los criterios de impacto",M179)</f>
        <v>0</v>
      </c>
      <c r="O179" s="1644"/>
      <c r="P179" s="1633"/>
      <c r="Q179" s="1636"/>
      <c r="R179" s="48">
        <v>3</v>
      </c>
      <c r="S179" s="49" t="s">
        <v>217</v>
      </c>
      <c r="T179" s="50" t="str">
        <f>IF(OR(U179="Preventivo",U179="Detectivo"),"Probabilidad",IF(U179="Correctivo","Impacto",""))</f>
        <v>Probabilidad</v>
      </c>
      <c r="U179" s="61" t="s">
        <v>207</v>
      </c>
      <c r="V179" s="61" t="s">
        <v>201</v>
      </c>
      <c r="W179" s="62" t="str">
        <f>IF(AND(U179="Preventivo",V179="Automático"),"50%",IF(AND(U179="Preventivo",V179="Manual"),"40%",IF(AND(U179="Detectivo",V179="Automático"),"40%",IF(AND(U179="Detectivo",V179="Manual"),"30%",IF(AND(U179="Correctivo",V179="Automático"),"35%",IF(AND(U179="Correctivo",V179="Manual"),"25%",""))))))</f>
        <v>40%</v>
      </c>
      <c r="X179" s="61" t="s">
        <v>202</v>
      </c>
      <c r="Y179" s="61" t="s">
        <v>203</v>
      </c>
      <c r="Z179" s="61" t="s">
        <v>204</v>
      </c>
      <c r="AA179" s="63">
        <f>IFERROR(IF(AND(T178="Probabilidad",T179="Probabilidad"),(AC178-(+AC178*W179)),IF(AND(T178="Impacto",T179="Probabilidad"),(AC177-(+AC177*W179)),IF(T179="Impacto",AC178,""))),"")</f>
        <v>0.12959999999999999</v>
      </c>
      <c r="AB179" s="64" t="str">
        <f t="shared" si="101"/>
        <v>Muy Baja</v>
      </c>
      <c r="AC179" s="65">
        <f t="shared" ref="AC179:AC182" si="104">+AA179</f>
        <v>0.12959999999999999</v>
      </c>
      <c r="AD179" s="64" t="str">
        <f t="shared" si="102"/>
        <v>Mayor</v>
      </c>
      <c r="AE179" s="65">
        <f t="shared" ref="AE179:AE182" si="105">IFERROR(IF(AND(T178="Impacto",T179="Impacto"),(AE178-(+AE178*W179)),IF(AND(T178="Probabilidad",T179="Impacto"),(AE177-(+AE177*W179)),IF(T179="Probabilidad",AE178,""))),"")</f>
        <v>0.8</v>
      </c>
      <c r="AF179" s="66" t="str">
        <f t="shared" si="103"/>
        <v>Alto</v>
      </c>
      <c r="AG179" s="1867"/>
      <c r="AH179" s="379"/>
      <c r="AI179" s="371" t="s">
        <v>697</v>
      </c>
      <c r="AJ179" s="372">
        <v>45168</v>
      </c>
      <c r="AK179" s="372">
        <v>45345</v>
      </c>
      <c r="AL179" s="374" t="s">
        <v>703</v>
      </c>
      <c r="AM179" s="214" t="s">
        <v>206</v>
      </c>
      <c r="AN179" s="380" t="s">
        <v>704</v>
      </c>
      <c r="AO179" s="374" t="s">
        <v>700</v>
      </c>
    </row>
    <row r="180" spans="1:41" s="184" customFormat="1" ht="46.5" customHeight="1" x14ac:dyDescent="0.25">
      <c r="A180" s="1619"/>
      <c r="B180" s="1657"/>
      <c r="C180" s="44"/>
      <c r="D180" s="44"/>
      <c r="E180" s="45"/>
      <c r="F180" s="1700"/>
      <c r="G180" s="1604"/>
      <c r="H180" s="1700"/>
      <c r="I180" s="1702"/>
      <c r="J180" s="1641"/>
      <c r="K180" s="1644"/>
      <c r="L180" s="1633"/>
      <c r="M180" s="1647"/>
      <c r="N180" s="1633">
        <f>IF(NOT(ISERROR(MATCH(M180,_xlfn.ANCHORARRAY(F191),0))),L193&amp;"Por favor no seleccionar los criterios de impacto",M180)</f>
        <v>0</v>
      </c>
      <c r="O180" s="1644"/>
      <c r="P180" s="1633"/>
      <c r="Q180" s="1636"/>
      <c r="R180" s="48">
        <v>4</v>
      </c>
      <c r="S180" s="49"/>
      <c r="T180" s="50" t="str">
        <f t="shared" ref="T180:T182" si="106">IF(OR(U180="Preventivo",U180="Detectivo"),"Probabilidad",IF(U180="Correctivo","Impacto",""))</f>
        <v/>
      </c>
      <c r="U180" s="61"/>
      <c r="V180" s="61"/>
      <c r="W180" s="62" t="str">
        <f t="shared" ref="W180:W182" si="107">IF(AND(U180="Preventivo",V180="Automático"),"50%",IF(AND(U180="Preventivo",V180="Manual"),"40%",IF(AND(U180="Detectivo",V180="Automático"),"40%",IF(AND(U180="Detectivo",V180="Manual"),"30%",IF(AND(U180="Correctivo",V180="Automático"),"35%",IF(AND(U180="Correctivo",V180="Manual"),"25%",""))))))</f>
        <v/>
      </c>
      <c r="X180" s="61"/>
      <c r="Y180" s="61"/>
      <c r="Z180" s="61"/>
      <c r="AA180" s="63" t="str">
        <f t="shared" ref="AA180:AA182" si="108">IFERROR(IF(AND(T179="Probabilidad",T180="Probabilidad"),(AC179-(+AC179*W180)),IF(AND(T179="Impacto",T180="Probabilidad"),(AC178-(+AC178*W180)),IF(T180="Impacto",AC179,""))),"")</f>
        <v/>
      </c>
      <c r="AB180" s="64" t="str">
        <f t="shared" si="101"/>
        <v/>
      </c>
      <c r="AC180" s="65" t="str">
        <f t="shared" si="104"/>
        <v/>
      </c>
      <c r="AD180" s="64" t="str">
        <f t="shared" si="102"/>
        <v/>
      </c>
      <c r="AE180" s="65" t="str">
        <f t="shared" si="105"/>
        <v/>
      </c>
      <c r="AF180" s="66" t="str">
        <f t="shared" si="103"/>
        <v/>
      </c>
      <c r="AG180" s="81"/>
      <c r="AH180" s="77"/>
      <c r="AI180" s="78"/>
      <c r="AJ180" s="82"/>
      <c r="AK180" s="363"/>
      <c r="AL180" s="77"/>
      <c r="AM180" s="78"/>
      <c r="AN180" s="37"/>
      <c r="AO180" s="37"/>
    </row>
    <row r="181" spans="1:41" s="184" customFormat="1" ht="48.75" customHeight="1" x14ac:dyDescent="0.25">
      <c r="A181" s="1619"/>
      <c r="B181" s="1657"/>
      <c r="C181" s="44"/>
      <c r="D181" s="44"/>
      <c r="E181" s="45"/>
      <c r="F181" s="1700"/>
      <c r="G181" s="1604"/>
      <c r="H181" s="1700"/>
      <c r="I181" s="1702"/>
      <c r="J181" s="1641"/>
      <c r="K181" s="1644"/>
      <c r="L181" s="1633"/>
      <c r="M181" s="1647"/>
      <c r="N181" s="1633">
        <f>IF(NOT(ISERROR(MATCH(M181,_xlfn.ANCHORARRAY(F192),0))),L194&amp;"Por favor no seleccionar los criterios de impacto",M181)</f>
        <v>0</v>
      </c>
      <c r="O181" s="1644"/>
      <c r="P181" s="1633"/>
      <c r="Q181" s="1636"/>
      <c r="R181" s="48">
        <v>5</v>
      </c>
      <c r="S181" s="49"/>
      <c r="T181" s="50" t="str">
        <f t="shared" si="106"/>
        <v/>
      </c>
      <c r="U181" s="61"/>
      <c r="V181" s="61"/>
      <c r="W181" s="62" t="str">
        <f t="shared" si="107"/>
        <v/>
      </c>
      <c r="X181" s="61"/>
      <c r="Y181" s="61"/>
      <c r="Z181" s="61"/>
      <c r="AA181" s="63" t="str">
        <f t="shared" si="108"/>
        <v/>
      </c>
      <c r="AB181" s="64" t="str">
        <f t="shared" si="101"/>
        <v/>
      </c>
      <c r="AC181" s="65" t="str">
        <f t="shared" si="104"/>
        <v/>
      </c>
      <c r="AD181" s="64" t="str">
        <f t="shared" si="102"/>
        <v/>
      </c>
      <c r="AE181" s="65" t="str">
        <f t="shared" si="105"/>
        <v/>
      </c>
      <c r="AF181" s="66" t="str">
        <f t="shared" si="103"/>
        <v/>
      </c>
      <c r="AG181" s="81"/>
      <c r="AH181" s="77"/>
      <c r="AI181" s="78"/>
      <c r="AJ181" s="82"/>
      <c r="AK181" s="82"/>
      <c r="AL181" s="77"/>
      <c r="AM181" s="78"/>
      <c r="AN181" s="37"/>
      <c r="AO181" s="37"/>
    </row>
    <row r="182" spans="1:41" s="184" customFormat="1" ht="42.75" customHeight="1" x14ac:dyDescent="0.25">
      <c r="A182" s="1620"/>
      <c r="B182" s="1658"/>
      <c r="C182" s="44"/>
      <c r="D182" s="44"/>
      <c r="E182" s="45"/>
      <c r="F182" s="1700"/>
      <c r="G182" s="1605"/>
      <c r="H182" s="1700"/>
      <c r="I182" s="1706"/>
      <c r="J182" s="1642"/>
      <c r="K182" s="1645"/>
      <c r="L182" s="1634"/>
      <c r="M182" s="1648"/>
      <c r="N182" s="1634">
        <f>IF(NOT(ISERROR(MATCH(M182,_xlfn.ANCHORARRAY(F193),0))),L195&amp;"Por favor no seleccionar los criterios de impacto",M182)</f>
        <v>0</v>
      </c>
      <c r="O182" s="1645"/>
      <c r="P182" s="1634"/>
      <c r="Q182" s="1637"/>
      <c r="R182" s="48">
        <v>6</v>
      </c>
      <c r="S182" s="49"/>
      <c r="T182" s="50" t="str">
        <f t="shared" si="106"/>
        <v/>
      </c>
      <c r="U182" s="61"/>
      <c r="V182" s="61"/>
      <c r="W182" s="62" t="str">
        <f t="shared" si="107"/>
        <v/>
      </c>
      <c r="X182" s="61"/>
      <c r="Y182" s="61"/>
      <c r="Z182" s="61"/>
      <c r="AA182" s="63" t="str">
        <f t="shared" si="108"/>
        <v/>
      </c>
      <c r="AB182" s="64" t="str">
        <f t="shared" si="101"/>
        <v/>
      </c>
      <c r="AC182" s="65" t="str">
        <f t="shared" si="104"/>
        <v/>
      </c>
      <c r="AD182" s="64" t="str">
        <f t="shared" si="102"/>
        <v/>
      </c>
      <c r="AE182" s="65" t="str">
        <f t="shared" si="105"/>
        <v/>
      </c>
      <c r="AF182" s="66" t="str">
        <f t="shared" si="103"/>
        <v/>
      </c>
      <c r="AG182" s="81"/>
      <c r="AH182" s="77"/>
      <c r="AI182" s="78"/>
      <c r="AJ182" s="82"/>
      <c r="AK182" s="82"/>
      <c r="AL182" s="77"/>
      <c r="AM182" s="78"/>
      <c r="AN182" s="37"/>
      <c r="AO182" s="37"/>
    </row>
    <row r="183" spans="1:41" s="184" customFormat="1" x14ac:dyDescent="0.25">
      <c r="A183" s="1681" t="s">
        <v>156</v>
      </c>
      <c r="B183" s="1682"/>
      <c r="C183" s="1682"/>
      <c r="D183" s="1682"/>
      <c r="E183" s="1682"/>
      <c r="F183" s="1682"/>
      <c r="G183" s="1682"/>
      <c r="H183" s="1682"/>
      <c r="I183" s="1682"/>
      <c r="J183" s="1682"/>
      <c r="K183" s="1682"/>
      <c r="L183" s="1682"/>
      <c r="M183" s="1682"/>
      <c r="N183" s="1682"/>
      <c r="O183" s="1682"/>
      <c r="P183" s="1682"/>
      <c r="Q183" s="1682"/>
      <c r="R183" s="1682"/>
      <c r="S183" s="1682"/>
      <c r="T183" s="1682"/>
      <c r="U183" s="1682"/>
      <c r="V183" s="1682"/>
      <c r="W183" s="1682"/>
      <c r="X183" s="1682"/>
      <c r="Y183" s="1682"/>
      <c r="Z183" s="1682"/>
      <c r="AA183" s="1682"/>
      <c r="AB183" s="1682"/>
      <c r="AC183" s="1682"/>
      <c r="AD183" s="1682"/>
      <c r="AE183" s="1682"/>
      <c r="AF183" s="1682"/>
      <c r="AG183" s="1682"/>
      <c r="AH183" s="1682"/>
      <c r="AI183" s="1682"/>
      <c r="AJ183" s="1682"/>
      <c r="AK183" s="1682"/>
      <c r="AL183" s="1682"/>
      <c r="AM183" s="1683"/>
      <c r="AN183" s="37"/>
      <c r="AO183" s="37"/>
    </row>
    <row r="184" spans="1:41" s="184" customFormat="1" x14ac:dyDescent="0.25">
      <c r="A184" s="1684"/>
      <c r="B184" s="1685"/>
      <c r="C184" s="1685"/>
      <c r="D184" s="1685"/>
      <c r="E184" s="1685"/>
      <c r="F184" s="1685"/>
      <c r="G184" s="1685"/>
      <c r="H184" s="1685"/>
      <c r="I184" s="1685"/>
      <c r="J184" s="1685"/>
      <c r="K184" s="1685"/>
      <c r="L184" s="1685"/>
      <c r="M184" s="1685"/>
      <c r="N184" s="1685"/>
      <c r="O184" s="1685"/>
      <c r="P184" s="1685"/>
      <c r="Q184" s="1685"/>
      <c r="R184" s="1685"/>
      <c r="S184" s="1685"/>
      <c r="T184" s="1685"/>
      <c r="U184" s="1685"/>
      <c r="V184" s="1685"/>
      <c r="W184" s="1685"/>
      <c r="X184" s="1685"/>
      <c r="Y184" s="1685"/>
      <c r="Z184" s="1685"/>
      <c r="AA184" s="1685"/>
      <c r="AB184" s="1685"/>
      <c r="AC184" s="1685"/>
      <c r="AD184" s="1685"/>
      <c r="AE184" s="1685"/>
      <c r="AF184" s="1685"/>
      <c r="AG184" s="1685"/>
      <c r="AH184" s="1685"/>
      <c r="AI184" s="1685"/>
      <c r="AJ184" s="1685"/>
      <c r="AK184" s="1685"/>
      <c r="AL184" s="1685"/>
      <c r="AM184" s="1686"/>
      <c r="AN184" s="37"/>
      <c r="AO184" s="37"/>
    </row>
    <row r="185" spans="1:41" s="184" customFormat="1" x14ac:dyDescent="0.25">
      <c r="A185" s="242"/>
      <c r="B185" s="243"/>
      <c r="C185" s="242"/>
      <c r="D185" s="242"/>
      <c r="E185" s="242"/>
      <c r="F185" s="37"/>
      <c r="G185" s="37"/>
      <c r="H185" s="37"/>
      <c r="I185" s="225"/>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row>
    <row r="186" spans="1:41" s="184" customFormat="1" ht="23.4" x14ac:dyDescent="0.25">
      <c r="A186" s="1667" t="s">
        <v>157</v>
      </c>
      <c r="B186" s="1668"/>
      <c r="C186" s="1680" t="s">
        <v>299</v>
      </c>
      <c r="D186" s="1680"/>
      <c r="E186" s="1680"/>
      <c r="F186" s="1680"/>
      <c r="G186" s="1680"/>
      <c r="H186" s="1680"/>
      <c r="I186" s="1680"/>
      <c r="J186" s="1680"/>
      <c r="K186" s="1680"/>
      <c r="L186" s="1680"/>
      <c r="M186" s="1680"/>
      <c r="N186" s="1680"/>
      <c r="O186" s="1680"/>
      <c r="P186" s="1680"/>
      <c r="Q186" s="1680"/>
      <c r="R186" s="1680"/>
      <c r="S186" s="1680"/>
      <c r="T186" s="1680"/>
      <c r="U186" s="1680"/>
      <c r="V186" s="1680"/>
      <c r="W186" s="1680"/>
      <c r="X186" s="1680"/>
      <c r="Y186" s="1680"/>
      <c r="Z186" s="1680"/>
      <c r="AA186" s="1680"/>
      <c r="AB186" s="1680"/>
      <c r="AC186" s="1680"/>
      <c r="AD186" s="1680"/>
      <c r="AE186" s="1680"/>
      <c r="AF186" s="1680"/>
      <c r="AG186" s="1680"/>
      <c r="AH186" s="1680"/>
      <c r="AI186" s="1680"/>
      <c r="AJ186" s="1680"/>
      <c r="AK186" s="1680"/>
      <c r="AL186" s="1680"/>
      <c r="AM186" s="1680"/>
      <c r="AN186" s="37"/>
      <c r="AO186" s="37"/>
    </row>
    <row r="187" spans="1:41" s="184" customFormat="1" ht="23.4" x14ac:dyDescent="0.25">
      <c r="A187" s="1667" t="s">
        <v>158</v>
      </c>
      <c r="B187" s="1668"/>
      <c r="C187" s="1680" t="s">
        <v>300</v>
      </c>
      <c r="D187" s="1680"/>
      <c r="E187" s="1680"/>
      <c r="F187" s="1680"/>
      <c r="G187" s="1680"/>
      <c r="H187" s="1680"/>
      <c r="I187" s="1680"/>
      <c r="J187" s="1680"/>
      <c r="K187" s="1680"/>
      <c r="L187" s="1680"/>
      <c r="M187" s="1680"/>
      <c r="N187" s="1680"/>
      <c r="O187" s="1680"/>
      <c r="P187" s="1680"/>
      <c r="Q187" s="1680"/>
      <c r="R187" s="1680"/>
      <c r="S187" s="1680"/>
      <c r="T187" s="1680"/>
      <c r="U187" s="1680"/>
      <c r="V187" s="1680"/>
      <c r="W187" s="1680"/>
      <c r="X187" s="1680"/>
      <c r="Y187" s="1680"/>
      <c r="Z187" s="1680"/>
      <c r="AA187" s="1680"/>
      <c r="AB187" s="1680"/>
      <c r="AC187" s="1680"/>
      <c r="AD187" s="1680"/>
      <c r="AE187" s="1680"/>
      <c r="AF187" s="1680"/>
      <c r="AG187" s="1680"/>
      <c r="AH187" s="1680"/>
      <c r="AI187" s="1680"/>
      <c r="AJ187" s="1680"/>
      <c r="AK187" s="1680"/>
      <c r="AL187" s="1680"/>
      <c r="AM187" s="1680"/>
      <c r="AN187" s="37"/>
      <c r="AO187" s="37"/>
    </row>
    <row r="188" spans="1:41" s="184" customFormat="1" ht="23.4" x14ac:dyDescent="0.25">
      <c r="A188" s="1667" t="s">
        <v>159</v>
      </c>
      <c r="B188" s="1668"/>
      <c r="C188" s="1669" t="s">
        <v>301</v>
      </c>
      <c r="D188" s="1669"/>
      <c r="E188" s="1669"/>
      <c r="F188" s="1669"/>
      <c r="G188" s="1669"/>
      <c r="H188" s="1669"/>
      <c r="I188" s="1669"/>
      <c r="J188" s="1669"/>
      <c r="K188" s="1669"/>
      <c r="L188" s="1669"/>
      <c r="M188" s="1669"/>
      <c r="N188" s="1669"/>
      <c r="O188" s="1669"/>
      <c r="P188" s="1669"/>
      <c r="Q188" s="1669"/>
      <c r="R188" s="1669"/>
      <c r="S188" s="1669"/>
      <c r="T188" s="1669"/>
      <c r="U188" s="1669"/>
      <c r="V188" s="1669"/>
      <c r="W188" s="1669"/>
      <c r="X188" s="1669"/>
      <c r="Y188" s="1669"/>
      <c r="Z188" s="1669"/>
      <c r="AA188" s="1669"/>
      <c r="AB188" s="1669"/>
      <c r="AC188" s="1669"/>
      <c r="AD188" s="1669"/>
      <c r="AE188" s="1669"/>
      <c r="AF188" s="1669"/>
      <c r="AG188" s="1669"/>
      <c r="AH188" s="1669"/>
      <c r="AI188" s="1669"/>
      <c r="AJ188" s="1669"/>
      <c r="AK188" s="1669"/>
      <c r="AL188" s="1669"/>
      <c r="AM188" s="1669"/>
      <c r="AN188" s="37"/>
      <c r="AO188" s="37"/>
    </row>
    <row r="189" spans="1:41" s="184" customFormat="1" x14ac:dyDescent="0.25">
      <c r="A189" s="1670" t="s">
        <v>160</v>
      </c>
      <c r="B189" s="1671"/>
      <c r="C189" s="1672"/>
      <c r="D189" s="1672"/>
      <c r="E189" s="1672"/>
      <c r="F189" s="1672"/>
      <c r="G189" s="1672"/>
      <c r="H189" s="1672"/>
      <c r="I189" s="1672"/>
      <c r="J189" s="1673"/>
      <c r="K189" s="1630" t="s">
        <v>161</v>
      </c>
      <c r="L189" s="1672"/>
      <c r="M189" s="1672"/>
      <c r="N189" s="1672"/>
      <c r="O189" s="1672"/>
      <c r="P189" s="1672"/>
      <c r="Q189" s="1673"/>
      <c r="R189" s="1630" t="s">
        <v>162</v>
      </c>
      <c r="S189" s="1672"/>
      <c r="T189" s="1672"/>
      <c r="U189" s="1672"/>
      <c r="V189" s="1672"/>
      <c r="W189" s="1672"/>
      <c r="X189" s="1672"/>
      <c r="Y189" s="1672"/>
      <c r="Z189" s="1673"/>
      <c r="AA189" s="1630" t="s">
        <v>163</v>
      </c>
      <c r="AB189" s="1672"/>
      <c r="AC189" s="1672"/>
      <c r="AD189" s="1672"/>
      <c r="AE189" s="1672"/>
      <c r="AF189" s="1672"/>
      <c r="AG189" s="1673"/>
      <c r="AH189" s="1630" t="s">
        <v>164</v>
      </c>
      <c r="AI189" s="1672"/>
      <c r="AJ189" s="1672"/>
      <c r="AK189" s="1672"/>
      <c r="AL189" s="1672"/>
      <c r="AM189" s="1673"/>
      <c r="AN189" s="37"/>
      <c r="AO189" s="37"/>
    </row>
    <row r="190" spans="1:41" s="184" customFormat="1" x14ac:dyDescent="0.25">
      <c r="A190" s="1649" t="s">
        <v>165</v>
      </c>
      <c r="B190" s="1651" t="s">
        <v>142</v>
      </c>
      <c r="C190" s="1626" t="s">
        <v>166</v>
      </c>
      <c r="D190" s="1626" t="s">
        <v>167</v>
      </c>
      <c r="E190" s="1631" t="s">
        <v>168</v>
      </c>
      <c r="F190" s="1652" t="s">
        <v>60</v>
      </c>
      <c r="G190" s="56"/>
      <c r="H190" s="56"/>
      <c r="I190" s="1631" t="s">
        <v>169</v>
      </c>
      <c r="J190" s="1626" t="s">
        <v>170</v>
      </c>
      <c r="K190" s="1628" t="s">
        <v>171</v>
      </c>
      <c r="L190" s="1629" t="s">
        <v>172</v>
      </c>
      <c r="M190" s="1631" t="s">
        <v>173</v>
      </c>
      <c r="N190" s="1631" t="s">
        <v>174</v>
      </c>
      <c r="O190" s="1666" t="s">
        <v>175</v>
      </c>
      <c r="P190" s="1629" t="s">
        <v>172</v>
      </c>
      <c r="Q190" s="1626" t="s">
        <v>176</v>
      </c>
      <c r="R190" s="1664" t="s">
        <v>177</v>
      </c>
      <c r="S190" s="1627" t="s">
        <v>178</v>
      </c>
      <c r="T190" s="1631" t="s">
        <v>179</v>
      </c>
      <c r="U190" s="1627" t="s">
        <v>180</v>
      </c>
      <c r="V190" s="1627"/>
      <c r="W190" s="1627"/>
      <c r="X190" s="1627"/>
      <c r="Y190" s="1627"/>
      <c r="Z190" s="1627"/>
      <c r="AA190" s="1663" t="s">
        <v>181</v>
      </c>
      <c r="AB190" s="1663" t="s">
        <v>182</v>
      </c>
      <c r="AC190" s="1663" t="s">
        <v>172</v>
      </c>
      <c r="AD190" s="1663" t="s">
        <v>183</v>
      </c>
      <c r="AE190" s="1663" t="s">
        <v>172</v>
      </c>
      <c r="AF190" s="1663" t="s">
        <v>184</v>
      </c>
      <c r="AG190" s="1664" t="s">
        <v>185</v>
      </c>
      <c r="AH190" s="1627" t="s">
        <v>164</v>
      </c>
      <c r="AI190" s="1627" t="s">
        <v>143</v>
      </c>
      <c r="AJ190" s="1627" t="s">
        <v>186</v>
      </c>
      <c r="AK190" s="1627" t="s">
        <v>187</v>
      </c>
      <c r="AL190" s="1627" t="s">
        <v>243</v>
      </c>
      <c r="AM190" s="1627" t="s">
        <v>189</v>
      </c>
      <c r="AN190" s="37"/>
      <c r="AO190" s="37"/>
    </row>
    <row r="191" spans="1:41" s="222" customFormat="1" ht="70.2" x14ac:dyDescent="0.3">
      <c r="A191" s="1650"/>
      <c r="B191" s="1651"/>
      <c r="C191" s="1627"/>
      <c r="D191" s="1627"/>
      <c r="E191" s="1628"/>
      <c r="F191" s="1653"/>
      <c r="G191" s="56" t="s">
        <v>511</v>
      </c>
      <c r="H191" s="56" t="s">
        <v>190</v>
      </c>
      <c r="I191" s="1626"/>
      <c r="J191" s="1627"/>
      <c r="K191" s="1626"/>
      <c r="L191" s="1630"/>
      <c r="M191" s="1626"/>
      <c r="N191" s="1626"/>
      <c r="O191" s="1630"/>
      <c r="P191" s="1630"/>
      <c r="Q191" s="1627"/>
      <c r="R191" s="1665"/>
      <c r="S191" s="1627"/>
      <c r="T191" s="1626"/>
      <c r="U191" s="42" t="s">
        <v>191</v>
      </c>
      <c r="V191" s="42" t="s">
        <v>192</v>
      </c>
      <c r="W191" s="42" t="s">
        <v>193</v>
      </c>
      <c r="X191" s="42" t="s">
        <v>194</v>
      </c>
      <c r="Y191" s="42" t="s">
        <v>195</v>
      </c>
      <c r="Z191" s="42" t="s">
        <v>196</v>
      </c>
      <c r="AA191" s="1663"/>
      <c r="AB191" s="1663"/>
      <c r="AC191" s="1663"/>
      <c r="AD191" s="1663"/>
      <c r="AE191" s="1663"/>
      <c r="AF191" s="1663"/>
      <c r="AG191" s="1665"/>
      <c r="AH191" s="1627"/>
      <c r="AI191" s="1627"/>
      <c r="AJ191" s="1627"/>
      <c r="AK191" s="1627"/>
      <c r="AL191" s="1627"/>
      <c r="AM191" s="1627"/>
      <c r="AN191" s="230"/>
      <c r="AO191" s="230"/>
    </row>
    <row r="192" spans="1:41" s="231" customFormat="1" ht="124.2" x14ac:dyDescent="0.3">
      <c r="A192" s="1618">
        <v>1</v>
      </c>
      <c r="B192" s="1656" t="s">
        <v>209</v>
      </c>
      <c r="C192" s="1656" t="s">
        <v>302</v>
      </c>
      <c r="D192" s="1698" t="s">
        <v>707</v>
      </c>
      <c r="E192" s="90" t="s">
        <v>708</v>
      </c>
      <c r="F192" s="1603" t="s">
        <v>709</v>
      </c>
      <c r="G192" s="92" t="s">
        <v>512</v>
      </c>
      <c r="H192" s="1700" t="s">
        <v>710</v>
      </c>
      <c r="I192" s="1701" t="s">
        <v>198</v>
      </c>
      <c r="J192" s="1640">
        <v>365</v>
      </c>
      <c r="K192" s="1643" t="str">
        <f>IF(J192&lt;=0,"",IF(J192&lt;=2,"Muy Baja",IF(J192&lt;=24,"Baja",IF(J192&lt;=500,"Media",IF(J192&lt;=5000,"Alta","Muy Alta")))))</f>
        <v>Media</v>
      </c>
      <c r="L192" s="1632">
        <f>IF(K192="","",IF(K192="Muy Baja",0.2,IF(K192="Baja",0.4,IF(K192="Media",0.6,IF(K192="Alta",0.8,IF(K192="Muy Alta",1,))))))</f>
        <v>0.6</v>
      </c>
      <c r="M192" s="1646" t="s">
        <v>303</v>
      </c>
      <c r="N192" s="1632" t="str">
        <f>IF(NOT(ISERROR(MATCH(M192,'[11]Tabla Impacto'!$B$221:$B$223,0))),'[11]Tabla Impacto'!$F$223&amp;"Por favor no seleccionar los criterios de impacto(Afectación Económica o presupuestal y Pérdida Reputacional)",M192)</f>
        <v xml:space="preserve">     El riesgo afecta la imagen de la entidad a nivel nacional, con efecto publicitarios sostenible a nivel país</v>
      </c>
      <c r="O192" s="1643" t="str">
        <f>IF(OR(N192='[11]Tabla Impacto'!$C$11,N192='[11]Tabla Impacto'!$D$11),"Leve",IF(OR(N192='[11]Tabla Impacto'!$C$12,N192='[11]Tabla Impacto'!$D$12),"Menor",IF(OR(N192='[11]Tabla Impacto'!$C$13,N192='[11]Tabla Impacto'!$D$13),"Moderado",IF(OR(N192='[11]Tabla Impacto'!$C$14,N192='[11]Tabla Impacto'!$D$14),"Mayor",IF(OR(N192='[11]Tabla Impacto'!$C$15,N192='[11]Tabla Impacto'!$D$15),"Catastrófico","")))))</f>
        <v>Catastrófico</v>
      </c>
      <c r="P192" s="1632">
        <f>IF(O192="","",IF(O192="Leve",0.2,IF(O192="Menor",0.4,IF(O192="Moderado",0.6,IF(O192="Mayor",0.8,IF(O192="Catastrófico",1,))))))</f>
        <v>1</v>
      </c>
      <c r="Q192" s="1635" t="str">
        <f>IF(OR(AND(K192="Muy Baja",O192="Leve"),AND(K192="Muy Baja",O192="Menor"),AND(K192="Baja",O192="Leve")),"Bajo",IF(OR(AND(K192="Muy baja",O192="Moderado"),AND(K192="Baja",O192="Menor"),AND(K192="Baja",O192="Moderado"),AND(K192="Media",O192="Leve"),AND(K192="Media",O192="Menor"),AND(K192="Media",O192="Moderado"),AND(K192="Alta",O192="Leve"),AND(K192="Alta",O192="Menor")),"Moderado",IF(OR(AND(K192="Muy Baja",O192="Mayor"),AND(K192="Baja",O192="Mayor"),AND(K192="Media",O192="Mayor"),AND(K192="Alta",O192="Moderado"),AND(K192="Alta",O192="Mayor"),AND(K192="Muy Alta",O192="Leve"),AND(K192="Muy Alta",O192="Menor"),AND(K192="Muy Alta",O192="Moderado"),AND(K192="Muy Alta",O192="Mayor")),"Alto",IF(OR(AND(K192="Muy Baja",O192="Catastrófico"),AND(K192="Baja",O192="Catastrófico"),AND(K192="Media",O192="Catastrófico"),AND(K192="Alta",O192="Catastrófico"),AND(K192="Muy Alta",O192="Catastrófico")),"Extremo",""))))</f>
        <v>Extremo</v>
      </c>
      <c r="R192" s="48">
        <v>1</v>
      </c>
      <c r="S192" s="60" t="s">
        <v>304</v>
      </c>
      <c r="T192" s="50" t="str">
        <f>IF(OR(U192="Preventivo",U192="Detectivo"),"Probabilidad",IF(U192="Correctivo","Impacto",""))</f>
        <v>Probabilidad</v>
      </c>
      <c r="U192" s="61" t="s">
        <v>207</v>
      </c>
      <c r="V192" s="61" t="s">
        <v>201</v>
      </c>
      <c r="W192" s="62" t="str">
        <f>IF(AND(U192="Preventivo",V192="Automático"),"50%",IF(AND(U192="Preventivo",V192="Manual"),"40%",IF(AND(U192="Detectivo",V192="Automático"),"40%",IF(AND(U192="Detectivo",V192="Manual"),"30%",IF(AND(U192="Correctivo",V192="Automático"),"35%",IF(AND(U192="Correctivo",V192="Manual"),"25%",""))))))</f>
        <v>40%</v>
      </c>
      <c r="X192" s="61" t="s">
        <v>208</v>
      </c>
      <c r="Y192" s="61" t="s">
        <v>203</v>
      </c>
      <c r="Z192" s="61" t="s">
        <v>204</v>
      </c>
      <c r="AA192" s="63">
        <f>IFERROR(IF(T192="Probabilidad",(L192-(+L192*W192)),IF(T192="Impacto",L192,"")),"")</f>
        <v>0.36</v>
      </c>
      <c r="AB192" s="64" t="str">
        <f>IFERROR(IF(AA192="","",IF(AA192&lt;=0.2,"Muy Baja",IF(AA192&lt;=0.4,"Baja",IF(AA192&lt;=0.6,"Media",IF(AA192&lt;=0.8,"Alta","Muy Alta"))))),"")</f>
        <v>Baja</v>
      </c>
      <c r="AC192" s="65">
        <f>+AA192</f>
        <v>0.36</v>
      </c>
      <c r="AD192" s="64" t="str">
        <f>IFERROR(IF(AE192="","",IF(AE192&lt;=0.2,"Leve",IF(AE192&lt;=0.4,"Menor",IF(AE192&lt;=0.6,"Moderado",IF(AE192&lt;=0.8,"Mayor","Catastrófico"))))),"")</f>
        <v>Catastrófico</v>
      </c>
      <c r="AE192" s="65">
        <f>IFERROR(IF(T192="Impacto",(P192-(+P192*W192)),IF(T192="Probabilidad",P192,"")),"")</f>
        <v>1</v>
      </c>
      <c r="AF192" s="66" t="str">
        <f>IFERROR(IF(OR(AND(AB192="Muy Baja",AD192="Leve"),AND(AB192="Muy Baja",AD192="Menor"),AND(AB192="Baja",AD192="Leve")),"Bajo",IF(OR(AND(AB192="Muy baja",AD192="Moderado"),AND(AB192="Baja",AD192="Menor"),AND(AB192="Baja",AD192="Moderado"),AND(AB192="Media",AD192="Leve"),AND(AB192="Media",AD192="Menor"),AND(AB192="Media",AD192="Moderado"),AND(AB192="Alta",AD192="Leve"),AND(AB192="Alta",AD192="Menor")),"Moderado",IF(OR(AND(AB192="Muy Baja",AD192="Mayor"),AND(AB192="Baja",AD192="Mayor"),AND(AB192="Media",AD192="Mayor"),AND(AB192="Alta",AD192="Moderado"),AND(AB192="Alta",AD192="Mayor"),AND(AB192="Muy Alta",AD192="Leve"),AND(AB192="Muy Alta",AD192="Menor"),AND(AB192="Muy Alta",AD192="Moderado"),AND(AB192="Muy Alta",AD192="Mayor")),"Alto",IF(OR(AND(AB192="Muy Baja",AD192="Catastrófico"),AND(AB192="Baja",AD192="Catastrófico"),AND(AB192="Media",AD192="Catastrófico"),AND(AB192="Alta",AD192="Catastrófico"),AND(AB192="Muy Alta",AD192="Catastrófico")),"Extremo","")))),"")</f>
        <v>Extremo</v>
      </c>
      <c r="AG192" s="81" t="s">
        <v>205</v>
      </c>
      <c r="AH192" s="97" t="s">
        <v>305</v>
      </c>
      <c r="AI192" s="70" t="s">
        <v>293</v>
      </c>
      <c r="AJ192" s="100" t="s">
        <v>154</v>
      </c>
      <c r="AK192" s="147">
        <v>45476</v>
      </c>
      <c r="AL192" s="155" t="s">
        <v>711</v>
      </c>
      <c r="AM192" s="70" t="s">
        <v>206</v>
      </c>
      <c r="AN192" s="224"/>
      <c r="AO192" s="224"/>
    </row>
    <row r="193" spans="1:41" s="184" customFormat="1" ht="138" x14ac:dyDescent="0.25">
      <c r="A193" s="1619"/>
      <c r="B193" s="1657"/>
      <c r="C193" s="1657"/>
      <c r="D193" s="1699"/>
      <c r="E193" s="80" t="s">
        <v>306</v>
      </c>
      <c r="F193" s="1604"/>
      <c r="G193" s="382"/>
      <c r="H193" s="1700"/>
      <c r="I193" s="1702"/>
      <c r="J193" s="1641"/>
      <c r="K193" s="1644"/>
      <c r="L193" s="1633"/>
      <c r="M193" s="1647"/>
      <c r="N193" s="1633">
        <f>IF(NOT(ISERROR(MATCH(M193,_xlfn.ANCHORARRAY(F204),0))),L206&amp;"Por favor no seleccionar los criterios de impacto",M193)</f>
        <v>0</v>
      </c>
      <c r="O193" s="1644"/>
      <c r="P193" s="1633"/>
      <c r="Q193" s="1636"/>
      <c r="R193" s="48">
        <v>3</v>
      </c>
      <c r="S193" s="60" t="s">
        <v>307</v>
      </c>
      <c r="T193" s="50" t="str">
        <f t="shared" ref="T193:T196" si="109">IF(OR(U193="Preventivo",U193="Detectivo"),"Probabilidad",IF(U193="Correctivo","Impacto",""))</f>
        <v>Impacto</v>
      </c>
      <c r="U193" s="61" t="s">
        <v>308</v>
      </c>
      <c r="V193" s="61" t="s">
        <v>201</v>
      </c>
      <c r="W193" s="62" t="str">
        <f t="shared" ref="W193:W196" si="110">IF(AND(U193="Preventivo",V193="Automático"),"50%",IF(AND(U193="Preventivo",V193="Manual"),"40%",IF(AND(U193="Detectivo",V193="Automático"),"40%",IF(AND(U193="Detectivo",V193="Manual"),"30%",IF(AND(U193="Correctivo",V193="Automático"),"35%",IF(AND(U193="Correctivo",V193="Manual"),"25%",""))))))</f>
        <v>25%</v>
      </c>
      <c r="X193" s="61" t="s">
        <v>202</v>
      </c>
      <c r="Y193" s="61" t="s">
        <v>203</v>
      </c>
      <c r="Z193" s="61" t="s">
        <v>204</v>
      </c>
      <c r="AA193" s="63" t="str">
        <f>IFERROR(IF(AND(#REF!="Probabilidad",T193="Probabilidad"),(#REF!-(+#REF!*W193)),IF(AND(#REF!="Impacto",T193="Probabilidad"),(AC192-(+AC192*W193)),IF(T193="Impacto",#REF!,""))),"")</f>
        <v/>
      </c>
      <c r="AB193" s="64" t="str">
        <f t="shared" ref="AB193:AB196" si="111">IFERROR(IF(AA193="","",IF(AA193&lt;=0.2,"Muy Baja",IF(AA193&lt;=0.4,"Baja",IF(AA193&lt;=0.6,"Media",IF(AA193&lt;=0.8,"Alta","Muy Alta"))))),"")</f>
        <v/>
      </c>
      <c r="AC193" s="65" t="str">
        <f t="shared" ref="AC193:AC196" si="112">+AA193</f>
        <v/>
      </c>
      <c r="AD193" s="64" t="str">
        <f t="shared" ref="AD193:AD196" si="113">IFERROR(IF(AE193="","",IF(AE193&lt;=0.2,"Leve",IF(AE193&lt;=0.4,"Menor",IF(AE193&lt;=0.6,"Moderado",IF(AE193&lt;=0.8,"Mayor","Catastrófico"))))),"")</f>
        <v/>
      </c>
      <c r="AE193" s="65" t="str">
        <f>IFERROR(IF(AND(#REF!="Impacto",T193="Impacto"),(#REF!-(+#REF!*W193)),IF(AND(#REF!="Probabilidad",T193="Impacto"),(AE192-(+AE192*W193)),IF(T193="Probabilidad",#REF!,""))),"")</f>
        <v/>
      </c>
      <c r="AF193" s="66" t="str">
        <f t="shared" ref="AF193:AF196" si="114">IFERROR(IF(OR(AND(AB193="Muy Baja",AD193="Leve"),AND(AB193="Muy Baja",AD193="Menor"),AND(AB193="Baja",AD193="Leve")),"Bajo",IF(OR(AND(AB193="Muy baja",AD193="Moderado"),AND(AB193="Baja",AD193="Menor"),AND(AB193="Baja",AD193="Moderado"),AND(AB193="Media",AD193="Leve"),AND(AB193="Media",AD193="Menor"),AND(AB193="Media",AD193="Moderado"),AND(AB193="Alta",AD193="Leve"),AND(AB193="Alta",AD193="Menor")),"Moderado",IF(OR(AND(AB193="Muy Baja",AD193="Mayor"),AND(AB193="Baja",AD193="Mayor"),AND(AB193="Media",AD193="Mayor"),AND(AB193="Alta",AD193="Moderado"),AND(AB193="Alta",AD193="Mayor"),AND(AB193="Muy Alta",AD193="Leve"),AND(AB193="Muy Alta",AD193="Menor"),AND(AB193="Muy Alta",AD193="Moderado"),AND(AB193="Muy Alta",AD193="Mayor")),"Alto",IF(OR(AND(AB193="Muy Baja",AD193="Catastrófico"),AND(AB193="Baja",AD193="Catastrófico"),AND(AB193="Media",AD193="Catastrófico"),AND(AB193="Alta",AD193="Catastrófico"),AND(AB193="Muy Alta",AD193="Catastrófico")),"Extremo","")))),"")</f>
        <v/>
      </c>
      <c r="AG193" s="81" t="s">
        <v>205</v>
      </c>
      <c r="AH193" s="97" t="s">
        <v>309</v>
      </c>
      <c r="AI193" s="78" t="s">
        <v>293</v>
      </c>
      <c r="AJ193" s="100" t="s">
        <v>154</v>
      </c>
      <c r="AK193" s="147">
        <v>45476</v>
      </c>
      <c r="AL193" s="155" t="s">
        <v>712</v>
      </c>
      <c r="AM193" s="78" t="s">
        <v>206</v>
      </c>
      <c r="AN193" s="37"/>
      <c r="AO193" s="37"/>
    </row>
    <row r="194" spans="1:41" s="184" customFormat="1" ht="138" x14ac:dyDescent="0.25">
      <c r="A194" s="1619"/>
      <c r="B194" s="1657"/>
      <c r="C194" s="1657"/>
      <c r="D194" s="1699"/>
      <c r="E194" s="80" t="s">
        <v>310</v>
      </c>
      <c r="F194" s="1604"/>
      <c r="G194" s="382"/>
      <c r="H194" s="1700"/>
      <c r="I194" s="1702"/>
      <c r="J194" s="1641"/>
      <c r="K194" s="1644"/>
      <c r="L194" s="1633"/>
      <c r="M194" s="1647"/>
      <c r="N194" s="1633">
        <f>IF(NOT(ISERROR(MATCH(M194,_xlfn.ANCHORARRAY(F205),0))),L207&amp;"Por favor no seleccionar los criterios de impacto",M194)</f>
        <v>0</v>
      </c>
      <c r="O194" s="1644"/>
      <c r="P194" s="1633"/>
      <c r="Q194" s="1636"/>
      <c r="R194" s="48">
        <v>4</v>
      </c>
      <c r="S194" s="156" t="s">
        <v>311</v>
      </c>
      <c r="T194" s="50" t="str">
        <f t="shared" si="109"/>
        <v>Impacto</v>
      </c>
      <c r="U194" s="61" t="s">
        <v>308</v>
      </c>
      <c r="V194" s="61" t="s">
        <v>201</v>
      </c>
      <c r="W194" s="62" t="str">
        <f t="shared" si="110"/>
        <v>25%</v>
      </c>
      <c r="X194" s="61" t="s">
        <v>202</v>
      </c>
      <c r="Y194" s="61" t="s">
        <v>203</v>
      </c>
      <c r="Z194" s="61" t="s">
        <v>204</v>
      </c>
      <c r="AA194" s="63" t="str">
        <f>IFERROR(IF(AND(T193="Probabilidad",T194="Probabilidad"),(AC193-(+AC193*W194)),IF(AND(T193="Impacto",T194="Probabilidad"),(#REF!-(+#REF!*W194)),IF(T194="Impacto",AC193,""))),"")</f>
        <v/>
      </c>
      <c r="AB194" s="64" t="str">
        <f t="shared" si="111"/>
        <v/>
      </c>
      <c r="AC194" s="65" t="str">
        <f t="shared" si="112"/>
        <v/>
      </c>
      <c r="AD194" s="64" t="str">
        <f t="shared" si="113"/>
        <v/>
      </c>
      <c r="AE194" s="65" t="str">
        <f>IFERROR(IF(AND(T193="Impacto",T194="Impacto"),(AE193-(+AE193*W194)),IF(AND(T193="Probabilidad",T194="Impacto"),(#REF!-(+#REF!*W194)),IF(T194="Probabilidad",AE193,""))),"")</f>
        <v/>
      </c>
      <c r="AF194" s="66" t="str">
        <f t="shared" si="114"/>
        <v/>
      </c>
      <c r="AG194" s="81" t="s">
        <v>312</v>
      </c>
      <c r="AH194" s="97" t="s">
        <v>313</v>
      </c>
      <c r="AI194" s="78" t="s">
        <v>293</v>
      </c>
      <c r="AJ194" s="100" t="s">
        <v>154</v>
      </c>
      <c r="AK194" s="147">
        <v>45476</v>
      </c>
      <c r="AL194" s="381" t="s">
        <v>713</v>
      </c>
      <c r="AM194" s="78" t="s">
        <v>206</v>
      </c>
      <c r="AN194" s="37"/>
      <c r="AO194" s="37"/>
    </row>
    <row r="195" spans="1:41" s="184" customFormat="1" ht="409.6" x14ac:dyDescent="0.25">
      <c r="A195" s="1619"/>
      <c r="B195" s="1657"/>
      <c r="C195" s="1657"/>
      <c r="D195" s="1699"/>
      <c r="E195" s="80" t="s">
        <v>714</v>
      </c>
      <c r="F195" s="1604"/>
      <c r="G195" s="382"/>
      <c r="H195" s="1700"/>
      <c r="I195" s="1702"/>
      <c r="J195" s="1641"/>
      <c r="K195" s="1644"/>
      <c r="L195" s="1633"/>
      <c r="M195" s="1647"/>
      <c r="N195" s="1633">
        <f>IF(NOT(ISERROR(MATCH(M195,_xlfn.ANCHORARRAY(F206),0))),L208&amp;"Por favor no seleccionar los criterios de impacto",M195)</f>
        <v>0</v>
      </c>
      <c r="O195" s="1644"/>
      <c r="P195" s="1633"/>
      <c r="Q195" s="1636"/>
      <c r="R195" s="48">
        <v>5</v>
      </c>
      <c r="S195" s="156" t="s">
        <v>314</v>
      </c>
      <c r="T195" s="50" t="str">
        <f t="shared" si="109"/>
        <v>Probabilidad</v>
      </c>
      <c r="U195" s="61" t="s">
        <v>200</v>
      </c>
      <c r="V195" s="61" t="s">
        <v>201</v>
      </c>
      <c r="W195" s="62" t="str">
        <f t="shared" si="110"/>
        <v>30%</v>
      </c>
      <c r="X195" s="61" t="s">
        <v>202</v>
      </c>
      <c r="Y195" s="61" t="s">
        <v>203</v>
      </c>
      <c r="Z195" s="61" t="s">
        <v>204</v>
      </c>
      <c r="AA195" s="63" t="str">
        <f t="shared" ref="AA195:AA196" si="115">IFERROR(IF(AND(T194="Probabilidad",T195="Probabilidad"),(AC194-(+AC194*W195)),IF(AND(T194="Impacto",T195="Probabilidad"),(AC193-(+AC193*W195)),IF(T195="Impacto",AC194,""))),"")</f>
        <v/>
      </c>
      <c r="AB195" s="64" t="str">
        <f t="shared" si="111"/>
        <v/>
      </c>
      <c r="AC195" s="65" t="str">
        <f t="shared" si="112"/>
        <v/>
      </c>
      <c r="AD195" s="64" t="str">
        <f t="shared" si="113"/>
        <v/>
      </c>
      <c r="AE195" s="65" t="str">
        <f t="shared" ref="AE195:AE196" si="116">IFERROR(IF(AND(T194="Impacto",T195="Impacto"),(AE194-(+AE194*W195)),IF(AND(T194="Probabilidad",T195="Impacto"),(AE193-(+AE193*W195)),IF(T195="Probabilidad",AE194,""))),"")</f>
        <v/>
      </c>
      <c r="AF195" s="66" t="str">
        <f t="shared" si="114"/>
        <v/>
      </c>
      <c r="AG195" s="81" t="s">
        <v>205</v>
      </c>
      <c r="AH195" s="97" t="s">
        <v>315</v>
      </c>
      <c r="AI195" s="78" t="s">
        <v>293</v>
      </c>
      <c r="AJ195" s="100" t="s">
        <v>154</v>
      </c>
      <c r="AK195" s="147">
        <v>45476</v>
      </c>
      <c r="AL195" s="381" t="s">
        <v>715</v>
      </c>
      <c r="AM195" s="78" t="s">
        <v>206</v>
      </c>
      <c r="AN195" s="37"/>
      <c r="AO195" s="37"/>
    </row>
    <row r="196" spans="1:41" s="184" customFormat="1" ht="15.6" x14ac:dyDescent="0.25">
      <c r="A196" s="1620"/>
      <c r="B196" s="1658"/>
      <c r="C196" s="1658"/>
      <c r="D196" s="1704"/>
      <c r="E196" s="80"/>
      <c r="F196" s="1605"/>
      <c r="G196" s="382"/>
      <c r="H196" s="1700"/>
      <c r="I196" s="1706"/>
      <c r="J196" s="1642"/>
      <c r="K196" s="1645"/>
      <c r="L196" s="1634"/>
      <c r="M196" s="1648"/>
      <c r="N196" s="1634">
        <f>IF(NOT(ISERROR(MATCH(M196,_xlfn.ANCHORARRAY(F207),0))),L209&amp;"Por favor no seleccionar los criterios de impacto",M196)</f>
        <v>0</v>
      </c>
      <c r="O196" s="1645"/>
      <c r="P196" s="1634"/>
      <c r="Q196" s="1637"/>
      <c r="R196" s="48"/>
      <c r="S196" s="60"/>
      <c r="T196" s="50" t="str">
        <f t="shared" si="109"/>
        <v/>
      </c>
      <c r="U196" s="61"/>
      <c r="V196" s="61"/>
      <c r="W196" s="62" t="str">
        <f t="shared" si="110"/>
        <v/>
      </c>
      <c r="X196" s="61"/>
      <c r="Y196" s="61"/>
      <c r="Z196" s="61"/>
      <c r="AA196" s="63" t="str">
        <f t="shared" si="115"/>
        <v/>
      </c>
      <c r="AB196" s="64" t="str">
        <f t="shared" si="111"/>
        <v/>
      </c>
      <c r="AC196" s="65" t="str">
        <f t="shared" si="112"/>
        <v/>
      </c>
      <c r="AD196" s="64" t="str">
        <f t="shared" si="113"/>
        <v/>
      </c>
      <c r="AE196" s="65" t="str">
        <f t="shared" si="116"/>
        <v/>
      </c>
      <c r="AF196" s="66" t="str">
        <f t="shared" si="114"/>
        <v/>
      </c>
      <c r="AG196" s="81"/>
      <c r="AH196" s="97"/>
      <c r="AI196" s="78"/>
      <c r="AJ196" s="100"/>
      <c r="AK196" s="147"/>
      <c r="AL196" s="68"/>
      <c r="AM196" s="78"/>
      <c r="AN196" s="37"/>
      <c r="AO196" s="37"/>
    </row>
    <row r="197" spans="1:41" s="184" customFormat="1" ht="16.5" customHeight="1" x14ac:dyDescent="0.25">
      <c r="A197" s="1880" t="s">
        <v>156</v>
      </c>
      <c r="B197" s="1881"/>
      <c r="C197" s="1881"/>
      <c r="D197" s="1881"/>
      <c r="E197" s="1881"/>
      <c r="F197" s="1881"/>
      <c r="G197" s="1881"/>
      <c r="H197" s="1881"/>
      <c r="I197" s="1881"/>
      <c r="J197" s="1881"/>
      <c r="K197" s="1881"/>
      <c r="L197" s="1881"/>
      <c r="M197" s="1881"/>
      <c r="N197" s="1881"/>
      <c r="O197" s="1881"/>
      <c r="P197" s="1881"/>
      <c r="Q197" s="1881"/>
      <c r="R197" s="1881"/>
      <c r="S197" s="1881"/>
      <c r="T197" s="1881"/>
      <c r="U197" s="1881"/>
      <c r="V197" s="1881"/>
      <c r="W197" s="1881"/>
      <c r="X197" s="1881"/>
      <c r="Y197" s="1881"/>
      <c r="Z197" s="1881"/>
      <c r="AA197" s="1881"/>
      <c r="AB197" s="1881"/>
      <c r="AC197" s="1881"/>
      <c r="AD197" s="1881"/>
      <c r="AE197" s="1881"/>
      <c r="AF197" s="1881"/>
      <c r="AG197" s="1881"/>
      <c r="AH197" s="1881"/>
      <c r="AI197" s="1881"/>
      <c r="AJ197" s="1881"/>
      <c r="AK197" s="1881"/>
      <c r="AL197" s="1881"/>
      <c r="AM197" s="37"/>
      <c r="AN197" s="37"/>
      <c r="AO197" s="37"/>
    </row>
    <row r="198" spans="1:41" s="184" customFormat="1" ht="24" customHeight="1" x14ac:dyDescent="0.25">
      <c r="A198" s="1880"/>
      <c r="B198" s="1881"/>
      <c r="C198" s="1881"/>
      <c r="D198" s="1881"/>
      <c r="E198" s="1881"/>
      <c r="F198" s="1881"/>
      <c r="G198" s="1881"/>
      <c r="H198" s="1881"/>
      <c r="I198" s="1881"/>
      <c r="J198" s="1881"/>
      <c r="K198" s="1881"/>
      <c r="L198" s="1881"/>
      <c r="M198" s="1881"/>
      <c r="N198" s="1881"/>
      <c r="O198" s="1881"/>
      <c r="P198" s="1881"/>
      <c r="Q198" s="1881"/>
      <c r="R198" s="1881"/>
      <c r="S198" s="1881"/>
      <c r="T198" s="1881"/>
      <c r="U198" s="1881"/>
      <c r="V198" s="1881"/>
      <c r="W198" s="1881"/>
      <c r="X198" s="1881"/>
      <c r="Y198" s="1881"/>
      <c r="Z198" s="1881"/>
      <c r="AA198" s="1881"/>
      <c r="AB198" s="1881"/>
      <c r="AC198" s="1881"/>
      <c r="AD198" s="1881"/>
      <c r="AE198" s="1881"/>
      <c r="AF198" s="1881"/>
      <c r="AG198" s="1881"/>
      <c r="AH198" s="1881"/>
      <c r="AI198" s="1881"/>
      <c r="AJ198" s="1881"/>
      <c r="AK198" s="1881"/>
      <c r="AL198" s="1881"/>
      <c r="AM198" s="37"/>
      <c r="AN198" s="37"/>
      <c r="AO198" s="37"/>
    </row>
    <row r="199" spans="1:41" s="184" customFormat="1" x14ac:dyDescent="0.25">
      <c r="A199" s="242"/>
      <c r="B199" s="243"/>
      <c r="C199" s="242"/>
      <c r="D199" s="242"/>
      <c r="E199" s="242"/>
      <c r="F199" s="37"/>
      <c r="G199" s="37"/>
      <c r="H199" s="37"/>
      <c r="I199" s="225"/>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row>
    <row r="200" spans="1:41" s="184" customFormat="1" ht="26.25" customHeight="1" x14ac:dyDescent="0.25">
      <c r="A200" s="1667" t="s">
        <v>157</v>
      </c>
      <c r="B200" s="1668"/>
      <c r="C200" s="1680" t="s">
        <v>379</v>
      </c>
      <c r="D200" s="1680"/>
      <c r="E200" s="1680"/>
      <c r="F200" s="1680"/>
      <c r="G200" s="1680"/>
      <c r="H200" s="1680"/>
      <c r="I200" s="1680"/>
      <c r="J200" s="1680"/>
      <c r="K200" s="1680"/>
      <c r="L200" s="1680"/>
      <c r="M200" s="1680"/>
      <c r="N200" s="1680"/>
      <c r="O200" s="1680"/>
      <c r="P200" s="1680"/>
      <c r="Q200" s="1680"/>
      <c r="R200" s="1680"/>
      <c r="S200" s="1680"/>
      <c r="T200" s="1680"/>
      <c r="U200" s="1680"/>
      <c r="V200" s="1680"/>
      <c r="W200" s="1680"/>
      <c r="X200" s="1680"/>
      <c r="Y200" s="1680"/>
      <c r="Z200" s="1680"/>
      <c r="AA200" s="1680"/>
      <c r="AB200" s="1680"/>
      <c r="AC200" s="1680"/>
      <c r="AD200" s="1680"/>
      <c r="AE200" s="1680"/>
      <c r="AF200" s="1680"/>
      <c r="AG200" s="1680"/>
      <c r="AH200" s="1680"/>
      <c r="AI200" s="1680"/>
      <c r="AJ200" s="1680"/>
      <c r="AK200" s="1680"/>
      <c r="AL200" s="1680"/>
      <c r="AM200" s="37"/>
      <c r="AN200" s="37"/>
      <c r="AO200" s="37"/>
    </row>
    <row r="201" spans="1:41" s="184" customFormat="1" ht="30" customHeight="1" x14ac:dyDescent="0.25">
      <c r="A201" s="1667" t="s">
        <v>158</v>
      </c>
      <c r="B201" s="1668"/>
      <c r="C201" s="1680" t="s">
        <v>380</v>
      </c>
      <c r="D201" s="1680"/>
      <c r="E201" s="1680"/>
      <c r="F201" s="1680"/>
      <c r="G201" s="1680"/>
      <c r="H201" s="1680"/>
      <c r="I201" s="1680"/>
      <c r="J201" s="1680"/>
      <c r="K201" s="1680"/>
      <c r="L201" s="1680"/>
      <c r="M201" s="1680"/>
      <c r="N201" s="1680"/>
      <c r="O201" s="1680"/>
      <c r="P201" s="1680"/>
      <c r="Q201" s="1680"/>
      <c r="R201" s="1680"/>
      <c r="S201" s="1680"/>
      <c r="T201" s="1680"/>
      <c r="U201" s="1680"/>
      <c r="V201" s="1680"/>
      <c r="W201" s="1680"/>
      <c r="X201" s="1680"/>
      <c r="Y201" s="1680"/>
      <c r="Z201" s="1680"/>
      <c r="AA201" s="1680"/>
      <c r="AB201" s="1680"/>
      <c r="AC201" s="1680"/>
      <c r="AD201" s="1680"/>
      <c r="AE201" s="1680"/>
      <c r="AF201" s="1680"/>
      <c r="AG201" s="1680"/>
      <c r="AH201" s="1680"/>
      <c r="AI201" s="1680"/>
      <c r="AJ201" s="1680"/>
      <c r="AK201" s="1680"/>
      <c r="AL201" s="1680"/>
      <c r="AM201" s="37"/>
      <c r="AN201" s="37"/>
      <c r="AO201" s="37"/>
    </row>
    <row r="202" spans="1:41" s="184" customFormat="1" ht="49.5" customHeight="1" x14ac:dyDescent="0.25">
      <c r="A202" s="1667" t="s">
        <v>159</v>
      </c>
      <c r="B202" s="1668"/>
      <c r="C202" s="1680" t="s">
        <v>381</v>
      </c>
      <c r="D202" s="1680"/>
      <c r="E202" s="1680"/>
      <c r="F202" s="1680"/>
      <c r="G202" s="1680"/>
      <c r="H202" s="1680"/>
      <c r="I202" s="1680"/>
      <c r="J202" s="1680"/>
      <c r="K202" s="1680"/>
      <c r="L202" s="1680"/>
      <c r="M202" s="1680"/>
      <c r="N202" s="1680"/>
      <c r="O202" s="1680"/>
      <c r="P202" s="1680"/>
      <c r="Q202" s="1680"/>
      <c r="R202" s="1680"/>
      <c r="S202" s="1680"/>
      <c r="T202" s="1680"/>
      <c r="U202" s="1680"/>
      <c r="V202" s="1680"/>
      <c r="W202" s="1680"/>
      <c r="X202" s="1680"/>
      <c r="Y202" s="1680"/>
      <c r="Z202" s="1680"/>
      <c r="AA202" s="1680"/>
      <c r="AB202" s="1680"/>
      <c r="AC202" s="1680"/>
      <c r="AD202" s="1680"/>
      <c r="AE202" s="1680"/>
      <c r="AF202" s="1680"/>
      <c r="AG202" s="1680"/>
      <c r="AH202" s="1680"/>
      <c r="AI202" s="1680"/>
      <c r="AJ202" s="1680"/>
      <c r="AK202" s="1680"/>
      <c r="AL202" s="1680"/>
      <c r="AM202" s="37"/>
      <c r="AN202" s="37"/>
      <c r="AO202" s="37"/>
    </row>
    <row r="203" spans="1:41" s="184" customFormat="1" x14ac:dyDescent="0.25">
      <c r="A203" s="194" t="s">
        <v>160</v>
      </c>
      <c r="B203" s="195"/>
      <c r="C203" s="196"/>
      <c r="D203" s="196"/>
      <c r="E203" s="196"/>
      <c r="F203" s="196"/>
      <c r="G203" s="196"/>
      <c r="H203" s="196"/>
      <c r="I203" s="196"/>
      <c r="J203" s="197"/>
      <c r="K203" s="198" t="s">
        <v>161</v>
      </c>
      <c r="L203" s="196"/>
      <c r="M203" s="196"/>
      <c r="N203" s="196"/>
      <c r="O203" s="196"/>
      <c r="P203" s="196"/>
      <c r="Q203" s="197"/>
      <c r="R203" s="198" t="s">
        <v>162</v>
      </c>
      <c r="S203" s="196"/>
      <c r="T203" s="196"/>
      <c r="U203" s="196"/>
      <c r="V203" s="196"/>
      <c r="W203" s="196"/>
      <c r="X203" s="196"/>
      <c r="Y203" s="196"/>
      <c r="Z203" s="197"/>
      <c r="AA203" s="198" t="s">
        <v>163</v>
      </c>
      <c r="AB203" s="196"/>
      <c r="AC203" s="196"/>
      <c r="AD203" s="196"/>
      <c r="AE203" s="196"/>
      <c r="AF203" s="196"/>
      <c r="AG203" s="197"/>
      <c r="AH203" s="198" t="s">
        <v>164</v>
      </c>
      <c r="AI203" s="196"/>
      <c r="AJ203" s="196"/>
      <c r="AK203" s="196"/>
      <c r="AL203" s="196"/>
      <c r="AM203" s="37"/>
      <c r="AN203" s="37"/>
      <c r="AO203" s="37"/>
    </row>
    <row r="204" spans="1:41" s="184" customFormat="1" ht="16.5" customHeight="1" x14ac:dyDescent="0.25">
      <c r="A204" s="1649" t="s">
        <v>165</v>
      </c>
      <c r="B204" s="1651" t="s">
        <v>142</v>
      </c>
      <c r="C204" s="1626" t="s">
        <v>166</v>
      </c>
      <c r="D204" s="1626" t="s">
        <v>167</v>
      </c>
      <c r="E204" s="1631" t="s">
        <v>168</v>
      </c>
      <c r="F204" s="1652" t="s">
        <v>60</v>
      </c>
      <c r="G204" s="56"/>
      <c r="H204" s="56"/>
      <c r="I204" s="1631" t="s">
        <v>169</v>
      </c>
      <c r="J204" s="1626" t="s">
        <v>170</v>
      </c>
      <c r="K204" s="1628" t="s">
        <v>171</v>
      </c>
      <c r="L204" s="1629" t="s">
        <v>172</v>
      </c>
      <c r="M204" s="1631" t="s">
        <v>173</v>
      </c>
      <c r="N204" s="1631" t="s">
        <v>174</v>
      </c>
      <c r="O204" s="1666" t="s">
        <v>175</v>
      </c>
      <c r="P204" s="1629" t="s">
        <v>172</v>
      </c>
      <c r="Q204" s="1626" t="s">
        <v>176</v>
      </c>
      <c r="R204" s="1664" t="s">
        <v>177</v>
      </c>
      <c r="S204" s="1627" t="s">
        <v>178</v>
      </c>
      <c r="T204" s="1631" t="s">
        <v>179</v>
      </c>
      <c r="U204" s="1627" t="s">
        <v>180</v>
      </c>
      <c r="V204" s="1627"/>
      <c r="W204" s="1627"/>
      <c r="X204" s="1627"/>
      <c r="Y204" s="1627"/>
      <c r="Z204" s="1627"/>
      <c r="AA204" s="1663" t="s">
        <v>181</v>
      </c>
      <c r="AB204" s="1663" t="s">
        <v>182</v>
      </c>
      <c r="AC204" s="1663" t="s">
        <v>172</v>
      </c>
      <c r="AD204" s="1663" t="s">
        <v>183</v>
      </c>
      <c r="AE204" s="1663" t="s">
        <v>172</v>
      </c>
      <c r="AF204" s="1663" t="s">
        <v>184</v>
      </c>
      <c r="AG204" s="1664" t="s">
        <v>185</v>
      </c>
      <c r="AH204" s="1627" t="s">
        <v>164</v>
      </c>
      <c r="AI204" s="1627" t="s">
        <v>143</v>
      </c>
      <c r="AJ204" s="1627" t="s">
        <v>186</v>
      </c>
      <c r="AK204" s="1627" t="s">
        <v>187</v>
      </c>
      <c r="AL204" s="1631" t="s">
        <v>189</v>
      </c>
      <c r="AM204" s="37"/>
      <c r="AN204" s="37"/>
      <c r="AO204" s="37"/>
    </row>
    <row r="205" spans="1:41" s="222" customFormat="1" ht="94.5" customHeight="1" x14ac:dyDescent="0.3">
      <c r="A205" s="1650"/>
      <c r="B205" s="1651"/>
      <c r="C205" s="1627"/>
      <c r="D205" s="1627"/>
      <c r="E205" s="1628"/>
      <c r="F205" s="1653"/>
      <c r="G205" s="56" t="s">
        <v>610</v>
      </c>
      <c r="H205" s="56" t="s">
        <v>190</v>
      </c>
      <c r="I205" s="1626"/>
      <c r="J205" s="1627"/>
      <c r="K205" s="1626"/>
      <c r="L205" s="1630"/>
      <c r="M205" s="1626"/>
      <c r="N205" s="1626"/>
      <c r="O205" s="1630"/>
      <c r="P205" s="1630"/>
      <c r="Q205" s="1627"/>
      <c r="R205" s="1665"/>
      <c r="S205" s="1627"/>
      <c r="T205" s="1626"/>
      <c r="U205" s="42" t="s">
        <v>191</v>
      </c>
      <c r="V205" s="42" t="s">
        <v>192</v>
      </c>
      <c r="W205" s="42" t="s">
        <v>193</v>
      </c>
      <c r="X205" s="42" t="s">
        <v>194</v>
      </c>
      <c r="Y205" s="42" t="s">
        <v>195</v>
      </c>
      <c r="Z205" s="42" t="s">
        <v>196</v>
      </c>
      <c r="AA205" s="1663"/>
      <c r="AB205" s="1663"/>
      <c r="AC205" s="1663"/>
      <c r="AD205" s="1663"/>
      <c r="AE205" s="1663"/>
      <c r="AF205" s="1663"/>
      <c r="AG205" s="1665"/>
      <c r="AH205" s="1627"/>
      <c r="AI205" s="1627"/>
      <c r="AJ205" s="1627"/>
      <c r="AK205" s="1627"/>
      <c r="AL205" s="1882"/>
      <c r="AM205" s="383" t="s">
        <v>716</v>
      </c>
      <c r="AN205" s="383" t="s">
        <v>717</v>
      </c>
      <c r="AO205" s="383" t="s">
        <v>718</v>
      </c>
    </row>
    <row r="206" spans="1:41" s="231" customFormat="1" ht="279.75" customHeight="1" x14ac:dyDescent="0.3">
      <c r="A206" s="1618">
        <v>1</v>
      </c>
      <c r="B206" s="1656" t="s">
        <v>209</v>
      </c>
      <c r="C206" s="1656" t="s">
        <v>382</v>
      </c>
      <c r="D206" s="1698" t="s">
        <v>719</v>
      </c>
      <c r="E206" s="150" t="s">
        <v>720</v>
      </c>
      <c r="F206" s="1700" t="s">
        <v>721</v>
      </c>
      <c r="G206" s="92" t="s">
        <v>512</v>
      </c>
      <c r="H206" s="1700" t="s">
        <v>722</v>
      </c>
      <c r="I206" s="1701" t="s">
        <v>198</v>
      </c>
      <c r="J206" s="1640">
        <v>7162</v>
      </c>
      <c r="K206" s="1643" t="str">
        <f>IF(J206&lt;=0,"",IF(J206&lt;=2,"Muy Baja",IF(J206&lt;=24,"Baja",IF(J206&lt;=500,"Media",IF(J206&lt;=5000,"Alta","Muy Alta")))))</f>
        <v>Muy Alta</v>
      </c>
      <c r="L206" s="1632">
        <f>IF(K206="","",IF(K206="Muy Baja",0.2,IF(K206="Baja",0.4,IF(K206="Media",0.6,IF(K206="Alta",0.8,IF(K206="Muy Alta",1,))))))</f>
        <v>1</v>
      </c>
      <c r="M206" s="1646" t="s">
        <v>199</v>
      </c>
      <c r="N206" s="1632" t="str">
        <f>IF(NOT(ISERROR(MATCH(M206,'[12]Tabla Impacto'!$B$221:$B$223,0))),'[12]Tabla Impacto'!$F$223&amp;"Por favor no seleccionar los criterios de impacto(Afectación Económica o presupuestal y Pérdida Reputacional)",M206)</f>
        <v xml:space="preserve">     El riesgo afecta la imagen de de la entidad con efecto publicitario sostenido a nivel de sector administrativo, nivel departamental o municipal</v>
      </c>
      <c r="O206" s="1643" t="str">
        <f>IF(OR(N206='[12]Tabla Impacto'!$C$11,N206='[12]Tabla Impacto'!$D$11),"Leve",IF(OR(N206='[12]Tabla Impacto'!$C$12,N206='[12]Tabla Impacto'!$D$12),"Menor",IF(OR(N206='[12]Tabla Impacto'!$C$13,N206='[12]Tabla Impacto'!$D$13),"Moderado",IF(OR(N206='[12]Tabla Impacto'!$C$14,N206='[12]Tabla Impacto'!$D$14),"Mayor",IF(OR(N206='[12]Tabla Impacto'!$C$15,N206='[12]Tabla Impacto'!$D$15),"Catastrófico","")))))</f>
        <v>Mayor</v>
      </c>
      <c r="P206" s="1632">
        <f>IF(O206="","",IF(O206="Leve",0.2,IF(O206="Menor",0.4,IF(O206="Moderado",0.6,IF(O206="Mayor",0.8,IF(O206="Catastrófico",1,))))))</f>
        <v>0.8</v>
      </c>
      <c r="Q206" s="1635" t="str">
        <f>IF(OR(AND(K206="Muy Baja",O206="Leve"),AND(K206="Muy Baja",O206="Menor"),AND(K206="Baja",O206="Leve")),"Bajo",IF(OR(AND(K206="Muy baja",O206="Moderado"),AND(K206="Baja",O206="Menor"),AND(K206="Baja",O206="Moderado"),AND(K206="Media",O206="Leve"),AND(K206="Media",O206="Menor"),AND(K206="Media",O206="Moderado"),AND(K206="Alta",O206="Leve"),AND(K206="Alta",O206="Menor")),"Moderado",IF(OR(AND(K206="Muy Baja",O206="Mayor"),AND(K206="Baja",O206="Mayor"),AND(K206="Media",O206="Mayor"),AND(K206="Alta",O206="Moderado"),AND(K206="Alta",O206="Mayor"),AND(K206="Muy Alta",O206="Leve"),AND(K206="Muy Alta",O206="Menor"),AND(K206="Muy Alta",O206="Moderado"),AND(K206="Muy Alta",O206="Mayor")),"Alto",IF(OR(AND(K206="Muy Baja",O206="Catastrófico"),AND(K206="Baja",O206="Catastrófico"),AND(K206="Media",O206="Catastrófico"),AND(K206="Alta",O206="Catastrófico"),AND(K206="Muy Alta",O206="Catastrófico")),"Extremo",""))))</f>
        <v>Alto</v>
      </c>
      <c r="R206" s="48">
        <v>1</v>
      </c>
      <c r="S206" s="67" t="s">
        <v>723</v>
      </c>
      <c r="T206" s="50" t="str">
        <f>IF(OR(U206="Preventivo",U206="Detectivo"),"Probabilidad",IF(U206="Correctivo","Impacto",""))</f>
        <v>Impacto</v>
      </c>
      <c r="U206" s="61" t="s">
        <v>308</v>
      </c>
      <c r="V206" s="61" t="s">
        <v>201</v>
      </c>
      <c r="W206" s="62" t="str">
        <f>IF(AND(U206="Preventivo",V206="Automático"),"50%",IF(AND(U206="Preventivo",V206="Manual"),"40%",IF(AND(U206="Detectivo",V206="Automático"),"40%",IF(AND(U206="Detectivo",V206="Manual"),"30%",IF(AND(U206="Correctivo",V206="Automático"),"35%",IF(AND(U206="Correctivo",V206="Manual"),"25%",""))))))</f>
        <v>25%</v>
      </c>
      <c r="X206" s="61" t="s">
        <v>208</v>
      </c>
      <c r="Y206" s="61" t="s">
        <v>203</v>
      </c>
      <c r="Z206" s="61" t="s">
        <v>204</v>
      </c>
      <c r="AA206" s="63">
        <f>IFERROR(IF(T206="Probabilidad",(L206-(+L206*W206)),IF(T206="Impacto",L206,"")),"")</f>
        <v>1</v>
      </c>
      <c r="AB206" s="64" t="str">
        <f>IFERROR(IF(AA206="","",IF(AA206&lt;=0.2,"Muy Baja",IF(AA206&lt;=0.4,"Baja",IF(AA206&lt;=0.6,"Media",IF(AA206&lt;=0.8,"Alta","Muy Alta"))))),"")</f>
        <v>Muy Alta</v>
      </c>
      <c r="AC206" s="65">
        <f>+AA206</f>
        <v>1</v>
      </c>
      <c r="AD206" s="64" t="str">
        <f>IFERROR(IF(AE206="","",IF(AE206&lt;=0.2,"Leve",IF(AE206&lt;=0.4,"Menor",IF(AE206&lt;=0.6,"Moderado",IF(AE206&lt;=0.8,"Mayor","Catastrófico"))))),"")</f>
        <v>Moderado</v>
      </c>
      <c r="AE206" s="65">
        <f>IFERROR(IF(T206="Impacto",(P206-(+P206*W206)),IF(T206="Probabilidad",P206,"")),"")</f>
        <v>0.60000000000000009</v>
      </c>
      <c r="AF206" s="66" t="str">
        <f>IFERROR(IF(OR(AND(AB206="Muy Baja",AD206="Leve"),AND(AB206="Muy Baja",AD206="Menor"),AND(AB206="Baja",AD206="Leve")),"Bajo",IF(OR(AND(AB206="Muy baja",AD206="Moderado"),AND(AB206="Baja",AD206="Menor"),AND(AB206="Baja",AD206="Moderado"),AND(AB206="Media",AD206="Leve"),AND(AB206="Media",AD206="Menor"),AND(AB206="Media",AD206="Moderado"),AND(AB206="Alta",AD206="Leve"),AND(AB206="Alta",AD206="Menor")),"Moderado",IF(OR(AND(AB206="Muy Baja",AD206="Mayor"),AND(AB206="Baja",AD206="Mayor"),AND(AB206="Media",AD206="Mayor"),AND(AB206="Alta",AD206="Moderado"),AND(AB206="Alta",AD206="Mayor"),AND(AB206="Muy Alta",AD206="Leve"),AND(AB206="Muy Alta",AD206="Menor"),AND(AB206="Muy Alta",AD206="Moderado"),AND(AB206="Muy Alta",AD206="Mayor")),"Alto",IF(OR(AND(AB206="Muy Baja",AD206="Catastrófico"),AND(AB206="Baja",AD206="Catastrófico"),AND(AB206="Media",AD206="Catastrófico"),AND(AB206="Alta",AD206="Catastrófico"),AND(AB206="Muy Alta",AD206="Catastrófico")),"Extremo","")))),"")</f>
        <v>Alto</v>
      </c>
      <c r="AG206" s="81" t="s">
        <v>205</v>
      </c>
      <c r="AH206" s="384" t="s">
        <v>724</v>
      </c>
      <c r="AI206" s="199" t="s">
        <v>383</v>
      </c>
      <c r="AJ206" s="200">
        <v>45292</v>
      </c>
      <c r="AK206" s="200">
        <v>45657</v>
      </c>
      <c r="AL206" s="201" t="s">
        <v>206</v>
      </c>
      <c r="AM206" s="385" t="s">
        <v>725</v>
      </c>
      <c r="AN206" s="386" t="s">
        <v>726</v>
      </c>
      <c r="AO206" s="386" t="s">
        <v>727</v>
      </c>
    </row>
    <row r="207" spans="1:41" s="231" customFormat="1" ht="279.75" customHeight="1" x14ac:dyDescent="0.3">
      <c r="A207" s="1619"/>
      <c r="B207" s="1657"/>
      <c r="C207" s="1657"/>
      <c r="D207" s="1699"/>
      <c r="E207" s="1833" t="s">
        <v>384</v>
      </c>
      <c r="F207" s="1700"/>
      <c r="G207" s="154"/>
      <c r="H207" s="1700"/>
      <c r="I207" s="1702"/>
      <c r="J207" s="1641"/>
      <c r="K207" s="1644"/>
      <c r="L207" s="1633"/>
      <c r="M207" s="1647"/>
      <c r="N207" s="1633"/>
      <c r="O207" s="1644"/>
      <c r="P207" s="1633"/>
      <c r="Q207" s="1636"/>
      <c r="R207" s="1851">
        <v>2</v>
      </c>
      <c r="S207" s="1656" t="s">
        <v>728</v>
      </c>
      <c r="T207" s="1878" t="str">
        <f>IF(OR(U207="Preventivo",U207="Detectivo"),"Probabilidad",IF(U207="Correctivo","Impacto",""))</f>
        <v>Impacto</v>
      </c>
      <c r="U207" s="1866" t="s">
        <v>308</v>
      </c>
      <c r="V207" s="1866" t="s">
        <v>201</v>
      </c>
      <c r="W207" s="1862" t="str">
        <f>IF(AND(U207="Preventivo",V207="Automático"),"50%",IF(AND(U207="Preventivo",V207="Manual"),"40%",IF(AND(U207="Detectivo",V207="Automático"),"40%",IF(AND(U207="Detectivo",V207="Manual"),"30%",IF(AND(U207="Correctivo",V207="Automático"),"35%",IF(AND(U207="Correctivo",V207="Manual"),"25%",""))))))</f>
        <v>25%</v>
      </c>
      <c r="X207" s="1866" t="s">
        <v>208</v>
      </c>
      <c r="Y207" s="1866" t="s">
        <v>203</v>
      </c>
      <c r="Z207" s="1866" t="s">
        <v>204</v>
      </c>
      <c r="AA207" s="1874">
        <f>IFERROR(IF(AND(T206="Probabilidad",T207="Probabilidad"),(AC206-(+AC206*W207)),IF(AND(T206="Impacto",T207="Probabilidad"),(AC205-(+AC205*W207)),IF(T207="Impacto",AC206,""))),"")</f>
        <v>1</v>
      </c>
      <c r="AB207" s="1876" t="str">
        <f>IFERROR(IF(AA207="","",IF(AA207&lt;=0.2,"Muy Baja",IF(AA207&lt;=0.4,"Baja",IF(AA207&lt;=0.6,"Media",IF(AA207&lt;=0.8,"Alta","Muy Alta"))))),"")</f>
        <v>Muy Alta</v>
      </c>
      <c r="AC207" s="1862">
        <f>+AA207</f>
        <v>1</v>
      </c>
      <c r="AD207" s="1876" t="str">
        <f>IFERROR(IF(AE207="","",IF(AE207&lt;=0.2,"Leve",IF(AE207&lt;=0.4,"Menor",IF(AE207&lt;=0.6,"Moderado",IF(AE207&lt;=0.8,"Mayor","Catastrófico"))))),"")</f>
        <v>Moderado</v>
      </c>
      <c r="AE207" s="1862">
        <f>IFERROR(IF(AND(T206="Impacto",T207="Impacto"),(AE206-(+AE206*W207)),IF(AND(T206="Probabilidad",T207="Impacto"),(AE205-(+AE205*W207)),IF(T207="Probabilidad",AE206,""))),"")</f>
        <v>0.45000000000000007</v>
      </c>
      <c r="AF207" s="1864" t="str">
        <f>IFERROR(IF(OR(AND(AB207="Muy Baja",AD207="Leve"),AND(AB207="Muy Baja",AD207="Menor"),AND(AB207="Baja",AD207="Leve")),"Bajo",IF(OR(AND(AB207="Muy baja",AD207="Moderado"),AND(AB207="Baja",AD207="Menor"),AND(AB207="Baja",AD207="Moderado"),AND(AB207="Media",AD207="Leve"),AND(AB207="Media",AD207="Menor"),AND(AB207="Media",AD207="Moderado"),AND(AB207="Alta",AD207="Leve"),AND(AB207="Alta",AD207="Menor")),"Moderado",IF(OR(AND(AB207="Muy Baja",AD207="Mayor"),AND(AB207="Baja",AD207="Mayor"),AND(AB207="Media",AD207="Mayor"),AND(AB207="Alta",AD207="Moderado"),AND(AB207="Alta",AD207="Mayor"),AND(AB207="Muy Alta",AD207="Leve"),AND(AB207="Muy Alta",AD207="Menor"),AND(AB207="Muy Alta",AD207="Moderado"),AND(AB207="Muy Alta",AD207="Mayor")),"Alto",IF(OR(AND(AB207="Muy Baja",AD207="Catastrófico"),AND(AB207="Baja",AD207="Catastrófico"),AND(AB207="Media",AD207="Catastrófico"),AND(AB207="Alta",AD207="Catastrófico"),AND(AB207="Muy Alta",AD207="Catastrófico")),"Extremo","")))),"")</f>
        <v>Alto</v>
      </c>
      <c r="AG207" s="1866" t="s">
        <v>205</v>
      </c>
      <c r="AH207" s="387" t="s">
        <v>385</v>
      </c>
      <c r="AI207" s="180" t="s">
        <v>383</v>
      </c>
      <c r="AJ207" s="202">
        <v>45292</v>
      </c>
      <c r="AK207" s="202">
        <v>45657</v>
      </c>
      <c r="AL207" s="203" t="s">
        <v>206</v>
      </c>
      <c r="AM207" s="386" t="s">
        <v>729</v>
      </c>
      <c r="AN207" s="386" t="s">
        <v>730</v>
      </c>
      <c r="AO207" s="386" t="s">
        <v>731</v>
      </c>
    </row>
    <row r="208" spans="1:41" s="184" customFormat="1" ht="378" customHeight="1" x14ac:dyDescent="0.25">
      <c r="A208" s="1619"/>
      <c r="B208" s="1657"/>
      <c r="C208" s="1657"/>
      <c r="D208" s="1699"/>
      <c r="E208" s="1835"/>
      <c r="F208" s="1700"/>
      <c r="G208" s="154"/>
      <c r="H208" s="1700"/>
      <c r="I208" s="1702"/>
      <c r="J208" s="1641"/>
      <c r="K208" s="1644"/>
      <c r="L208" s="1633"/>
      <c r="M208" s="1647"/>
      <c r="N208" s="1633">
        <f>IF(NOT(ISERROR(MATCH(M208,_xlfn.ANCHORARRAY(F217),0))),L219&amp;"Por favor no seleccionar los criterios de impacto",M208)</f>
        <v>0</v>
      </c>
      <c r="O208" s="1644"/>
      <c r="P208" s="1633"/>
      <c r="Q208" s="1636"/>
      <c r="R208" s="1852"/>
      <c r="S208" s="1658"/>
      <c r="T208" s="1879"/>
      <c r="U208" s="1867"/>
      <c r="V208" s="1867"/>
      <c r="W208" s="1863"/>
      <c r="X208" s="1867"/>
      <c r="Y208" s="1867"/>
      <c r="Z208" s="1867"/>
      <c r="AA208" s="1875"/>
      <c r="AB208" s="1877"/>
      <c r="AC208" s="1863"/>
      <c r="AD208" s="1877"/>
      <c r="AE208" s="1863"/>
      <c r="AF208" s="1865"/>
      <c r="AG208" s="1867"/>
      <c r="AH208" s="1868" t="s">
        <v>732</v>
      </c>
      <c r="AI208" s="1870" t="s">
        <v>383</v>
      </c>
      <c r="AJ208" s="1872">
        <v>45292</v>
      </c>
      <c r="AK208" s="1853">
        <v>45657</v>
      </c>
      <c r="AL208" s="1855" t="s">
        <v>206</v>
      </c>
      <c r="AM208" s="1857" t="s">
        <v>733</v>
      </c>
      <c r="AN208" s="1857" t="s">
        <v>734</v>
      </c>
      <c r="AO208" s="1860" t="s">
        <v>735</v>
      </c>
    </row>
    <row r="209" spans="1:41" s="184" customFormat="1" ht="409.5" customHeight="1" x14ac:dyDescent="0.25">
      <c r="A209" s="1619"/>
      <c r="B209" s="1657"/>
      <c r="C209" s="1657"/>
      <c r="D209" s="1699"/>
      <c r="E209" s="204" t="s">
        <v>386</v>
      </c>
      <c r="F209" s="1700"/>
      <c r="G209" s="154"/>
      <c r="H209" s="1700"/>
      <c r="I209" s="1702"/>
      <c r="J209" s="1641"/>
      <c r="K209" s="1644"/>
      <c r="L209" s="1633"/>
      <c r="M209" s="1647"/>
      <c r="N209" s="1633">
        <f>IF(NOT(ISERROR(MATCH(M209,_xlfn.ANCHORARRAY(F218),0))),L220&amp;"Por favor no seleccionar los criterios de impacto",M209)</f>
        <v>0</v>
      </c>
      <c r="O209" s="1644"/>
      <c r="P209" s="1633"/>
      <c r="Q209" s="1636"/>
      <c r="R209" s="48">
        <v>3</v>
      </c>
      <c r="S209" s="205" t="s">
        <v>387</v>
      </c>
      <c r="T209" s="50" t="str">
        <f t="shared" ref="T209:T210" si="117">IF(OR(U209="Preventivo",U209="Detectivo"),"Probabilidad",IF(U209="Correctivo","Impacto",""))</f>
        <v>Impacto</v>
      </c>
      <c r="U209" s="61" t="s">
        <v>308</v>
      </c>
      <c r="V209" s="61" t="s">
        <v>201</v>
      </c>
      <c r="W209" s="62" t="str">
        <f t="shared" ref="W209:W216" si="118">IF(AND(U209="Preventivo",V209="Automático"),"50%",IF(AND(U209="Preventivo",V209="Manual"),"40%",IF(AND(U209="Detectivo",V209="Automático"),"40%",IF(AND(U209="Detectivo",V209="Manual"),"30%",IF(AND(U209="Correctivo",V209="Automático"),"35%",IF(AND(U209="Correctivo",V209="Manual"),"25%",""))))))</f>
        <v>25%</v>
      </c>
      <c r="X209" s="61" t="s">
        <v>208</v>
      </c>
      <c r="Y209" s="61" t="s">
        <v>203</v>
      </c>
      <c r="Z209" s="61" t="s">
        <v>204</v>
      </c>
      <c r="AA209" s="63">
        <f>IFERROR(IF(AND(T207="Probabilidad",T209="Probabilidad"),(AC207-(+AC207*W209)),IF(AND(T207="Impacto",T209="Probabilidad"),(AC206-(+AC206*W209)),IF(T209="Impacto",AC207,""))),"")</f>
        <v>1</v>
      </c>
      <c r="AB209" s="64" t="str">
        <f t="shared" ref="AB209:AB210" si="119">IFERROR(IF(AA209="","",IF(AA209&lt;=0.2,"Muy Baja",IF(AA209&lt;=0.4,"Baja",IF(AA209&lt;=0.6,"Media",IF(AA209&lt;=0.8,"Alta","Muy Alta"))))),"")</f>
        <v>Muy Alta</v>
      </c>
      <c r="AC209" s="65">
        <f t="shared" ref="AC209:AC210" si="120">+AA209</f>
        <v>1</v>
      </c>
      <c r="AD209" s="64" t="str">
        <f t="shared" ref="AD209:AD210" si="121">IFERROR(IF(AE209="","",IF(AE209&lt;=0.2,"Leve",IF(AE209&lt;=0.4,"Menor",IF(AE209&lt;=0.6,"Moderado",IF(AE209&lt;=0.8,"Mayor","Catastrófico"))))),"")</f>
        <v>Menor</v>
      </c>
      <c r="AE209" s="65">
        <f>IFERROR(IF(AND(T207="Impacto",T209="Impacto"),(AE207-(+AE207*W209)),IF(AND(T207="Probabilidad",T209="Impacto"),(AE206-(+AE206*W209)),IF(T209="Probabilidad",AE207,""))),"")</f>
        <v>0.33750000000000002</v>
      </c>
      <c r="AF209" s="66" t="str">
        <f t="shared" ref="AF209:AF210" si="122">IFERROR(IF(OR(AND(AB209="Muy Baja",AD209="Leve"),AND(AB209="Muy Baja",AD209="Menor"),AND(AB209="Baja",AD209="Leve")),"Bajo",IF(OR(AND(AB209="Muy baja",AD209="Moderado"),AND(AB209="Baja",AD209="Menor"),AND(AB209="Baja",AD209="Moderado"),AND(AB209="Media",AD209="Leve"),AND(AB209="Media",AD209="Menor"),AND(AB209="Media",AD209="Moderado"),AND(AB209="Alta",AD209="Leve"),AND(AB209="Alta",AD209="Menor")),"Moderado",IF(OR(AND(AB209="Muy Baja",AD209="Mayor"),AND(AB209="Baja",AD209="Mayor"),AND(AB209="Media",AD209="Mayor"),AND(AB209="Alta",AD209="Moderado"),AND(AB209="Alta",AD209="Mayor"),AND(AB209="Muy Alta",AD209="Leve"),AND(AB209="Muy Alta",AD209="Menor"),AND(AB209="Muy Alta",AD209="Moderado"),AND(AB209="Muy Alta",AD209="Mayor")),"Alto",IF(OR(AND(AB209="Muy Baja",AD209="Catastrófico"),AND(AB209="Baja",AD209="Catastrófico"),AND(AB209="Media",AD209="Catastrófico"),AND(AB209="Alta",AD209="Catastrófico"),AND(AB209="Muy Alta",AD209="Catastrófico")),"Extremo","")))),"")</f>
        <v>Alto</v>
      </c>
      <c r="AG209" s="81" t="s">
        <v>205</v>
      </c>
      <c r="AH209" s="1869"/>
      <c r="AI209" s="1871"/>
      <c r="AJ209" s="1873"/>
      <c r="AK209" s="1854"/>
      <c r="AL209" s="1856"/>
      <c r="AM209" s="1858"/>
      <c r="AN209" s="1859"/>
      <c r="AO209" s="1861"/>
    </row>
    <row r="210" spans="1:41" s="184" customFormat="1" ht="366" customHeight="1" x14ac:dyDescent="0.25">
      <c r="A210" s="1619"/>
      <c r="B210" s="1657"/>
      <c r="C210" s="1657"/>
      <c r="D210" s="1699"/>
      <c r="E210" s="204" t="s">
        <v>388</v>
      </c>
      <c r="F210" s="1700"/>
      <c r="G210" s="154"/>
      <c r="H210" s="1700"/>
      <c r="I210" s="1702"/>
      <c r="J210" s="1641"/>
      <c r="K210" s="1644"/>
      <c r="L210" s="1633"/>
      <c r="M210" s="1647"/>
      <c r="N210" s="1633">
        <f>IF(NOT(ISERROR(MATCH(M210,_xlfn.ANCHORARRAY(F219),0))),L221&amp;"Por favor no seleccionar los criterios de impacto",M210)</f>
        <v>0</v>
      </c>
      <c r="O210" s="1644"/>
      <c r="P210" s="1633"/>
      <c r="Q210" s="1636"/>
      <c r="R210" s="48">
        <v>4</v>
      </c>
      <c r="S210" s="67" t="s">
        <v>389</v>
      </c>
      <c r="T210" s="50" t="str">
        <f t="shared" si="117"/>
        <v>Impacto</v>
      </c>
      <c r="U210" s="61" t="s">
        <v>308</v>
      </c>
      <c r="V210" s="61" t="s">
        <v>201</v>
      </c>
      <c r="W210" s="62" t="str">
        <f t="shared" si="118"/>
        <v>25%</v>
      </c>
      <c r="X210" s="61" t="s">
        <v>208</v>
      </c>
      <c r="Y210" s="61" t="s">
        <v>203</v>
      </c>
      <c r="Z210" s="61" t="s">
        <v>204</v>
      </c>
      <c r="AA210" s="63">
        <f>IFERROR(IF(AND(T209="Probabilidad",T210="Probabilidad"),(AC209-(+AC209*W210)),IF(AND(T209="Impacto",T210="Probabilidad"),(AC207-(+AC207*W210)),IF(T210="Impacto",AC209,""))),"")</f>
        <v>1</v>
      </c>
      <c r="AB210" s="64" t="str">
        <f t="shared" si="119"/>
        <v>Muy Alta</v>
      </c>
      <c r="AC210" s="65">
        <f t="shared" si="120"/>
        <v>1</v>
      </c>
      <c r="AD210" s="64" t="str">
        <f t="shared" si="121"/>
        <v>Menor</v>
      </c>
      <c r="AE210" s="65">
        <f>IFERROR(IF(AND(T209="Impacto",T210="Impacto"),(AE209-(+AE209*W210)),IF(AND(T209="Probabilidad",T210="Impacto"),(AE207-(+AE207*W210)),IF(T210="Probabilidad",AE209,""))),"")</f>
        <v>0.25312500000000004</v>
      </c>
      <c r="AF210" s="66" t="str">
        <f t="shared" si="122"/>
        <v>Alto</v>
      </c>
      <c r="AG210" s="81"/>
      <c r="AH210" s="384" t="s">
        <v>390</v>
      </c>
      <c r="AI210" s="206" t="s">
        <v>383</v>
      </c>
      <c r="AJ210" s="207">
        <v>45292</v>
      </c>
      <c r="AK210" s="207">
        <v>45657</v>
      </c>
      <c r="AL210" s="208" t="s">
        <v>206</v>
      </c>
      <c r="AM210" s="386" t="s">
        <v>736</v>
      </c>
      <c r="AN210" s="386" t="s">
        <v>737</v>
      </c>
      <c r="AO210" s="385" t="s">
        <v>738</v>
      </c>
    </row>
    <row r="211" spans="1:41" s="184" customFormat="1" ht="399" customHeight="1" x14ac:dyDescent="0.25">
      <c r="A211" s="1618">
        <v>2</v>
      </c>
      <c r="B211" s="1656" t="s">
        <v>197</v>
      </c>
      <c r="C211" s="1656" t="s">
        <v>739</v>
      </c>
      <c r="D211" s="1845" t="s">
        <v>740</v>
      </c>
      <c r="E211" s="388" t="s">
        <v>391</v>
      </c>
      <c r="F211" s="1700" t="s">
        <v>741</v>
      </c>
      <c r="G211" s="146"/>
      <c r="H211" s="1848" t="s">
        <v>742</v>
      </c>
      <c r="I211" s="1701" t="s">
        <v>392</v>
      </c>
      <c r="J211" s="1611">
        <v>7162</v>
      </c>
      <c r="K211" s="1595" t="str">
        <f>IF(J211&lt;=0,"",IF(J211&lt;=2,"Muy Baja",IF(J211&lt;=24,"Baja",IF(J211&lt;=500,"Media",IF(J211&lt;=5000,"Alta","Muy Alta")))))</f>
        <v>Muy Alta</v>
      </c>
      <c r="L211" s="1592">
        <f>IF(K211="","",IF(K211="Muy Baja",0.2,IF(K211="Baja",0.4,IF(K211="Media",0.6,IF(K211="Alta",0.8,IF(K211="Muy Alta",1,))))))</f>
        <v>1</v>
      </c>
      <c r="M211" s="1589" t="s">
        <v>393</v>
      </c>
      <c r="N211" s="1592" t="str">
        <f>IF(NOT(ISERROR(MATCH(M211,'[12]Tabla Impacto'!$B$221:$B$223,0))),'[12]Tabla Impacto'!$F$223&amp;"Por favor no seleccionar los criterios de impacto(Afectación Económica o presupuestal y Pérdida Reputacional)",M211)</f>
        <v xml:space="preserve">     Entre 200 y 1000 SMLMV</v>
      </c>
      <c r="O211" s="1595" t="str">
        <f>IF(OR(N211='[12]Tabla Impacto'!$C$11,N211='[12]Tabla Impacto'!$D$11),"Leve",IF(OR(N211='[12]Tabla Impacto'!$C$12,N211='[12]Tabla Impacto'!$D$12),"Menor",IF(OR(N211='[12]Tabla Impacto'!$C$13,N211='[12]Tabla Impacto'!$D$13),"Moderado",IF(OR(N211='[12]Tabla Impacto'!$C$14,N211='[12]Tabla Impacto'!$D$14),"Mayor",IF(OR(N211='[12]Tabla Impacto'!$C$15,N211='[12]Tabla Impacto'!$D$15),"Catastrófico","")))))</f>
        <v>Menor</v>
      </c>
      <c r="P211" s="1592">
        <f>IF(O211="","",IF(O211="Leve",0.2,IF(O211="Menor",0.4,IF(O211="Moderado",0.6,IF(O211="Mayor",0.8,IF(O211="Catastrófico",1,))))))</f>
        <v>0.4</v>
      </c>
      <c r="Q211" s="1598" t="str">
        <f>IF(OR(AND(K211="Muy Baja",O211="Leve"),AND(K211="Muy Baja",O211="Menor"),AND(K211="Baja",O211="Leve")),"Bajo",IF(OR(AND(K211="Muy baja",O211="Moderado"),AND(K211="Baja",O211="Menor"),AND(K211="Baja",O211="Moderado"),AND(K211="Media",O211="Leve"),AND(K211="Media",O211="Menor"),AND(K211="Media",O211="Moderado"),AND(K211="Alta",O211="Leve"),AND(K211="Alta",O211="Menor")),"Moderado",IF(OR(AND(K211="Muy Baja",O211="Mayor"),AND(K211="Baja",O211="Mayor"),AND(K211="Media",O211="Mayor"),AND(K211="Alta",O211="Moderado"),AND(K211="Alta",O211="Mayor"),AND(K211="Muy Alta",O211="Leve"),AND(K211="Muy Alta",O211="Menor"),AND(K211="Muy Alta",O211="Moderado"),AND(K211="Muy Alta",O211="Mayor")),"Alto",IF(OR(AND(K211="Muy Baja",O211="Catastrófico"),AND(K211="Baja",O211="Catastrófico"),AND(K211="Media",O211="Catastrófico"),AND(K211="Alta",O211="Catastrófico"),AND(K211="Muy Alta",O211="Catastrófico")),"Extremo",""))))</f>
        <v>Alto</v>
      </c>
      <c r="R211" s="48">
        <v>1</v>
      </c>
      <c r="S211" s="389" t="s">
        <v>743</v>
      </c>
      <c r="T211" s="50" t="str">
        <f>IF(OR(U211="Preventivo",U211="Detectivo"),"Probabilidad",IF(U211="Correctivo","Impacto",""))</f>
        <v>Impacto</v>
      </c>
      <c r="U211" s="61" t="s">
        <v>308</v>
      </c>
      <c r="V211" s="61" t="s">
        <v>201</v>
      </c>
      <c r="W211" s="62" t="str">
        <f t="shared" si="118"/>
        <v>25%</v>
      </c>
      <c r="X211" s="61" t="s">
        <v>208</v>
      </c>
      <c r="Y211" s="61" t="s">
        <v>203</v>
      </c>
      <c r="Z211" s="61" t="s">
        <v>204</v>
      </c>
      <c r="AA211" s="63">
        <f>IFERROR(IF(T211="Probabilidad",(L211-(+L211*W211)),IF(T211="Impacto",L211,"")),"")</f>
        <v>1</v>
      </c>
      <c r="AB211" s="64" t="str">
        <f>IFERROR(IF(AA211="","",IF(AA211&lt;=0.2,"Muy Baja",IF(AA211&lt;=0.4,"Baja",IF(AA211&lt;=0.6,"Media",IF(AA211&lt;=0.8,"Alta","Muy Alta"))))),"")</f>
        <v>Muy Alta</v>
      </c>
      <c r="AC211" s="65">
        <f>+AA211</f>
        <v>1</v>
      </c>
      <c r="AD211" s="64" t="str">
        <f>IFERROR(IF(AE211="","",IF(AE211&lt;=0.2,"Leve",IF(AE211&lt;=0.4,"Menor",IF(AE211&lt;=0.6,"Moderado",IF(AE211&lt;=0.8,"Mayor","Catastrófico"))))),"")</f>
        <v>Menor</v>
      </c>
      <c r="AE211" s="65">
        <f>IFERROR(IF(T211="Impacto",(P211-(+P211*W211)),IF(T211="Probabilidad",P211,"")),"")</f>
        <v>0.30000000000000004</v>
      </c>
      <c r="AF211" s="66" t="str">
        <f>IFERROR(IF(OR(AND(AB211="Muy Baja",AD211="Leve"),AND(AB211="Muy Baja",AD211="Menor"),AND(AB211="Baja",AD211="Leve")),"Bajo",IF(OR(AND(AB211="Muy baja",AD211="Moderado"),AND(AB211="Baja",AD211="Menor"),AND(AB211="Baja",AD211="Moderado"),AND(AB211="Media",AD211="Leve"),AND(AB211="Media",AD211="Menor"),AND(AB211="Media",AD211="Moderado"),AND(AB211="Alta",AD211="Leve"),AND(AB211="Alta",AD211="Menor")),"Moderado",IF(OR(AND(AB211="Muy Baja",AD211="Mayor"),AND(AB211="Baja",AD211="Mayor"),AND(AB211="Media",AD211="Mayor"),AND(AB211="Alta",AD211="Moderado"),AND(AB211="Alta",AD211="Mayor"),AND(AB211="Muy Alta",AD211="Leve"),AND(AB211="Muy Alta",AD211="Menor"),AND(AB211="Muy Alta",AD211="Moderado"),AND(AB211="Muy Alta",AD211="Mayor")),"Alto",IF(OR(AND(AB211="Muy Baja",AD211="Catastrófico"),AND(AB211="Baja",AD211="Catastrófico"),AND(AB211="Media",AD211="Catastrófico"),AND(AB211="Alta",AD211="Catastrófico"),AND(AB211="Muy Alta",AD211="Catastrófico")),"Extremo","")))),"")</f>
        <v>Alto</v>
      </c>
      <c r="AG211" s="153" t="s">
        <v>205</v>
      </c>
      <c r="AH211" s="384" t="s">
        <v>394</v>
      </c>
      <c r="AI211" s="199" t="s">
        <v>383</v>
      </c>
      <c r="AJ211" s="207">
        <v>45292</v>
      </c>
      <c r="AK211" s="207">
        <v>45657</v>
      </c>
      <c r="AL211" s="208" t="s">
        <v>206</v>
      </c>
      <c r="AM211" s="390" t="s">
        <v>744</v>
      </c>
      <c r="AN211" s="386" t="s">
        <v>745</v>
      </c>
      <c r="AO211" s="386" t="s">
        <v>746</v>
      </c>
    </row>
    <row r="212" spans="1:41" s="184" customFormat="1" ht="408.75" customHeight="1" x14ac:dyDescent="0.25">
      <c r="A212" s="1619"/>
      <c r="B212" s="1657"/>
      <c r="C212" s="1657"/>
      <c r="D212" s="1846"/>
      <c r="E212" s="361" t="s">
        <v>747</v>
      </c>
      <c r="F212" s="1700"/>
      <c r="G212" s="151"/>
      <c r="H212" s="1849"/>
      <c r="I212" s="1702"/>
      <c r="J212" s="1612"/>
      <c r="K212" s="1596"/>
      <c r="L212" s="1593"/>
      <c r="M212" s="1590"/>
      <c r="N212" s="1593">
        <f>IF(NOT(ISERROR(MATCH(M212,_xlfn.ANCHORARRAY(F223),0))),L225&amp;"Por favor no seleccionar los criterios de impacto",M212)</f>
        <v>0</v>
      </c>
      <c r="O212" s="1596"/>
      <c r="P212" s="1593"/>
      <c r="Q212" s="1599"/>
      <c r="R212" s="48">
        <v>2</v>
      </c>
      <c r="S212" s="67" t="s">
        <v>748</v>
      </c>
      <c r="T212" s="50" t="str">
        <f>IF(OR(U212="Preventivo",U212="Detectivo"),"Probabilidad",IF(U212="Correctivo","Impacto",""))</f>
        <v>Impacto</v>
      </c>
      <c r="U212" s="61" t="s">
        <v>308</v>
      </c>
      <c r="V212" s="61" t="s">
        <v>201</v>
      </c>
      <c r="W212" s="62" t="str">
        <f t="shared" si="118"/>
        <v>25%</v>
      </c>
      <c r="X212" s="61" t="s">
        <v>208</v>
      </c>
      <c r="Y212" s="61" t="s">
        <v>203</v>
      </c>
      <c r="Z212" s="61" t="s">
        <v>204</v>
      </c>
      <c r="AA212" s="63">
        <f>IFERROR(IF(AND(T211="Probabilidad",T212="Probabilidad"),(AC211-(+AC211*W212)),IF(AND(T211="Impacto",T212="Probabilidad"),(#REF!-(+#REF!*W212)),IF(T212="Impacto",AC211,""))),"")</f>
        <v>1</v>
      </c>
      <c r="AB212" s="64" t="str">
        <f t="shared" ref="AB212:AB216" si="123">IFERROR(IF(AA212="","",IF(AA212&lt;=0.2,"Muy Baja",IF(AA212&lt;=0.4,"Baja",IF(AA212&lt;=0.6,"Media",IF(AA212&lt;=0.8,"Alta","Muy Alta"))))),"")</f>
        <v>Muy Alta</v>
      </c>
      <c r="AC212" s="65">
        <f t="shared" ref="AC212:AC216" si="124">+AA212</f>
        <v>1</v>
      </c>
      <c r="AD212" s="64" t="str">
        <f t="shared" ref="AD212:AD216" si="125">IFERROR(IF(AE212="","",IF(AE212&lt;=0.2,"Leve",IF(AE212&lt;=0.4,"Menor",IF(AE212&lt;=0.6,"Moderado",IF(AE212&lt;=0.8,"Mayor","Catastrófico"))))),"")</f>
        <v>Menor</v>
      </c>
      <c r="AE212" s="65">
        <f>IFERROR(IF(AND(T211="Impacto",T212="Impacto"),(AE211-(+AE211*W212)),IF(AND(T211="Probabilidad",T212="Impacto"),(#REF!-(+#REF!*W212)),IF(T212="Probabilidad",AE211,""))),"")</f>
        <v>0.22500000000000003</v>
      </c>
      <c r="AF212" s="66" t="str">
        <f t="shared" ref="AF212:AF216" si="126">IFERROR(IF(OR(AND(AB212="Muy Baja",AD212="Leve"),AND(AB212="Muy Baja",AD212="Menor"),AND(AB212="Baja",AD212="Leve")),"Bajo",IF(OR(AND(AB212="Muy baja",AD212="Moderado"),AND(AB212="Baja",AD212="Menor"),AND(AB212="Baja",AD212="Moderado"),AND(AB212="Media",AD212="Leve"),AND(AB212="Media",AD212="Menor"),AND(AB212="Media",AD212="Moderado"),AND(AB212="Alta",AD212="Leve"),AND(AB212="Alta",AD212="Menor")),"Moderado",IF(OR(AND(AB212="Muy Baja",AD212="Mayor"),AND(AB212="Baja",AD212="Mayor"),AND(AB212="Media",AD212="Mayor"),AND(AB212="Alta",AD212="Moderado"),AND(AB212="Alta",AD212="Mayor"),AND(AB212="Muy Alta",AD212="Leve"),AND(AB212="Muy Alta",AD212="Menor"),AND(AB212="Muy Alta",AD212="Moderado"),AND(AB212="Muy Alta",AD212="Mayor")),"Alto",IF(OR(AND(AB212="Muy Baja",AD212="Catastrófico"),AND(AB212="Baja",AD212="Catastrófico"),AND(AB212="Media",AD212="Catastrófico"),AND(AB212="Alta",AD212="Catastrófico"),AND(AB212="Muy Alta",AD212="Catastrófico")),"Extremo","")))),"")</f>
        <v>Alto</v>
      </c>
      <c r="AG212" s="153" t="s">
        <v>205</v>
      </c>
      <c r="AH212" s="384" t="s">
        <v>749</v>
      </c>
      <c r="AI212" s="199" t="s">
        <v>383</v>
      </c>
      <c r="AJ212" s="207">
        <v>45292</v>
      </c>
      <c r="AK212" s="207">
        <v>45657</v>
      </c>
      <c r="AL212" s="208" t="s">
        <v>206</v>
      </c>
      <c r="AM212" s="386" t="s">
        <v>750</v>
      </c>
      <c r="AN212" s="386" t="s">
        <v>751</v>
      </c>
      <c r="AO212" s="386" t="s">
        <v>752</v>
      </c>
    </row>
    <row r="213" spans="1:41" s="184" customFormat="1" ht="25.5" customHeight="1" x14ac:dyDescent="0.25">
      <c r="A213" s="1619"/>
      <c r="B213" s="1657"/>
      <c r="C213" s="1657"/>
      <c r="D213" s="1846"/>
      <c r="E213" s="388"/>
      <c r="F213" s="1700"/>
      <c r="G213" s="151"/>
      <c r="H213" s="1849"/>
      <c r="I213" s="1702"/>
      <c r="J213" s="1612"/>
      <c r="K213" s="1596"/>
      <c r="L213" s="1593"/>
      <c r="M213" s="1590"/>
      <c r="N213" s="1593">
        <f>IF(NOT(ISERROR(MATCH(M213,_xlfn.ANCHORARRAY(F224),0))),L226&amp;"Por favor no seleccionar los criterios de impacto",M213)</f>
        <v>0</v>
      </c>
      <c r="O213" s="1596"/>
      <c r="P213" s="1593"/>
      <c r="Q213" s="1599"/>
      <c r="R213" s="48">
        <v>3</v>
      </c>
      <c r="S213" s="79"/>
      <c r="T213" s="50"/>
      <c r="U213" s="61"/>
      <c r="V213" s="61"/>
      <c r="W213" s="62"/>
      <c r="X213" s="61"/>
      <c r="Y213" s="61"/>
      <c r="Z213" s="61"/>
      <c r="AA213" s="63" t="str">
        <f t="shared" ref="AA213:AA216" si="127">IFERROR(IF(AND(T212="Probabilidad",T213="Probabilidad"),(AC212-(+AC212*W213)),IF(AND(T212="Impacto",T213="Probabilidad"),(AC211-(+AC211*W213)),IF(T213="Impacto",AC212,""))),"")</f>
        <v/>
      </c>
      <c r="AB213" s="64" t="str">
        <f t="shared" si="123"/>
        <v/>
      </c>
      <c r="AC213" s="65" t="str">
        <f t="shared" si="124"/>
        <v/>
      </c>
      <c r="AD213" s="64" t="str">
        <f t="shared" si="125"/>
        <v/>
      </c>
      <c r="AE213" s="65" t="str">
        <f t="shared" ref="AE213:AE216" si="128">IFERROR(IF(AND(T212="Impacto",T213="Impacto"),(AE212-(+AE212*W213)),IF(AND(T212="Probabilidad",T213="Impacto"),(AE211-(+AE211*W213)),IF(T213="Probabilidad",AE212,""))),"")</f>
        <v/>
      </c>
      <c r="AF213" s="66" t="str">
        <f t="shared" si="126"/>
        <v/>
      </c>
      <c r="AG213" s="153"/>
      <c r="AH213" s="77"/>
      <c r="AI213" s="78"/>
      <c r="AJ213" s="82"/>
      <c r="AK213" s="82"/>
      <c r="AL213" s="78"/>
      <c r="AM213" s="37"/>
      <c r="AN213" s="37"/>
      <c r="AO213" s="37"/>
    </row>
    <row r="214" spans="1:41" s="184" customFormat="1" ht="25.5" customHeight="1" x14ac:dyDescent="0.25">
      <c r="A214" s="1619"/>
      <c r="B214" s="1657"/>
      <c r="C214" s="1657"/>
      <c r="D214" s="1846"/>
      <c r="E214" s="388"/>
      <c r="F214" s="1700"/>
      <c r="G214" s="151"/>
      <c r="H214" s="1849"/>
      <c r="I214" s="1702"/>
      <c r="J214" s="1612"/>
      <c r="K214" s="1596"/>
      <c r="L214" s="1593"/>
      <c r="M214" s="1590"/>
      <c r="N214" s="1593">
        <f>IF(NOT(ISERROR(MATCH(M214,_xlfn.ANCHORARRAY(F225),0))),L227&amp;"Por favor no seleccionar los criterios de impacto",M214)</f>
        <v>0</v>
      </c>
      <c r="O214" s="1596"/>
      <c r="P214" s="1593"/>
      <c r="Q214" s="1599"/>
      <c r="R214" s="48">
        <v>4</v>
      </c>
      <c r="S214" s="49"/>
      <c r="T214" s="50"/>
      <c r="U214" s="61"/>
      <c r="V214" s="61"/>
      <c r="W214" s="62" t="str">
        <f t="shared" si="118"/>
        <v/>
      </c>
      <c r="X214" s="61"/>
      <c r="Y214" s="61"/>
      <c r="Z214" s="61"/>
      <c r="AA214" s="63" t="str">
        <f t="shared" si="127"/>
        <v/>
      </c>
      <c r="AB214" s="64" t="str">
        <f t="shared" si="123"/>
        <v/>
      </c>
      <c r="AC214" s="65" t="str">
        <f t="shared" si="124"/>
        <v/>
      </c>
      <c r="AD214" s="64" t="str">
        <f t="shared" si="125"/>
        <v/>
      </c>
      <c r="AE214" s="65" t="str">
        <f t="shared" si="128"/>
        <v/>
      </c>
      <c r="AF214" s="66" t="str">
        <f t="shared" si="126"/>
        <v/>
      </c>
      <c r="AG214" s="153"/>
      <c r="AH214" s="77"/>
      <c r="AI214" s="78"/>
      <c r="AJ214" s="82"/>
      <c r="AK214" s="82"/>
      <c r="AL214" s="78"/>
      <c r="AM214" s="37"/>
      <c r="AN214" s="37"/>
      <c r="AO214" s="37"/>
    </row>
    <row r="215" spans="1:41" s="184" customFormat="1" ht="24" customHeight="1" x14ac:dyDescent="0.25">
      <c r="A215" s="1619"/>
      <c r="B215" s="1657"/>
      <c r="C215" s="1657"/>
      <c r="D215" s="1846"/>
      <c r="E215" s="388"/>
      <c r="F215" s="1700"/>
      <c r="G215" s="151"/>
      <c r="H215" s="1849"/>
      <c r="I215" s="1702"/>
      <c r="J215" s="1612"/>
      <c r="K215" s="1596"/>
      <c r="L215" s="1593"/>
      <c r="M215" s="1590"/>
      <c r="N215" s="1593">
        <f>IF(NOT(ISERROR(MATCH(M215,_xlfn.ANCHORARRAY(F226),0))),L228&amp;"Por favor no seleccionar los criterios de impacto",M215)</f>
        <v>0</v>
      </c>
      <c r="O215" s="1596"/>
      <c r="P215" s="1593"/>
      <c r="Q215" s="1599"/>
      <c r="R215" s="48">
        <v>5</v>
      </c>
      <c r="S215" s="49"/>
      <c r="T215" s="50"/>
      <c r="U215" s="61"/>
      <c r="V215" s="61"/>
      <c r="W215" s="62" t="str">
        <f t="shared" si="118"/>
        <v/>
      </c>
      <c r="X215" s="61"/>
      <c r="Y215" s="61"/>
      <c r="Z215" s="61"/>
      <c r="AA215" s="63" t="str">
        <f t="shared" si="127"/>
        <v/>
      </c>
      <c r="AB215" s="64" t="str">
        <f t="shared" si="123"/>
        <v/>
      </c>
      <c r="AC215" s="65" t="str">
        <f t="shared" si="124"/>
        <v/>
      </c>
      <c r="AD215" s="64" t="str">
        <f t="shared" si="125"/>
        <v/>
      </c>
      <c r="AE215" s="65" t="str">
        <f t="shared" si="128"/>
        <v/>
      </c>
      <c r="AF215" s="66" t="str">
        <f t="shared" si="126"/>
        <v/>
      </c>
      <c r="AG215" s="153"/>
      <c r="AH215" s="77"/>
      <c r="AI215" s="78"/>
      <c r="AJ215" s="82"/>
      <c r="AK215" s="82"/>
      <c r="AL215" s="78"/>
      <c r="AM215" s="37"/>
      <c r="AN215" s="37"/>
      <c r="AO215" s="37"/>
    </row>
    <row r="216" spans="1:41" s="184" customFormat="1" ht="25.5" customHeight="1" x14ac:dyDescent="0.25">
      <c r="A216" s="1620"/>
      <c r="B216" s="1658"/>
      <c r="C216" s="1658"/>
      <c r="D216" s="1847"/>
      <c r="E216" s="388"/>
      <c r="F216" s="1700"/>
      <c r="G216" s="152"/>
      <c r="H216" s="1850"/>
      <c r="I216" s="1706"/>
      <c r="J216" s="1613"/>
      <c r="K216" s="1597"/>
      <c r="L216" s="1594"/>
      <c r="M216" s="1591"/>
      <c r="N216" s="1594">
        <f>IF(NOT(ISERROR(MATCH(M216,_xlfn.ANCHORARRAY(F227),0))),L229&amp;"Por favor no seleccionar los criterios de impacto",M216)</f>
        <v>0</v>
      </c>
      <c r="O216" s="1597"/>
      <c r="P216" s="1594"/>
      <c r="Q216" s="1600"/>
      <c r="R216" s="48">
        <v>6</v>
      </c>
      <c r="S216" s="49"/>
      <c r="T216" s="50" t="str">
        <f t="shared" ref="T216" si="129">IF(OR(U216="Preventivo",U216="Detectivo"),"Probabilidad",IF(U216="Correctivo","Impacto",""))</f>
        <v/>
      </c>
      <c r="U216" s="61"/>
      <c r="V216" s="61"/>
      <c r="W216" s="62" t="str">
        <f t="shared" si="118"/>
        <v/>
      </c>
      <c r="X216" s="61"/>
      <c r="Y216" s="61"/>
      <c r="Z216" s="61"/>
      <c r="AA216" s="63" t="str">
        <f t="shared" si="127"/>
        <v/>
      </c>
      <c r="AB216" s="64" t="str">
        <f t="shared" si="123"/>
        <v/>
      </c>
      <c r="AC216" s="65" t="str">
        <f t="shared" si="124"/>
        <v/>
      </c>
      <c r="AD216" s="64" t="str">
        <f t="shared" si="125"/>
        <v/>
      </c>
      <c r="AE216" s="65" t="str">
        <f t="shared" si="128"/>
        <v/>
      </c>
      <c r="AF216" s="66" t="str">
        <f t="shared" si="126"/>
        <v/>
      </c>
      <c r="AG216" s="153"/>
      <c r="AH216" s="77"/>
      <c r="AI216" s="78"/>
      <c r="AJ216" s="82"/>
      <c r="AK216" s="82"/>
      <c r="AL216" s="78"/>
      <c r="AM216" s="37"/>
      <c r="AN216" s="37"/>
      <c r="AO216" s="37"/>
    </row>
    <row r="217" spans="1:41" s="184" customFormat="1" x14ac:dyDescent="0.25">
      <c r="A217" s="1681" t="s">
        <v>156</v>
      </c>
      <c r="B217" s="1682"/>
      <c r="C217" s="1682"/>
      <c r="D217" s="1682"/>
      <c r="E217" s="1682"/>
      <c r="F217" s="1682"/>
      <c r="G217" s="1682"/>
      <c r="H217" s="1682"/>
      <c r="I217" s="1682"/>
      <c r="J217" s="1682"/>
      <c r="K217" s="1682"/>
      <c r="L217" s="1682"/>
      <c r="M217" s="1682"/>
      <c r="N217" s="1682"/>
      <c r="O217" s="1682"/>
      <c r="P217" s="1682"/>
      <c r="Q217" s="1682"/>
      <c r="R217" s="1682"/>
      <c r="S217" s="1682"/>
      <c r="T217" s="1682"/>
      <c r="U217" s="1682"/>
      <c r="V217" s="1682"/>
      <c r="W217" s="1682"/>
      <c r="X217" s="1682"/>
      <c r="Y217" s="1682"/>
      <c r="Z217" s="1682"/>
      <c r="AA217" s="1682"/>
      <c r="AB217" s="1682"/>
      <c r="AC217" s="1682"/>
      <c r="AD217" s="1682"/>
      <c r="AE217" s="1682"/>
      <c r="AF217" s="1682"/>
      <c r="AG217" s="1682"/>
      <c r="AH217" s="1682"/>
      <c r="AI217" s="1682"/>
      <c r="AJ217" s="1682"/>
      <c r="AK217" s="1682"/>
      <c r="AL217" s="1682"/>
      <c r="AM217" s="1683"/>
      <c r="AN217" s="37"/>
      <c r="AO217" s="37"/>
    </row>
    <row r="218" spans="1:41" s="184" customFormat="1" x14ac:dyDescent="0.25">
      <c r="A218" s="1684"/>
      <c r="B218" s="1685"/>
      <c r="C218" s="1685"/>
      <c r="D218" s="1685"/>
      <c r="E218" s="1685"/>
      <c r="F218" s="1685"/>
      <c r="G218" s="1685"/>
      <c r="H218" s="1685"/>
      <c r="I218" s="1685"/>
      <c r="J218" s="1685"/>
      <c r="K218" s="1685"/>
      <c r="L218" s="1685"/>
      <c r="M218" s="1685"/>
      <c r="N218" s="1685"/>
      <c r="O218" s="1685"/>
      <c r="P218" s="1685"/>
      <c r="Q218" s="1685"/>
      <c r="R218" s="1685"/>
      <c r="S218" s="1685"/>
      <c r="T218" s="1685"/>
      <c r="U218" s="1685"/>
      <c r="V218" s="1685"/>
      <c r="W218" s="1685"/>
      <c r="X218" s="1685"/>
      <c r="Y218" s="1685"/>
      <c r="Z218" s="1685"/>
      <c r="AA218" s="1685"/>
      <c r="AB218" s="1685"/>
      <c r="AC218" s="1685"/>
      <c r="AD218" s="1685"/>
      <c r="AE218" s="1685"/>
      <c r="AF218" s="1685"/>
      <c r="AG218" s="1685"/>
      <c r="AH218" s="1685"/>
      <c r="AI218" s="1685"/>
      <c r="AJ218" s="1685"/>
      <c r="AK218" s="1685"/>
      <c r="AL218" s="1685"/>
      <c r="AM218" s="1686"/>
      <c r="AN218" s="37"/>
      <c r="AO218" s="37"/>
    </row>
    <row r="219" spans="1:41" s="184" customFormat="1" x14ac:dyDescent="0.25">
      <c r="A219" s="242"/>
      <c r="B219" s="243"/>
      <c r="C219" s="242"/>
      <c r="D219" s="242"/>
      <c r="E219" s="242"/>
      <c r="F219" s="37"/>
      <c r="G219" s="37"/>
      <c r="H219" s="37"/>
      <c r="I219" s="225"/>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row>
    <row r="220" spans="1:41" s="184" customFormat="1" ht="23.4" x14ac:dyDescent="0.25">
      <c r="A220" s="1667" t="s">
        <v>157</v>
      </c>
      <c r="B220" s="1668"/>
      <c r="C220" s="1821" t="s">
        <v>240</v>
      </c>
      <c r="D220" s="1822"/>
      <c r="E220" s="1822"/>
      <c r="F220" s="1822"/>
      <c r="G220" s="1822"/>
      <c r="H220" s="1822"/>
      <c r="I220" s="1822"/>
      <c r="J220" s="1822"/>
      <c r="K220" s="1822"/>
      <c r="L220" s="1822"/>
      <c r="M220" s="1822"/>
      <c r="N220" s="1822"/>
      <c r="O220" s="1822"/>
      <c r="P220" s="1822"/>
      <c r="Q220" s="1822"/>
      <c r="R220" s="1822"/>
      <c r="S220" s="1822"/>
      <c r="T220" s="1822"/>
      <c r="U220" s="1822"/>
      <c r="V220" s="1822"/>
      <c r="W220" s="1822"/>
      <c r="X220" s="1822"/>
      <c r="Y220" s="1822"/>
      <c r="Z220" s="1822"/>
      <c r="AA220" s="1822"/>
      <c r="AB220" s="1822"/>
      <c r="AC220" s="1822"/>
      <c r="AD220" s="1822"/>
      <c r="AE220" s="1822"/>
      <c r="AF220" s="1822"/>
      <c r="AG220" s="1822"/>
      <c r="AH220" s="1822"/>
      <c r="AI220" s="1822"/>
      <c r="AJ220" s="1822"/>
      <c r="AK220" s="1822"/>
      <c r="AL220" s="1822"/>
      <c r="AM220" s="1823"/>
      <c r="AN220" s="37"/>
      <c r="AO220" s="37"/>
    </row>
    <row r="221" spans="1:41" s="184" customFormat="1" ht="59.1" customHeight="1" x14ac:dyDescent="0.25">
      <c r="A221" s="1667" t="s">
        <v>158</v>
      </c>
      <c r="B221" s="1668"/>
      <c r="C221" s="1821" t="s">
        <v>241</v>
      </c>
      <c r="D221" s="1822"/>
      <c r="E221" s="1822"/>
      <c r="F221" s="1822"/>
      <c r="G221" s="1822"/>
      <c r="H221" s="1822"/>
      <c r="I221" s="1822"/>
      <c r="J221" s="1822"/>
      <c r="K221" s="1822"/>
      <c r="L221" s="1822"/>
      <c r="M221" s="1822"/>
      <c r="N221" s="1822"/>
      <c r="O221" s="1822"/>
      <c r="P221" s="1822"/>
      <c r="Q221" s="1822"/>
      <c r="R221" s="1822"/>
      <c r="S221" s="1822"/>
      <c r="T221" s="1822"/>
      <c r="U221" s="1822"/>
      <c r="V221" s="1822"/>
      <c r="W221" s="1822"/>
      <c r="X221" s="1822"/>
      <c r="Y221" s="1822"/>
      <c r="Z221" s="1822"/>
      <c r="AA221" s="1822"/>
      <c r="AB221" s="1822"/>
      <c r="AC221" s="1822"/>
      <c r="AD221" s="1822"/>
      <c r="AE221" s="1822"/>
      <c r="AF221" s="1822"/>
      <c r="AG221" s="1822"/>
      <c r="AH221" s="1822"/>
      <c r="AI221" s="1822"/>
      <c r="AJ221" s="1822"/>
      <c r="AK221" s="1822"/>
      <c r="AL221" s="1822"/>
      <c r="AM221" s="1823"/>
      <c r="AN221" s="37"/>
      <c r="AO221" s="37"/>
    </row>
    <row r="222" spans="1:41" s="184" customFormat="1" ht="66.599999999999994" customHeight="1" x14ac:dyDescent="0.25">
      <c r="A222" s="1667" t="s">
        <v>159</v>
      </c>
      <c r="B222" s="1668"/>
      <c r="C222" s="1821" t="s">
        <v>242</v>
      </c>
      <c r="D222" s="1822"/>
      <c r="E222" s="1822"/>
      <c r="F222" s="1822"/>
      <c r="G222" s="1822"/>
      <c r="H222" s="1822"/>
      <c r="I222" s="1822"/>
      <c r="J222" s="1822"/>
      <c r="K222" s="1822"/>
      <c r="L222" s="1822"/>
      <c r="M222" s="1822"/>
      <c r="N222" s="1822"/>
      <c r="O222" s="1822"/>
      <c r="P222" s="1822"/>
      <c r="Q222" s="1822"/>
      <c r="R222" s="1822"/>
      <c r="S222" s="1822"/>
      <c r="T222" s="1822"/>
      <c r="U222" s="1822"/>
      <c r="V222" s="1822"/>
      <c r="W222" s="1822"/>
      <c r="X222" s="1822"/>
      <c r="Y222" s="1822"/>
      <c r="Z222" s="1822"/>
      <c r="AA222" s="1822"/>
      <c r="AB222" s="1822"/>
      <c r="AC222" s="1822"/>
      <c r="AD222" s="1822"/>
      <c r="AE222" s="1822"/>
      <c r="AF222" s="1822"/>
      <c r="AG222" s="1822"/>
      <c r="AH222" s="1822"/>
      <c r="AI222" s="1822"/>
      <c r="AJ222" s="1822"/>
      <c r="AK222" s="1822"/>
      <c r="AL222" s="1822"/>
      <c r="AM222" s="1823"/>
      <c r="AN222" s="37"/>
      <c r="AO222" s="37"/>
    </row>
    <row r="223" spans="1:41" s="184" customFormat="1" x14ac:dyDescent="0.25">
      <c r="A223" s="1670" t="s">
        <v>160</v>
      </c>
      <c r="B223" s="1671"/>
      <c r="C223" s="1672"/>
      <c r="D223" s="1672"/>
      <c r="E223" s="1672"/>
      <c r="F223" s="1672"/>
      <c r="G223" s="1672"/>
      <c r="H223" s="1672"/>
      <c r="I223" s="1672"/>
      <c r="J223" s="1673"/>
      <c r="K223" s="1630" t="s">
        <v>161</v>
      </c>
      <c r="L223" s="1672"/>
      <c r="M223" s="1672"/>
      <c r="N223" s="1672"/>
      <c r="O223" s="1672"/>
      <c r="P223" s="1672"/>
      <c r="Q223" s="1673"/>
      <c r="R223" s="1630" t="s">
        <v>162</v>
      </c>
      <c r="S223" s="1672"/>
      <c r="T223" s="1672"/>
      <c r="U223" s="1672"/>
      <c r="V223" s="1672"/>
      <c r="W223" s="1672"/>
      <c r="X223" s="1672"/>
      <c r="Y223" s="1672"/>
      <c r="Z223" s="1673"/>
      <c r="AA223" s="1630" t="s">
        <v>163</v>
      </c>
      <c r="AB223" s="1672"/>
      <c r="AC223" s="1672"/>
      <c r="AD223" s="1672"/>
      <c r="AE223" s="1672"/>
      <c r="AF223" s="1672"/>
      <c r="AG223" s="1673"/>
      <c r="AH223" s="1630" t="s">
        <v>164</v>
      </c>
      <c r="AI223" s="1672"/>
      <c r="AJ223" s="1672"/>
      <c r="AK223" s="1672"/>
      <c r="AL223" s="1672"/>
      <c r="AM223" s="1673"/>
      <c r="AN223" s="37"/>
      <c r="AO223" s="37"/>
    </row>
    <row r="224" spans="1:41" s="184" customFormat="1" ht="14.1" customHeight="1" x14ac:dyDescent="0.25">
      <c r="A224" s="1649" t="s">
        <v>165</v>
      </c>
      <c r="B224" s="1651" t="s">
        <v>142</v>
      </c>
      <c r="C224" s="1626" t="s">
        <v>166</v>
      </c>
      <c r="D224" s="1626" t="s">
        <v>167</v>
      </c>
      <c r="E224" s="1631" t="s">
        <v>168</v>
      </c>
      <c r="F224" s="1652" t="s">
        <v>60</v>
      </c>
      <c r="G224" s="56"/>
      <c r="H224" s="56"/>
      <c r="I224" s="1631" t="s">
        <v>169</v>
      </c>
      <c r="J224" s="1626" t="s">
        <v>170</v>
      </c>
      <c r="K224" s="1628" t="s">
        <v>171</v>
      </c>
      <c r="L224" s="1629" t="s">
        <v>172</v>
      </c>
      <c r="M224" s="1631" t="s">
        <v>173</v>
      </c>
      <c r="N224" s="1631" t="s">
        <v>174</v>
      </c>
      <c r="O224" s="1666" t="s">
        <v>175</v>
      </c>
      <c r="P224" s="1629" t="s">
        <v>172</v>
      </c>
      <c r="Q224" s="1626" t="s">
        <v>176</v>
      </c>
      <c r="R224" s="1664" t="s">
        <v>177</v>
      </c>
      <c r="S224" s="1627" t="s">
        <v>178</v>
      </c>
      <c r="T224" s="1631" t="s">
        <v>179</v>
      </c>
      <c r="U224" s="1627" t="s">
        <v>180</v>
      </c>
      <c r="V224" s="1627"/>
      <c r="W224" s="1627"/>
      <c r="X224" s="1627"/>
      <c r="Y224" s="1627"/>
      <c r="Z224" s="1627"/>
      <c r="AA224" s="1663" t="s">
        <v>181</v>
      </c>
      <c r="AB224" s="1663" t="s">
        <v>182</v>
      </c>
      <c r="AC224" s="1663" t="s">
        <v>172</v>
      </c>
      <c r="AD224" s="1663" t="s">
        <v>183</v>
      </c>
      <c r="AE224" s="1663" t="s">
        <v>172</v>
      </c>
      <c r="AF224" s="1663" t="s">
        <v>184</v>
      </c>
      <c r="AG224" s="1664" t="s">
        <v>185</v>
      </c>
      <c r="AH224" s="1627" t="s">
        <v>164</v>
      </c>
      <c r="AI224" s="1627" t="s">
        <v>143</v>
      </c>
      <c r="AJ224" s="1627" t="s">
        <v>186</v>
      </c>
      <c r="AK224" s="1627" t="s">
        <v>187</v>
      </c>
      <c r="AL224" s="1627" t="s">
        <v>753</v>
      </c>
      <c r="AM224" s="1627" t="s">
        <v>189</v>
      </c>
      <c r="AN224" s="37"/>
      <c r="AO224" s="37"/>
    </row>
    <row r="225" spans="1:39" s="222" customFormat="1" ht="70.2" x14ac:dyDescent="0.3">
      <c r="A225" s="1650"/>
      <c r="B225" s="1651"/>
      <c r="C225" s="1627"/>
      <c r="D225" s="1627"/>
      <c r="E225" s="1628"/>
      <c r="F225" s="1653"/>
      <c r="G225" s="56" t="s">
        <v>610</v>
      </c>
      <c r="H225" s="56" t="s">
        <v>190</v>
      </c>
      <c r="I225" s="1626"/>
      <c r="J225" s="1627"/>
      <c r="K225" s="1626"/>
      <c r="L225" s="1630"/>
      <c r="M225" s="1626"/>
      <c r="N225" s="1626"/>
      <c r="O225" s="1630"/>
      <c r="P225" s="1630"/>
      <c r="Q225" s="1627"/>
      <c r="R225" s="1665"/>
      <c r="S225" s="1627"/>
      <c r="T225" s="1626"/>
      <c r="U225" s="42" t="s">
        <v>191</v>
      </c>
      <c r="V225" s="42" t="s">
        <v>192</v>
      </c>
      <c r="W225" s="42" t="s">
        <v>193</v>
      </c>
      <c r="X225" s="42" t="s">
        <v>194</v>
      </c>
      <c r="Y225" s="42" t="s">
        <v>195</v>
      </c>
      <c r="Z225" s="42" t="s">
        <v>196</v>
      </c>
      <c r="AA225" s="1663"/>
      <c r="AB225" s="1663"/>
      <c r="AC225" s="1663"/>
      <c r="AD225" s="1663"/>
      <c r="AE225" s="1663"/>
      <c r="AF225" s="1663"/>
      <c r="AG225" s="1665"/>
      <c r="AH225" s="1627"/>
      <c r="AI225" s="1627"/>
      <c r="AJ225" s="1627"/>
      <c r="AK225" s="1627"/>
      <c r="AL225" s="1627"/>
      <c r="AM225" s="1627"/>
    </row>
    <row r="226" spans="1:39" s="231" customFormat="1" ht="408.75" customHeight="1" x14ac:dyDescent="0.3">
      <c r="A226" s="1618">
        <v>1</v>
      </c>
      <c r="B226" s="1656" t="s">
        <v>209</v>
      </c>
      <c r="C226" s="1656" t="s">
        <v>754</v>
      </c>
      <c r="D226" s="1698" t="s">
        <v>755</v>
      </c>
      <c r="E226" s="90" t="s">
        <v>756</v>
      </c>
      <c r="F226" s="1836" t="s">
        <v>757</v>
      </c>
      <c r="G226" s="91" t="s">
        <v>758</v>
      </c>
      <c r="H226" s="1839" t="s">
        <v>759</v>
      </c>
      <c r="I226" s="93" t="s">
        <v>198</v>
      </c>
      <c r="J226" s="1640" t="s">
        <v>760</v>
      </c>
      <c r="K226" s="1643" t="str">
        <f>IF(J226&lt;=0,"",IF(J226&lt;=2,"Muy Baja",IF(J226&lt;=24,"Baja",IF(J226&lt;=500,"Media",IF(J226&lt;=5000,"Alta","Muy Alta")))))</f>
        <v>Muy Alta</v>
      </c>
      <c r="L226" s="1632">
        <f>IF(K226="","",IF(K226="Muy Baja",0.2,IF(K226="Baja",0.4,IF(K226="Media",0.6,IF(K226="Alta",0.8,IF(K226="Muy Alta",1,))))))</f>
        <v>1</v>
      </c>
      <c r="M226" s="1646" t="s">
        <v>256</v>
      </c>
      <c r="N226" s="1632" t="str">
        <f>IF(NOT(ISERROR(MATCH(M226,'[13]Tabla Impacto'!$B$221:$B$223,0))),'[13]Tabla Impacto'!$F$223&amp;"Por favor no seleccionar los criterios de impacto(Afectación Económica o presupuestal y Pérdida Reputacional)",M226)</f>
        <v xml:space="preserve">     Mayor a 10000 SMLMV</v>
      </c>
      <c r="O226" s="1643" t="str">
        <f>IF(OR(N226='[13]Tabla Impacto'!$C$11,N226='[13]Tabla Impacto'!$D$11),"Leve",IF(OR(N226='[13]Tabla Impacto'!$C$12,N226='[13]Tabla Impacto'!$D$12),"Menor",IF(OR(N226='[13]Tabla Impacto'!$C$13,N226='[13]Tabla Impacto'!$D$13),"Moderado",IF(OR(N226='[13]Tabla Impacto'!$C$14,N226='[13]Tabla Impacto'!$D$14),"Mayor",IF(OR(N226='[13]Tabla Impacto'!$C$15,N226='[13]Tabla Impacto'!$D$15),"Catastrófico","")))))</f>
        <v>Catastrófico</v>
      </c>
      <c r="P226" s="1632">
        <f>IF(O226="","",IF(O226="Leve",0.2,IF(O226="Menor",0.4,IF(O226="Moderado",0.6,IF(O226="Mayor",0.8,IF(O226="Catastrófico",1,))))))</f>
        <v>1</v>
      </c>
      <c r="Q226" s="1635" t="str">
        <f>IF(OR(AND(K226="Muy Baja",O226="Leve"),AND(K226="Muy Baja",O226="Menor"),AND(K226="Baja",O226="Leve")),"Bajo",IF(OR(AND(K226="Muy baja",O226="Moderado"),AND(K226="Baja",O226="Menor"),AND(K226="Baja",O226="Moderado"),AND(K226="Media",O226="Leve"),AND(K226="Media",O226="Menor"),AND(K226="Media",O226="Moderado"),AND(K226="Alta",O226="Leve"),AND(K226="Alta",O226="Menor")),"Moderado",IF(OR(AND(K226="Muy Baja",O226="Mayor"),AND(K226="Baja",O226="Mayor"),AND(K226="Media",O226="Mayor"),AND(K226="Alta",O226="Moderado"),AND(K226="Alta",O226="Mayor"),AND(K226="Muy Alta",O226="Leve"),AND(K226="Muy Alta",O226="Menor"),AND(K226="Muy Alta",O226="Moderado"),AND(K226="Muy Alta",O226="Mayor")),"Alto",IF(OR(AND(K226="Muy Baja",O226="Catastrófico"),AND(K226="Baja",O226="Catastrófico"),AND(K226="Media",O226="Catastrófico"),AND(K226="Alta",O226="Catastrófico"),AND(K226="Muy Alta",O226="Catastrófico")),"Extremo",""))))</f>
        <v>Extremo</v>
      </c>
      <c r="R226" s="48">
        <v>1</v>
      </c>
      <c r="S226" s="60" t="s">
        <v>761</v>
      </c>
      <c r="T226" s="50" t="str">
        <f>IF(OR(U226="Preventivo",U226="Detectivo"),"Probabilidad",IF(U226="Correctivo","Impacto",""))</f>
        <v>Probabilidad</v>
      </c>
      <c r="U226" s="61" t="s">
        <v>200</v>
      </c>
      <c r="V226" s="61" t="s">
        <v>201</v>
      </c>
      <c r="W226" s="62" t="str">
        <f>IF(AND(U226="Preventivo",V226="Automático"),"50%",IF(AND(U226="Preventivo",V226="Manual"),"40%",IF(AND(U226="Detectivo",V226="Automático"),"40%",IF(AND(U226="Detectivo",V226="Manual"),"30%",IF(AND(U226="Correctivo",V226="Automático"),"35%",IF(AND(U226="Correctivo",V226="Manual"),"25%",""))))))</f>
        <v>30%</v>
      </c>
      <c r="X226" s="61" t="s">
        <v>208</v>
      </c>
      <c r="Y226" s="61" t="s">
        <v>203</v>
      </c>
      <c r="Z226" s="61" t="s">
        <v>204</v>
      </c>
      <c r="AA226" s="63">
        <f>IFERROR(IF(T226="Probabilidad",(L226-(+L226*W226)),IF(T226="Impacto",L226,"")),"")</f>
        <v>0.7</v>
      </c>
      <c r="AB226" s="64" t="str">
        <f>IFERROR(IF(AA226="","",IF(AA226&lt;=0.2,"Muy Baja",IF(AA226&lt;=0.4,"Baja",IF(AA226&lt;=0.6,"Media",IF(AA226&lt;=0.8,"Alta","Muy Alta"))))),"")</f>
        <v>Alta</v>
      </c>
      <c r="AC226" s="65">
        <f>+AA226</f>
        <v>0.7</v>
      </c>
      <c r="AD226" s="64" t="str">
        <f>IFERROR(IF(AE226="","",IF(AE226&lt;=0.2,"Leve",IF(AE226&lt;=0.4,"Menor",IF(AE226&lt;=0.6,"Moderado",IF(AE226&lt;=0.8,"Mayor","Catastrófico"))))),"")</f>
        <v>Catastrófico</v>
      </c>
      <c r="AE226" s="65">
        <f>IFERROR(IF(T226="Impacto",(P226-(+P226*W226)),IF(T226="Probabilidad",P226,"")),"")</f>
        <v>1</v>
      </c>
      <c r="AF226" s="66" t="str">
        <f>IFERROR(IF(OR(AND(AB226="Muy Baja",AD226="Leve"),AND(AB226="Muy Baja",AD226="Menor"),AND(AB226="Baja",AD226="Leve")),"Bajo",IF(OR(AND(AB226="Muy baja",AD226="Moderado"),AND(AB226="Baja",AD226="Menor"),AND(AB226="Baja",AD226="Moderado"),AND(AB226="Media",AD226="Leve"),AND(AB226="Media",AD226="Menor"),AND(AB226="Media",AD226="Moderado"),AND(AB226="Alta",AD226="Leve"),AND(AB226="Alta",AD226="Menor")),"Moderado",IF(OR(AND(AB226="Muy Baja",AD226="Mayor"),AND(AB226="Baja",AD226="Mayor"),AND(AB226="Media",AD226="Mayor"),AND(AB226="Alta",AD226="Moderado"),AND(AB226="Alta",AD226="Mayor"),AND(AB226="Muy Alta",AD226="Leve"),AND(AB226="Muy Alta",AD226="Menor"),AND(AB226="Muy Alta",AD226="Moderado"),AND(AB226="Muy Alta",AD226="Mayor")),"Alto",IF(OR(AND(AB226="Muy Baja",AD226="Catastrófico"),AND(AB226="Baja",AD226="Catastrófico"),AND(AB226="Media",AD226="Catastrófico"),AND(AB226="Alta",AD226="Catastrófico"),AND(AB226="Muy Alta",AD226="Catastrófico")),"Extremo","")))),"")</f>
        <v>Extremo</v>
      </c>
      <c r="AG226" s="81" t="s">
        <v>244</v>
      </c>
      <c r="AH226" s="1830" t="s">
        <v>762</v>
      </c>
      <c r="AI226" s="77" t="s">
        <v>245</v>
      </c>
      <c r="AJ226" s="82">
        <v>44927</v>
      </c>
      <c r="AK226" s="100" t="s">
        <v>763</v>
      </c>
      <c r="AL226" s="94" t="s">
        <v>764</v>
      </c>
      <c r="AM226" s="70"/>
    </row>
    <row r="227" spans="1:39" s="184" customFormat="1" ht="99.9" customHeight="1" x14ac:dyDescent="0.25">
      <c r="A227" s="1619"/>
      <c r="B227" s="1657"/>
      <c r="C227" s="1657"/>
      <c r="D227" s="1699"/>
      <c r="E227" s="1833"/>
      <c r="F227" s="1837"/>
      <c r="G227" s="95"/>
      <c r="H227" s="1840"/>
      <c r="I227" s="96"/>
      <c r="J227" s="1841"/>
      <c r="K227" s="1644"/>
      <c r="L227" s="1633"/>
      <c r="M227" s="1647"/>
      <c r="N227" s="1633">
        <f>IF(NOT(ISERROR(MATCH(M227,_xlfn.ANCHORARRAY(F232),0))),#REF!&amp;"Por favor no seleccionar los criterios de impacto",M227)</f>
        <v>0</v>
      </c>
      <c r="O227" s="1644"/>
      <c r="P227" s="1633"/>
      <c r="Q227" s="1636"/>
      <c r="R227" s="48"/>
      <c r="S227" s="60"/>
      <c r="T227" s="50"/>
      <c r="U227" s="61"/>
      <c r="V227" s="61"/>
      <c r="W227" s="62"/>
      <c r="X227" s="61"/>
      <c r="Y227" s="61"/>
      <c r="Z227" s="61"/>
      <c r="AA227" s="63" t="str">
        <f>IFERROR(IF(AND(T226="Probabilidad",T227="Probabilidad"),(AC226-(+AC226*W227)),IF(AND(T226="Impacto",T227="Probabilidad"),(AC225-(+AC225*W227)),IF(T227="Impacto",AC226,""))),"")</f>
        <v/>
      </c>
      <c r="AB227" s="64" t="str">
        <f t="shared" ref="AB227" si="130">IFERROR(IF(AA227="","",IF(AA227&lt;=0.2,"Muy Baja",IF(AA227&lt;=0.4,"Baja",IF(AA227&lt;=0.6,"Media",IF(AA227&lt;=0.8,"Alta","Muy Alta"))))),"")</f>
        <v/>
      </c>
      <c r="AC227" s="65" t="str">
        <f t="shared" ref="AC227" si="131">+AA227</f>
        <v/>
      </c>
      <c r="AD227" s="64" t="str">
        <f t="shared" ref="AD227" si="132">IFERROR(IF(AE227="","",IF(AE227&lt;=0.2,"Leve",IF(AE227&lt;=0.4,"Menor",IF(AE227&lt;=0.6,"Moderado",IF(AE227&lt;=0.8,"Mayor","Catastrófico"))))),"")</f>
        <v/>
      </c>
      <c r="AE227" s="65" t="str">
        <f>IFERROR(IF(AND(T226="Impacto",T227="Impacto"),(AE226-(+AE226*W227)),IF(AND(T226="Probabilidad",T227="Impacto"),(AE225-(+AE225*W227)),IF(T227="Probabilidad",AE226,""))),"")</f>
        <v/>
      </c>
      <c r="AF227" s="66" t="str">
        <f t="shared" ref="AF227" si="133">IFERROR(IF(OR(AND(AB227="Muy Baja",AD227="Leve"),AND(AB227="Muy Baja",AD227="Menor"),AND(AB227="Baja",AD227="Leve")),"Bajo",IF(OR(AND(AB227="Muy baja",AD227="Moderado"),AND(AB227="Baja",AD227="Menor"),AND(AB227="Baja",AD227="Moderado"),AND(AB227="Media",AD227="Leve"),AND(AB227="Media",AD227="Menor"),AND(AB227="Media",AD227="Moderado"),AND(AB227="Alta",AD227="Leve"),AND(AB227="Alta",AD227="Menor")),"Moderado",IF(OR(AND(AB227="Muy Baja",AD227="Mayor"),AND(AB227="Baja",AD227="Mayor"),AND(AB227="Media",AD227="Mayor"),AND(AB227="Alta",AD227="Moderado"),AND(AB227="Alta",AD227="Mayor"),AND(AB227="Muy Alta",AD227="Leve"),AND(AB227="Muy Alta",AD227="Menor"),AND(AB227="Muy Alta",AD227="Moderado"),AND(AB227="Muy Alta",AD227="Mayor")),"Alto",IF(OR(AND(AB227="Muy Baja",AD227="Catastrófico"),AND(AB227="Baja",AD227="Catastrófico"),AND(AB227="Media",AD227="Catastrófico"),AND(AB227="Alta",AD227="Catastrófico"),AND(AB227="Muy Alta",AD227="Catastrófico")),"Extremo","")))),"")</f>
        <v/>
      </c>
      <c r="AG227" s="81"/>
      <c r="AH227" s="1831"/>
      <c r="AI227" s="77" t="s">
        <v>245</v>
      </c>
      <c r="AJ227" s="82">
        <v>44927</v>
      </c>
      <c r="AK227" s="82"/>
      <c r="AL227" s="97"/>
      <c r="AM227" s="78"/>
    </row>
    <row r="228" spans="1:39" s="184" customFormat="1" ht="15.6" x14ac:dyDescent="0.25">
      <c r="A228" s="1619"/>
      <c r="B228" s="1657"/>
      <c r="C228" s="1657"/>
      <c r="D228" s="1699"/>
      <c r="E228" s="1834"/>
      <c r="F228" s="1837"/>
      <c r="G228" s="95"/>
      <c r="H228" s="98"/>
      <c r="I228" s="96"/>
      <c r="J228" s="99"/>
      <c r="K228" s="1644"/>
      <c r="L228" s="1633"/>
      <c r="M228" s="1647"/>
      <c r="N228" s="1633">
        <f>IF(NOT(ISERROR(MATCH(M228,_xlfn.ANCHORARRAY(#REF!),0))),#REF!&amp;"Por favor no seleccionar los criterios de impacto",M228)</f>
        <v>0</v>
      </c>
      <c r="O228" s="1644"/>
      <c r="P228" s="1633"/>
      <c r="Q228" s="1636"/>
      <c r="R228" s="48">
        <v>3</v>
      </c>
      <c r="S228" s="79"/>
      <c r="T228" s="50"/>
      <c r="U228" s="61"/>
      <c r="V228" s="61"/>
      <c r="W228" s="62"/>
      <c r="X228" s="61"/>
      <c r="Y228" s="61"/>
      <c r="Z228" s="61"/>
      <c r="AA228" s="63"/>
      <c r="AB228" s="64"/>
      <c r="AC228" s="65"/>
      <c r="AD228" s="64"/>
      <c r="AE228" s="65"/>
      <c r="AF228" s="66"/>
      <c r="AG228" s="81"/>
      <c r="AH228" s="1831"/>
      <c r="AI228" s="77"/>
      <c r="AJ228" s="100"/>
      <c r="AK228" s="82"/>
      <c r="AL228" s="97"/>
      <c r="AM228" s="78"/>
    </row>
    <row r="229" spans="1:39" s="184" customFormat="1" ht="15.6" x14ac:dyDescent="0.25">
      <c r="A229" s="1619"/>
      <c r="B229" s="1657"/>
      <c r="C229" s="1657"/>
      <c r="D229" s="1699"/>
      <c r="E229" s="1834"/>
      <c r="F229" s="1837"/>
      <c r="G229" s="95"/>
      <c r="H229" s="98"/>
      <c r="I229" s="96"/>
      <c r="J229" s="99"/>
      <c r="K229" s="1644"/>
      <c r="L229" s="1633"/>
      <c r="M229" s="1647"/>
      <c r="N229" s="1633">
        <f>IF(NOT(ISERROR(MATCH(M229,_xlfn.ANCHORARRAY(#REF!),0))),#REF!&amp;"Por favor no seleccionar los criterios de impacto",M229)</f>
        <v>0</v>
      </c>
      <c r="O229" s="1644"/>
      <c r="P229" s="1633"/>
      <c r="Q229" s="1636"/>
      <c r="R229" s="48">
        <v>4</v>
      </c>
      <c r="S229" s="49"/>
      <c r="T229" s="50"/>
      <c r="U229" s="61"/>
      <c r="V229" s="61"/>
      <c r="W229" s="62"/>
      <c r="X229" s="61"/>
      <c r="Y229" s="61"/>
      <c r="Z229" s="61"/>
      <c r="AA229" s="63"/>
      <c r="AB229" s="64"/>
      <c r="AC229" s="65"/>
      <c r="AD229" s="64"/>
      <c r="AE229" s="65"/>
      <c r="AF229" s="66"/>
      <c r="AG229" s="81"/>
      <c r="AH229" s="97"/>
      <c r="AI229" s="78"/>
      <c r="AJ229" s="100"/>
      <c r="AK229" s="82"/>
      <c r="AL229" s="97"/>
      <c r="AM229" s="78"/>
    </row>
    <row r="230" spans="1:39" s="184" customFormat="1" ht="15.6" x14ac:dyDescent="0.25">
      <c r="A230" s="1619"/>
      <c r="B230" s="1657"/>
      <c r="C230" s="1657"/>
      <c r="D230" s="1699"/>
      <c r="E230" s="1834"/>
      <c r="F230" s="1837"/>
      <c r="G230" s="95"/>
      <c r="H230" s="98"/>
      <c r="I230" s="96"/>
      <c r="J230" s="99"/>
      <c r="K230" s="1644"/>
      <c r="L230" s="1633"/>
      <c r="M230" s="1647"/>
      <c r="N230" s="1633">
        <f>IF(NOT(ISERROR(MATCH(M230,_xlfn.ANCHORARRAY(#REF!),0))),#REF!&amp;"Por favor no seleccionar los criterios de impacto",M230)</f>
        <v>0</v>
      </c>
      <c r="O230" s="1644"/>
      <c r="P230" s="1633"/>
      <c r="Q230" s="1636"/>
      <c r="R230" s="48">
        <v>5</v>
      </c>
      <c r="S230" s="49"/>
      <c r="T230" s="50" t="str">
        <f t="shared" ref="T230:T231" si="134">IF(OR(U230="Preventivo",U230="Detectivo"),"Probabilidad",IF(U230="Correctivo","Impacto",""))</f>
        <v/>
      </c>
      <c r="U230" s="61"/>
      <c r="V230" s="61"/>
      <c r="W230" s="62" t="str">
        <f t="shared" ref="W230:W231" si="135">IF(AND(U230="Preventivo",V230="Automático"),"50%",IF(AND(U230="Preventivo",V230="Manual"),"40%",IF(AND(U230="Detectivo",V230="Automático"),"40%",IF(AND(U230="Detectivo",V230="Manual"),"30%",IF(AND(U230="Correctivo",V230="Automático"),"35%",IF(AND(U230="Correctivo",V230="Manual"),"25%",""))))))</f>
        <v/>
      </c>
      <c r="X230" s="61"/>
      <c r="Y230" s="61"/>
      <c r="Z230" s="61"/>
      <c r="AA230" s="63" t="str">
        <f t="shared" ref="AA230:AA231" si="136">IFERROR(IF(AND(T229="Probabilidad",T230="Probabilidad"),(AC229-(+AC229*W230)),IF(AND(T229="Impacto",T230="Probabilidad"),(AC228-(+AC228*W230)),IF(T230="Impacto",AC229,""))),"")</f>
        <v/>
      </c>
      <c r="AB230" s="64" t="str">
        <f t="shared" ref="AB230:AB231" si="137">IFERROR(IF(AA230="","",IF(AA230&lt;=0.2,"Muy Baja",IF(AA230&lt;=0.4,"Baja",IF(AA230&lt;=0.6,"Media",IF(AA230&lt;=0.8,"Alta","Muy Alta"))))),"")</f>
        <v/>
      </c>
      <c r="AC230" s="65" t="str">
        <f t="shared" ref="AC230:AC231" si="138">+AA230</f>
        <v/>
      </c>
      <c r="AD230" s="64" t="str">
        <f t="shared" ref="AD230:AD231" si="139">IFERROR(IF(AE230="","",IF(AE230&lt;=0.2,"Leve",IF(AE230&lt;=0.4,"Menor",IF(AE230&lt;=0.6,"Moderado",IF(AE230&lt;=0.8,"Mayor","Catastrófico"))))),"")</f>
        <v/>
      </c>
      <c r="AE230" s="65" t="str">
        <f t="shared" ref="AE230:AE231" si="140">IFERROR(IF(AND(T229="Impacto",T230="Impacto"),(AE229-(+AE229*W230)),IF(AND(T229="Probabilidad",T230="Impacto"),(AE228-(+AE228*W230)),IF(T230="Probabilidad",AE229,""))),"")</f>
        <v/>
      </c>
      <c r="AF230" s="66" t="str">
        <f t="shared" ref="AF230:AF231" si="141">IFERROR(IF(OR(AND(AB230="Muy Baja",AD230="Leve"),AND(AB230="Muy Baja",AD230="Menor"),AND(AB230="Baja",AD230="Leve")),"Bajo",IF(OR(AND(AB230="Muy baja",AD230="Moderado"),AND(AB230="Baja",AD230="Menor"),AND(AB230="Baja",AD230="Moderado"),AND(AB230="Media",AD230="Leve"),AND(AB230="Media",AD230="Menor"),AND(AB230="Media",AD230="Moderado"),AND(AB230="Alta",AD230="Leve"),AND(AB230="Alta",AD230="Menor")),"Moderado",IF(OR(AND(AB230="Muy Baja",AD230="Mayor"),AND(AB230="Baja",AD230="Mayor"),AND(AB230="Media",AD230="Mayor"),AND(AB230="Alta",AD230="Moderado"),AND(AB230="Alta",AD230="Mayor"),AND(AB230="Muy Alta",AD230="Leve"),AND(AB230="Muy Alta",AD230="Menor"),AND(AB230="Muy Alta",AD230="Moderado"),AND(AB230="Muy Alta",AD230="Mayor")),"Alto",IF(OR(AND(AB230="Muy Baja",AD230="Catastrófico"),AND(AB230="Baja",AD230="Catastrófico"),AND(AB230="Media",AD230="Catastrófico"),AND(AB230="Alta",AD230="Catastrófico"),AND(AB230="Muy Alta",AD230="Catastrófico")),"Extremo","")))),"")</f>
        <v/>
      </c>
      <c r="AG230" s="81"/>
      <c r="AH230" s="77"/>
      <c r="AI230" s="78"/>
      <c r="AJ230" s="82"/>
      <c r="AK230" s="82"/>
      <c r="AL230" s="97"/>
      <c r="AM230" s="78"/>
    </row>
    <row r="231" spans="1:39" s="184" customFormat="1" ht="15.6" x14ac:dyDescent="0.25">
      <c r="A231" s="1620"/>
      <c r="B231" s="1658"/>
      <c r="C231" s="1658"/>
      <c r="D231" s="1704"/>
      <c r="E231" s="1835"/>
      <c r="F231" s="1838"/>
      <c r="G231" s="101"/>
      <c r="H231" s="98"/>
      <c r="I231" s="102"/>
      <c r="J231" s="103"/>
      <c r="K231" s="1645"/>
      <c r="L231" s="1634"/>
      <c r="M231" s="1648"/>
      <c r="N231" s="1634">
        <f>IF(NOT(ISERROR(MATCH(M231,_xlfn.ANCHORARRAY(#REF!),0))),#REF!&amp;"Por favor no seleccionar los criterios de impacto",M231)</f>
        <v>0</v>
      </c>
      <c r="O231" s="1645"/>
      <c r="P231" s="1634"/>
      <c r="Q231" s="1637"/>
      <c r="R231" s="48">
        <v>6</v>
      </c>
      <c r="S231" s="49"/>
      <c r="T231" s="50" t="str">
        <f t="shared" si="134"/>
        <v/>
      </c>
      <c r="U231" s="61"/>
      <c r="V231" s="61"/>
      <c r="W231" s="62" t="str">
        <f t="shared" si="135"/>
        <v/>
      </c>
      <c r="X231" s="61"/>
      <c r="Y231" s="61"/>
      <c r="Z231" s="61"/>
      <c r="AA231" s="63" t="str">
        <f t="shared" si="136"/>
        <v/>
      </c>
      <c r="AB231" s="64" t="str">
        <f t="shared" si="137"/>
        <v/>
      </c>
      <c r="AC231" s="65" t="str">
        <f t="shared" si="138"/>
        <v/>
      </c>
      <c r="AD231" s="64" t="str">
        <f t="shared" si="139"/>
        <v/>
      </c>
      <c r="AE231" s="65" t="str">
        <f t="shared" si="140"/>
        <v/>
      </c>
      <c r="AF231" s="66" t="str">
        <f t="shared" si="141"/>
        <v/>
      </c>
      <c r="AG231" s="81"/>
      <c r="AH231" s="77"/>
      <c r="AI231" s="78"/>
      <c r="AJ231" s="82"/>
      <c r="AK231" s="82"/>
      <c r="AL231" s="97"/>
      <c r="AM231" s="78"/>
    </row>
    <row r="232" spans="1:39" s="184" customFormat="1" ht="177.75" customHeight="1" x14ac:dyDescent="0.25">
      <c r="A232" s="57">
        <v>3</v>
      </c>
      <c r="B232" s="58" t="s">
        <v>395</v>
      </c>
      <c r="C232" s="391" t="s">
        <v>765</v>
      </c>
      <c r="D232" s="391" t="s">
        <v>766</v>
      </c>
      <c r="E232" s="88" t="s">
        <v>767</v>
      </c>
      <c r="F232" s="83" t="s">
        <v>768</v>
      </c>
      <c r="G232" s="226" t="s">
        <v>769</v>
      </c>
      <c r="H232" s="226" t="s">
        <v>770</v>
      </c>
      <c r="I232" s="84" t="s">
        <v>198</v>
      </c>
      <c r="J232" s="46" t="s">
        <v>771</v>
      </c>
      <c r="K232" s="85" t="str">
        <f t="shared" ref="K232:K233" si="142">IF(J232&lt;=0,"",IF(J232&lt;=2,"Muy Baja",IF(J232&lt;=24,"Baja",IF(J232&lt;=500,"Media",IF(J232&lt;=5000,"Alta","Muy Alta")))))</f>
        <v>Muy Alta</v>
      </c>
      <c r="L232" s="47">
        <f t="shared" ref="L232:L233" si="143">IF(K232="","",IF(K232="Muy Baja",0.2,IF(K232="Baja",0.4,IF(K232="Media",0.6,IF(K232="Alta",0.8,IF(K232="Muy Alta",1,))))))</f>
        <v>1</v>
      </c>
      <c r="M232" s="86" t="s">
        <v>256</v>
      </c>
      <c r="N232" s="47" t="str">
        <f>IF(NOT(ISERROR(MATCH(M232,'[13]Tabla Impacto'!$B$221:$B$223,0))),'[13]Tabla Impacto'!$F$223&amp;"Por favor no seleccionar los criterios de impacto(Afectación Económica o presupuestal y Pérdida Reputacional)",M232)</f>
        <v xml:space="preserve">     Mayor a 10000 SMLMV</v>
      </c>
      <c r="O232" s="85" t="str">
        <f>IF(OR(N232='[13]Tabla Impacto'!$C$11,N232='[13]Tabla Impacto'!$D$11),"Leve",IF(OR(N232='[13]Tabla Impacto'!$C$12,N232='[13]Tabla Impacto'!$D$12),"Menor",IF(OR(N232='[13]Tabla Impacto'!$C$13,N232='[13]Tabla Impacto'!$D$13),"Moderado",IF(OR(N232='[13]Tabla Impacto'!$C$14,N232='[13]Tabla Impacto'!$D$14),"Mayor",IF(OR(N232='[13]Tabla Impacto'!$C$15,N232='[13]Tabla Impacto'!$D$15),"Catastrófico","")))))</f>
        <v>Catastrófico</v>
      </c>
      <c r="P232" s="47">
        <f t="shared" ref="P232:P233" si="144">IF(O232="","",IF(O232="Leve",0.2,IF(O232="Menor",0.4,IF(O232="Moderado",0.6,IF(O232="Mayor",0.8,IF(O232="Catastrófico",1,))))))</f>
        <v>1</v>
      </c>
      <c r="Q232" s="87" t="str">
        <f t="shared" ref="Q232:Q233" si="145">IF(OR(AND(K232="Muy Baja",O232="Leve"),AND(K232="Muy Baja",O232="Menor"),AND(K232="Baja",O232="Leve")),"Bajo",IF(OR(AND(K232="Muy baja",O232="Moderado"),AND(K232="Baja",O232="Menor"),AND(K232="Baja",O232="Moderado"),AND(K232="Media",O232="Leve"),AND(K232="Media",O232="Menor"),AND(K232="Media",O232="Moderado"),AND(K232="Alta",O232="Leve"),AND(K232="Alta",O232="Menor")),"Moderado",IF(OR(AND(K232="Muy Baja",O232="Mayor"),AND(K232="Baja",O232="Mayor"),AND(K232="Media",O232="Mayor"),AND(K232="Alta",O232="Moderado"),AND(K232="Alta",O232="Mayor"),AND(K232="Muy Alta",O232="Leve"),AND(K232="Muy Alta",O232="Menor"),AND(K232="Muy Alta",O232="Moderado"),AND(K232="Muy Alta",O232="Mayor")),"Alto",IF(OR(AND(K232="Muy Baja",O232="Catastrófico"),AND(K232="Baja",O232="Catastrófico"),AND(K232="Media",O232="Catastrófico"),AND(K232="Alta",O232="Catastrófico"),AND(K232="Muy Alta",O232="Catastrófico")),"Extremo",""))))</f>
        <v>Extremo</v>
      </c>
      <c r="R232" s="48"/>
      <c r="S232" s="156" t="s">
        <v>772</v>
      </c>
      <c r="T232" s="50" t="s">
        <v>141</v>
      </c>
      <c r="U232" s="51" t="s">
        <v>200</v>
      </c>
      <c r="V232" s="51" t="s">
        <v>201</v>
      </c>
      <c r="W232" s="52">
        <v>0.3</v>
      </c>
      <c r="X232" s="51" t="s">
        <v>208</v>
      </c>
      <c r="Y232" s="51" t="s">
        <v>203</v>
      </c>
      <c r="Z232" s="51" t="s">
        <v>204</v>
      </c>
      <c r="AA232" s="63">
        <v>0.7</v>
      </c>
      <c r="AB232" s="218" t="str">
        <f>IFERROR(IF(AA232="","",IF(AA232&lt;=0.2,"Muy Baja",IF(AA232&lt;=0.4,"Baja",IF(AA232&lt;=0.6,"Media",IF(AA232&lt;=0.8,"Alta","Muy Alta"))))),"")</f>
        <v>Alta</v>
      </c>
      <c r="AC232" s="219">
        <f>+AA232</f>
        <v>0.7</v>
      </c>
      <c r="AD232" s="218" t="str">
        <f>IFERROR(IF(AE232="","",IF(AE232&lt;=0.2,"Leve",IF(AE232&lt;=0.4,"Menor",IF(AE232&lt;=0.6,"Moderado",IF(AE232&lt;=0.8,"Mayor","Catastrófico"))))),"")</f>
        <v>Catastrófico</v>
      </c>
      <c r="AE232" s="219">
        <f>IFERROR(IF(T232="Impacto",(P232-(+P232*W232)),IF(T232="Probabilidad",P232,"")),"")</f>
        <v>1</v>
      </c>
      <c r="AF232" s="220" t="str">
        <f>IFERROR(IF(OR(AND(AB232="Muy Baja",AD232="Leve"),AND(AB232="Muy Baja",AD232="Menor"),AND(AB232="Baja",AD232="Leve")),"Bajo",IF(OR(AND(AB232="Muy baja",AD232="Moderado"),AND(AB232="Baja",AD232="Menor"),AND(AB232="Baja",AD232="Moderado"),AND(AB232="Media",AD232="Leve"),AND(AB232="Media",AD232="Menor"),AND(AB232="Media",AD232="Moderado"),AND(AB232="Alta",AD232="Leve"),AND(AB232="Alta",AD232="Menor")),"Moderado",IF(OR(AND(AB232="Muy Baja",AD232="Mayor"),AND(AB232="Baja",AD232="Mayor"),AND(AB232="Media",AD232="Mayor"),AND(AB232="Alta",AD232="Moderado"),AND(AB232="Alta",AD232="Mayor"),AND(AB232="Muy Alta",AD232="Leve"),AND(AB232="Muy Alta",AD232="Menor"),AND(AB232="Muy Alta",AD232="Moderado"),AND(AB232="Muy Alta",AD232="Mayor")),"Alto",IF(OR(AND(AB232="Muy Baja",AD232="Catastrófico"),AND(AB232="Baja",AD232="Catastrófico"),AND(AB232="Media",AD232="Catastrófico"),AND(AB232="Alta",AD232="Catastrófico"),AND(AB232="Muy Alta",AD232="Catastrófico")),"Extremo","")))),"")</f>
        <v>Extremo</v>
      </c>
      <c r="AG232" s="153"/>
      <c r="AH232" s="97" t="s">
        <v>773</v>
      </c>
      <c r="AI232" s="77" t="s">
        <v>245</v>
      </c>
      <c r="AJ232" s="100">
        <v>45321</v>
      </c>
      <c r="AK232" s="147"/>
      <c r="AL232" s="147" t="s">
        <v>774</v>
      </c>
      <c r="AM232" s="78"/>
    </row>
    <row r="233" spans="1:39" s="184" customFormat="1" ht="77.25" customHeight="1" x14ac:dyDescent="0.25">
      <c r="A233" s="1618">
        <v>7</v>
      </c>
      <c r="B233" s="1614" t="s">
        <v>395</v>
      </c>
      <c r="C233" s="1614" t="s">
        <v>775</v>
      </c>
      <c r="D233" s="1614" t="s">
        <v>776</v>
      </c>
      <c r="E233" s="1842" t="s">
        <v>777</v>
      </c>
      <c r="F233" s="1831" t="s">
        <v>778</v>
      </c>
      <c r="G233" s="221" t="s">
        <v>769</v>
      </c>
      <c r="H233" s="221" t="s">
        <v>770</v>
      </c>
      <c r="I233" s="1614" t="s">
        <v>198</v>
      </c>
      <c r="J233" s="1611" t="s">
        <v>771</v>
      </c>
      <c r="K233" s="1595" t="str">
        <f t="shared" si="142"/>
        <v>Muy Alta</v>
      </c>
      <c r="L233" s="1592">
        <f t="shared" si="143"/>
        <v>1</v>
      </c>
      <c r="M233" s="1589" t="s">
        <v>256</v>
      </c>
      <c r="N233" s="1592" t="str">
        <f>IF(NOT(ISERROR(MATCH(M233,'[13]Tabla Impacto'!$B$221:$B$223,0))),'[13]Tabla Impacto'!$F$223&amp;"Por favor no seleccionar los criterios de impacto(Afectación Económica o presupuestal y Pérdida Reputacional)",M233)</f>
        <v xml:space="preserve">     Mayor a 10000 SMLMV</v>
      </c>
      <c r="O233" s="1595" t="str">
        <f>IF(OR(N233='[13]Tabla Impacto'!$C$11,N233='[13]Tabla Impacto'!$D$11),"Leve",IF(OR(N233='[13]Tabla Impacto'!$C$12,N233='[13]Tabla Impacto'!$D$12),"Menor",IF(OR(N233='[13]Tabla Impacto'!$C$13,N233='[13]Tabla Impacto'!$D$13),"Moderado",IF(OR(N233='[13]Tabla Impacto'!$C$14,N233='[13]Tabla Impacto'!$D$14),"Mayor",IF(OR(N233='[13]Tabla Impacto'!$C$15,N233='[13]Tabla Impacto'!$D$15),"Catastrófico","")))))</f>
        <v>Catastrófico</v>
      </c>
      <c r="P233" s="1592">
        <f t="shared" si="144"/>
        <v>1</v>
      </c>
      <c r="Q233" s="1598" t="str">
        <f t="shared" si="145"/>
        <v>Extremo</v>
      </c>
      <c r="R233" s="48">
        <v>1</v>
      </c>
      <c r="S233" s="49" t="s">
        <v>779</v>
      </c>
      <c r="T233" s="50" t="s">
        <v>141</v>
      </c>
      <c r="U233" s="51" t="s">
        <v>200</v>
      </c>
      <c r="V233" s="51" t="s">
        <v>201</v>
      </c>
      <c r="W233" s="52">
        <v>0.3</v>
      </c>
      <c r="X233" s="51" t="s">
        <v>208</v>
      </c>
      <c r="Y233" s="51" t="s">
        <v>203</v>
      </c>
      <c r="Z233" s="51" t="s">
        <v>204</v>
      </c>
      <c r="AA233" s="63">
        <v>0.7</v>
      </c>
      <c r="AB233" s="218" t="s">
        <v>647</v>
      </c>
      <c r="AC233" s="219" t="s">
        <v>647</v>
      </c>
      <c r="AD233" s="218" t="s">
        <v>647</v>
      </c>
      <c r="AE233" s="219" t="s">
        <v>647</v>
      </c>
      <c r="AF233" s="220" t="s">
        <v>647</v>
      </c>
      <c r="AG233" s="153"/>
      <c r="AH233" s="77" t="s">
        <v>780</v>
      </c>
      <c r="AI233" s="77" t="s">
        <v>245</v>
      </c>
      <c r="AJ233" s="82">
        <v>45321</v>
      </c>
      <c r="AK233" s="82"/>
      <c r="AL233" s="77" t="s">
        <v>781</v>
      </c>
      <c r="AM233" s="78"/>
    </row>
    <row r="234" spans="1:39" s="184" customFormat="1" x14ac:dyDescent="0.25">
      <c r="A234" s="1619"/>
      <c r="B234" s="1621"/>
      <c r="C234" s="1621"/>
      <c r="D234" s="1621"/>
      <c r="E234" s="1843"/>
      <c r="F234" s="1831"/>
      <c r="G234" s="221"/>
      <c r="H234" s="221"/>
      <c r="I234" s="1621"/>
      <c r="J234" s="1612"/>
      <c r="K234" s="1596"/>
      <c r="L234" s="1593"/>
      <c r="M234" s="1590"/>
      <c r="N234" s="1593">
        <f>IF(NOT(ISERROR(MATCH(M234,_xlfn.ANCHORARRAY(F245),0))),L247&amp;"Por favor no seleccionar los criterios de impacto",M234)</f>
        <v>0</v>
      </c>
      <c r="O234" s="1596"/>
      <c r="P234" s="1593"/>
      <c r="Q234" s="1599"/>
      <c r="R234" s="48">
        <v>2</v>
      </c>
      <c r="S234" s="49"/>
      <c r="T234" s="50" t="s">
        <v>647</v>
      </c>
      <c r="U234" s="51"/>
      <c r="V234" s="51"/>
      <c r="W234" s="52" t="s">
        <v>647</v>
      </c>
      <c r="X234" s="51"/>
      <c r="Y234" s="51"/>
      <c r="Z234" s="51"/>
      <c r="AA234" s="63" t="s">
        <v>647</v>
      </c>
      <c r="AB234" s="218" t="s">
        <v>647</v>
      </c>
      <c r="AC234" s="219" t="s">
        <v>647</v>
      </c>
      <c r="AD234" s="218" t="s">
        <v>647</v>
      </c>
      <c r="AE234" s="219" t="s">
        <v>647</v>
      </c>
      <c r="AF234" s="220" t="s">
        <v>647</v>
      </c>
      <c r="AG234" s="153"/>
      <c r="AH234" s="77"/>
      <c r="AI234" s="78"/>
      <c r="AJ234" s="82"/>
      <c r="AK234" s="82"/>
      <c r="AL234" s="77"/>
      <c r="AM234" s="78"/>
    </row>
    <row r="235" spans="1:39" s="184" customFormat="1" x14ac:dyDescent="0.25">
      <c r="A235" s="1619"/>
      <c r="B235" s="1621"/>
      <c r="C235" s="1621"/>
      <c r="D235" s="1621"/>
      <c r="E235" s="1843"/>
      <c r="F235" s="1831"/>
      <c r="G235" s="221"/>
      <c r="H235" s="221"/>
      <c r="I235" s="1621"/>
      <c r="J235" s="1612"/>
      <c r="K235" s="1596"/>
      <c r="L235" s="1593"/>
      <c r="M235" s="1590"/>
      <c r="N235" s="1593">
        <f>IF(NOT(ISERROR(MATCH(M235,_xlfn.ANCHORARRAY(F246),0))),L248&amp;"Por favor no seleccionar los criterios de impacto",M235)</f>
        <v>0</v>
      </c>
      <c r="O235" s="1596"/>
      <c r="P235" s="1593"/>
      <c r="Q235" s="1599"/>
      <c r="R235" s="48">
        <v>3</v>
      </c>
      <c r="S235" s="79"/>
      <c r="T235" s="50" t="s">
        <v>647</v>
      </c>
      <c r="U235" s="51"/>
      <c r="V235" s="51"/>
      <c r="W235" s="52" t="s">
        <v>647</v>
      </c>
      <c r="X235" s="51"/>
      <c r="Y235" s="51"/>
      <c r="Z235" s="51"/>
      <c r="AA235" s="63" t="s">
        <v>647</v>
      </c>
      <c r="AB235" s="218" t="s">
        <v>647</v>
      </c>
      <c r="AC235" s="219" t="s">
        <v>647</v>
      </c>
      <c r="AD235" s="218" t="s">
        <v>647</v>
      </c>
      <c r="AE235" s="219" t="s">
        <v>647</v>
      </c>
      <c r="AF235" s="220" t="s">
        <v>647</v>
      </c>
      <c r="AG235" s="153"/>
      <c r="AH235" s="77"/>
      <c r="AI235" s="78"/>
      <c r="AJ235" s="82"/>
      <c r="AK235" s="82"/>
      <c r="AL235" s="77"/>
      <c r="AM235" s="78"/>
    </row>
    <row r="236" spans="1:39" s="184" customFormat="1" x14ac:dyDescent="0.25">
      <c r="A236" s="1619"/>
      <c r="B236" s="1621"/>
      <c r="C236" s="1621"/>
      <c r="D236" s="1621"/>
      <c r="E236" s="1843"/>
      <c r="F236" s="1831"/>
      <c r="G236" s="221"/>
      <c r="H236" s="221"/>
      <c r="I236" s="1621"/>
      <c r="J236" s="1612"/>
      <c r="K236" s="1596"/>
      <c r="L236" s="1593"/>
      <c r="M236" s="1590"/>
      <c r="N236" s="1593">
        <f>IF(NOT(ISERROR(MATCH(M236,_xlfn.ANCHORARRAY(F247),0))),L249&amp;"Por favor no seleccionar los criterios de impacto",M236)</f>
        <v>0</v>
      </c>
      <c r="O236" s="1596"/>
      <c r="P236" s="1593"/>
      <c r="Q236" s="1599"/>
      <c r="R236" s="48">
        <v>4</v>
      </c>
      <c r="S236" s="49"/>
      <c r="T236" s="50" t="s">
        <v>647</v>
      </c>
      <c r="U236" s="51"/>
      <c r="V236" s="51"/>
      <c r="W236" s="52" t="s">
        <v>647</v>
      </c>
      <c r="X236" s="51"/>
      <c r="Y236" s="51"/>
      <c r="Z236" s="51"/>
      <c r="AA236" s="63" t="s">
        <v>647</v>
      </c>
      <c r="AB236" s="218" t="s">
        <v>647</v>
      </c>
      <c r="AC236" s="219" t="s">
        <v>647</v>
      </c>
      <c r="AD236" s="218" t="s">
        <v>647</v>
      </c>
      <c r="AE236" s="219" t="s">
        <v>647</v>
      </c>
      <c r="AF236" s="220" t="s">
        <v>647</v>
      </c>
      <c r="AG236" s="153"/>
      <c r="AH236" s="77"/>
      <c r="AI236" s="78"/>
      <c r="AJ236" s="82"/>
      <c r="AK236" s="82"/>
      <c r="AL236" s="77"/>
      <c r="AM236" s="78"/>
    </row>
    <row r="237" spans="1:39" s="184" customFormat="1" x14ac:dyDescent="0.25">
      <c r="A237" s="1619"/>
      <c r="B237" s="1621"/>
      <c r="C237" s="1621"/>
      <c r="D237" s="1621"/>
      <c r="E237" s="1843"/>
      <c r="F237" s="1831"/>
      <c r="G237" s="221"/>
      <c r="H237" s="221"/>
      <c r="I237" s="1621"/>
      <c r="J237" s="1612"/>
      <c r="K237" s="1596"/>
      <c r="L237" s="1593"/>
      <c r="M237" s="1590"/>
      <c r="N237" s="1593">
        <f>IF(NOT(ISERROR(MATCH(M237,_xlfn.ANCHORARRAY(F248),0))),L250&amp;"Por favor no seleccionar los criterios de impacto",M237)</f>
        <v>0</v>
      </c>
      <c r="O237" s="1596"/>
      <c r="P237" s="1593"/>
      <c r="Q237" s="1599"/>
      <c r="R237" s="48">
        <v>5</v>
      </c>
      <c r="S237" s="49"/>
      <c r="T237" s="50" t="s">
        <v>647</v>
      </c>
      <c r="U237" s="51"/>
      <c r="V237" s="51"/>
      <c r="W237" s="52" t="s">
        <v>647</v>
      </c>
      <c r="X237" s="51"/>
      <c r="Y237" s="51"/>
      <c r="Z237" s="51"/>
      <c r="AA237" s="63" t="s">
        <v>647</v>
      </c>
      <c r="AB237" s="218" t="s">
        <v>647</v>
      </c>
      <c r="AC237" s="219" t="s">
        <v>647</v>
      </c>
      <c r="AD237" s="218" t="s">
        <v>647</v>
      </c>
      <c r="AE237" s="219" t="s">
        <v>647</v>
      </c>
      <c r="AF237" s="220" t="s">
        <v>647</v>
      </c>
      <c r="AG237" s="153"/>
      <c r="AH237" s="77"/>
      <c r="AI237" s="78"/>
      <c r="AJ237" s="82"/>
      <c r="AK237" s="82"/>
      <c r="AL237" s="77"/>
      <c r="AM237" s="78"/>
    </row>
    <row r="238" spans="1:39" s="184" customFormat="1" x14ac:dyDescent="0.25">
      <c r="A238" s="1620"/>
      <c r="B238" s="1615"/>
      <c r="C238" s="1615"/>
      <c r="D238" s="1615"/>
      <c r="E238" s="1844"/>
      <c r="F238" s="1832"/>
      <c r="G238" s="238"/>
      <c r="H238" s="238"/>
      <c r="I238" s="1615"/>
      <c r="J238" s="1613"/>
      <c r="K238" s="1597"/>
      <c r="L238" s="1594"/>
      <c r="M238" s="1591"/>
      <c r="N238" s="1594">
        <f>IF(NOT(ISERROR(MATCH(M238,_xlfn.ANCHORARRAY(F249),0))),L251&amp;"Por favor no seleccionar los criterios de impacto",M238)</f>
        <v>0</v>
      </c>
      <c r="O238" s="1597"/>
      <c r="P238" s="1594"/>
      <c r="Q238" s="1600"/>
      <c r="R238" s="48">
        <v>6</v>
      </c>
      <c r="S238" s="49"/>
      <c r="T238" s="50" t="s">
        <v>647</v>
      </c>
      <c r="U238" s="51"/>
      <c r="V238" s="51"/>
      <c r="W238" s="52" t="s">
        <v>647</v>
      </c>
      <c r="X238" s="51"/>
      <c r="Y238" s="51"/>
      <c r="Z238" s="51"/>
      <c r="AA238" s="63" t="s">
        <v>647</v>
      </c>
      <c r="AB238" s="218" t="s">
        <v>647</v>
      </c>
      <c r="AC238" s="219" t="s">
        <v>647</v>
      </c>
      <c r="AD238" s="218" t="s">
        <v>647</v>
      </c>
      <c r="AE238" s="219" t="s">
        <v>647</v>
      </c>
      <c r="AF238" s="220" t="s">
        <v>647</v>
      </c>
      <c r="AG238" s="153"/>
      <c r="AH238" s="77"/>
      <c r="AI238" s="78"/>
      <c r="AJ238" s="82"/>
      <c r="AK238" s="82"/>
      <c r="AL238" s="77"/>
      <c r="AM238" s="78"/>
    </row>
    <row r="239" spans="1:39" s="184" customFormat="1" ht="149.25" customHeight="1" x14ac:dyDescent="0.25">
      <c r="A239" s="1618">
        <v>8</v>
      </c>
      <c r="B239" s="1614" t="s">
        <v>209</v>
      </c>
      <c r="C239" s="1614" t="s">
        <v>782</v>
      </c>
      <c r="D239" s="1614" t="s">
        <v>783</v>
      </c>
      <c r="E239" s="1614" t="s">
        <v>784</v>
      </c>
      <c r="F239" s="1830" t="s">
        <v>785</v>
      </c>
      <c r="G239" s="217" t="s">
        <v>769</v>
      </c>
      <c r="H239" s="217" t="s">
        <v>770</v>
      </c>
      <c r="I239" s="1614" t="s">
        <v>786</v>
      </c>
      <c r="J239" s="1611" t="s">
        <v>787</v>
      </c>
      <c r="K239" s="1595" t="str">
        <f t="shared" ref="K239" si="146">IF(J239&lt;=0,"",IF(J239&lt;=2,"Muy Baja",IF(J239&lt;=24,"Baja",IF(J239&lt;=500,"Media",IF(J239&lt;=5000,"Alta","Muy Alta")))))</f>
        <v>Muy Alta</v>
      </c>
      <c r="L239" s="1592">
        <f t="shared" ref="L239" si="147">IF(K239="","",IF(K239="Muy Baja",0.2,IF(K239="Baja",0.4,IF(K239="Media",0.6,IF(K239="Alta",0.8,IF(K239="Muy Alta",1,))))))</f>
        <v>1</v>
      </c>
      <c r="M239" s="1589" t="s">
        <v>256</v>
      </c>
      <c r="N239" s="1592" t="str">
        <f>IF(NOT(ISERROR(MATCH(M239,'[13]Tabla Impacto'!$B$221:$B$223,0))),'[13]Tabla Impacto'!$F$223&amp;"Por favor no seleccionar los criterios de impacto(Afectación Económica o presupuestal y Pérdida Reputacional)",M239)</f>
        <v xml:space="preserve">     Mayor a 10000 SMLMV</v>
      </c>
      <c r="O239" s="1595" t="str">
        <f>IF(OR(N239='[13]Tabla Impacto'!$C$11,N239='[13]Tabla Impacto'!$D$11),"Leve",IF(OR(N239='[13]Tabla Impacto'!$C$12,N239='[13]Tabla Impacto'!$D$12),"Menor",IF(OR(N239='[13]Tabla Impacto'!$C$13,N239='[13]Tabla Impacto'!$D$13),"Moderado",IF(OR(N239='[13]Tabla Impacto'!$C$14,N239='[13]Tabla Impacto'!$D$14),"Mayor",IF(OR(N239='[13]Tabla Impacto'!$C$15,N239='[13]Tabla Impacto'!$D$15),"Catastrófico","")))))</f>
        <v>Catastrófico</v>
      </c>
      <c r="P239" s="1592">
        <f t="shared" ref="P239" si="148">IF(O239="","",IF(O239="Leve",0.2,IF(O239="Menor",0.4,IF(O239="Moderado",0.6,IF(O239="Mayor",0.8,IF(O239="Catastrófico",1,))))))</f>
        <v>1</v>
      </c>
      <c r="Q239" s="1598" t="str">
        <f t="shared" ref="Q239" si="149">IF(OR(AND(K239="Muy Baja",O239="Leve"),AND(K239="Muy Baja",O239="Menor"),AND(K239="Baja",O239="Leve")),"Bajo",IF(OR(AND(K239="Muy baja",O239="Moderado"),AND(K239="Baja",O239="Menor"),AND(K239="Baja",O239="Moderado"),AND(K239="Media",O239="Leve"),AND(K239="Media",O239="Menor"),AND(K239="Media",O239="Moderado"),AND(K239="Alta",O239="Leve"),AND(K239="Alta",O239="Menor")),"Moderado",IF(OR(AND(K239="Muy Baja",O239="Mayor"),AND(K239="Baja",O239="Mayor"),AND(K239="Media",O239="Mayor"),AND(K239="Alta",O239="Moderado"),AND(K239="Alta",O239="Mayor"),AND(K239="Muy Alta",O239="Leve"),AND(K239="Muy Alta",O239="Menor"),AND(K239="Muy Alta",O239="Moderado"),AND(K239="Muy Alta",O239="Mayor")),"Alto",IF(OR(AND(K239="Muy Baja",O239="Catastrófico"),AND(K239="Baja",O239="Catastrófico"),AND(K239="Media",O239="Catastrófico"),AND(K239="Alta",O239="Catastrófico"),AND(K239="Muy Alta",O239="Catastrófico")),"Extremo",""))))</f>
        <v>Extremo</v>
      </c>
      <c r="R239" s="48">
        <v>1</v>
      </c>
      <c r="S239" s="49" t="s">
        <v>788</v>
      </c>
      <c r="T239" s="50" t="s">
        <v>141</v>
      </c>
      <c r="U239" s="51" t="s">
        <v>200</v>
      </c>
      <c r="V239" s="51" t="s">
        <v>201</v>
      </c>
      <c r="W239" s="52" t="str">
        <f>IF(AND(U239="Preventivo",V239="Automático"),"50%",IF(AND(U239="Preventivo",V239="Manual"),"40%",IF(AND(U239="Detectivo",V239="Automático"),"40%",IF(AND(U239="Detectivo",V239="Manual"),"30%",IF(AND(U239="Correctivo",V239="Automático"),"35%",IF(AND(U239="Correctivo",V239="Manual"),"25%",""))))))</f>
        <v>30%</v>
      </c>
      <c r="X239" s="51" t="s">
        <v>208</v>
      </c>
      <c r="Y239" s="51" t="s">
        <v>203</v>
      </c>
      <c r="Z239" s="51" t="s">
        <v>204</v>
      </c>
      <c r="AA239" s="63">
        <f>IFERROR(IF(T239="Probabilidad",(L239-(+L239*W239)),IF(T239="Impacto",L239,"")),"")</f>
        <v>0.7</v>
      </c>
      <c r="AB239" s="218" t="str">
        <f>IFERROR(IF(AA239="","",IF(AA239&lt;=0.2,"Muy Baja",IF(AA239&lt;=0.4,"Baja",IF(AA239&lt;=0.6,"Media",IF(AA239&lt;=0.8,"Alta","Muy Alta"))))),"")</f>
        <v>Alta</v>
      </c>
      <c r="AC239" s="219">
        <f>+AA239</f>
        <v>0.7</v>
      </c>
      <c r="AD239" s="218" t="str">
        <f>IFERROR(IF(AE239="","",IF(AE239&lt;=0.2,"Leve",IF(AE239&lt;=0.4,"Menor",IF(AE239&lt;=0.6,"Moderado",IF(AE239&lt;=0.8,"Mayor","Catastrófico"))))),"")</f>
        <v>Catastrófico</v>
      </c>
      <c r="AE239" s="219">
        <f>IFERROR(IF(T239="Impacto",(P239-(+P239*W239)),IF(T239="Probabilidad",P239,"")),"")</f>
        <v>1</v>
      </c>
      <c r="AF239" s="220" t="str">
        <f>IFERROR(IF(OR(AND(AB239="Muy Baja",AD239="Leve"),AND(AB239="Muy Baja",AD239="Menor"),AND(AB239="Baja",AD239="Leve")),"Bajo",IF(OR(AND(AB239="Muy baja",AD239="Moderado"),AND(AB239="Baja",AD239="Menor"),AND(AB239="Baja",AD239="Moderado"),AND(AB239="Media",AD239="Leve"),AND(AB239="Media",AD239="Menor"),AND(AB239="Media",AD239="Moderado"),AND(AB239="Alta",AD239="Leve"),AND(AB239="Alta",AD239="Menor")),"Moderado",IF(OR(AND(AB239="Muy Baja",AD239="Mayor"),AND(AB239="Baja",AD239="Mayor"),AND(AB239="Media",AD239="Mayor"),AND(AB239="Alta",AD239="Moderado"),AND(AB239="Alta",AD239="Mayor"),AND(AB239="Muy Alta",AD239="Leve"),AND(AB239="Muy Alta",AD239="Menor"),AND(AB239="Muy Alta",AD239="Moderado"),AND(AB239="Muy Alta",AD239="Mayor")),"Alto",IF(OR(AND(AB239="Muy Baja",AD239="Catastrófico"),AND(AB239="Baja",AD239="Catastrófico"),AND(AB239="Media",AD239="Catastrófico"),AND(AB239="Alta",AD239="Catastrófico"),AND(AB239="Muy Alta",AD239="Catastrófico")),"Extremo","")))),"")</f>
        <v>Extremo</v>
      </c>
      <c r="AG239" s="153"/>
      <c r="AH239" s="100" t="s">
        <v>789</v>
      </c>
      <c r="AI239" s="77" t="s">
        <v>245</v>
      </c>
      <c r="AJ239" s="392">
        <v>45321</v>
      </c>
      <c r="AK239" s="82"/>
      <c r="AL239" s="77" t="s">
        <v>781</v>
      </c>
      <c r="AM239" s="78"/>
    </row>
    <row r="240" spans="1:39" s="184" customFormat="1" x14ac:dyDescent="0.25">
      <c r="A240" s="1619"/>
      <c r="B240" s="1621"/>
      <c r="C240" s="1621"/>
      <c r="D240" s="1621"/>
      <c r="E240" s="1621"/>
      <c r="F240" s="1831"/>
      <c r="G240" s="221"/>
      <c r="H240" s="221"/>
      <c r="I240" s="1621"/>
      <c r="J240" s="1612"/>
      <c r="K240" s="1596"/>
      <c r="L240" s="1593"/>
      <c r="M240" s="1590"/>
      <c r="N240" s="1593">
        <f>IF(NOT(ISERROR(MATCH(M240,_xlfn.ANCHORARRAY(F251),0))),L253&amp;"Por favor no seleccionar los criterios de impacto",M240)</f>
        <v>0</v>
      </c>
      <c r="O240" s="1596"/>
      <c r="P240" s="1593"/>
      <c r="Q240" s="1599"/>
      <c r="R240" s="48">
        <v>2</v>
      </c>
      <c r="S240" s="49"/>
      <c r="T240" s="50" t="str">
        <f>IF(OR(U240="Preventivo",U240="Detectivo"),"Probabilidad",IF(U240="Correctivo","Impacto",""))</f>
        <v/>
      </c>
      <c r="U240" s="51"/>
      <c r="V240" s="51"/>
      <c r="W240" s="52" t="str">
        <f t="shared" ref="W240:W244" si="150">IF(AND(U240="Preventivo",V240="Automático"),"50%",IF(AND(U240="Preventivo",V240="Manual"),"40%",IF(AND(U240="Detectivo",V240="Automático"),"40%",IF(AND(U240="Detectivo",V240="Manual"),"30%",IF(AND(U240="Correctivo",V240="Automático"),"35%",IF(AND(U240="Correctivo",V240="Manual"),"25%",""))))))</f>
        <v/>
      </c>
      <c r="X240" s="51"/>
      <c r="Y240" s="51"/>
      <c r="Z240" s="51"/>
      <c r="AA240" s="63" t="str">
        <f>IFERROR(IF(AND(T239="Probabilidad",T240="Probabilidad"),(AC239-(+AC239*W240)),IF(T240="Probabilidad",(L239-(+L239*W240)),IF(T240="Impacto",AC239,""))),"")</f>
        <v/>
      </c>
      <c r="AB240" s="218" t="str">
        <f t="shared" ref="AB240:AB244" si="151">IFERROR(IF(AA240="","",IF(AA240&lt;=0.2,"Muy Baja",IF(AA240&lt;=0.4,"Baja",IF(AA240&lt;=0.6,"Media",IF(AA240&lt;=0.8,"Alta","Muy Alta"))))),"")</f>
        <v/>
      </c>
      <c r="AC240" s="219" t="str">
        <f t="shared" ref="AC240:AC244" si="152">+AA240</f>
        <v/>
      </c>
      <c r="AD240" s="218" t="str">
        <f t="shared" ref="AD240:AD244" si="153">IFERROR(IF(AE240="","",IF(AE240&lt;=0.2,"Leve",IF(AE240&lt;=0.4,"Menor",IF(AE240&lt;=0.6,"Moderado",IF(AE240&lt;=0.8,"Mayor","Catastrófico"))))),"")</f>
        <v/>
      </c>
      <c r="AE240" s="219" t="str">
        <f>IFERROR(IF(AND(T239="Impacto",T240="Impacto"),(AE239-(+AE239*W240)),IF(T240="Impacto",(P239-(+P239*W240)),IF(T240="Probabilidad",AE239,""))),"")</f>
        <v/>
      </c>
      <c r="AF240" s="220" t="str">
        <f t="shared" ref="AF240:AF241" si="154">IFERROR(IF(OR(AND(AB240="Muy Baja",AD240="Leve"),AND(AB240="Muy Baja",AD240="Menor"),AND(AB240="Baja",AD240="Leve")),"Bajo",IF(OR(AND(AB240="Muy baja",AD240="Moderado"),AND(AB240="Baja",AD240="Menor"),AND(AB240="Baja",AD240="Moderado"),AND(AB240="Media",AD240="Leve"),AND(AB240="Media",AD240="Menor"),AND(AB240="Media",AD240="Moderado"),AND(AB240="Alta",AD240="Leve"),AND(AB240="Alta",AD240="Menor")),"Moderado",IF(OR(AND(AB240="Muy Baja",AD240="Mayor"),AND(AB240="Baja",AD240="Mayor"),AND(AB240="Media",AD240="Mayor"),AND(AB240="Alta",AD240="Moderado"),AND(AB240="Alta",AD240="Mayor"),AND(AB240="Muy Alta",AD240="Leve"),AND(AB240="Muy Alta",AD240="Menor"),AND(AB240="Muy Alta",AD240="Moderado"),AND(AB240="Muy Alta",AD240="Mayor")),"Alto",IF(OR(AND(AB240="Muy Baja",AD240="Catastrófico"),AND(AB240="Baja",AD240="Catastrófico"),AND(AB240="Media",AD240="Catastrófico"),AND(AB240="Alta",AD240="Catastrófico"),AND(AB240="Muy Alta",AD240="Catastrófico")),"Extremo","")))),"")</f>
        <v/>
      </c>
      <c r="AG240" s="153"/>
      <c r="AH240" s="77"/>
      <c r="AI240" s="78"/>
      <c r="AJ240" s="82"/>
      <c r="AK240" s="82"/>
      <c r="AL240" s="77"/>
      <c r="AM240" s="78"/>
    </row>
    <row r="241" spans="1:39" s="184" customFormat="1" x14ac:dyDescent="0.25">
      <c r="A241" s="1619"/>
      <c r="B241" s="1621"/>
      <c r="C241" s="1621"/>
      <c r="D241" s="1621"/>
      <c r="E241" s="1621"/>
      <c r="F241" s="1831"/>
      <c r="G241" s="221"/>
      <c r="H241" s="221"/>
      <c r="I241" s="1621"/>
      <c r="J241" s="1612"/>
      <c r="K241" s="1596"/>
      <c r="L241" s="1593"/>
      <c r="M241" s="1590"/>
      <c r="N241" s="1593">
        <f>IF(NOT(ISERROR(MATCH(M241,_xlfn.ANCHORARRAY(F252),0))),L254&amp;"Por favor no seleccionar los criterios de impacto",M241)</f>
        <v>0</v>
      </c>
      <c r="O241" s="1596"/>
      <c r="P241" s="1593"/>
      <c r="Q241" s="1599"/>
      <c r="R241" s="48">
        <v>3</v>
      </c>
      <c r="S241" s="79"/>
      <c r="T241" s="50" t="str">
        <f>IF(OR(U241="Preventivo",U241="Detectivo"),"Probabilidad",IF(U241="Correctivo","Impacto",""))</f>
        <v/>
      </c>
      <c r="U241" s="51"/>
      <c r="V241" s="51"/>
      <c r="W241" s="52" t="str">
        <f t="shared" si="150"/>
        <v/>
      </c>
      <c r="X241" s="51"/>
      <c r="Y241" s="51"/>
      <c r="Z241" s="51"/>
      <c r="AA241" s="63" t="str">
        <f>IFERROR(IF(AND(T240="Probabilidad",T241="Probabilidad"),(AC240-(+AC240*W241)),IF(AND(T240="Impacto",T241="Probabilidad"),(AC239-(+AC239*W241)),IF(T241="Impacto",AC240,""))),"")</f>
        <v/>
      </c>
      <c r="AB241" s="218" t="str">
        <f t="shared" si="151"/>
        <v/>
      </c>
      <c r="AC241" s="219" t="str">
        <f t="shared" si="152"/>
        <v/>
      </c>
      <c r="AD241" s="218" t="str">
        <f t="shared" si="153"/>
        <v/>
      </c>
      <c r="AE241" s="219" t="str">
        <f>IFERROR(IF(AND(T240="Impacto",T241="Impacto"),(AE240-(+AE240*W241)),IF(AND(T240="Probabilidad",T241="Impacto"),(AE239-(+AE239*W241)),IF(T241="Probabilidad",AE240,""))),"")</f>
        <v/>
      </c>
      <c r="AF241" s="220" t="str">
        <f t="shared" si="154"/>
        <v/>
      </c>
      <c r="AG241" s="153"/>
      <c r="AH241" s="77"/>
      <c r="AI241" s="78"/>
      <c r="AJ241" s="82"/>
      <c r="AK241" s="82"/>
      <c r="AL241" s="77"/>
      <c r="AM241" s="78"/>
    </row>
    <row r="242" spans="1:39" s="184" customFormat="1" x14ac:dyDescent="0.25">
      <c r="A242" s="1619"/>
      <c r="B242" s="1621"/>
      <c r="C242" s="1621"/>
      <c r="D242" s="1621"/>
      <c r="E242" s="1621"/>
      <c r="F242" s="1831"/>
      <c r="G242" s="221"/>
      <c r="H242" s="221"/>
      <c r="I242" s="1621"/>
      <c r="J242" s="1612"/>
      <c r="K242" s="1596"/>
      <c r="L242" s="1593"/>
      <c r="M242" s="1590"/>
      <c r="N242" s="1593">
        <f>IF(NOT(ISERROR(MATCH(M242,_xlfn.ANCHORARRAY(F253),0))),L255&amp;"Por favor no seleccionar los criterios de impacto",M242)</f>
        <v>0</v>
      </c>
      <c r="O242" s="1596"/>
      <c r="P242" s="1593"/>
      <c r="Q242" s="1599"/>
      <c r="R242" s="48">
        <v>4</v>
      </c>
      <c r="S242" s="49"/>
      <c r="T242" s="50" t="str">
        <f t="shared" ref="T242:T244" si="155">IF(OR(U242="Preventivo",U242="Detectivo"),"Probabilidad",IF(U242="Correctivo","Impacto",""))</f>
        <v/>
      </c>
      <c r="U242" s="51"/>
      <c r="V242" s="51"/>
      <c r="W242" s="52" t="str">
        <f t="shared" si="150"/>
        <v/>
      </c>
      <c r="X242" s="51"/>
      <c r="Y242" s="51"/>
      <c r="Z242" s="51"/>
      <c r="AA242" s="63" t="str">
        <f t="shared" ref="AA242:AA244" si="156">IFERROR(IF(AND(T241="Probabilidad",T242="Probabilidad"),(AC241-(+AC241*W242)),IF(AND(T241="Impacto",T242="Probabilidad"),(AC240-(+AC240*W242)),IF(T242="Impacto",AC241,""))),"")</f>
        <v/>
      </c>
      <c r="AB242" s="218" t="str">
        <f t="shared" si="151"/>
        <v/>
      </c>
      <c r="AC242" s="219" t="str">
        <f t="shared" si="152"/>
        <v/>
      </c>
      <c r="AD242" s="218" t="str">
        <f t="shared" si="153"/>
        <v/>
      </c>
      <c r="AE242" s="219" t="str">
        <f t="shared" ref="AE242:AE244" si="157">IFERROR(IF(AND(T241="Impacto",T242="Impacto"),(AE241-(+AE241*W242)),IF(AND(T241="Probabilidad",T242="Impacto"),(AE240-(+AE240*W242)),IF(T242="Probabilidad",AE241,""))),"")</f>
        <v/>
      </c>
      <c r="AF242" s="220" t="str">
        <f>IFERROR(IF(OR(AND(AB242="Muy Baja",AD242="Leve"),AND(AB242="Muy Baja",AD242="Menor"),AND(AB242="Baja",AD242="Leve")),"Bajo",IF(OR(AND(AB242="Muy baja",AD242="Moderado"),AND(AB242="Baja",AD242="Menor"),AND(AB242="Baja",AD242="Moderado"),AND(AB242="Media",AD242="Leve"),AND(AB242="Media",AD242="Menor"),AND(AB242="Media",AD242="Moderado"),AND(AB242="Alta",AD242="Leve"),AND(AB242="Alta",AD242="Menor")),"Moderado",IF(OR(AND(AB242="Muy Baja",AD242="Mayor"),AND(AB242="Baja",AD242="Mayor"),AND(AB242="Media",AD242="Mayor"),AND(AB242="Alta",AD242="Moderado"),AND(AB242="Alta",AD242="Mayor"),AND(AB242="Muy Alta",AD242="Leve"),AND(AB242="Muy Alta",AD242="Menor"),AND(AB242="Muy Alta",AD242="Moderado"),AND(AB242="Muy Alta",AD242="Mayor")),"Alto",IF(OR(AND(AB242="Muy Baja",AD242="Catastrófico"),AND(AB242="Baja",AD242="Catastrófico"),AND(AB242="Media",AD242="Catastrófico"),AND(AB242="Alta",AD242="Catastrófico"),AND(AB242="Muy Alta",AD242="Catastrófico")),"Extremo","")))),"")</f>
        <v/>
      </c>
      <c r="AG242" s="153"/>
      <c r="AH242" s="77"/>
      <c r="AI242" s="78"/>
      <c r="AJ242" s="82"/>
      <c r="AK242" s="82"/>
      <c r="AL242" s="77"/>
      <c r="AM242" s="78"/>
    </row>
    <row r="243" spans="1:39" s="184" customFormat="1" x14ac:dyDescent="0.25">
      <c r="A243" s="1619"/>
      <c r="B243" s="1621"/>
      <c r="C243" s="1621"/>
      <c r="D243" s="1621"/>
      <c r="E243" s="1621"/>
      <c r="F243" s="1831"/>
      <c r="G243" s="221"/>
      <c r="H243" s="221"/>
      <c r="I243" s="1621"/>
      <c r="J243" s="1612"/>
      <c r="K243" s="1596"/>
      <c r="L243" s="1593"/>
      <c r="M243" s="1590"/>
      <c r="N243" s="1593">
        <f>IF(NOT(ISERROR(MATCH(M243,_xlfn.ANCHORARRAY(F254),0))),L256&amp;"Por favor no seleccionar los criterios de impacto",M243)</f>
        <v>0</v>
      </c>
      <c r="O243" s="1596"/>
      <c r="P243" s="1593"/>
      <c r="Q243" s="1599"/>
      <c r="R243" s="48">
        <v>5</v>
      </c>
      <c r="S243" s="49"/>
      <c r="T243" s="50" t="str">
        <f t="shared" si="155"/>
        <v/>
      </c>
      <c r="U243" s="51"/>
      <c r="V243" s="51"/>
      <c r="W243" s="52" t="str">
        <f t="shared" si="150"/>
        <v/>
      </c>
      <c r="X243" s="51"/>
      <c r="Y243" s="51"/>
      <c r="Z243" s="51"/>
      <c r="AA243" s="63" t="str">
        <f t="shared" si="156"/>
        <v/>
      </c>
      <c r="AB243" s="218" t="str">
        <f t="shared" si="151"/>
        <v/>
      </c>
      <c r="AC243" s="219" t="str">
        <f t="shared" si="152"/>
        <v/>
      </c>
      <c r="AD243" s="218" t="str">
        <f t="shared" si="153"/>
        <v/>
      </c>
      <c r="AE243" s="219" t="str">
        <f t="shared" si="157"/>
        <v/>
      </c>
      <c r="AF243" s="220" t="str">
        <f t="shared" ref="AF243:AF244" si="158">IFERROR(IF(OR(AND(AB243="Muy Baja",AD243="Leve"),AND(AB243="Muy Baja",AD243="Menor"),AND(AB243="Baja",AD243="Leve")),"Bajo",IF(OR(AND(AB243="Muy baja",AD243="Moderado"),AND(AB243="Baja",AD243="Menor"),AND(AB243="Baja",AD243="Moderado"),AND(AB243="Media",AD243="Leve"),AND(AB243="Media",AD243="Menor"),AND(AB243="Media",AD243="Moderado"),AND(AB243="Alta",AD243="Leve"),AND(AB243="Alta",AD243="Menor")),"Moderado",IF(OR(AND(AB243="Muy Baja",AD243="Mayor"),AND(AB243="Baja",AD243="Mayor"),AND(AB243="Media",AD243="Mayor"),AND(AB243="Alta",AD243="Moderado"),AND(AB243="Alta",AD243="Mayor"),AND(AB243="Muy Alta",AD243="Leve"),AND(AB243="Muy Alta",AD243="Menor"),AND(AB243="Muy Alta",AD243="Moderado"),AND(AB243="Muy Alta",AD243="Mayor")),"Alto",IF(OR(AND(AB243="Muy Baja",AD243="Catastrófico"),AND(AB243="Baja",AD243="Catastrófico"),AND(AB243="Media",AD243="Catastrófico"),AND(AB243="Alta",AD243="Catastrófico"),AND(AB243="Muy Alta",AD243="Catastrófico")),"Extremo","")))),"")</f>
        <v/>
      </c>
      <c r="AG243" s="153"/>
      <c r="AH243" s="77"/>
      <c r="AI243" s="78"/>
      <c r="AJ243" s="82"/>
      <c r="AK243" s="82"/>
      <c r="AL243" s="77"/>
      <c r="AM243" s="78"/>
    </row>
    <row r="244" spans="1:39" s="184" customFormat="1" x14ac:dyDescent="0.25">
      <c r="A244" s="1620"/>
      <c r="B244" s="1615"/>
      <c r="C244" s="1615"/>
      <c r="D244" s="1615"/>
      <c r="E244" s="1615"/>
      <c r="F244" s="1832"/>
      <c r="G244" s="238"/>
      <c r="H244" s="238"/>
      <c r="I244" s="1615"/>
      <c r="J244" s="1613"/>
      <c r="K244" s="1597"/>
      <c r="L244" s="1594"/>
      <c r="M244" s="1591"/>
      <c r="N244" s="1594">
        <f>IF(NOT(ISERROR(MATCH(M244,_xlfn.ANCHORARRAY(F255),0))),L257&amp;"Por favor no seleccionar los criterios de impacto",M244)</f>
        <v>0</v>
      </c>
      <c r="O244" s="1597"/>
      <c r="P244" s="1594"/>
      <c r="Q244" s="1600"/>
      <c r="R244" s="48">
        <v>6</v>
      </c>
      <c r="S244" s="49"/>
      <c r="T244" s="50" t="str">
        <f t="shared" si="155"/>
        <v/>
      </c>
      <c r="U244" s="51"/>
      <c r="V244" s="51"/>
      <c r="W244" s="52" t="str">
        <f t="shared" si="150"/>
        <v/>
      </c>
      <c r="X244" s="51"/>
      <c r="Y244" s="51"/>
      <c r="Z244" s="51"/>
      <c r="AA244" s="63" t="str">
        <f t="shared" si="156"/>
        <v/>
      </c>
      <c r="AB244" s="218" t="str">
        <f t="shared" si="151"/>
        <v/>
      </c>
      <c r="AC244" s="219" t="str">
        <f t="shared" si="152"/>
        <v/>
      </c>
      <c r="AD244" s="218" t="str">
        <f t="shared" si="153"/>
        <v/>
      </c>
      <c r="AE244" s="219" t="str">
        <f t="shared" si="157"/>
        <v/>
      </c>
      <c r="AF244" s="220" t="str">
        <f t="shared" si="158"/>
        <v/>
      </c>
      <c r="AG244" s="153"/>
      <c r="AH244" s="77"/>
      <c r="AI244" s="78"/>
      <c r="AJ244" s="82"/>
      <c r="AK244" s="82"/>
      <c r="AL244" s="77"/>
      <c r="AM244" s="78"/>
    </row>
    <row r="245" spans="1:39" s="184" customFormat="1" ht="16.5" customHeight="1" x14ac:dyDescent="0.25">
      <c r="A245" s="1681" t="s">
        <v>156</v>
      </c>
      <c r="B245" s="1682"/>
      <c r="C245" s="1682"/>
      <c r="D245" s="1682"/>
      <c r="E245" s="1682"/>
      <c r="F245" s="1682"/>
      <c r="G245" s="1682"/>
      <c r="H245" s="1682"/>
      <c r="I245" s="1682"/>
      <c r="J245" s="1682"/>
      <c r="K245" s="1682"/>
      <c r="L245" s="1682"/>
      <c r="M245" s="1682"/>
      <c r="N245" s="1682"/>
      <c r="O245" s="1682"/>
      <c r="P245" s="1682"/>
      <c r="Q245" s="1682"/>
      <c r="R245" s="1682"/>
      <c r="S245" s="1682"/>
      <c r="T245" s="1682"/>
      <c r="U245" s="1682"/>
      <c r="V245" s="1682"/>
      <c r="W245" s="1682"/>
      <c r="X245" s="1682"/>
      <c r="Y245" s="1682"/>
      <c r="Z245" s="1682"/>
      <c r="AA245" s="1682"/>
      <c r="AB245" s="1682"/>
      <c r="AC245" s="1682"/>
      <c r="AD245" s="1682"/>
      <c r="AE245" s="1682"/>
      <c r="AF245" s="1682"/>
      <c r="AG245" s="1682"/>
      <c r="AH245" s="1682"/>
      <c r="AI245" s="1682"/>
      <c r="AJ245" s="1682"/>
      <c r="AK245" s="1682"/>
      <c r="AL245" s="1682"/>
      <c r="AM245" s="1683"/>
    </row>
    <row r="246" spans="1:39" s="184" customFormat="1" ht="24" customHeight="1" x14ac:dyDescent="0.25">
      <c r="A246" s="1684"/>
      <c r="B246" s="1685"/>
      <c r="C246" s="1685"/>
      <c r="D246" s="1685"/>
      <c r="E246" s="1685"/>
      <c r="F246" s="1685"/>
      <c r="G246" s="1685"/>
      <c r="H246" s="1685"/>
      <c r="I246" s="1685"/>
      <c r="J246" s="1685"/>
      <c r="K246" s="1685"/>
      <c r="L246" s="1685"/>
      <c r="M246" s="1685"/>
      <c r="N246" s="1685"/>
      <c r="O246" s="1685"/>
      <c r="P246" s="1685"/>
      <c r="Q246" s="1685"/>
      <c r="R246" s="1685"/>
      <c r="S246" s="1685"/>
      <c r="T246" s="1685"/>
      <c r="U246" s="1685"/>
      <c r="V246" s="1685"/>
      <c r="W246" s="1685"/>
      <c r="X246" s="1685"/>
      <c r="Y246" s="1685"/>
      <c r="Z246" s="1685"/>
      <c r="AA246" s="1685"/>
      <c r="AB246" s="1685"/>
      <c r="AC246" s="1685"/>
      <c r="AD246" s="1685"/>
      <c r="AE246" s="1685"/>
      <c r="AF246" s="1685"/>
      <c r="AG246" s="1685"/>
      <c r="AH246" s="1685"/>
      <c r="AI246" s="1685"/>
      <c r="AJ246" s="1685"/>
      <c r="AK246" s="1685"/>
      <c r="AL246" s="1685"/>
      <c r="AM246" s="1686"/>
    </row>
    <row r="247" spans="1:39" s="184" customFormat="1" x14ac:dyDescent="0.25">
      <c r="A247" s="242"/>
      <c r="B247" s="243"/>
      <c r="C247" s="242"/>
      <c r="D247" s="242"/>
      <c r="E247" s="242"/>
      <c r="F247" s="37"/>
      <c r="G247" s="37"/>
      <c r="H247" s="37"/>
      <c r="I247" s="225"/>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row>
    <row r="248" spans="1:39" s="184" customFormat="1" ht="26.25" customHeight="1" x14ac:dyDescent="0.25">
      <c r="A248" s="1667" t="s">
        <v>157</v>
      </c>
      <c r="B248" s="1668"/>
      <c r="C248" s="1680" t="s">
        <v>790</v>
      </c>
      <c r="D248" s="1680"/>
      <c r="E248" s="1680"/>
      <c r="F248" s="1680"/>
      <c r="G248" s="1680"/>
      <c r="H248" s="1680"/>
      <c r="I248" s="1680"/>
      <c r="J248" s="1680"/>
      <c r="K248" s="1680"/>
      <c r="L248" s="1680"/>
      <c r="M248" s="1680"/>
      <c r="N248" s="1680"/>
      <c r="O248" s="1680"/>
      <c r="P248" s="1680"/>
      <c r="Q248" s="1680"/>
      <c r="R248" s="1680"/>
      <c r="S248" s="1680"/>
      <c r="T248" s="1680"/>
      <c r="U248" s="1680"/>
      <c r="V248" s="1680"/>
      <c r="W248" s="1680"/>
      <c r="X248" s="1680"/>
      <c r="Y248" s="1680"/>
      <c r="Z248" s="1680"/>
      <c r="AA248" s="1680"/>
      <c r="AB248" s="1680"/>
      <c r="AC248" s="1680"/>
      <c r="AD248" s="1680"/>
      <c r="AE248" s="1680"/>
      <c r="AF248" s="1680"/>
      <c r="AG248" s="1680"/>
      <c r="AH248" s="1680"/>
      <c r="AI248" s="1680"/>
      <c r="AJ248" s="1680"/>
      <c r="AK248" s="1680"/>
      <c r="AL248" s="1680"/>
      <c r="AM248" s="1680"/>
    </row>
    <row r="249" spans="1:39" s="184" customFormat="1" ht="30" customHeight="1" x14ac:dyDescent="0.25">
      <c r="A249" s="1667" t="s">
        <v>158</v>
      </c>
      <c r="B249" s="1668"/>
      <c r="C249" s="1669" t="s">
        <v>791</v>
      </c>
      <c r="D249" s="1669"/>
      <c r="E249" s="1669"/>
      <c r="F249" s="1669"/>
      <c r="G249" s="1669"/>
      <c r="H249" s="1669"/>
      <c r="I249" s="1669"/>
      <c r="J249" s="1669"/>
      <c r="K249" s="1669"/>
      <c r="L249" s="1669"/>
      <c r="M249" s="1669"/>
      <c r="N249" s="1669"/>
      <c r="O249" s="1669"/>
      <c r="P249" s="1669"/>
      <c r="Q249" s="1669"/>
      <c r="R249" s="1669"/>
      <c r="S249" s="1669"/>
      <c r="T249" s="1669"/>
      <c r="U249" s="1669"/>
      <c r="V249" s="1669"/>
      <c r="W249" s="1669"/>
      <c r="X249" s="1669"/>
      <c r="Y249" s="1669"/>
      <c r="Z249" s="1669"/>
      <c r="AA249" s="1669"/>
      <c r="AB249" s="1669"/>
      <c r="AC249" s="1669"/>
      <c r="AD249" s="1669"/>
      <c r="AE249" s="1669"/>
      <c r="AF249" s="1669"/>
      <c r="AG249" s="1669"/>
      <c r="AH249" s="1669"/>
      <c r="AI249" s="1669"/>
      <c r="AJ249" s="1669"/>
      <c r="AK249" s="1669"/>
      <c r="AL249" s="1669"/>
      <c r="AM249" s="1669"/>
    </row>
    <row r="250" spans="1:39" s="184" customFormat="1" ht="49.5" customHeight="1" x14ac:dyDescent="0.25">
      <c r="A250" s="1667" t="s">
        <v>159</v>
      </c>
      <c r="B250" s="1668"/>
      <c r="C250" s="1669" t="s">
        <v>792</v>
      </c>
      <c r="D250" s="1669"/>
      <c r="E250" s="1669"/>
      <c r="F250" s="1669"/>
      <c r="G250" s="1669"/>
      <c r="H250" s="1669"/>
      <c r="I250" s="1669"/>
      <c r="J250" s="1669"/>
      <c r="K250" s="1669"/>
      <c r="L250" s="1669"/>
      <c r="M250" s="1669"/>
      <c r="N250" s="1669"/>
      <c r="O250" s="1669"/>
      <c r="P250" s="1669"/>
      <c r="Q250" s="1669"/>
      <c r="R250" s="1669"/>
      <c r="S250" s="1669"/>
      <c r="T250" s="1669"/>
      <c r="U250" s="1669"/>
      <c r="V250" s="1669"/>
      <c r="W250" s="1669"/>
      <c r="X250" s="1669"/>
      <c r="Y250" s="1669"/>
      <c r="Z250" s="1669"/>
      <c r="AA250" s="1669"/>
      <c r="AB250" s="1669"/>
      <c r="AC250" s="1669"/>
      <c r="AD250" s="1669"/>
      <c r="AE250" s="1669"/>
      <c r="AF250" s="1669"/>
      <c r="AG250" s="1669"/>
      <c r="AH250" s="1669"/>
      <c r="AI250" s="1669"/>
      <c r="AJ250" s="1669"/>
      <c r="AK250" s="1669"/>
      <c r="AL250" s="1669"/>
      <c r="AM250" s="1669"/>
    </row>
    <row r="251" spans="1:39" s="184" customFormat="1" x14ac:dyDescent="0.25">
      <c r="A251" s="1825" t="s">
        <v>160</v>
      </c>
      <c r="B251" s="1826"/>
      <c r="C251" s="1827"/>
      <c r="D251" s="1827"/>
      <c r="E251" s="1827"/>
      <c r="F251" s="1827"/>
      <c r="G251" s="1827"/>
      <c r="H251" s="1827"/>
      <c r="I251" s="1827"/>
      <c r="J251" s="1828"/>
      <c r="K251" s="1829" t="s">
        <v>161</v>
      </c>
      <c r="L251" s="1827"/>
      <c r="M251" s="1827"/>
      <c r="N251" s="1827"/>
      <c r="O251" s="1827"/>
      <c r="P251" s="1827"/>
      <c r="Q251" s="1828"/>
      <c r="R251" s="1829" t="s">
        <v>162</v>
      </c>
      <c r="S251" s="1827"/>
      <c r="T251" s="1827"/>
      <c r="U251" s="1827"/>
      <c r="V251" s="1827"/>
      <c r="W251" s="1827"/>
      <c r="X251" s="1827"/>
      <c r="Y251" s="1827"/>
      <c r="Z251" s="1828"/>
      <c r="AA251" s="1829" t="s">
        <v>163</v>
      </c>
      <c r="AB251" s="1827"/>
      <c r="AC251" s="1827"/>
      <c r="AD251" s="1827"/>
      <c r="AE251" s="1827"/>
      <c r="AF251" s="1827"/>
      <c r="AG251" s="1828"/>
      <c r="AH251" s="1829" t="s">
        <v>164</v>
      </c>
      <c r="AI251" s="1827"/>
      <c r="AJ251" s="1827"/>
      <c r="AK251" s="1827"/>
      <c r="AL251" s="1827"/>
      <c r="AM251" s="1828"/>
    </row>
    <row r="252" spans="1:39" s="184" customFormat="1" ht="16.5" customHeight="1" x14ac:dyDescent="0.25">
      <c r="A252" s="1649" t="s">
        <v>165</v>
      </c>
      <c r="B252" s="1651" t="s">
        <v>142</v>
      </c>
      <c r="C252" s="1626" t="s">
        <v>166</v>
      </c>
      <c r="D252" s="1626" t="s">
        <v>167</v>
      </c>
      <c r="E252" s="1631" t="s">
        <v>168</v>
      </c>
      <c r="F252" s="1652" t="s">
        <v>60</v>
      </c>
      <c r="G252" s="56"/>
      <c r="H252" s="56"/>
      <c r="I252" s="1631" t="s">
        <v>169</v>
      </c>
      <c r="J252" s="1626" t="s">
        <v>170</v>
      </c>
      <c r="K252" s="1628" t="s">
        <v>171</v>
      </c>
      <c r="L252" s="1629" t="s">
        <v>172</v>
      </c>
      <c r="M252" s="1631" t="s">
        <v>173</v>
      </c>
      <c r="N252" s="1631" t="s">
        <v>174</v>
      </c>
      <c r="O252" s="1666" t="s">
        <v>175</v>
      </c>
      <c r="P252" s="1629" t="s">
        <v>172</v>
      </c>
      <c r="Q252" s="1626" t="s">
        <v>176</v>
      </c>
      <c r="R252" s="1664" t="s">
        <v>177</v>
      </c>
      <c r="S252" s="1627" t="s">
        <v>178</v>
      </c>
      <c r="T252" s="1631" t="s">
        <v>179</v>
      </c>
      <c r="U252" s="1627" t="s">
        <v>180</v>
      </c>
      <c r="V252" s="1627"/>
      <c r="W252" s="1627"/>
      <c r="X252" s="1627"/>
      <c r="Y252" s="1627"/>
      <c r="Z252" s="1627"/>
      <c r="AA252" s="1663" t="s">
        <v>181</v>
      </c>
      <c r="AB252" s="1663" t="s">
        <v>182</v>
      </c>
      <c r="AC252" s="1663" t="s">
        <v>172</v>
      </c>
      <c r="AD252" s="1663" t="s">
        <v>183</v>
      </c>
      <c r="AE252" s="1663" t="s">
        <v>172</v>
      </c>
      <c r="AF252" s="1663" t="s">
        <v>184</v>
      </c>
      <c r="AG252" s="1664" t="s">
        <v>185</v>
      </c>
      <c r="AH252" s="1627" t="s">
        <v>164</v>
      </c>
      <c r="AI252" s="1627" t="s">
        <v>143</v>
      </c>
      <c r="AJ252" s="1627" t="s">
        <v>186</v>
      </c>
      <c r="AK252" s="1627" t="s">
        <v>187</v>
      </c>
      <c r="AL252" s="1627" t="s">
        <v>188</v>
      </c>
      <c r="AM252" s="1627" t="s">
        <v>189</v>
      </c>
    </row>
    <row r="253" spans="1:39" s="222" customFormat="1" ht="94.5" customHeight="1" x14ac:dyDescent="0.3">
      <c r="A253" s="1650"/>
      <c r="B253" s="1651"/>
      <c r="C253" s="1627"/>
      <c r="D253" s="1627"/>
      <c r="E253" s="1628"/>
      <c r="F253" s="1653"/>
      <c r="G253" s="56" t="s">
        <v>511</v>
      </c>
      <c r="H253" s="56" t="s">
        <v>190</v>
      </c>
      <c r="I253" s="1626"/>
      <c r="J253" s="1627"/>
      <c r="K253" s="1626"/>
      <c r="L253" s="1630"/>
      <c r="M253" s="1626"/>
      <c r="N253" s="1626"/>
      <c r="O253" s="1630"/>
      <c r="P253" s="1630"/>
      <c r="Q253" s="1627"/>
      <c r="R253" s="1665"/>
      <c r="S253" s="1627"/>
      <c r="T253" s="1626"/>
      <c r="U253" s="42" t="s">
        <v>191</v>
      </c>
      <c r="V253" s="42" t="s">
        <v>192</v>
      </c>
      <c r="W253" s="42" t="s">
        <v>193</v>
      </c>
      <c r="X253" s="42" t="s">
        <v>194</v>
      </c>
      <c r="Y253" s="42" t="s">
        <v>195</v>
      </c>
      <c r="Z253" s="42" t="s">
        <v>196</v>
      </c>
      <c r="AA253" s="1663"/>
      <c r="AB253" s="1663"/>
      <c r="AC253" s="1663"/>
      <c r="AD253" s="1663"/>
      <c r="AE253" s="1663"/>
      <c r="AF253" s="1663"/>
      <c r="AG253" s="1665"/>
      <c r="AH253" s="1627"/>
      <c r="AI253" s="1627"/>
      <c r="AJ253" s="1627"/>
      <c r="AK253" s="1627"/>
      <c r="AL253" s="1627"/>
      <c r="AM253" s="1627"/>
    </row>
    <row r="254" spans="1:39" s="231" customFormat="1" ht="171.6" customHeight="1" x14ac:dyDescent="0.3">
      <c r="A254" s="1618">
        <v>1</v>
      </c>
      <c r="B254" s="1656" t="s">
        <v>209</v>
      </c>
      <c r="C254" s="1656" t="s">
        <v>793</v>
      </c>
      <c r="D254" s="1698" t="s">
        <v>794</v>
      </c>
      <c r="E254" s="74" t="s">
        <v>795</v>
      </c>
      <c r="F254" s="1700" t="s">
        <v>796</v>
      </c>
      <c r="G254" s="1603" t="s">
        <v>512</v>
      </c>
      <c r="H254" s="1700" t="s">
        <v>797</v>
      </c>
      <c r="I254" s="1701" t="s">
        <v>198</v>
      </c>
      <c r="J254" s="1640">
        <v>240</v>
      </c>
      <c r="K254" s="1643" t="str">
        <f>IF(J254&lt;=0,"",IF(J254&lt;=2,"Muy Baja",IF(J254&lt;=24,"Baja",IF(J254&lt;=500,"Media",IF(J254&lt;=5000,"Alta","Muy Alta")))))</f>
        <v>Media</v>
      </c>
      <c r="L254" s="1632">
        <f>IF(K254="","",IF(K254="Muy Baja",0.2,IF(K254="Baja",0.4,IF(K254="Media",0.6,IF(K254="Alta",0.8,IF(K254="Muy Alta",1,))))))</f>
        <v>0.6</v>
      </c>
      <c r="M254" s="1646" t="s">
        <v>199</v>
      </c>
      <c r="N254" s="1632" t="str">
        <f>IF(NOT(ISERROR(MATCH(M254,'[14]Tabla Impacto'!$B$221:$B$223,0))),'[14]Tabla Impacto'!$F$223&amp;"Por favor no seleccionar los criterios de impacto(Afectación Económica o presupuestal y Pérdida Reputacional)",M254)</f>
        <v xml:space="preserve">     El riesgo afecta la imagen de de la entidad con efecto publicitario sostenido a nivel de sector administrativo, nivel departamental o municipal</v>
      </c>
      <c r="O254" s="1643" t="str">
        <f>IF(OR(N254='[14]Tabla Impacto'!$C$11,N254='[14]Tabla Impacto'!$D$11),"Leve",IF(OR(N254='[14]Tabla Impacto'!$C$12,N254='[14]Tabla Impacto'!$D$12),"Menor",IF(OR(N254='[14]Tabla Impacto'!$C$13,N254='[14]Tabla Impacto'!$D$13),"Moderado",IF(OR(N254='[14]Tabla Impacto'!$C$14,N254='[14]Tabla Impacto'!$D$14),"Mayor",IF(OR(N254='[14]Tabla Impacto'!$C$15,N254='[14]Tabla Impacto'!$D$15),"Catastrófico","")))))</f>
        <v>Mayor</v>
      </c>
      <c r="P254" s="1632">
        <f>IF(O254="","",IF(O254="Leve",0.2,IF(O254="Menor",0.4,IF(O254="Moderado",0.6,IF(O254="Mayor",0.8,IF(O254="Catastrófico",1,))))))</f>
        <v>0.8</v>
      </c>
      <c r="Q254" s="1635" t="str">
        <f>IF(OR(AND(K254="Muy Baja",O254="Leve"),AND(K254="Muy Baja",O254="Menor"),AND(K254="Baja",O254="Leve")),"Bajo",IF(OR(AND(K254="Muy baja",O254="Moderado"),AND(K254="Baja",O254="Menor"),AND(K254="Baja",O254="Moderado"),AND(K254="Media",O254="Leve"),AND(K254="Media",O254="Menor"),AND(K254="Media",O254="Moderado"),AND(K254="Alta",O254="Leve"),AND(K254="Alta",O254="Menor")),"Moderado",IF(OR(AND(K254="Muy Baja",O254="Mayor"),AND(K254="Baja",O254="Mayor"),AND(K254="Media",O254="Mayor"),AND(K254="Alta",O254="Moderado"),AND(K254="Alta",O254="Mayor"),AND(K254="Muy Alta",O254="Leve"),AND(K254="Muy Alta",O254="Menor"),AND(K254="Muy Alta",O254="Moderado"),AND(K254="Muy Alta",O254="Mayor")),"Alto",IF(OR(AND(K254="Muy Baja",O254="Catastrófico"),AND(K254="Baja",O254="Catastrófico"),AND(K254="Media",O254="Catastrófico"),AND(K254="Alta",O254="Catastrófico"),AND(K254="Muy Alta",O254="Catastrófico")),"Extremo",""))))</f>
        <v>Alto</v>
      </c>
      <c r="R254" s="48">
        <v>1</v>
      </c>
      <c r="S254" s="60" t="s">
        <v>798</v>
      </c>
      <c r="T254" s="50" t="str">
        <f>IF(OR(U254="Preventivo",U254="Detectivo"),"Probabilidad",IF(U254="Correctivo","Impacto",""))</f>
        <v>Probabilidad</v>
      </c>
      <c r="U254" s="61" t="s">
        <v>207</v>
      </c>
      <c r="V254" s="61" t="s">
        <v>201</v>
      </c>
      <c r="W254" s="62" t="str">
        <f>IF(AND(U254="Preventivo",V254="Automático"),"50%",IF(AND(U254="Preventivo",V254="Manual"),"40%",IF(AND(U254="Detectivo",V254="Automático"),"40%",IF(AND(U254="Detectivo",V254="Manual"),"30%",IF(AND(U254="Correctivo",V254="Automático"),"35%",IF(AND(U254="Correctivo",V254="Manual"),"25%",""))))))</f>
        <v>40%</v>
      </c>
      <c r="X254" s="61" t="s">
        <v>208</v>
      </c>
      <c r="Y254" s="61" t="s">
        <v>203</v>
      </c>
      <c r="Z254" s="61" t="s">
        <v>204</v>
      </c>
      <c r="AA254" s="63">
        <f>IFERROR(IF(T254="Probabilidad",(L254-(+L254*W254)),IF(T254="Impacto",L254,"")),"")</f>
        <v>0.36</v>
      </c>
      <c r="AB254" s="64" t="str">
        <f>IFERROR(IF(AA254="","",IF(AA254&lt;=0.2,"Muy Baja",IF(AA254&lt;=0.4,"Baja",IF(AA254&lt;=0.6,"Media",IF(AA254&lt;=0.8,"Alta","Muy Alta"))))),"")</f>
        <v>Baja</v>
      </c>
      <c r="AC254" s="65">
        <f>+AA254</f>
        <v>0.36</v>
      </c>
      <c r="AD254" s="64" t="str">
        <f>IFERROR(IF(AE254="","",IF(AE254&lt;=0.2,"Leve",IF(AE254&lt;=0.4,"Menor",IF(AE254&lt;=0.6,"Moderado",IF(AE254&lt;=0.8,"Mayor","Catastrófico"))))),"")</f>
        <v>Mayor</v>
      </c>
      <c r="AE254" s="65">
        <f>IFERROR(IF(T254="Impacto",(P254-(+P254*W254)),IF(T254="Probabilidad",P254,"")),"")</f>
        <v>0.8</v>
      </c>
      <c r="AF254" s="66" t="str">
        <f>IFERROR(IF(OR(AND(AB254="Muy Baja",AD254="Leve"),AND(AB254="Muy Baja",AD254="Menor"),AND(AB254="Baja",AD254="Leve")),"Bajo",IF(OR(AND(AB254="Muy baja",AD254="Moderado"),AND(AB254="Baja",AD254="Menor"),AND(AB254="Baja",AD254="Moderado"),AND(AB254="Media",AD254="Leve"),AND(AB254="Media",AD254="Menor"),AND(AB254="Media",AD254="Moderado"),AND(AB254="Alta",AD254="Leve"),AND(AB254="Alta",AD254="Menor")),"Moderado",IF(OR(AND(AB254="Muy Baja",AD254="Mayor"),AND(AB254="Baja",AD254="Mayor"),AND(AB254="Media",AD254="Mayor"),AND(AB254="Alta",AD254="Moderado"),AND(AB254="Alta",AD254="Mayor"),AND(AB254="Muy Alta",AD254="Leve"),AND(AB254="Muy Alta",AD254="Menor"),AND(AB254="Muy Alta",AD254="Moderado"),AND(AB254="Muy Alta",AD254="Mayor")),"Alto",IF(OR(AND(AB254="Muy Baja",AD254="Catastrófico"),AND(AB254="Baja",AD254="Catastrófico"),AND(AB254="Media",AD254="Catastrófico"),AND(AB254="Alta",AD254="Catastrófico"),AND(AB254="Muy Alta",AD254="Catastrófico")),"Extremo","")))),"")</f>
        <v>Alto</v>
      </c>
      <c r="AG254" s="81"/>
      <c r="AH254" s="1656" t="s">
        <v>799</v>
      </c>
      <c r="AI254" s="1656" t="s">
        <v>800</v>
      </c>
      <c r="AJ254" s="1656" t="s">
        <v>801</v>
      </c>
      <c r="AK254" s="1824">
        <v>45473</v>
      </c>
      <c r="AL254" s="1656" t="s">
        <v>802</v>
      </c>
      <c r="AM254" s="1640" t="s">
        <v>206</v>
      </c>
    </row>
    <row r="255" spans="1:39" s="184" customFormat="1" ht="130.19999999999999" customHeight="1" x14ac:dyDescent="0.25">
      <c r="A255" s="1619"/>
      <c r="B255" s="1657"/>
      <c r="C255" s="1657"/>
      <c r="D255" s="1699"/>
      <c r="E255" s="74" t="s">
        <v>803</v>
      </c>
      <c r="F255" s="1700"/>
      <c r="G255" s="1604"/>
      <c r="H255" s="1700"/>
      <c r="I255" s="1702"/>
      <c r="J255" s="1641"/>
      <c r="K255" s="1644"/>
      <c r="L255" s="1633"/>
      <c r="M255" s="1647"/>
      <c r="N255" s="1633">
        <f>IF(NOT(ISERROR(MATCH(M255,_xlfn.ANCHORARRAY(F266),0))),L268&amp;"Por favor no seleccionar los criterios de impacto",M255)</f>
        <v>0</v>
      </c>
      <c r="O255" s="1644"/>
      <c r="P255" s="1633"/>
      <c r="Q255" s="1636"/>
      <c r="R255" s="48">
        <v>2</v>
      </c>
      <c r="S255" s="60" t="s">
        <v>804</v>
      </c>
      <c r="T255" s="50" t="str">
        <f>IF(OR(U255="Preventivo",U255="Detectivo"),"Probabilidad",IF(U255="Correctivo","Impacto",""))</f>
        <v>Impacto</v>
      </c>
      <c r="U255" s="61" t="s">
        <v>308</v>
      </c>
      <c r="V255" s="61" t="s">
        <v>201</v>
      </c>
      <c r="W255" s="62" t="str">
        <f t="shared" ref="W255:W259" si="159">IF(AND(U255="Preventivo",V255="Automático"),"50%",IF(AND(U255="Preventivo",V255="Manual"),"40%",IF(AND(U255="Detectivo",V255="Automático"),"40%",IF(AND(U255="Detectivo",V255="Manual"),"30%",IF(AND(U255="Correctivo",V255="Automático"),"35%",IF(AND(U255="Correctivo",V255="Manual"),"25%",""))))))</f>
        <v>25%</v>
      </c>
      <c r="X255" s="61" t="s">
        <v>202</v>
      </c>
      <c r="Y255" s="61" t="s">
        <v>203</v>
      </c>
      <c r="Z255" s="61" t="s">
        <v>204</v>
      </c>
      <c r="AA255" s="63">
        <f>IFERROR(IF(AND(T254="Probabilidad",T255="Probabilidad"),(AC254-(+AC254*W255)),IF(AND(T254="Impacto",T255="Probabilidad"),(L254-(+L254*W255)),IF(T255="Impacto",AC254,""))),"")</f>
        <v>0.36</v>
      </c>
      <c r="AB255" s="64" t="str">
        <f t="shared" ref="AB255:AB259" si="160">IFERROR(IF(AA255="","",IF(AA255&lt;=0.2,"Muy Baja",IF(AA255&lt;=0.4,"Baja",IF(AA255&lt;=0.6,"Media",IF(AA255&lt;=0.8,"Alta","Muy Alta"))))),"")</f>
        <v>Baja</v>
      </c>
      <c r="AC255" s="65">
        <f>+AA255</f>
        <v>0.36</v>
      </c>
      <c r="AD255" s="64" t="str">
        <f t="shared" ref="AD255:AD259" si="161">IFERROR(IF(AE255="","",IF(AE255&lt;=0.2,"Leve",IF(AE255&lt;=0.4,"Menor",IF(AE255&lt;=0.6,"Moderado",IF(AE255&lt;=0.8,"Mayor","Catastrófico"))))),"")</f>
        <v>Moderado</v>
      </c>
      <c r="AE255" s="65">
        <f>IFERROR(IF(AND(T254="Impacto",T255="Impacto"),(AE254-(+AE254*W255)),IF(AND(T254="Probabilidad",T255="Impacto"),(P254-(+P254*W255)),IF(T255="Probabilidad",AE254,""))),"")</f>
        <v>0.60000000000000009</v>
      </c>
      <c r="AF255" s="66" t="str">
        <f t="shared" ref="AF255:AF259" si="162">IFERROR(IF(OR(AND(AB255="Muy Baja",AD255="Leve"),AND(AB255="Muy Baja",AD255="Menor"),AND(AB255="Baja",AD255="Leve")),"Bajo",IF(OR(AND(AB255="Muy baja",AD255="Moderado"),AND(AB255="Baja",AD255="Menor"),AND(AB255="Baja",AD255="Moderado"),AND(AB255="Media",AD255="Leve"),AND(AB255="Media",AD255="Menor"),AND(AB255="Media",AD255="Moderado"),AND(AB255="Alta",AD255="Leve"),AND(AB255="Alta",AD255="Menor")),"Moderado",IF(OR(AND(AB255="Muy Baja",AD255="Mayor"),AND(AB255="Baja",AD255="Mayor"),AND(AB255="Media",AD255="Mayor"),AND(AB255="Alta",AD255="Moderado"),AND(AB255="Alta",AD255="Mayor"),AND(AB255="Muy Alta",AD255="Leve"),AND(AB255="Muy Alta",AD255="Menor"),AND(AB255="Muy Alta",AD255="Moderado"),AND(AB255="Muy Alta",AD255="Mayor")),"Alto",IF(OR(AND(AB255="Muy Baja",AD255="Catastrófico"),AND(AB255="Baja",AD255="Catastrófico"),AND(AB255="Media",AD255="Catastrófico"),AND(AB255="Alta",AD255="Catastrófico"),AND(AB255="Muy Alta",AD255="Catastrófico")),"Extremo","")))),"")</f>
        <v>Moderado</v>
      </c>
      <c r="AG255" s="81"/>
      <c r="AH255" s="1658"/>
      <c r="AI255" s="1658"/>
      <c r="AJ255" s="1658"/>
      <c r="AK255" s="1658"/>
      <c r="AL255" s="1658"/>
      <c r="AM255" s="1642"/>
    </row>
    <row r="256" spans="1:39" s="184" customFormat="1" ht="46.2" customHeight="1" x14ac:dyDescent="0.25">
      <c r="A256" s="1619"/>
      <c r="B256" s="1657"/>
      <c r="C256" s="1657"/>
      <c r="D256" s="1699"/>
      <c r="E256" s="233"/>
      <c r="F256" s="1700"/>
      <c r="G256" s="1604"/>
      <c r="H256" s="1700"/>
      <c r="I256" s="1702"/>
      <c r="J256" s="1641"/>
      <c r="K256" s="1644"/>
      <c r="L256" s="1633"/>
      <c r="M256" s="1647"/>
      <c r="N256" s="1633">
        <f>IF(NOT(ISERROR(MATCH(M256,_xlfn.ANCHORARRAY(F267),0))),L269&amp;"Por favor no seleccionar los criterios de impacto",M256)</f>
        <v>0</v>
      </c>
      <c r="O256" s="1644"/>
      <c r="P256" s="1633"/>
      <c r="Q256" s="1636"/>
      <c r="R256" s="48">
        <v>3</v>
      </c>
      <c r="S256" s="79"/>
      <c r="T256" s="50" t="str">
        <f t="shared" ref="T256:T259" si="163">IF(OR(U256="Preventivo",U256="Detectivo"),"Probabilidad",IF(U256="Correctivo","Impacto",""))</f>
        <v/>
      </c>
      <c r="U256" s="61"/>
      <c r="V256" s="61"/>
      <c r="W256" s="62" t="str">
        <f t="shared" si="159"/>
        <v/>
      </c>
      <c r="X256" s="61"/>
      <c r="Y256" s="61"/>
      <c r="Z256" s="61"/>
      <c r="AA256" s="63" t="str">
        <f>IFERROR(IF(AND(T255="Probabilidad",T256="Probabilidad"),(AC255-(+AC255*W256)),IF(AND(T255="Impacto",T256="Probabilidad"),(AC254-(+AC254*W256)),IF(T256="Impacto",AC255,""))),"")</f>
        <v/>
      </c>
      <c r="AB256" s="64" t="str">
        <f t="shared" si="160"/>
        <v/>
      </c>
      <c r="AC256" s="65" t="str">
        <f t="shared" ref="AC256:AC259" si="164">+AA256</f>
        <v/>
      </c>
      <c r="AD256" s="64" t="str">
        <f t="shared" si="161"/>
        <v/>
      </c>
      <c r="AE256" s="65" t="str">
        <f t="shared" ref="AE256:AE259" si="165">IFERROR(IF(AND(T255="Impacto",T256="Impacto"),(AE255-(+AE255*W256)),IF(AND(T255="Probabilidad",T256="Impacto"),(AE254-(+AE254*W256)),IF(T256="Probabilidad",AE255,""))),"")</f>
        <v/>
      </c>
      <c r="AF256" s="66" t="str">
        <f t="shared" si="162"/>
        <v/>
      </c>
      <c r="AG256" s="81"/>
      <c r="AH256" s="77"/>
      <c r="AI256" s="78"/>
      <c r="AJ256" s="82"/>
      <c r="AK256" s="82"/>
      <c r="AL256" s="77"/>
      <c r="AM256" s="78"/>
    </row>
    <row r="257" spans="1:42" s="184" customFormat="1" ht="46.5" customHeight="1" x14ac:dyDescent="0.25">
      <c r="A257" s="1619"/>
      <c r="B257" s="1657"/>
      <c r="C257" s="1657"/>
      <c r="D257" s="1699"/>
      <c r="E257" s="80"/>
      <c r="F257" s="1700"/>
      <c r="G257" s="1604"/>
      <c r="H257" s="1700"/>
      <c r="I257" s="1702"/>
      <c r="J257" s="1641"/>
      <c r="K257" s="1644"/>
      <c r="L257" s="1633"/>
      <c r="M257" s="1647"/>
      <c r="N257" s="1633">
        <f>IF(NOT(ISERROR(MATCH(M257,_xlfn.ANCHORARRAY(F268),0))),L270&amp;"Por favor no seleccionar los criterios de impacto",M257)</f>
        <v>0</v>
      </c>
      <c r="O257" s="1644"/>
      <c r="P257" s="1633"/>
      <c r="Q257" s="1636"/>
      <c r="R257" s="48">
        <v>4</v>
      </c>
      <c r="S257" s="49"/>
      <c r="T257" s="50" t="str">
        <f t="shared" si="163"/>
        <v/>
      </c>
      <c r="U257" s="61"/>
      <c r="V257" s="61"/>
      <c r="W257" s="62" t="str">
        <f t="shared" si="159"/>
        <v/>
      </c>
      <c r="X257" s="61"/>
      <c r="Y257" s="61"/>
      <c r="Z257" s="61"/>
      <c r="AA257" s="63" t="str">
        <f t="shared" ref="AA257:AA259" si="166">IFERROR(IF(AND(T256="Probabilidad",T257="Probabilidad"),(AC256-(+AC256*W257)),IF(AND(T256="Impacto",T257="Probabilidad"),(AC255-(+AC255*W257)),IF(T257="Impacto",AC256,""))),"")</f>
        <v/>
      </c>
      <c r="AB257" s="64" t="str">
        <f t="shared" si="160"/>
        <v/>
      </c>
      <c r="AC257" s="65" t="str">
        <f t="shared" si="164"/>
        <v/>
      </c>
      <c r="AD257" s="64" t="str">
        <f t="shared" si="161"/>
        <v/>
      </c>
      <c r="AE257" s="65" t="str">
        <f t="shared" si="165"/>
        <v/>
      </c>
      <c r="AF257" s="66" t="str">
        <f t="shared" si="162"/>
        <v/>
      </c>
      <c r="AG257" s="81"/>
      <c r="AH257" s="77"/>
      <c r="AI257" s="78"/>
      <c r="AJ257" s="82"/>
      <c r="AK257" s="82"/>
      <c r="AL257" s="77"/>
      <c r="AM257" s="78"/>
      <c r="AN257" s="37"/>
      <c r="AO257" s="37"/>
      <c r="AP257" s="37"/>
    </row>
    <row r="258" spans="1:42" s="184" customFormat="1" ht="48.75" customHeight="1" x14ac:dyDescent="0.25">
      <c r="A258" s="1619"/>
      <c r="B258" s="1657"/>
      <c r="C258" s="1657"/>
      <c r="D258" s="1699"/>
      <c r="E258" s="80"/>
      <c r="F258" s="1700"/>
      <c r="G258" s="1604"/>
      <c r="H258" s="1700"/>
      <c r="I258" s="1702"/>
      <c r="J258" s="1641"/>
      <c r="K258" s="1644"/>
      <c r="L258" s="1633"/>
      <c r="M258" s="1647"/>
      <c r="N258" s="1633">
        <f>IF(NOT(ISERROR(MATCH(M258,_xlfn.ANCHORARRAY(F269),0))),L271&amp;"Por favor no seleccionar los criterios de impacto",M258)</f>
        <v>0</v>
      </c>
      <c r="O258" s="1644"/>
      <c r="P258" s="1633"/>
      <c r="Q258" s="1636"/>
      <c r="R258" s="48">
        <v>5</v>
      </c>
      <c r="S258" s="49"/>
      <c r="T258" s="50" t="str">
        <f t="shared" si="163"/>
        <v/>
      </c>
      <c r="U258" s="61"/>
      <c r="V258" s="61"/>
      <c r="W258" s="62" t="str">
        <f t="shared" si="159"/>
        <v/>
      </c>
      <c r="X258" s="61"/>
      <c r="Y258" s="61"/>
      <c r="Z258" s="61"/>
      <c r="AA258" s="63" t="str">
        <f t="shared" si="166"/>
        <v/>
      </c>
      <c r="AB258" s="64" t="str">
        <f t="shared" si="160"/>
        <v/>
      </c>
      <c r="AC258" s="65" t="str">
        <f t="shared" si="164"/>
        <v/>
      </c>
      <c r="AD258" s="64" t="str">
        <f t="shared" si="161"/>
        <v/>
      </c>
      <c r="AE258" s="65" t="str">
        <f t="shared" si="165"/>
        <v/>
      </c>
      <c r="AF258" s="66" t="str">
        <f t="shared" si="162"/>
        <v/>
      </c>
      <c r="AG258" s="81"/>
      <c r="AH258" s="77"/>
      <c r="AI258" s="78"/>
      <c r="AJ258" s="82"/>
      <c r="AK258" s="82"/>
      <c r="AL258" s="77"/>
      <c r="AM258" s="78"/>
      <c r="AN258" s="37"/>
      <c r="AO258" s="37"/>
      <c r="AP258" s="37"/>
    </row>
    <row r="259" spans="1:42" s="184" customFormat="1" ht="42.75" customHeight="1" x14ac:dyDescent="0.25">
      <c r="A259" s="1620"/>
      <c r="B259" s="1658"/>
      <c r="C259" s="1658"/>
      <c r="D259" s="1704"/>
      <c r="E259" s="80"/>
      <c r="F259" s="1700"/>
      <c r="G259" s="1605"/>
      <c r="H259" s="1700"/>
      <c r="I259" s="1706"/>
      <c r="J259" s="1642"/>
      <c r="K259" s="1645"/>
      <c r="L259" s="1634"/>
      <c r="M259" s="1648"/>
      <c r="N259" s="1634">
        <f>IF(NOT(ISERROR(MATCH(M259,_xlfn.ANCHORARRAY(F270),0))),L272&amp;"Por favor no seleccionar los criterios de impacto",M259)</f>
        <v>0</v>
      </c>
      <c r="O259" s="1645"/>
      <c r="P259" s="1634"/>
      <c r="Q259" s="1637"/>
      <c r="R259" s="48">
        <v>6</v>
      </c>
      <c r="S259" s="49"/>
      <c r="T259" s="50" t="str">
        <f t="shared" si="163"/>
        <v/>
      </c>
      <c r="U259" s="61"/>
      <c r="V259" s="61"/>
      <c r="W259" s="62" t="str">
        <f t="shared" si="159"/>
        <v/>
      </c>
      <c r="X259" s="61"/>
      <c r="Y259" s="61"/>
      <c r="Z259" s="61"/>
      <c r="AA259" s="63" t="str">
        <f t="shared" si="166"/>
        <v/>
      </c>
      <c r="AB259" s="64" t="str">
        <f t="shared" si="160"/>
        <v/>
      </c>
      <c r="AC259" s="65" t="str">
        <f t="shared" si="164"/>
        <v/>
      </c>
      <c r="AD259" s="64" t="str">
        <f t="shared" si="161"/>
        <v/>
      </c>
      <c r="AE259" s="65" t="str">
        <f t="shared" si="165"/>
        <v/>
      </c>
      <c r="AF259" s="66" t="str">
        <f t="shared" si="162"/>
        <v/>
      </c>
      <c r="AG259" s="81"/>
      <c r="AH259" s="77"/>
      <c r="AI259" s="78"/>
      <c r="AJ259" s="82"/>
      <c r="AK259" s="82"/>
      <c r="AL259" s="77"/>
      <c r="AM259" s="78"/>
      <c r="AN259" s="37"/>
      <c r="AO259" s="37"/>
      <c r="AP259" s="37"/>
    </row>
    <row r="260" spans="1:42" s="184" customFormat="1" ht="16.5" customHeight="1" x14ac:dyDescent="0.25">
      <c r="A260" s="1681" t="s">
        <v>156</v>
      </c>
      <c r="B260" s="1682"/>
      <c r="C260" s="1682"/>
      <c r="D260" s="1682"/>
      <c r="E260" s="1682"/>
      <c r="F260" s="1682"/>
      <c r="G260" s="1682"/>
      <c r="H260" s="1682"/>
      <c r="I260" s="1682"/>
      <c r="J260" s="1682"/>
      <c r="K260" s="1682"/>
      <c r="L260" s="1682"/>
      <c r="M260" s="1682"/>
      <c r="N260" s="1682"/>
      <c r="O260" s="1682"/>
      <c r="P260" s="1682"/>
      <c r="Q260" s="1682"/>
      <c r="R260" s="1682"/>
      <c r="S260" s="1682"/>
      <c r="T260" s="1682"/>
      <c r="U260" s="1682"/>
      <c r="V260" s="1682"/>
      <c r="W260" s="1682"/>
      <c r="X260" s="1682"/>
      <c r="Y260" s="1682"/>
      <c r="Z260" s="1682"/>
      <c r="AA260" s="1682"/>
      <c r="AB260" s="1682"/>
      <c r="AC260" s="1682"/>
      <c r="AD260" s="1682"/>
      <c r="AE260" s="1682"/>
      <c r="AF260" s="1682"/>
      <c r="AG260" s="1682"/>
      <c r="AH260" s="1682"/>
      <c r="AI260" s="1682"/>
      <c r="AJ260" s="1682"/>
      <c r="AK260" s="1682"/>
      <c r="AL260" s="1682"/>
      <c r="AM260" s="1683"/>
      <c r="AN260" s="37"/>
      <c r="AO260" s="37"/>
      <c r="AP260" s="37"/>
    </row>
    <row r="261" spans="1:42" s="184" customFormat="1" ht="24" customHeight="1" x14ac:dyDescent="0.25">
      <c r="A261" s="1684"/>
      <c r="B261" s="1685"/>
      <c r="C261" s="1685"/>
      <c r="D261" s="1685"/>
      <c r="E261" s="1685"/>
      <c r="F261" s="1685"/>
      <c r="G261" s="1685"/>
      <c r="H261" s="1685"/>
      <c r="I261" s="1685"/>
      <c r="J261" s="1685"/>
      <c r="K261" s="1685"/>
      <c r="L261" s="1685"/>
      <c r="M261" s="1685"/>
      <c r="N261" s="1685"/>
      <c r="O261" s="1685"/>
      <c r="P261" s="1685"/>
      <c r="Q261" s="1685"/>
      <c r="R261" s="1685"/>
      <c r="S261" s="1685"/>
      <c r="T261" s="1685"/>
      <c r="U261" s="1685"/>
      <c r="V261" s="1685"/>
      <c r="W261" s="1685"/>
      <c r="X261" s="1685"/>
      <c r="Y261" s="1685"/>
      <c r="Z261" s="1685"/>
      <c r="AA261" s="1685"/>
      <c r="AB261" s="1685"/>
      <c r="AC261" s="1685"/>
      <c r="AD261" s="1685"/>
      <c r="AE261" s="1685"/>
      <c r="AF261" s="1685"/>
      <c r="AG261" s="1685"/>
      <c r="AH261" s="1685"/>
      <c r="AI261" s="1685"/>
      <c r="AJ261" s="1685"/>
      <c r="AK261" s="1685"/>
      <c r="AL261" s="1685"/>
      <c r="AM261" s="1686"/>
      <c r="AN261" s="37"/>
      <c r="AO261" s="37"/>
      <c r="AP261" s="37"/>
    </row>
    <row r="262" spans="1:42" s="184" customFormat="1" x14ac:dyDescent="0.25">
      <c r="A262" s="242"/>
      <c r="B262" s="243"/>
      <c r="C262" s="242"/>
      <c r="D262" s="242"/>
      <c r="E262" s="242"/>
      <c r="F262" s="37"/>
      <c r="G262" s="37"/>
      <c r="H262" s="37"/>
      <c r="I262" s="225"/>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row>
    <row r="263" spans="1:42" s="184" customFormat="1" ht="26.25" customHeight="1" x14ac:dyDescent="0.25">
      <c r="A263" s="1667" t="s">
        <v>157</v>
      </c>
      <c r="B263" s="1668"/>
      <c r="C263" s="1821" t="s">
        <v>481</v>
      </c>
      <c r="D263" s="1822"/>
      <c r="E263" s="1822"/>
      <c r="F263" s="1822"/>
      <c r="G263" s="1822"/>
      <c r="H263" s="1822"/>
      <c r="I263" s="1822"/>
      <c r="J263" s="1822"/>
      <c r="K263" s="1822"/>
      <c r="L263" s="1822"/>
      <c r="M263" s="1822"/>
      <c r="N263" s="1822"/>
      <c r="O263" s="1822"/>
      <c r="P263" s="1822"/>
      <c r="Q263" s="1822"/>
      <c r="R263" s="1822"/>
      <c r="S263" s="1822"/>
      <c r="T263" s="1822"/>
      <c r="U263" s="1822"/>
      <c r="V263" s="1822"/>
      <c r="W263" s="1822"/>
      <c r="X263" s="1822"/>
      <c r="Y263" s="1822"/>
      <c r="Z263" s="1822"/>
      <c r="AA263" s="1822"/>
      <c r="AB263" s="1822"/>
      <c r="AC263" s="1822"/>
      <c r="AD263" s="1822"/>
      <c r="AE263" s="1822"/>
      <c r="AF263" s="1822"/>
      <c r="AG263" s="1822"/>
      <c r="AH263" s="1822"/>
      <c r="AI263" s="1822"/>
      <c r="AJ263" s="1822"/>
      <c r="AK263" s="1822"/>
      <c r="AL263" s="1822"/>
      <c r="AM263" s="1823"/>
      <c r="AN263" s="37"/>
      <c r="AO263" s="37"/>
      <c r="AP263" s="37"/>
    </row>
    <row r="264" spans="1:42" s="184" customFormat="1" ht="30" customHeight="1" x14ac:dyDescent="0.25">
      <c r="A264" s="1667" t="s">
        <v>158</v>
      </c>
      <c r="B264" s="1668"/>
      <c r="C264" s="1680" t="s">
        <v>482</v>
      </c>
      <c r="D264" s="1680"/>
      <c r="E264" s="1680"/>
      <c r="F264" s="1680"/>
      <c r="G264" s="1680"/>
      <c r="H264" s="1680"/>
      <c r="I264" s="1680"/>
      <c r="J264" s="1680"/>
      <c r="K264" s="1680"/>
      <c r="L264" s="1680"/>
      <c r="M264" s="1680"/>
      <c r="N264" s="1680"/>
      <c r="O264" s="1680"/>
      <c r="P264" s="1680"/>
      <c r="Q264" s="1680"/>
      <c r="R264" s="1680"/>
      <c r="S264" s="1680"/>
      <c r="T264" s="1680"/>
      <c r="U264" s="1680"/>
      <c r="V264" s="1680"/>
      <c r="W264" s="1680"/>
      <c r="X264" s="1680"/>
      <c r="Y264" s="1680"/>
      <c r="Z264" s="1680"/>
      <c r="AA264" s="1680"/>
      <c r="AB264" s="1680"/>
      <c r="AC264" s="1680"/>
      <c r="AD264" s="1680"/>
      <c r="AE264" s="1680"/>
      <c r="AF264" s="1680"/>
      <c r="AG264" s="1680"/>
      <c r="AH264" s="1680"/>
      <c r="AI264" s="1680"/>
      <c r="AJ264" s="1680"/>
      <c r="AK264" s="1680"/>
      <c r="AL264" s="1680"/>
      <c r="AM264" s="1680"/>
      <c r="AN264" s="37"/>
      <c r="AO264" s="37"/>
      <c r="AP264" s="37"/>
    </row>
    <row r="265" spans="1:42" s="184" customFormat="1" ht="49.5" customHeight="1" x14ac:dyDescent="0.25">
      <c r="A265" s="1667" t="s">
        <v>159</v>
      </c>
      <c r="B265" s="1668"/>
      <c r="C265" s="1669"/>
      <c r="D265" s="1669"/>
      <c r="E265" s="1669"/>
      <c r="F265" s="1669"/>
      <c r="G265" s="1669"/>
      <c r="H265" s="1669"/>
      <c r="I265" s="1669"/>
      <c r="J265" s="1669"/>
      <c r="K265" s="1669"/>
      <c r="L265" s="1669"/>
      <c r="M265" s="1669"/>
      <c r="N265" s="1669"/>
      <c r="O265" s="1669"/>
      <c r="P265" s="1669"/>
      <c r="Q265" s="1669"/>
      <c r="R265" s="1669"/>
      <c r="S265" s="1669"/>
      <c r="T265" s="1669"/>
      <c r="U265" s="1669"/>
      <c r="V265" s="1669"/>
      <c r="W265" s="1669"/>
      <c r="X265" s="1669"/>
      <c r="Y265" s="1669"/>
      <c r="Z265" s="1669"/>
      <c r="AA265" s="1669"/>
      <c r="AB265" s="1669"/>
      <c r="AC265" s="1669"/>
      <c r="AD265" s="1669"/>
      <c r="AE265" s="1669"/>
      <c r="AF265" s="1669"/>
      <c r="AG265" s="1669"/>
      <c r="AH265" s="1669"/>
      <c r="AI265" s="1669"/>
      <c r="AJ265" s="1669"/>
      <c r="AK265" s="1669"/>
      <c r="AL265" s="1669"/>
      <c r="AM265" s="1669"/>
      <c r="AN265" s="37"/>
      <c r="AO265" s="37"/>
      <c r="AP265" s="37"/>
    </row>
    <row r="266" spans="1:42" s="184" customFormat="1" x14ac:dyDescent="0.25">
      <c r="A266" s="1670" t="s">
        <v>160</v>
      </c>
      <c r="B266" s="1671"/>
      <c r="C266" s="1672"/>
      <c r="D266" s="1672"/>
      <c r="E266" s="1672"/>
      <c r="F266" s="1672"/>
      <c r="G266" s="1672"/>
      <c r="H266" s="1672"/>
      <c r="I266" s="1672"/>
      <c r="J266" s="1673"/>
      <c r="K266" s="1630" t="s">
        <v>161</v>
      </c>
      <c r="L266" s="1672"/>
      <c r="M266" s="1672"/>
      <c r="N266" s="1672"/>
      <c r="O266" s="1672"/>
      <c r="P266" s="1672"/>
      <c r="Q266" s="1673"/>
      <c r="R266" s="1630" t="s">
        <v>162</v>
      </c>
      <c r="S266" s="1672"/>
      <c r="T266" s="1672"/>
      <c r="U266" s="1672"/>
      <c r="V266" s="1672"/>
      <c r="W266" s="1672"/>
      <c r="X266" s="1672"/>
      <c r="Y266" s="1672"/>
      <c r="Z266" s="1673"/>
      <c r="AA266" s="1630" t="s">
        <v>163</v>
      </c>
      <c r="AB266" s="1672"/>
      <c r="AC266" s="1672"/>
      <c r="AD266" s="1672"/>
      <c r="AE266" s="1672"/>
      <c r="AF266" s="1672"/>
      <c r="AG266" s="1673"/>
      <c r="AH266" s="1630" t="s">
        <v>164</v>
      </c>
      <c r="AI266" s="1672"/>
      <c r="AJ266" s="1672"/>
      <c r="AK266" s="1672"/>
      <c r="AL266" s="1672"/>
      <c r="AM266" s="1673"/>
      <c r="AN266" s="37"/>
      <c r="AO266" s="37"/>
      <c r="AP266" s="37"/>
    </row>
    <row r="267" spans="1:42" s="184" customFormat="1" ht="16.5" customHeight="1" x14ac:dyDescent="0.25">
      <c r="A267" s="1649" t="s">
        <v>165</v>
      </c>
      <c r="B267" s="1651" t="s">
        <v>142</v>
      </c>
      <c r="C267" s="1626" t="s">
        <v>166</v>
      </c>
      <c r="D267" s="1626" t="s">
        <v>167</v>
      </c>
      <c r="E267" s="1631" t="s">
        <v>168</v>
      </c>
      <c r="F267" s="1652" t="s">
        <v>60</v>
      </c>
      <c r="G267" s="56"/>
      <c r="H267" s="56"/>
      <c r="I267" s="1631" t="s">
        <v>169</v>
      </c>
      <c r="J267" s="1626" t="s">
        <v>170</v>
      </c>
      <c r="K267" s="1628" t="s">
        <v>171</v>
      </c>
      <c r="L267" s="1629" t="s">
        <v>172</v>
      </c>
      <c r="M267" s="1631" t="s">
        <v>173</v>
      </c>
      <c r="N267" s="1631" t="s">
        <v>174</v>
      </c>
      <c r="O267" s="1666" t="s">
        <v>175</v>
      </c>
      <c r="P267" s="1629" t="s">
        <v>172</v>
      </c>
      <c r="Q267" s="1626" t="s">
        <v>176</v>
      </c>
      <c r="R267" s="1664" t="s">
        <v>177</v>
      </c>
      <c r="S267" s="1627" t="s">
        <v>178</v>
      </c>
      <c r="T267" s="1631" t="s">
        <v>179</v>
      </c>
      <c r="U267" s="1627" t="s">
        <v>180</v>
      </c>
      <c r="V267" s="1627"/>
      <c r="W267" s="1627"/>
      <c r="X267" s="1627"/>
      <c r="Y267" s="1627"/>
      <c r="Z267" s="1627"/>
      <c r="AA267" s="1663" t="s">
        <v>181</v>
      </c>
      <c r="AB267" s="1663" t="s">
        <v>182</v>
      </c>
      <c r="AC267" s="1663" t="s">
        <v>172</v>
      </c>
      <c r="AD267" s="1663" t="s">
        <v>183</v>
      </c>
      <c r="AE267" s="1663" t="s">
        <v>172</v>
      </c>
      <c r="AF267" s="1663" t="s">
        <v>184</v>
      </c>
      <c r="AG267" s="1664" t="s">
        <v>185</v>
      </c>
      <c r="AH267" s="1627" t="s">
        <v>164</v>
      </c>
      <c r="AI267" s="1627" t="s">
        <v>143</v>
      </c>
      <c r="AJ267" s="1627" t="s">
        <v>186</v>
      </c>
      <c r="AK267" s="1627" t="s">
        <v>187</v>
      </c>
      <c r="AL267" s="1627" t="s">
        <v>188</v>
      </c>
      <c r="AM267" s="1819" t="s">
        <v>189</v>
      </c>
      <c r="AN267" s="1820" t="s">
        <v>805</v>
      </c>
      <c r="AO267" s="1820" t="s">
        <v>806</v>
      </c>
      <c r="AP267" s="1820" t="s">
        <v>807</v>
      </c>
    </row>
    <row r="268" spans="1:42" s="222" customFormat="1" ht="94.5" customHeight="1" x14ac:dyDescent="0.3">
      <c r="A268" s="1650"/>
      <c r="B268" s="1651"/>
      <c r="C268" s="1627"/>
      <c r="D268" s="1627"/>
      <c r="E268" s="1628"/>
      <c r="F268" s="1653"/>
      <c r="G268" s="56" t="s">
        <v>511</v>
      </c>
      <c r="H268" s="56" t="s">
        <v>190</v>
      </c>
      <c r="I268" s="1626"/>
      <c r="J268" s="1627"/>
      <c r="K268" s="1626"/>
      <c r="L268" s="1630"/>
      <c r="M268" s="1626"/>
      <c r="N268" s="1626"/>
      <c r="O268" s="1630"/>
      <c r="P268" s="1630"/>
      <c r="Q268" s="1627"/>
      <c r="R268" s="1665"/>
      <c r="S268" s="1627"/>
      <c r="T268" s="1626"/>
      <c r="U268" s="42" t="s">
        <v>191</v>
      </c>
      <c r="V268" s="42" t="s">
        <v>192</v>
      </c>
      <c r="W268" s="42" t="s">
        <v>193</v>
      </c>
      <c r="X268" s="42" t="s">
        <v>194</v>
      </c>
      <c r="Y268" s="42" t="s">
        <v>195</v>
      </c>
      <c r="Z268" s="42" t="s">
        <v>196</v>
      </c>
      <c r="AA268" s="1663"/>
      <c r="AB268" s="1663"/>
      <c r="AC268" s="1663"/>
      <c r="AD268" s="1663"/>
      <c r="AE268" s="1663"/>
      <c r="AF268" s="1663"/>
      <c r="AG268" s="1665"/>
      <c r="AH268" s="1627"/>
      <c r="AI268" s="1627"/>
      <c r="AJ268" s="1627"/>
      <c r="AK268" s="1627"/>
      <c r="AL268" s="1627"/>
      <c r="AM268" s="1819"/>
      <c r="AN268" s="1820"/>
      <c r="AO268" s="1820"/>
      <c r="AP268" s="1820"/>
    </row>
    <row r="269" spans="1:42" s="231" customFormat="1" ht="77.400000000000006" x14ac:dyDescent="0.3">
      <c r="A269" s="1618">
        <v>1</v>
      </c>
      <c r="B269" s="1656" t="s">
        <v>197</v>
      </c>
      <c r="C269" s="1656" t="s">
        <v>483</v>
      </c>
      <c r="D269" s="1700" t="s">
        <v>484</v>
      </c>
      <c r="E269" s="74" t="s">
        <v>396</v>
      </c>
      <c r="F269" s="1700" t="s">
        <v>485</v>
      </c>
      <c r="G269" s="92" t="s">
        <v>512</v>
      </c>
      <c r="H269" s="1700" t="s">
        <v>486</v>
      </c>
      <c r="I269" s="1701" t="s">
        <v>198</v>
      </c>
      <c r="J269" s="1640">
        <v>243</v>
      </c>
      <c r="K269" s="1643" t="str">
        <f>IF(J269&lt;=0,"",IF(J269&lt;=2,"Muy Baja",IF(J269&lt;=24,"Baja",IF(J269&lt;=500,"Media",IF(J269&lt;=5000,"Alta","Muy Alta")))))</f>
        <v>Media</v>
      </c>
      <c r="L269" s="1632">
        <f>IF(K269="","",IF(K269="Muy Baja",0.2,IF(K269="Baja",0.4,IF(K269="Media",0.6,IF(K269="Alta",0.8,IF(K269="Muy Alta",1,))))))</f>
        <v>0.6</v>
      </c>
      <c r="M269" s="1646" t="s">
        <v>225</v>
      </c>
      <c r="N269" s="1632" t="str">
        <f>IF(NOT(ISERROR(MATCH(M269,'[15]Tabla Impacto'!$B$221:$B$223,0))),'[15]Tabla Impacto'!$F$223&amp;"Por favor no seleccionar los criterios de impacto(Afectación Económica o presupuestal y Pérdida Reputacional)",M269)</f>
        <v xml:space="preserve">     El riesgo afecta la imagen de la entidad con algunos usuarios de relevancia frente al logro de los objetivos</v>
      </c>
      <c r="O269" s="1643" t="str">
        <f>IF(OR(N269='[15]Tabla Impacto'!$C$11,N269='[15]Tabla Impacto'!$D$11),"Leve",IF(OR(N269='[15]Tabla Impacto'!$C$12,N269='[15]Tabla Impacto'!$D$12),"Menor",IF(OR(N269='[15]Tabla Impacto'!$C$13,N269='[15]Tabla Impacto'!$D$13),"Moderado",IF(OR(N269='[15]Tabla Impacto'!$C$14,N269='[15]Tabla Impacto'!$D$14),"Mayor",IF(OR(N269='[15]Tabla Impacto'!$C$15,N269='[15]Tabla Impacto'!$D$15),"Catastrófico","")))))</f>
        <v>Moderado</v>
      </c>
      <c r="P269" s="1632">
        <f>IF(O269="","",IF(O269="Leve",0.2,IF(O269="Menor",0.4,IF(O269="Moderado",0.6,IF(O269="Mayor",0.8,IF(O269="Catastrófico",1,))))))</f>
        <v>0.6</v>
      </c>
      <c r="Q269" s="1635" t="str">
        <f>IF(OR(AND(K269="Muy Baja",O269="Leve"),AND(K269="Muy Baja",O269="Menor"),AND(K269="Baja",O269="Leve")),"Bajo",IF(OR(AND(K269="Muy baja",O269="Moderado"),AND(K269="Baja",O269="Menor"),AND(K269="Baja",O269="Moderado"),AND(K269="Media",O269="Leve"),AND(K269="Media",O269="Menor"),AND(K269="Media",O269="Moderado"),AND(K269="Alta",O269="Leve"),AND(K269="Alta",O269="Menor")),"Moderado",IF(OR(AND(K269="Muy Baja",O269="Mayor"),AND(K269="Baja",O269="Mayor"),AND(K269="Media",O269="Mayor"),AND(K269="Alta",O269="Moderado"),AND(K269="Alta",O269="Mayor"),AND(K269="Muy Alta",O269="Leve"),AND(K269="Muy Alta",O269="Menor"),AND(K269="Muy Alta",O269="Moderado"),AND(K269="Muy Alta",O269="Mayor")),"Alto",IF(OR(AND(K269="Muy Baja",O269="Catastrófico"),AND(K269="Baja",O269="Catastrófico"),AND(K269="Media",O269="Catastrófico"),AND(K269="Alta",O269="Catastrófico"),AND(K269="Muy Alta",O269="Catastrófico")),"Extremo",""))))</f>
        <v>Moderado</v>
      </c>
      <c r="R269" s="48">
        <v>1</v>
      </c>
      <c r="S269" s="60" t="s">
        <v>487</v>
      </c>
      <c r="T269" s="50" t="str">
        <f>IF(OR(U269="Preventivo",U269="Detectivo"),"Probabilidad",IF(U269="Correctivo","Impacto",""))</f>
        <v>Probabilidad</v>
      </c>
      <c r="U269" s="61" t="s">
        <v>207</v>
      </c>
      <c r="V269" s="61" t="s">
        <v>201</v>
      </c>
      <c r="W269" s="62" t="str">
        <f>IF(AND(U269="Preventivo",V269="Automático"),"50%",IF(AND(U269="Preventivo",V269="Manual"),"40%",IF(AND(U269="Detectivo",V269="Automático"),"40%",IF(AND(U269="Detectivo",V269="Manual"),"30%",IF(AND(U269="Correctivo",V269="Automático"),"35%",IF(AND(U269="Correctivo",V269="Manual"),"25%",""))))))</f>
        <v>40%</v>
      </c>
      <c r="X269" s="61" t="s">
        <v>208</v>
      </c>
      <c r="Y269" s="61" t="s">
        <v>203</v>
      </c>
      <c r="Z269" s="61" t="s">
        <v>204</v>
      </c>
      <c r="AA269" s="63">
        <f>IFERROR(IF(T269="Probabilidad",(L269-(+L269*W269)),IF(T269="Impacto",L269,"")),"")</f>
        <v>0.36</v>
      </c>
      <c r="AB269" s="64" t="str">
        <f>IFERROR(IF(AA269="","",IF(AA269&lt;=0.2,"Muy Baja",IF(AA269&lt;=0.4,"Baja",IF(AA269&lt;=0.6,"Media",IF(AA269&lt;=0.8,"Alta","Muy Alta"))))),"")</f>
        <v>Baja</v>
      </c>
      <c r="AC269" s="65">
        <f>+AA269</f>
        <v>0.36</v>
      </c>
      <c r="AD269" s="64" t="str">
        <f>IFERROR(IF(AE269="","",IF(AE269&lt;=0.2,"Leve",IF(AE269&lt;=0.4,"Menor",IF(AE269&lt;=0.6,"Moderado",IF(AE269&lt;=0.8,"Mayor","Catastrófico"))))),"")</f>
        <v>Moderado</v>
      </c>
      <c r="AE269" s="65">
        <f>IFERROR(IF(T269="Impacto",(P269-(+P269*W269)),IF(T269="Probabilidad",P269,"")),"")</f>
        <v>0.6</v>
      </c>
      <c r="AF269" s="66" t="str">
        <f>IFERROR(IF(OR(AND(AB269="Muy Baja",AD269="Leve"),AND(AB269="Muy Baja",AD269="Menor"),AND(AB269="Baja",AD269="Leve")),"Bajo",IF(OR(AND(AB269="Muy baja",AD269="Moderado"),AND(AB269="Baja",AD269="Menor"),AND(AB269="Baja",AD269="Moderado"),AND(AB269="Media",AD269="Leve"),AND(AB269="Media",AD269="Menor"),AND(AB269="Media",AD269="Moderado"),AND(AB269="Alta",AD269="Leve"),AND(AB269="Alta",AD269="Menor")),"Moderado",IF(OR(AND(AB269="Muy Baja",AD269="Mayor"),AND(AB269="Baja",AD269="Mayor"),AND(AB269="Media",AD269="Mayor"),AND(AB269="Alta",AD269="Moderado"),AND(AB269="Alta",AD269="Mayor"),AND(AB269="Muy Alta",AD269="Leve"),AND(AB269="Muy Alta",AD269="Menor"),AND(AB269="Muy Alta",AD269="Moderado"),AND(AB269="Muy Alta",AD269="Mayor")),"Alto",IF(OR(AND(AB269="Muy Baja",AD269="Catastrófico"),AND(AB269="Baja",AD269="Catastrófico"),AND(AB269="Media",AD269="Catastrófico"),AND(AB269="Alta",AD269="Catastrófico"),AND(AB269="Muy Alta",AD269="Catastrófico")),"Extremo","")))),"")</f>
        <v>Moderado</v>
      </c>
      <c r="AG269" s="81" t="s">
        <v>205</v>
      </c>
      <c r="AH269" s="69" t="s">
        <v>808</v>
      </c>
      <c r="AI269" s="69" t="s">
        <v>488</v>
      </c>
      <c r="AJ269" s="148" t="s">
        <v>809</v>
      </c>
      <c r="AK269" s="148" t="s">
        <v>147</v>
      </c>
      <c r="AL269" s="69" t="s">
        <v>810</v>
      </c>
      <c r="AM269" s="181" t="s">
        <v>206</v>
      </c>
      <c r="AN269" s="393" t="s">
        <v>811</v>
      </c>
      <c r="AO269" s="393" t="s">
        <v>812</v>
      </c>
      <c r="AP269" s="393" t="s">
        <v>813</v>
      </c>
    </row>
    <row r="270" spans="1:42" s="184" customFormat="1" ht="77.400000000000006" x14ac:dyDescent="0.25">
      <c r="A270" s="1619"/>
      <c r="B270" s="1657"/>
      <c r="C270" s="1657"/>
      <c r="D270" s="1700"/>
      <c r="E270" s="74" t="s">
        <v>489</v>
      </c>
      <c r="F270" s="1700"/>
      <c r="G270" s="382"/>
      <c r="H270" s="1700"/>
      <c r="I270" s="1702"/>
      <c r="J270" s="1641"/>
      <c r="K270" s="1644"/>
      <c r="L270" s="1633"/>
      <c r="M270" s="1647"/>
      <c r="N270" s="1633">
        <f>IF(NOT(ISERROR(MATCH(M270,_xlfn.ANCHORARRAY(F278),0))),L280&amp;"Por favor no seleccionar los criterios de impacto",M270)</f>
        <v>0</v>
      </c>
      <c r="O270" s="1644"/>
      <c r="P270" s="1633"/>
      <c r="Q270" s="1636"/>
      <c r="R270" s="48">
        <v>2</v>
      </c>
      <c r="S270" s="49" t="s">
        <v>490</v>
      </c>
      <c r="T270" s="50" t="str">
        <f>IF(OR(U270="Preventivo",U270="Detectivo"),"Probabilidad",IF(U270="Correctivo","Impacto",""))</f>
        <v>Impacto</v>
      </c>
      <c r="U270" s="61" t="s">
        <v>308</v>
      </c>
      <c r="V270" s="61" t="s">
        <v>201</v>
      </c>
      <c r="W270" s="62" t="str">
        <f t="shared" ref="W270:W271" si="167">IF(AND(U270="Preventivo",V270="Automático"),"50%",IF(AND(U270="Preventivo",V270="Manual"),"40%",IF(AND(U270="Detectivo",V270="Automático"),"40%",IF(AND(U270="Detectivo",V270="Manual"),"30%",IF(AND(U270="Correctivo",V270="Automático"),"35%",IF(AND(U270="Correctivo",V270="Manual"),"25%",""))))))</f>
        <v>25%</v>
      </c>
      <c r="X270" s="61" t="s">
        <v>202</v>
      </c>
      <c r="Y270" s="61" t="s">
        <v>210</v>
      </c>
      <c r="Z270" s="61" t="s">
        <v>298</v>
      </c>
      <c r="AA270" s="63">
        <f>IFERROR(IF(AND(T269="Probabilidad",T270="Probabilidad"),(AC269-(+AC269*W270)),IF(AND(T269="Impacto",T270="Probabilidad"),(L269-(+L269*W270)),IF(T270="Impacto",AC269,""))),"")</f>
        <v>0.36</v>
      </c>
      <c r="AB270" s="64" t="str">
        <f t="shared" ref="AB270:AB271" si="168">IFERROR(IF(AA270="","",IF(AA270&lt;=0.2,"Muy Baja",IF(AA270&lt;=0.4,"Baja",IF(AA270&lt;=0.6,"Media",IF(AA270&lt;=0.8,"Alta","Muy Alta"))))),"")</f>
        <v>Baja</v>
      </c>
      <c r="AC270" s="65">
        <f>+AA270</f>
        <v>0.36</v>
      </c>
      <c r="AD270" s="64" t="str">
        <f t="shared" ref="AD270:AD271" si="169">IFERROR(IF(AE270="","",IF(AE270&lt;=0.2,"Leve",IF(AE270&lt;=0.4,"Menor",IF(AE270&lt;=0.6,"Moderado",IF(AE270&lt;=0.8,"Mayor","Catastrófico"))))),"")</f>
        <v>Moderado</v>
      </c>
      <c r="AE270" s="65">
        <f>IFERROR(IF(AND(T269="Impacto",T270="Impacto"),(AE269-(+AE269*W270)),IF(AND(T269="Probabilidad",T270="Impacto"),(P269-(+P269*W270)),IF(T270="Probabilidad",AE269,""))),"")</f>
        <v>0.44999999999999996</v>
      </c>
      <c r="AF270" s="66" t="str">
        <f t="shared" ref="AF270:AF271" si="170">IFERROR(IF(OR(AND(AB270="Muy Baja",AD270="Leve"),AND(AB270="Muy Baja",AD270="Menor"),AND(AB270="Baja",AD270="Leve")),"Bajo",IF(OR(AND(AB270="Muy baja",AD270="Moderado"),AND(AB270="Baja",AD270="Menor"),AND(AB270="Baja",AD270="Moderado"),AND(AB270="Media",AD270="Leve"),AND(AB270="Media",AD270="Menor"),AND(AB270="Media",AD270="Moderado"),AND(AB270="Alta",AD270="Leve"),AND(AB270="Alta",AD270="Menor")),"Moderado",IF(OR(AND(AB270="Muy Baja",AD270="Mayor"),AND(AB270="Baja",AD270="Mayor"),AND(AB270="Media",AD270="Mayor"),AND(AB270="Alta",AD270="Moderado"),AND(AB270="Alta",AD270="Mayor"),AND(AB270="Muy Alta",AD270="Leve"),AND(AB270="Muy Alta",AD270="Menor"),AND(AB270="Muy Alta",AD270="Moderado"),AND(AB270="Muy Alta",AD270="Mayor")),"Alto",IF(OR(AND(AB270="Muy Baja",AD270="Catastrófico"),AND(AB270="Baja",AD270="Catastrófico"),AND(AB270="Media",AD270="Catastrófico"),AND(AB270="Alta",AD270="Catastrófico"),AND(AB270="Muy Alta",AD270="Catastrófico")),"Extremo","")))),"")</f>
        <v>Moderado</v>
      </c>
      <c r="AG270" s="81" t="s">
        <v>205</v>
      </c>
      <c r="AH270" s="77" t="s">
        <v>491</v>
      </c>
      <c r="AI270" s="69" t="s">
        <v>488</v>
      </c>
      <c r="AJ270" s="148" t="s">
        <v>814</v>
      </c>
      <c r="AK270" s="148" t="s">
        <v>147</v>
      </c>
      <c r="AL270" s="49"/>
      <c r="AM270" s="182" t="s">
        <v>206</v>
      </c>
      <c r="AN270" s="393" t="s">
        <v>815</v>
      </c>
      <c r="AO270" s="393" t="s">
        <v>815</v>
      </c>
      <c r="AP270" s="393" t="s">
        <v>815</v>
      </c>
    </row>
    <row r="271" spans="1:42" s="184" customFormat="1" ht="110.4" x14ac:dyDescent="0.25">
      <c r="A271" s="1619"/>
      <c r="B271" s="1657"/>
      <c r="C271" s="1657"/>
      <c r="D271" s="1700"/>
      <c r="E271" s="74" t="s">
        <v>492</v>
      </c>
      <c r="F271" s="1700"/>
      <c r="G271" s="382"/>
      <c r="H271" s="1700"/>
      <c r="I271" s="1702"/>
      <c r="J271" s="1641"/>
      <c r="K271" s="1644"/>
      <c r="L271" s="1633"/>
      <c r="M271" s="1647"/>
      <c r="N271" s="1633">
        <f>IF(NOT(ISERROR(MATCH(M271,_xlfn.ANCHORARRAY(F279),0))),L281&amp;"Por favor no seleccionar los criterios de impacto",M271)</f>
        <v>0</v>
      </c>
      <c r="O271" s="1644"/>
      <c r="P271" s="1633"/>
      <c r="Q271" s="1636"/>
      <c r="R271" s="48">
        <v>3</v>
      </c>
      <c r="S271" s="79" t="s">
        <v>493</v>
      </c>
      <c r="T271" s="50" t="str">
        <f t="shared" ref="T271" si="171">IF(OR(U271="Preventivo",U271="Detectivo"),"Probabilidad",IF(U271="Correctivo","Impacto",""))</f>
        <v>Probabilidad</v>
      </c>
      <c r="U271" s="61" t="s">
        <v>207</v>
      </c>
      <c r="V271" s="61" t="s">
        <v>201</v>
      </c>
      <c r="W271" s="62" t="str">
        <f t="shared" si="167"/>
        <v>40%</v>
      </c>
      <c r="X271" s="61" t="s">
        <v>202</v>
      </c>
      <c r="Y271" s="61" t="s">
        <v>210</v>
      </c>
      <c r="Z271" s="61" t="s">
        <v>204</v>
      </c>
      <c r="AA271" s="63">
        <f>IFERROR(IF(AND(T270="Probabilidad",T271="Probabilidad"),(AC270-(+AC270*W271)),IF(AND(T270="Impacto",T271="Probabilidad"),(AC269-(+AC269*W271)),IF(T271="Impacto",AC270,""))),"")</f>
        <v>0.216</v>
      </c>
      <c r="AB271" s="64" t="str">
        <f t="shared" si="168"/>
        <v>Baja</v>
      </c>
      <c r="AC271" s="65">
        <f t="shared" ref="AC271" si="172">+AA271</f>
        <v>0.216</v>
      </c>
      <c r="AD271" s="64" t="str">
        <f t="shared" si="169"/>
        <v>Moderado</v>
      </c>
      <c r="AE271" s="65">
        <f t="shared" ref="AE271" si="173">IFERROR(IF(AND(T270="Impacto",T271="Impacto"),(AE270-(+AE270*W271)),IF(AND(T270="Probabilidad",T271="Impacto"),(AE269-(+AE269*W271)),IF(T271="Probabilidad",AE270,""))),"")</f>
        <v>0.44999999999999996</v>
      </c>
      <c r="AF271" s="66" t="str">
        <f t="shared" si="170"/>
        <v>Moderado</v>
      </c>
      <c r="AG271" s="81"/>
      <c r="AH271" s="77" t="s">
        <v>494</v>
      </c>
      <c r="AI271" s="69" t="s">
        <v>488</v>
      </c>
      <c r="AJ271" s="148" t="s">
        <v>814</v>
      </c>
      <c r="AK271" s="148" t="s">
        <v>147</v>
      </c>
      <c r="AL271" s="69" t="s">
        <v>816</v>
      </c>
      <c r="AM271" s="182" t="s">
        <v>206</v>
      </c>
      <c r="AN271" s="393" t="s">
        <v>817</v>
      </c>
      <c r="AO271" s="393" t="s">
        <v>818</v>
      </c>
      <c r="AP271" s="393" t="s">
        <v>819</v>
      </c>
    </row>
    <row r="272" spans="1:42" s="396" customFormat="1" ht="16.5" customHeight="1" x14ac:dyDescent="0.3">
      <c r="A272" s="1814" t="s">
        <v>156</v>
      </c>
      <c r="B272" s="1815"/>
      <c r="C272" s="1815"/>
      <c r="D272" s="1815"/>
      <c r="E272" s="1815"/>
      <c r="F272" s="1815"/>
      <c r="G272" s="1815"/>
      <c r="H272" s="1815"/>
      <c r="I272" s="1815"/>
      <c r="J272" s="1815"/>
      <c r="K272" s="1815"/>
      <c r="L272" s="1815"/>
      <c r="M272" s="1815"/>
      <c r="N272" s="1815"/>
      <c r="O272" s="1815"/>
      <c r="P272" s="1815"/>
      <c r="Q272" s="1815"/>
      <c r="R272" s="1815"/>
      <c r="S272" s="1815"/>
      <c r="T272" s="1815"/>
      <c r="U272" s="1815"/>
      <c r="V272" s="1815"/>
      <c r="W272" s="1815"/>
      <c r="X272" s="1815"/>
      <c r="Y272" s="1815"/>
      <c r="Z272" s="1815"/>
      <c r="AA272" s="1815"/>
      <c r="AB272" s="1815"/>
      <c r="AC272" s="1815"/>
      <c r="AD272" s="1815"/>
      <c r="AE272" s="1815"/>
      <c r="AF272" s="1815"/>
      <c r="AG272" s="1815"/>
      <c r="AH272" s="1815"/>
      <c r="AI272" s="1815"/>
      <c r="AJ272" s="1815"/>
      <c r="AK272" s="1815"/>
      <c r="AL272" s="1815"/>
      <c r="AM272" s="1816"/>
      <c r="AN272" s="394"/>
      <c r="AO272" s="395"/>
      <c r="AP272" s="395"/>
    </row>
    <row r="273" spans="1:46" s="396" customFormat="1" ht="14.25" customHeight="1" x14ac:dyDescent="0.3">
      <c r="A273" s="1806"/>
      <c r="B273" s="1817"/>
      <c r="C273" s="1817"/>
      <c r="D273" s="1817"/>
      <c r="E273" s="1817"/>
      <c r="F273" s="1817"/>
      <c r="G273" s="1817"/>
      <c r="H273" s="1817"/>
      <c r="I273" s="1817"/>
      <c r="J273" s="1817"/>
      <c r="K273" s="1817"/>
      <c r="L273" s="1817"/>
      <c r="M273" s="1817"/>
      <c r="N273" s="1817"/>
      <c r="O273" s="1817"/>
      <c r="P273" s="1817"/>
      <c r="Q273" s="1817"/>
      <c r="R273" s="1817"/>
      <c r="S273" s="1817"/>
      <c r="T273" s="1817"/>
      <c r="U273" s="1817"/>
      <c r="V273" s="1817"/>
      <c r="W273" s="1817"/>
      <c r="X273" s="1817"/>
      <c r="Y273" s="1817"/>
      <c r="Z273" s="1817"/>
      <c r="AA273" s="1817"/>
      <c r="AB273" s="1817"/>
      <c r="AC273" s="1817"/>
      <c r="AD273" s="1817"/>
      <c r="AE273" s="1817"/>
      <c r="AF273" s="1817"/>
      <c r="AG273" s="1817"/>
      <c r="AH273" s="1817"/>
      <c r="AI273" s="1817"/>
      <c r="AJ273" s="1817"/>
      <c r="AK273" s="1817"/>
      <c r="AL273" s="1817"/>
      <c r="AM273" s="1818"/>
      <c r="AN273" s="394"/>
      <c r="AO273" s="395"/>
      <c r="AP273" s="395"/>
      <c r="AQ273" s="395"/>
      <c r="AR273" s="395"/>
      <c r="AS273" s="395"/>
      <c r="AT273" s="395"/>
    </row>
    <row r="274" spans="1:46" s="396" customFormat="1" ht="13.2" x14ac:dyDescent="0.3">
      <c r="A274" s="397"/>
      <c r="B274" s="398"/>
      <c r="C274" s="397"/>
      <c r="D274" s="397"/>
      <c r="E274" s="397"/>
      <c r="F274" s="395"/>
      <c r="G274" s="395"/>
      <c r="H274" s="395"/>
      <c r="I274" s="399"/>
      <c r="J274" s="395"/>
      <c r="K274" s="395"/>
      <c r="L274" s="395"/>
      <c r="M274" s="395"/>
      <c r="N274" s="395"/>
      <c r="O274" s="395"/>
      <c r="P274" s="395"/>
      <c r="Q274" s="395"/>
      <c r="R274" s="395"/>
      <c r="S274" s="395"/>
      <c r="T274" s="395"/>
      <c r="U274" s="395"/>
      <c r="V274" s="395"/>
      <c r="W274" s="395"/>
      <c r="X274" s="395"/>
      <c r="Y274" s="395"/>
      <c r="Z274" s="395"/>
      <c r="AA274" s="395"/>
      <c r="AB274" s="395"/>
      <c r="AC274" s="395"/>
      <c r="AD274" s="395"/>
      <c r="AE274" s="395"/>
      <c r="AF274" s="395"/>
      <c r="AG274" s="395"/>
      <c r="AH274" s="395"/>
      <c r="AI274" s="395"/>
      <c r="AJ274" s="395"/>
      <c r="AK274" s="395"/>
      <c r="AL274" s="395"/>
      <c r="AM274" s="395"/>
      <c r="AN274" s="397"/>
      <c r="AO274" s="395"/>
      <c r="AP274" s="397"/>
      <c r="AQ274" s="395"/>
      <c r="AR274" s="397"/>
      <c r="AS274" s="395"/>
      <c r="AT274" s="397"/>
    </row>
    <row r="275" spans="1:46" s="396" customFormat="1" ht="21" customHeight="1" x14ac:dyDescent="0.3">
      <c r="A275" s="1811" t="s">
        <v>157</v>
      </c>
      <c r="B275" s="1812"/>
      <c r="C275" s="1813" t="s">
        <v>246</v>
      </c>
      <c r="D275" s="1813"/>
      <c r="E275" s="1813"/>
      <c r="F275" s="1813"/>
      <c r="G275" s="1813"/>
      <c r="H275" s="1813"/>
      <c r="I275" s="1813"/>
      <c r="J275" s="1813"/>
      <c r="K275" s="1813"/>
      <c r="L275" s="1813"/>
      <c r="M275" s="1813"/>
      <c r="N275" s="1813"/>
      <c r="O275" s="1813"/>
      <c r="P275" s="1813"/>
      <c r="Q275" s="1813"/>
      <c r="R275" s="1813"/>
      <c r="S275" s="1813"/>
      <c r="T275" s="1813"/>
      <c r="U275" s="1813"/>
      <c r="V275" s="1813"/>
      <c r="W275" s="1813"/>
      <c r="X275" s="1813"/>
      <c r="Y275" s="1813"/>
      <c r="Z275" s="1813"/>
      <c r="AA275" s="1813"/>
      <c r="AB275" s="1813"/>
      <c r="AC275" s="1813"/>
      <c r="AD275" s="1813"/>
      <c r="AE275" s="1813"/>
      <c r="AF275" s="1813"/>
      <c r="AG275" s="1813"/>
      <c r="AH275" s="1813"/>
      <c r="AI275" s="1813"/>
      <c r="AJ275" s="1813"/>
      <c r="AK275" s="1813"/>
      <c r="AL275" s="1813"/>
      <c r="AM275" s="1813"/>
      <c r="AN275" s="400"/>
      <c r="AO275" s="395"/>
      <c r="AP275" s="395"/>
      <c r="AQ275" s="395"/>
      <c r="AR275" s="395"/>
      <c r="AS275" s="395"/>
      <c r="AT275" s="395"/>
    </row>
    <row r="276" spans="1:46" s="396" customFormat="1" ht="30" customHeight="1" x14ac:dyDescent="0.3">
      <c r="A276" s="1811" t="s">
        <v>158</v>
      </c>
      <c r="B276" s="1812"/>
      <c r="C276" s="1713" t="s">
        <v>247</v>
      </c>
      <c r="D276" s="1713"/>
      <c r="E276" s="1713"/>
      <c r="F276" s="1713"/>
      <c r="G276" s="1713"/>
      <c r="H276" s="1713"/>
      <c r="I276" s="1713"/>
      <c r="J276" s="1713"/>
      <c r="K276" s="1713"/>
      <c r="L276" s="1713"/>
      <c r="M276" s="1713"/>
      <c r="N276" s="1713"/>
      <c r="O276" s="1713"/>
      <c r="P276" s="1713"/>
      <c r="Q276" s="1713"/>
      <c r="R276" s="1713"/>
      <c r="S276" s="1713"/>
      <c r="T276" s="1713"/>
      <c r="U276" s="1713"/>
      <c r="V276" s="1713"/>
      <c r="W276" s="1713"/>
      <c r="X276" s="1713"/>
      <c r="Y276" s="1713"/>
      <c r="Z276" s="1713"/>
      <c r="AA276" s="1713"/>
      <c r="AB276" s="1713"/>
      <c r="AC276" s="1713"/>
      <c r="AD276" s="1713"/>
      <c r="AE276" s="1713"/>
      <c r="AF276" s="1713"/>
      <c r="AG276" s="1713"/>
      <c r="AH276" s="1713"/>
      <c r="AI276" s="1713"/>
      <c r="AJ276" s="1713"/>
      <c r="AK276" s="1713"/>
      <c r="AL276" s="1713"/>
      <c r="AM276" s="1713"/>
      <c r="AN276" s="401"/>
      <c r="AO276" s="395"/>
      <c r="AP276" s="395"/>
      <c r="AQ276" s="395"/>
      <c r="AR276" s="395"/>
      <c r="AS276" s="395"/>
      <c r="AT276" s="395"/>
    </row>
    <row r="277" spans="1:46" s="396" customFormat="1" ht="42" customHeight="1" x14ac:dyDescent="0.3">
      <c r="A277" s="1811" t="s">
        <v>159</v>
      </c>
      <c r="B277" s="1812"/>
      <c r="C277" s="1713" t="s">
        <v>248</v>
      </c>
      <c r="D277" s="1713"/>
      <c r="E277" s="1713"/>
      <c r="F277" s="1713"/>
      <c r="G277" s="1713"/>
      <c r="H277" s="1713"/>
      <c r="I277" s="1713"/>
      <c r="J277" s="1713"/>
      <c r="K277" s="1713"/>
      <c r="L277" s="1713"/>
      <c r="M277" s="1713"/>
      <c r="N277" s="1713"/>
      <c r="O277" s="1713"/>
      <c r="P277" s="1713"/>
      <c r="Q277" s="1713"/>
      <c r="R277" s="1713"/>
      <c r="S277" s="1713"/>
      <c r="T277" s="1713"/>
      <c r="U277" s="1713"/>
      <c r="V277" s="1713"/>
      <c r="W277" s="1713"/>
      <c r="X277" s="1713"/>
      <c r="Y277" s="1713"/>
      <c r="Z277" s="1713"/>
      <c r="AA277" s="1713"/>
      <c r="AB277" s="1713"/>
      <c r="AC277" s="1713"/>
      <c r="AD277" s="1713"/>
      <c r="AE277" s="1713"/>
      <c r="AF277" s="1713"/>
      <c r="AG277" s="1713"/>
      <c r="AH277" s="1713"/>
      <c r="AI277" s="1713"/>
      <c r="AJ277" s="1713"/>
      <c r="AK277" s="1713"/>
      <c r="AL277" s="1713"/>
      <c r="AM277" s="1713"/>
      <c r="AN277" s="401"/>
      <c r="AO277" s="395"/>
      <c r="AP277" s="395"/>
      <c r="AQ277" s="395"/>
      <c r="AR277" s="395"/>
      <c r="AS277" s="395"/>
      <c r="AT277" s="395"/>
    </row>
    <row r="278" spans="1:46" s="396" customFormat="1" ht="26.25" customHeight="1" thickBot="1" x14ac:dyDescent="0.35">
      <c r="A278" s="2044" t="s">
        <v>160</v>
      </c>
      <c r="B278" s="2045"/>
      <c r="C278" s="1817"/>
      <c r="D278" s="1817"/>
      <c r="E278" s="1817"/>
      <c r="F278" s="1817"/>
      <c r="G278" s="1817"/>
      <c r="H278" s="1817"/>
      <c r="I278" s="1817"/>
      <c r="J278" s="1818"/>
      <c r="K278" s="1806" t="s">
        <v>161</v>
      </c>
      <c r="L278" s="1817"/>
      <c r="M278" s="1817"/>
      <c r="N278" s="1817"/>
      <c r="O278" s="1817"/>
      <c r="P278" s="1817"/>
      <c r="Q278" s="1818"/>
      <c r="R278" s="1806" t="s">
        <v>162</v>
      </c>
      <c r="S278" s="1817"/>
      <c r="T278" s="1817"/>
      <c r="U278" s="1817"/>
      <c r="V278" s="1817"/>
      <c r="W278" s="1817"/>
      <c r="X278" s="1817"/>
      <c r="Y278" s="1817"/>
      <c r="Z278" s="1818"/>
      <c r="AA278" s="1806" t="s">
        <v>163</v>
      </c>
      <c r="AB278" s="1817"/>
      <c r="AC278" s="1817"/>
      <c r="AD278" s="1817"/>
      <c r="AE278" s="1817"/>
      <c r="AF278" s="1817"/>
      <c r="AG278" s="1818"/>
      <c r="AH278" s="1806" t="s">
        <v>164</v>
      </c>
      <c r="AI278" s="1817"/>
      <c r="AJ278" s="1817"/>
      <c r="AK278" s="1817"/>
      <c r="AL278" s="1817"/>
      <c r="AM278" s="1818"/>
      <c r="AN278" s="394"/>
      <c r="AO278" s="395"/>
      <c r="AP278" s="395"/>
      <c r="AQ278" s="395"/>
      <c r="AR278" s="395"/>
      <c r="AS278" s="395"/>
      <c r="AT278" s="395"/>
    </row>
    <row r="279" spans="1:46" s="396" customFormat="1" ht="16.5" customHeight="1" x14ac:dyDescent="0.3">
      <c r="A279" s="1795" t="s">
        <v>165</v>
      </c>
      <c r="B279" s="2046" t="s">
        <v>142</v>
      </c>
      <c r="C279" s="1808" t="s">
        <v>166</v>
      </c>
      <c r="D279" s="1808" t="s">
        <v>167</v>
      </c>
      <c r="E279" s="1809" t="s">
        <v>168</v>
      </c>
      <c r="F279" s="1808" t="s">
        <v>249</v>
      </c>
      <c r="G279" s="105"/>
      <c r="H279" s="104"/>
      <c r="I279" s="1809" t="s">
        <v>169</v>
      </c>
      <c r="J279" s="1808" t="s">
        <v>170</v>
      </c>
      <c r="K279" s="1810" t="s">
        <v>171</v>
      </c>
      <c r="L279" s="1807" t="s">
        <v>172</v>
      </c>
      <c r="M279" s="1809" t="s">
        <v>173</v>
      </c>
      <c r="N279" s="1809" t="s">
        <v>174</v>
      </c>
      <c r="O279" s="1805" t="s">
        <v>175</v>
      </c>
      <c r="P279" s="1807" t="s">
        <v>172</v>
      </c>
      <c r="Q279" s="1808" t="s">
        <v>176</v>
      </c>
      <c r="R279" s="1803" t="s">
        <v>177</v>
      </c>
      <c r="S279" s="1800" t="s">
        <v>178</v>
      </c>
      <c r="T279" s="1809" t="s">
        <v>179</v>
      </c>
      <c r="U279" s="1800" t="s">
        <v>180</v>
      </c>
      <c r="V279" s="1800"/>
      <c r="W279" s="1800"/>
      <c r="X279" s="1800"/>
      <c r="Y279" s="1800"/>
      <c r="Z279" s="1800"/>
      <c r="AA279" s="1802" t="s">
        <v>181</v>
      </c>
      <c r="AB279" s="1802" t="s">
        <v>182</v>
      </c>
      <c r="AC279" s="1802" t="s">
        <v>172</v>
      </c>
      <c r="AD279" s="1802" t="s">
        <v>183</v>
      </c>
      <c r="AE279" s="1802" t="s">
        <v>172</v>
      </c>
      <c r="AF279" s="1802" t="s">
        <v>184</v>
      </c>
      <c r="AG279" s="1803" t="s">
        <v>185</v>
      </c>
      <c r="AH279" s="1800" t="s">
        <v>164</v>
      </c>
      <c r="AI279" s="1800" t="s">
        <v>143</v>
      </c>
      <c r="AJ279" s="1800" t="s">
        <v>186</v>
      </c>
      <c r="AK279" s="1800" t="s">
        <v>187</v>
      </c>
      <c r="AL279" s="1800" t="s">
        <v>188</v>
      </c>
      <c r="AM279" s="1801" t="s">
        <v>189</v>
      </c>
      <c r="AN279" s="1795" t="s">
        <v>165</v>
      </c>
      <c r="AO279" s="1797" t="s">
        <v>820</v>
      </c>
      <c r="AP279" s="1795" t="s">
        <v>165</v>
      </c>
      <c r="AQ279" s="1797" t="s">
        <v>821</v>
      </c>
      <c r="AR279" s="1795" t="s">
        <v>165</v>
      </c>
      <c r="AS279" s="1797" t="s">
        <v>822</v>
      </c>
      <c r="AT279" s="1795" t="s">
        <v>165</v>
      </c>
    </row>
    <row r="280" spans="1:46" s="394" customFormat="1" ht="54.75" customHeight="1" thickBot="1" x14ac:dyDescent="0.35">
      <c r="A280" s="1796"/>
      <c r="B280" s="2046"/>
      <c r="C280" s="1800"/>
      <c r="D280" s="1800"/>
      <c r="E280" s="1810"/>
      <c r="F280" s="2047"/>
      <c r="G280" s="104" t="s">
        <v>511</v>
      </c>
      <c r="H280" s="105" t="s">
        <v>250</v>
      </c>
      <c r="I280" s="1808"/>
      <c r="J280" s="1800"/>
      <c r="K280" s="1808"/>
      <c r="L280" s="1806"/>
      <c r="M280" s="1808"/>
      <c r="N280" s="1808"/>
      <c r="O280" s="1806"/>
      <c r="P280" s="1806"/>
      <c r="Q280" s="1800"/>
      <c r="R280" s="1804"/>
      <c r="S280" s="1800"/>
      <c r="T280" s="1808"/>
      <c r="U280" s="106" t="s">
        <v>191</v>
      </c>
      <c r="V280" s="106" t="s">
        <v>192</v>
      </c>
      <c r="W280" s="106" t="s">
        <v>193</v>
      </c>
      <c r="X280" s="106" t="s">
        <v>194</v>
      </c>
      <c r="Y280" s="106" t="s">
        <v>195</v>
      </c>
      <c r="Z280" s="106" t="s">
        <v>196</v>
      </c>
      <c r="AA280" s="1802"/>
      <c r="AB280" s="1802"/>
      <c r="AC280" s="1802"/>
      <c r="AD280" s="1802"/>
      <c r="AE280" s="1802"/>
      <c r="AF280" s="1802"/>
      <c r="AG280" s="1804"/>
      <c r="AH280" s="1800"/>
      <c r="AI280" s="1800"/>
      <c r="AJ280" s="1800"/>
      <c r="AK280" s="1800"/>
      <c r="AL280" s="1800"/>
      <c r="AM280" s="1801"/>
      <c r="AN280" s="1796"/>
      <c r="AO280" s="1798"/>
      <c r="AP280" s="1796"/>
      <c r="AQ280" s="1798"/>
      <c r="AR280" s="1796"/>
      <c r="AS280" s="1798"/>
      <c r="AT280" s="1796"/>
    </row>
    <row r="281" spans="1:46" s="403" customFormat="1" ht="357.75" customHeight="1" thickBot="1" x14ac:dyDescent="0.35">
      <c r="A281" s="107">
        <v>1</v>
      </c>
      <c r="B281" s="108" t="s">
        <v>209</v>
      </c>
      <c r="C281" s="109" t="s">
        <v>251</v>
      </c>
      <c r="D281" s="110" t="s">
        <v>252</v>
      </c>
      <c r="E281" s="111" t="s">
        <v>253</v>
      </c>
      <c r="F281" s="112" t="s">
        <v>254</v>
      </c>
      <c r="G281" s="112"/>
      <c r="H281" s="113" t="s">
        <v>255</v>
      </c>
      <c r="I281" s="114" t="s">
        <v>198</v>
      </c>
      <c r="J281" s="115">
        <f>11+3</f>
        <v>14</v>
      </c>
      <c r="K281" s="116" t="str">
        <f>IF(J281&lt;=0,"",IF(J281&lt;=2,"Muy Baja",IF(J281&lt;=24,"Baja",IF(J281&lt;=500,"Media",IF(J281&lt;=5000,"Alta","Muy Alta")))))</f>
        <v>Baja</v>
      </c>
      <c r="L281" s="117">
        <f>IF(K281="","",IF(K281="Muy Baja",0.2,IF(K281="Baja",0.4,IF(K281="Media",0.6,IF(K281="Alta",0.8,IF(K281="Muy Alta",1,))))))</f>
        <v>0.4</v>
      </c>
      <c r="M281" s="118" t="s">
        <v>256</v>
      </c>
      <c r="N281" s="117" t="str">
        <f>IF(NOT(ISERROR(MATCH(M281,'[16]Tabla Impacto'!$B$221:$B$223,0))),'[16]Tabla Impacto'!$F$223&amp;"Por favor no seleccionar los criterios de impacto(Afectación Económica o presupuestal y Pérdida Reputacional)",M281)</f>
        <v xml:space="preserve">     Mayor a 10000 SMLMV</v>
      </c>
      <c r="O281" s="116" t="str">
        <f>IF(OR(N281='[16]Tabla Impacto'!$C$11,N281='[16]Tabla Impacto'!$D$11),"Leve",IF(OR(N281='[16]Tabla Impacto'!$C$12,N281='[16]Tabla Impacto'!$D$12),"Menor",IF(OR(N281='[16]Tabla Impacto'!$C$13,N281='[16]Tabla Impacto'!$D$13),"Moderado",IF(OR(N281='[16]Tabla Impacto'!$C$14,N281='[16]Tabla Impacto'!$D$14),"Mayor",IF(OR(N281='[16]Tabla Impacto'!$C$15,N281='[16]Tabla Impacto'!$D$15),"Catastrófico","")))))</f>
        <v>Catastrófico</v>
      </c>
      <c r="P281" s="117">
        <f>IF(O281="","",IF(O281="Leve",0.2,IF(O281="Menor",0.4,IF(O281="Moderado",0.6,IF(O281="Mayor",0.8,IF(O281="Catastrófico",1,))))))</f>
        <v>1</v>
      </c>
      <c r="Q281" s="119" t="str">
        <f>IF(OR(AND(K281="Muy Baja",O281="Leve"),AND(K281="Muy Baja",O281="Menor"),AND(K281="Baja",O281="Leve")),"Bajo",IF(OR(AND(K281="Muy baja",O281="Moderado"),AND(K281="Baja",O281="Menor"),AND(K281="Baja",O281="Moderado"),AND(K281="Media",O281="Leve"),AND(K281="Media",O281="Menor"),AND(K281="Media",O281="Moderado"),AND(K281="Alta",O281="Leve"),AND(K281="Alta",O281="Menor")),"Moderado",IF(OR(AND(K281="Muy Baja",O281="Mayor"),AND(K281="Baja",O281="Mayor"),AND(K281="Media",O281="Mayor"),AND(K281="Alta",O281="Moderado"),AND(K281="Alta",O281="Mayor"),AND(K281="Muy Alta",O281="Leve"),AND(K281="Muy Alta",O281="Menor"),AND(K281="Muy Alta",O281="Moderado"),AND(K281="Muy Alta",O281="Mayor")),"Alto",IF(OR(AND(K281="Muy Baja",O281="Catastrófico"),AND(K281="Baja",O281="Catastrófico"),AND(K281="Media",O281="Catastrófico"),AND(K281="Alta",O281="Catastrófico"),AND(K281="Muy Alta",O281="Catastrófico")),"Extremo",""))))</f>
        <v>Extremo</v>
      </c>
      <c r="R281" s="120">
        <v>1</v>
      </c>
      <c r="S281" s="121" t="s">
        <v>257</v>
      </c>
      <c r="T281" s="122" t="str">
        <f t="shared" ref="T281:T284" si="174">IF(OR(U281="Preventivo",U281="Detectivo"),"Probabilidad",IF(U281="Correctivo","Impacto",""))</f>
        <v>Probabilidad</v>
      </c>
      <c r="U281" s="123" t="s">
        <v>207</v>
      </c>
      <c r="V281" s="123" t="s">
        <v>201</v>
      </c>
      <c r="W281" s="124" t="str">
        <f t="shared" ref="W281:W290" si="175">IF(AND(U281="Preventivo",V281="Automático"),"50%",IF(AND(U281="Preventivo",V281="Manual"),"40%",IF(AND(U281="Detectivo",V281="Automático"),"40%",IF(AND(U281="Detectivo",V281="Manual"),"30%",IF(AND(U281="Correctivo",V281="Automático"),"35%",IF(AND(U281="Correctivo",V281="Manual"),"25%",""))))))</f>
        <v>40%</v>
      </c>
      <c r="X281" s="123" t="s">
        <v>208</v>
      </c>
      <c r="Y281" s="123" t="s">
        <v>203</v>
      </c>
      <c r="Z281" s="123" t="s">
        <v>204</v>
      </c>
      <c r="AA281" s="125">
        <f>IFERROR(IF(T281="Probabilidad",(L281-(+L281*W281)),IF(T281="Impacto",L281,"")),"")</f>
        <v>0.24</v>
      </c>
      <c r="AB281" s="126" t="str">
        <f t="shared" ref="AB281:AB290" si="176">IFERROR(IF(AA281="","",IF(AA281&lt;=0.2,"Muy Baja",IF(AA281&lt;=0.4,"Baja",IF(AA281&lt;=0.6,"Media",IF(AA281&lt;=0.8,"Alta","Muy Alta"))))),"")</f>
        <v>Baja</v>
      </c>
      <c r="AC281" s="127">
        <f t="shared" ref="AC281:AC290" si="177">+AA281</f>
        <v>0.24</v>
      </c>
      <c r="AD281" s="126" t="str">
        <f t="shared" ref="AD281:AD290" si="178">IFERROR(IF(AE281="","",IF(AE281&lt;=0.2,"Leve",IF(AE281&lt;=0.4,"Menor",IF(AE281&lt;=0.6,"Moderado",IF(AE281&lt;=0.8,"Mayor","Catastrófico"))))),"")</f>
        <v>Catastrófico</v>
      </c>
      <c r="AE281" s="127">
        <f>IFERROR(IF(T281="Impacto",(P281-(+P281*W281)),IF(T281="Probabilidad",P281,"")),"")</f>
        <v>1</v>
      </c>
      <c r="AF281" s="128" t="str">
        <f t="shared" ref="AF281:AF290" si="179">IFERROR(IF(OR(AND(AB281="Muy Baja",AD281="Leve"),AND(AB281="Muy Baja",AD281="Menor"),AND(AB281="Baja",AD281="Leve")),"Bajo",IF(OR(AND(AB281="Muy baja",AD281="Moderado"),AND(AB281="Baja",AD281="Menor"),AND(AB281="Baja",AD281="Moderado"),AND(AB281="Media",AD281="Leve"),AND(AB281="Media",AD281="Menor"),AND(AB281="Media",AD281="Moderado"),AND(AB281="Alta",AD281="Leve"),AND(AB281="Alta",AD281="Menor")),"Moderado",IF(OR(AND(AB281="Muy Baja",AD281="Mayor"),AND(AB281="Baja",AD281="Mayor"),AND(AB281="Media",AD281="Mayor"),AND(AB281="Alta",AD281="Moderado"),AND(AB281="Alta",AD281="Mayor"),AND(AB281="Muy Alta",AD281="Leve"),AND(AB281="Muy Alta",AD281="Menor"),AND(AB281="Muy Alta",AD281="Moderado"),AND(AB281="Muy Alta",AD281="Mayor")),"Alto",IF(OR(AND(AB281="Muy Baja",AD281="Catastrófico"),AND(AB281="Baja",AD281="Catastrófico"),AND(AB281="Media",AD281="Catastrófico"),AND(AB281="Alta",AD281="Catastrófico"),AND(AB281="Muy Alta",AD281="Catastrófico")),"Extremo","")))),"")</f>
        <v>Extremo</v>
      </c>
      <c r="AG281" s="129" t="s">
        <v>205</v>
      </c>
      <c r="AH281" s="130" t="s">
        <v>823</v>
      </c>
      <c r="AI281" s="131" t="s">
        <v>258</v>
      </c>
      <c r="AJ281" s="132">
        <v>45352</v>
      </c>
      <c r="AK281" s="133"/>
      <c r="AL281" s="131"/>
      <c r="AM281" s="134" t="s">
        <v>206</v>
      </c>
      <c r="AN281" s="107">
        <v>1</v>
      </c>
      <c r="AO281" s="402" t="s">
        <v>824</v>
      </c>
      <c r="AP281" s="107">
        <v>1</v>
      </c>
      <c r="AQ281" s="402" t="s">
        <v>825</v>
      </c>
      <c r="AR281" s="107">
        <v>1</v>
      </c>
      <c r="AS281" s="402" t="s">
        <v>826</v>
      </c>
      <c r="AT281" s="107">
        <v>1</v>
      </c>
    </row>
    <row r="282" spans="1:46" s="405" customFormat="1" ht="288" customHeight="1" thickBot="1" x14ac:dyDescent="0.35">
      <c r="A282" s="107">
        <v>2</v>
      </c>
      <c r="B282" s="108" t="s">
        <v>209</v>
      </c>
      <c r="C282" s="135" t="s">
        <v>259</v>
      </c>
      <c r="D282" s="136" t="s">
        <v>260</v>
      </c>
      <c r="E282" s="137" t="s">
        <v>261</v>
      </c>
      <c r="F282" s="112" t="s">
        <v>262</v>
      </c>
      <c r="G282" s="112"/>
      <c r="H282" s="112" t="s">
        <v>263</v>
      </c>
      <c r="I282" s="114" t="s">
        <v>198</v>
      </c>
      <c r="J282" s="115">
        <v>120000</v>
      </c>
      <c r="K282" s="116" t="str">
        <f>IF(J282&lt;=0,"",IF(J282&lt;=2,"Muy Baja",IF(J282&lt;=24,"Baja",IF(J282&lt;=500,"Media",IF(J282&lt;=5000,"Alta","Muy Alta")))))</f>
        <v>Muy Alta</v>
      </c>
      <c r="L282" s="117">
        <f>IF(K282="","",IF(K282="Muy Baja",0.2,IF(K282="Baja",0.4,IF(K282="Media",0.6,IF(K282="Alta",0.8,IF(K282="Muy Alta",1,))))))</f>
        <v>1</v>
      </c>
      <c r="M282" s="118" t="s">
        <v>225</v>
      </c>
      <c r="N282" s="117" t="str">
        <f>IF(NOT(ISERROR(MATCH(M282,'[16]Tabla Impacto'!$B$221:$B$223,0))),'[16]Tabla Impacto'!$F$223&amp;"Por favor no seleccionar los criterios de impacto(Afectación Económica o presupuestal y Pérdida Reputacional)",M282)</f>
        <v xml:space="preserve">     El riesgo afecta la imagen de la entidad con algunos usuarios de relevancia frente al logro de los objetivos</v>
      </c>
      <c r="O282" s="116" t="str">
        <f>IF(OR(N282='[16]Tabla Impacto'!$C$11,N282='[16]Tabla Impacto'!$D$11),"Leve",IF(OR(N282='[16]Tabla Impacto'!$C$12,N282='[16]Tabla Impacto'!$D$12),"Menor",IF(OR(N282='[16]Tabla Impacto'!$C$13,N282='[16]Tabla Impacto'!$D$13),"Moderado",IF(OR(N282='[16]Tabla Impacto'!$C$14,N282='[16]Tabla Impacto'!$D$14),"Mayor",IF(OR(N282='[16]Tabla Impacto'!$C$15,N282='[16]Tabla Impacto'!$D$15),"Catastrófico","")))))</f>
        <v>Moderado</v>
      </c>
      <c r="P282" s="117">
        <f>IF(O282="","",IF(O282="Leve",0.2,IF(O282="Menor",0.4,IF(O282="Moderado",0.6,IF(O282="Mayor",0.8,IF(O282="Catastrófico",1,))))))</f>
        <v>0.6</v>
      </c>
      <c r="Q282" s="119" t="str">
        <f>IF(OR(AND(K282="Muy Baja",O282="Leve"),AND(K282="Muy Baja",O282="Menor"),AND(K282="Baja",O282="Leve")),"Bajo",IF(OR(AND(K282="Muy baja",O282="Moderado"),AND(K282="Baja",O282="Menor"),AND(K282="Baja",O282="Moderado"),AND(K282="Media",O282="Leve"),AND(K282="Media",O282="Menor"),AND(K282="Media",O282="Moderado"),AND(K282="Alta",O282="Leve"),AND(K282="Alta",O282="Menor")),"Moderado",IF(OR(AND(K282="Muy Baja",O282="Mayor"),AND(K282="Baja",O282="Mayor"),AND(K282="Media",O282="Mayor"),AND(K282="Alta",O282="Moderado"),AND(K282="Alta",O282="Mayor"),AND(K282="Muy Alta",O282="Leve"),AND(K282="Muy Alta",O282="Menor"),AND(K282="Muy Alta",O282="Moderado"),AND(K282="Muy Alta",O282="Mayor")),"Alto",IF(OR(AND(K282="Muy Baja",O282="Catastrófico"),AND(K282="Baja",O282="Catastrófico"),AND(K282="Media",O282="Catastrófico"),AND(K282="Alta",O282="Catastrófico"),AND(K282="Muy Alta",O282="Catastrófico")),"Extremo",""))))</f>
        <v>Alto</v>
      </c>
      <c r="R282" s="138">
        <v>1</v>
      </c>
      <c r="S282" s="121" t="s">
        <v>264</v>
      </c>
      <c r="T282" s="139" t="str">
        <f t="shared" si="174"/>
        <v>Probabilidad</v>
      </c>
      <c r="U282" s="140" t="s">
        <v>207</v>
      </c>
      <c r="V282" s="140" t="s">
        <v>201</v>
      </c>
      <c r="W282" s="141" t="str">
        <f t="shared" si="175"/>
        <v>40%</v>
      </c>
      <c r="X282" s="142" t="s">
        <v>208</v>
      </c>
      <c r="Y282" s="142" t="s">
        <v>203</v>
      </c>
      <c r="Z282" s="140" t="s">
        <v>204</v>
      </c>
      <c r="AA282" s="143">
        <f>IFERROR(IF(T282="Probabilidad",(L282-(+L282*W282)),IF(T282="Impacto",L282,"")),"")</f>
        <v>0.6</v>
      </c>
      <c r="AB282" s="126" t="str">
        <f t="shared" si="176"/>
        <v>Media</v>
      </c>
      <c r="AC282" s="144">
        <f t="shared" si="177"/>
        <v>0.6</v>
      </c>
      <c r="AD282" s="126" t="str">
        <f t="shared" si="178"/>
        <v>Moderado</v>
      </c>
      <c r="AE282" s="144">
        <f>IFERROR(IF(T282="Impacto",(P282-(+P282*W282)),IF(T282="Probabilidad",P282,"")),"")</f>
        <v>0.6</v>
      </c>
      <c r="AF282" s="128" t="str">
        <f t="shared" si="179"/>
        <v>Moderado</v>
      </c>
      <c r="AG282" s="145" t="s">
        <v>205</v>
      </c>
      <c r="AH282" s="130" t="s">
        <v>827</v>
      </c>
      <c r="AI282" s="131" t="s">
        <v>828</v>
      </c>
      <c r="AJ282" s="132">
        <v>45352</v>
      </c>
      <c r="AK282" s="133"/>
      <c r="AL282" s="131"/>
      <c r="AM282" s="134" t="s">
        <v>206</v>
      </c>
      <c r="AN282" s="107">
        <v>2</v>
      </c>
      <c r="AO282" s="404" t="s">
        <v>829</v>
      </c>
      <c r="AP282" s="107">
        <v>2</v>
      </c>
      <c r="AQ282" s="404" t="s">
        <v>830</v>
      </c>
      <c r="AR282" s="107">
        <v>2</v>
      </c>
      <c r="AS282" s="404" t="s">
        <v>831</v>
      </c>
      <c r="AT282" s="107">
        <v>2</v>
      </c>
    </row>
    <row r="283" spans="1:46" s="405" customFormat="1" ht="409.5" customHeight="1" thickBot="1" x14ac:dyDescent="0.35">
      <c r="A283" s="107">
        <v>3</v>
      </c>
      <c r="B283" s="108" t="s">
        <v>197</v>
      </c>
      <c r="C283" s="109" t="s">
        <v>265</v>
      </c>
      <c r="D283" s="110" t="s">
        <v>266</v>
      </c>
      <c r="E283" s="137" t="s">
        <v>267</v>
      </c>
      <c r="F283" s="112" t="s">
        <v>268</v>
      </c>
      <c r="G283" s="112"/>
      <c r="H283" s="112" t="s">
        <v>269</v>
      </c>
      <c r="I283" s="114" t="s">
        <v>198</v>
      </c>
      <c r="J283" s="115">
        <v>5</v>
      </c>
      <c r="K283" s="116" t="str">
        <f>IF(J283&lt;=0,"",IF(J283&lt;=2,"Muy Baja",IF(J283&lt;=24,"Baja",IF(J283&lt;=500,"Media",IF(J283&lt;=5000,"Alta","Muy Alta")))))</f>
        <v>Baja</v>
      </c>
      <c r="L283" s="117">
        <f>IF(K283="","",IF(K283="Muy Baja",0.2,IF(K283="Baja",0.4,IF(K283="Media",0.6,IF(K283="Alta",0.8,IF(K283="Muy Alta",1,))))))</f>
        <v>0.4</v>
      </c>
      <c r="M283" s="118" t="s">
        <v>225</v>
      </c>
      <c r="N283" s="117" t="str">
        <f>IF(NOT(ISERROR(MATCH(M283,'[16]Tabla Impacto'!$B$221:$B$223,0))),'[16]Tabla Impacto'!$F$223&amp;"Por favor no seleccionar los criterios de impacto(Afectación Económica o presupuestal y Pérdida Reputacional)",M283)</f>
        <v xml:space="preserve">     El riesgo afecta la imagen de la entidad con algunos usuarios de relevancia frente al logro de los objetivos</v>
      </c>
      <c r="O283" s="116" t="str">
        <f>IF(OR(N283='[16]Tabla Impacto'!$C$11,N283='[16]Tabla Impacto'!$D$11),"Leve",IF(OR(N283='[16]Tabla Impacto'!$C$12,N283='[16]Tabla Impacto'!$D$12),"Menor",IF(OR(N283='[16]Tabla Impacto'!$C$13,N283='[16]Tabla Impacto'!$D$13),"Moderado",IF(OR(N283='[16]Tabla Impacto'!$C$14,N283='[16]Tabla Impacto'!$D$14),"Mayor",IF(OR(N283='[16]Tabla Impacto'!$C$15,N283='[16]Tabla Impacto'!$D$15),"Catastrófico","")))))</f>
        <v>Moderado</v>
      </c>
      <c r="P283" s="117">
        <f>IF(O283="","",IF(O283="Leve",0.2,IF(O283="Menor",0.4,IF(O283="Moderado",0.6,IF(O283="Mayor",0.8,IF(O283="Catastrófico",1,))))))</f>
        <v>0.6</v>
      </c>
      <c r="Q283" s="119" t="str">
        <f>IF(OR(AND(K283="Muy Baja",O283="Leve"),AND(K283="Muy Baja",O283="Menor"),AND(K283="Baja",O283="Leve")),"Bajo",IF(OR(AND(K283="Muy baja",O283="Moderado"),AND(K283="Baja",O283="Menor"),AND(K283="Baja",O283="Moderado"),AND(K283="Media",O283="Leve"),AND(K283="Media",O283="Menor"),AND(K283="Media",O283="Moderado"),AND(K283="Alta",O283="Leve"),AND(K283="Alta",O283="Menor")),"Moderado",IF(OR(AND(K283="Muy Baja",O283="Mayor"),AND(K283="Baja",O283="Mayor"),AND(K283="Media",O283="Mayor"),AND(K283="Alta",O283="Moderado"),AND(K283="Alta",O283="Mayor"),AND(K283="Muy Alta",O283="Leve"),AND(K283="Muy Alta",O283="Menor"),AND(K283="Muy Alta",O283="Moderado"),AND(K283="Muy Alta",O283="Mayor")),"Alto",IF(OR(AND(K283="Muy Baja",O283="Catastrófico"),AND(K283="Baja",O283="Catastrófico"),AND(K283="Media",O283="Catastrófico"),AND(K283="Alta",O283="Catastrófico"),AND(K283="Muy Alta",O283="Catastrófico")),"Extremo",""))))</f>
        <v>Moderado</v>
      </c>
      <c r="R283" s="138">
        <v>1</v>
      </c>
      <c r="S283" s="121" t="s">
        <v>270</v>
      </c>
      <c r="T283" s="139" t="str">
        <f t="shared" si="174"/>
        <v>Probabilidad</v>
      </c>
      <c r="U283" s="140" t="s">
        <v>207</v>
      </c>
      <c r="V283" s="140" t="s">
        <v>201</v>
      </c>
      <c r="W283" s="141" t="str">
        <f t="shared" si="175"/>
        <v>40%</v>
      </c>
      <c r="X283" s="142" t="s">
        <v>202</v>
      </c>
      <c r="Y283" s="142" t="s">
        <v>203</v>
      </c>
      <c r="Z283" s="140" t="s">
        <v>204</v>
      </c>
      <c r="AA283" s="143">
        <f>IFERROR(IF(T283="Probabilidad",(L283-(+L283*W283)),IF(T283="Impacto",L283,"")),"")</f>
        <v>0.24</v>
      </c>
      <c r="AB283" s="126" t="str">
        <f t="shared" si="176"/>
        <v>Baja</v>
      </c>
      <c r="AC283" s="144">
        <f t="shared" si="177"/>
        <v>0.24</v>
      </c>
      <c r="AD283" s="126" t="str">
        <f t="shared" si="178"/>
        <v>Moderado</v>
      </c>
      <c r="AE283" s="144">
        <f>IFERROR(IF(T283="Impacto",(P283-(+P283*W283)),IF(T283="Probabilidad",P283,"")),"")</f>
        <v>0.6</v>
      </c>
      <c r="AF283" s="128" t="str">
        <f t="shared" si="179"/>
        <v>Moderado</v>
      </c>
      <c r="AG283" s="145" t="s">
        <v>205</v>
      </c>
      <c r="AH283" s="130" t="s">
        <v>832</v>
      </c>
      <c r="AI283" s="131" t="s">
        <v>271</v>
      </c>
      <c r="AJ283" s="133">
        <v>45352</v>
      </c>
      <c r="AK283" s="133"/>
      <c r="AL283" s="131"/>
      <c r="AM283" s="134" t="s">
        <v>206</v>
      </c>
      <c r="AN283" s="107">
        <v>3</v>
      </c>
      <c r="AO283" s="404" t="s">
        <v>833</v>
      </c>
      <c r="AP283" s="107">
        <v>3</v>
      </c>
      <c r="AQ283" s="404" t="s">
        <v>834</v>
      </c>
      <c r="AR283" s="107">
        <v>3</v>
      </c>
      <c r="AS283" s="404" t="s">
        <v>835</v>
      </c>
      <c r="AT283" s="107">
        <v>3</v>
      </c>
    </row>
    <row r="284" spans="1:46" s="403" customFormat="1" ht="26.25" customHeight="1" x14ac:dyDescent="0.3">
      <c r="A284" s="1710">
        <v>4</v>
      </c>
      <c r="B284" s="1780" t="s">
        <v>197</v>
      </c>
      <c r="C284" s="1783" t="s">
        <v>272</v>
      </c>
      <c r="D284" s="1799" t="s">
        <v>273</v>
      </c>
      <c r="E284" s="1789" t="s">
        <v>274</v>
      </c>
      <c r="F284" s="1792" t="s">
        <v>275</v>
      </c>
      <c r="G284" s="307"/>
      <c r="H284" s="1765" t="s">
        <v>276</v>
      </c>
      <c r="I284" s="1768" t="s">
        <v>198</v>
      </c>
      <c r="J284" s="1771">
        <v>1</v>
      </c>
      <c r="K284" s="1753" t="str">
        <f>IF(J284&lt;=0,"",IF(J284&lt;=2,"Muy Baja",IF(J284&lt;=24,"Baja",IF(J284&lt;=500,"Media",IF(J284&lt;=5000,"Alta","Muy Alta")))))</f>
        <v>Muy Baja</v>
      </c>
      <c r="L284" s="1750">
        <f>IF(K284="","",IF(K284="Muy Baja",0.2,IF(K284="Baja",0.4,IF(K284="Media",0.6,IF(K284="Alta",0.8,IF(K284="Muy Alta",1,))))))</f>
        <v>0.2</v>
      </c>
      <c r="M284" s="1774" t="s">
        <v>216</v>
      </c>
      <c r="N284" s="1750" t="str">
        <f>IF(NOT(ISERROR(MATCH(M284,'[16]Tabla Impacto'!$B$221:$B$223,0))),'[16]Tabla Impacto'!$F$223&amp;"Por favor no seleccionar los criterios de impacto(Afectación Económica o presupuestal y Pérdida Reputacional)",M284)</f>
        <v xml:space="preserve">     El riesgo afecta la imagen de alguna área de la organización</v>
      </c>
      <c r="O284" s="1753" t="str">
        <f>IF(OR(N284='[16]Tabla Impacto'!$C$11,N284='[16]Tabla Impacto'!$D$11),"Leve",IF(OR(N284='[16]Tabla Impacto'!$C$12,N284='[16]Tabla Impacto'!$D$12),"Menor",IF(OR(N284='[16]Tabla Impacto'!$C$13,N284='[16]Tabla Impacto'!$D$13),"Moderado",IF(OR(N284='[16]Tabla Impacto'!$C$14,N284='[16]Tabla Impacto'!$D$14),"Mayor",IF(OR(N284='[16]Tabla Impacto'!$C$15,N284='[16]Tabla Impacto'!$D$15),"Catastrófico","")))))</f>
        <v>Leve</v>
      </c>
      <c r="P284" s="1750">
        <f>IF(O284="","",IF(O284="Leve",0.2,IF(O284="Menor",0.4,IF(O284="Moderado",0.6,IF(O284="Mayor",0.8,IF(O284="Catastrófico",1,))))))</f>
        <v>0.2</v>
      </c>
      <c r="Q284" s="1756" t="str">
        <f>IF(OR(AND(K284="Muy Baja",O284="Leve"),AND(K284="Muy Baja",O284="Menor"),AND(K284="Baja",O284="Leve")),"Bajo",IF(OR(AND(K284="Muy baja",O284="Moderado"),AND(K284="Baja",O284="Menor"),AND(K284="Baja",O284="Moderado"),AND(K284="Media",O284="Leve"),AND(K284="Media",O284="Menor"),AND(K284="Media",O284="Moderado"),AND(K284="Alta",O284="Leve"),AND(K284="Alta",O284="Menor")),"Moderado",IF(OR(AND(K284="Muy Baja",O284="Mayor"),AND(K284="Baja",O284="Mayor"),AND(K284="Media",O284="Mayor"),AND(K284="Alta",O284="Moderado"),AND(K284="Alta",O284="Mayor"),AND(K284="Muy Alta",O284="Leve"),AND(K284="Muy Alta",O284="Menor"),AND(K284="Muy Alta",O284="Moderado"),AND(K284="Muy Alta",O284="Mayor")),"Alto",IF(OR(AND(K284="Muy Baja",O284="Catastrófico"),AND(K284="Baja",O284="Catastrófico"),AND(K284="Media",O284="Catastrófico"),AND(K284="Alta",O284="Catastrófico"),AND(K284="Muy Alta",O284="Catastrófico")),"Extremo",""))))</f>
        <v>Bajo</v>
      </c>
      <c r="R284" s="1759">
        <v>1</v>
      </c>
      <c r="S284" s="1794" t="s">
        <v>836</v>
      </c>
      <c r="T284" s="1744" t="str">
        <f t="shared" si="174"/>
        <v>Probabilidad</v>
      </c>
      <c r="U284" s="1720" t="s">
        <v>207</v>
      </c>
      <c r="V284" s="1720" t="s">
        <v>201</v>
      </c>
      <c r="W284" s="1741" t="str">
        <f t="shared" si="175"/>
        <v>40%</v>
      </c>
      <c r="X284" s="1747" t="s">
        <v>202</v>
      </c>
      <c r="Y284" s="1747" t="s">
        <v>203</v>
      </c>
      <c r="Z284" s="1720" t="s">
        <v>204</v>
      </c>
      <c r="AA284" s="1735">
        <f>IFERROR(IF(T284="Probabilidad",(L284-(+L284*W284)),IF(T284="Impacto",L284,"")),"")</f>
        <v>0.12</v>
      </c>
      <c r="AB284" s="1738" t="str">
        <f t="shared" si="176"/>
        <v>Muy Baja</v>
      </c>
      <c r="AC284" s="1741">
        <f t="shared" si="177"/>
        <v>0.12</v>
      </c>
      <c r="AD284" s="1738" t="str">
        <f t="shared" si="178"/>
        <v>Leve</v>
      </c>
      <c r="AE284" s="1741">
        <f>IFERROR(IF(T284="Impacto",(P284-(+P284*W284)),IF(T284="Probabilidad",P284,"")),"")</f>
        <v>0.2</v>
      </c>
      <c r="AF284" s="1717" t="str">
        <f t="shared" si="179"/>
        <v>Bajo</v>
      </c>
      <c r="AG284" s="1720" t="s">
        <v>205</v>
      </c>
      <c r="AH284" s="1723" t="s">
        <v>837</v>
      </c>
      <c r="AI284" s="1732" t="s">
        <v>277</v>
      </c>
      <c r="AJ284" s="1729">
        <v>45352</v>
      </c>
      <c r="AK284" s="133"/>
      <c r="AL284" s="1732"/>
      <c r="AM284" s="1793" t="s">
        <v>206</v>
      </c>
      <c r="AN284" s="1710">
        <v>4</v>
      </c>
      <c r="AO284" s="1777" t="s">
        <v>838</v>
      </c>
      <c r="AP284" s="1710">
        <v>4</v>
      </c>
      <c r="AQ284" s="1777" t="s">
        <v>839</v>
      </c>
      <c r="AR284" s="1710">
        <v>4</v>
      </c>
      <c r="AS284" s="1777" t="s">
        <v>840</v>
      </c>
      <c r="AT284" s="1710">
        <v>4</v>
      </c>
    </row>
    <row r="285" spans="1:46" s="403" customFormat="1" ht="26.25" customHeight="1" x14ac:dyDescent="0.3">
      <c r="A285" s="1711"/>
      <c r="B285" s="1781"/>
      <c r="C285" s="1784"/>
      <c r="D285" s="1787"/>
      <c r="E285" s="1790"/>
      <c r="F285" s="1792"/>
      <c r="G285" s="308"/>
      <c r="H285" s="1766"/>
      <c r="I285" s="1769"/>
      <c r="J285" s="1772"/>
      <c r="K285" s="1754"/>
      <c r="L285" s="1751"/>
      <c r="M285" s="1775"/>
      <c r="N285" s="1751">
        <f>IF(NOT(ISERROR(MATCH(M285,_xlfn.ANCHORARRAY(F296),0))),L298&amp;"Por favor no seleccionar los criterios de impacto",M285)</f>
        <v>0</v>
      </c>
      <c r="O285" s="1754"/>
      <c r="P285" s="1751"/>
      <c r="Q285" s="1757"/>
      <c r="R285" s="1760"/>
      <c r="S285" s="1763"/>
      <c r="T285" s="1745"/>
      <c r="U285" s="1721"/>
      <c r="V285" s="1721"/>
      <c r="W285" s="1742"/>
      <c r="X285" s="1748"/>
      <c r="Y285" s="1748"/>
      <c r="Z285" s="1721"/>
      <c r="AA285" s="1736"/>
      <c r="AB285" s="1739"/>
      <c r="AC285" s="1742"/>
      <c r="AD285" s="1739"/>
      <c r="AE285" s="1742"/>
      <c r="AF285" s="1718"/>
      <c r="AG285" s="1721"/>
      <c r="AH285" s="1724"/>
      <c r="AI285" s="1733"/>
      <c r="AJ285" s="1730"/>
      <c r="AK285" s="133"/>
      <c r="AL285" s="1733"/>
      <c r="AM285" s="1793"/>
      <c r="AN285" s="1711"/>
      <c r="AO285" s="1778"/>
      <c r="AP285" s="1711"/>
      <c r="AQ285" s="1778"/>
      <c r="AR285" s="1711"/>
      <c r="AS285" s="1778"/>
      <c r="AT285" s="1711"/>
    </row>
    <row r="286" spans="1:46" s="403" customFormat="1" ht="318.75" customHeight="1" thickBot="1" x14ac:dyDescent="0.35">
      <c r="A286" s="1711"/>
      <c r="B286" s="1781"/>
      <c r="C286" s="1784"/>
      <c r="D286" s="1787"/>
      <c r="E286" s="1790"/>
      <c r="F286" s="1792"/>
      <c r="G286" s="308"/>
      <c r="H286" s="1766"/>
      <c r="I286" s="1769"/>
      <c r="J286" s="1772"/>
      <c r="K286" s="1754"/>
      <c r="L286" s="1751"/>
      <c r="M286" s="1775"/>
      <c r="N286" s="1751">
        <f>IF(NOT(ISERROR(MATCH(M286,_xlfn.ANCHORARRAY(F297),0))),L299&amp;"Por favor no seleccionar los criterios de impacto",M286)</f>
        <v>0</v>
      </c>
      <c r="O286" s="1754"/>
      <c r="P286" s="1751"/>
      <c r="Q286" s="1757"/>
      <c r="R286" s="1760"/>
      <c r="S286" s="1763"/>
      <c r="T286" s="1745"/>
      <c r="U286" s="1721"/>
      <c r="V286" s="1721"/>
      <c r="W286" s="1742"/>
      <c r="X286" s="1748"/>
      <c r="Y286" s="1748"/>
      <c r="Z286" s="1721"/>
      <c r="AA286" s="1736"/>
      <c r="AB286" s="1739"/>
      <c r="AC286" s="1742"/>
      <c r="AD286" s="1739"/>
      <c r="AE286" s="1742"/>
      <c r="AF286" s="1718"/>
      <c r="AG286" s="1721"/>
      <c r="AH286" s="1724"/>
      <c r="AI286" s="1733"/>
      <c r="AJ286" s="1730"/>
      <c r="AK286" s="133"/>
      <c r="AL286" s="1733"/>
      <c r="AM286" s="1793"/>
      <c r="AN286" s="1711"/>
      <c r="AO286" s="1778"/>
      <c r="AP286" s="1711"/>
      <c r="AQ286" s="1778"/>
      <c r="AR286" s="1711"/>
      <c r="AS286" s="1778"/>
      <c r="AT286" s="1711"/>
    </row>
    <row r="287" spans="1:46" s="403" customFormat="1" ht="26.25" hidden="1" customHeight="1" x14ac:dyDescent="0.3">
      <c r="A287" s="1711"/>
      <c r="B287" s="1781"/>
      <c r="C287" s="1784"/>
      <c r="D287" s="1787"/>
      <c r="E287" s="1790"/>
      <c r="F287" s="1792"/>
      <c r="G287" s="308"/>
      <c r="H287" s="1766"/>
      <c r="I287" s="1769"/>
      <c r="J287" s="1772"/>
      <c r="K287" s="1754"/>
      <c r="L287" s="1751"/>
      <c r="M287" s="1775"/>
      <c r="N287" s="1751">
        <f>IF(NOT(ISERROR(MATCH(M287,_xlfn.ANCHORARRAY(F298),0))),L300&amp;"Por favor no seleccionar los criterios de impacto",M287)</f>
        <v>0</v>
      </c>
      <c r="O287" s="1754"/>
      <c r="P287" s="1751"/>
      <c r="Q287" s="1757"/>
      <c r="R287" s="1760"/>
      <c r="S287" s="1763"/>
      <c r="T287" s="1745"/>
      <c r="U287" s="1721"/>
      <c r="V287" s="1721"/>
      <c r="W287" s="1742"/>
      <c r="X287" s="1748"/>
      <c r="Y287" s="1748"/>
      <c r="Z287" s="1721"/>
      <c r="AA287" s="1736"/>
      <c r="AB287" s="1739"/>
      <c r="AC287" s="1742"/>
      <c r="AD287" s="1739"/>
      <c r="AE287" s="1742"/>
      <c r="AF287" s="1718"/>
      <c r="AG287" s="1721"/>
      <c r="AH287" s="1724"/>
      <c r="AI287" s="1733"/>
      <c r="AJ287" s="1730"/>
      <c r="AK287" s="133"/>
      <c r="AL287" s="1733"/>
      <c r="AM287" s="1793"/>
      <c r="AN287" s="1711"/>
      <c r="AO287" s="1778"/>
      <c r="AP287" s="1711"/>
      <c r="AQ287" s="1778"/>
      <c r="AR287" s="1711"/>
      <c r="AS287" s="1778"/>
      <c r="AT287" s="1711"/>
    </row>
    <row r="288" spans="1:46" s="403" customFormat="1" ht="26.25" hidden="1" customHeight="1" x14ac:dyDescent="0.3">
      <c r="A288" s="1711"/>
      <c r="B288" s="1781"/>
      <c r="C288" s="1784"/>
      <c r="D288" s="1787"/>
      <c r="E288" s="1790"/>
      <c r="F288" s="1792"/>
      <c r="G288" s="308"/>
      <c r="H288" s="1766"/>
      <c r="I288" s="1769"/>
      <c r="J288" s="1772"/>
      <c r="K288" s="1754"/>
      <c r="L288" s="1751"/>
      <c r="M288" s="1775"/>
      <c r="N288" s="1751">
        <f>IF(NOT(ISERROR(MATCH(M288,_xlfn.ANCHORARRAY(F299),0))),L301&amp;"Por favor no seleccionar los criterios de impacto",M288)</f>
        <v>0</v>
      </c>
      <c r="O288" s="1754"/>
      <c r="P288" s="1751"/>
      <c r="Q288" s="1757"/>
      <c r="R288" s="1760"/>
      <c r="S288" s="1763"/>
      <c r="T288" s="1745"/>
      <c r="U288" s="1721"/>
      <c r="V288" s="1721"/>
      <c r="W288" s="1742"/>
      <c r="X288" s="1748"/>
      <c r="Y288" s="1748"/>
      <c r="Z288" s="1721"/>
      <c r="AA288" s="1736"/>
      <c r="AB288" s="1739"/>
      <c r="AC288" s="1742"/>
      <c r="AD288" s="1739"/>
      <c r="AE288" s="1742"/>
      <c r="AF288" s="1718"/>
      <c r="AG288" s="1721"/>
      <c r="AH288" s="1724"/>
      <c r="AI288" s="1733"/>
      <c r="AJ288" s="1730"/>
      <c r="AK288" s="133"/>
      <c r="AL288" s="1733"/>
      <c r="AM288" s="1793"/>
      <c r="AN288" s="1711"/>
      <c r="AO288" s="1778"/>
      <c r="AP288" s="1711"/>
      <c r="AQ288" s="1778"/>
      <c r="AR288" s="1711"/>
      <c r="AS288" s="1778"/>
      <c r="AT288" s="1711"/>
    </row>
    <row r="289" spans="1:46" s="403" customFormat="1" ht="131.25" hidden="1" customHeight="1" x14ac:dyDescent="0.3">
      <c r="A289" s="1712"/>
      <c r="B289" s="1782"/>
      <c r="C289" s="1785"/>
      <c r="D289" s="1788"/>
      <c r="E289" s="1791"/>
      <c r="F289" s="1792"/>
      <c r="G289" s="309"/>
      <c r="H289" s="1767"/>
      <c r="I289" s="1770"/>
      <c r="J289" s="1773"/>
      <c r="K289" s="1755"/>
      <c r="L289" s="1752"/>
      <c r="M289" s="1776"/>
      <c r="N289" s="1752">
        <f>IF(NOT(ISERROR(MATCH(M289,_xlfn.ANCHORARRAY(F300),0))),L302&amp;"Por favor no seleccionar los criterios de impacto",M289)</f>
        <v>0</v>
      </c>
      <c r="O289" s="1755"/>
      <c r="P289" s="1752"/>
      <c r="Q289" s="1758"/>
      <c r="R289" s="1761"/>
      <c r="S289" s="1764"/>
      <c r="T289" s="1746"/>
      <c r="U289" s="1722"/>
      <c r="V289" s="1722"/>
      <c r="W289" s="1743"/>
      <c r="X289" s="1749"/>
      <c r="Y289" s="1749"/>
      <c r="Z289" s="1722"/>
      <c r="AA289" s="1737"/>
      <c r="AB289" s="1740"/>
      <c r="AC289" s="1743"/>
      <c r="AD289" s="1740"/>
      <c r="AE289" s="1743"/>
      <c r="AF289" s="1719"/>
      <c r="AG289" s="1722"/>
      <c r="AH289" s="1725"/>
      <c r="AI289" s="1734"/>
      <c r="AJ289" s="1731"/>
      <c r="AK289" s="133"/>
      <c r="AL289" s="1734"/>
      <c r="AM289" s="1793"/>
      <c r="AN289" s="1712"/>
      <c r="AO289" s="1779"/>
      <c r="AP289" s="1712"/>
      <c r="AQ289" s="1779"/>
      <c r="AR289" s="1712"/>
      <c r="AS289" s="1779"/>
      <c r="AT289" s="1712"/>
    </row>
    <row r="290" spans="1:46" s="403" customFormat="1" ht="13.2" x14ac:dyDescent="0.3">
      <c r="A290" s="1710">
        <v>5</v>
      </c>
      <c r="B290" s="1780" t="s">
        <v>209</v>
      </c>
      <c r="C290" s="1783" t="s">
        <v>265</v>
      </c>
      <c r="D290" s="1786" t="s">
        <v>278</v>
      </c>
      <c r="E290" s="1789" t="s">
        <v>279</v>
      </c>
      <c r="F290" s="1792" t="s">
        <v>280</v>
      </c>
      <c r="G290" s="307"/>
      <c r="H290" s="1765" t="s">
        <v>281</v>
      </c>
      <c r="I290" s="1768" t="s">
        <v>198</v>
      </c>
      <c r="J290" s="1771">
        <v>5000</v>
      </c>
      <c r="K290" s="1753" t="str">
        <f>IF(J290&lt;=0,"",IF(J290&lt;=2,"Muy Baja",IF(J290&lt;=24,"Baja",IF(J290&lt;=500,"Media",IF(J290&lt;=5000,"Alta","Muy Alta")))))</f>
        <v>Alta</v>
      </c>
      <c r="L290" s="1750">
        <f>IF(K290="","",IF(K290="Muy Baja",0.2,IF(K290="Baja",0.4,IF(K290="Media",0.6,IF(K290="Alta",0.8,IF(K290="Muy Alta",1,))))))</f>
        <v>0.8</v>
      </c>
      <c r="M290" s="1774" t="s">
        <v>282</v>
      </c>
      <c r="N290" s="1750" t="str">
        <f>IF(NOT(ISERROR(MATCH(M290,'[16]Tabla Impacto'!$B$221:$B$223,0))),'[16]Tabla Impacto'!$F$223&amp;"Por favor no seleccionar los criterios de impacto(Afectación Económica o presupuestal y Pérdida Reputacional)",M290)</f>
        <v xml:space="preserve">     Entre 1000 y 5000 SMLMV </v>
      </c>
      <c r="O290" s="1753" t="str">
        <f>IF(OR(N290='[16]Tabla Impacto'!$C$11,N290='[16]Tabla Impacto'!$D$11),"Leve",IF(OR(N290='[16]Tabla Impacto'!$C$12,N290='[16]Tabla Impacto'!$D$12),"Menor",IF(OR(N290='[16]Tabla Impacto'!$C$13,N290='[16]Tabla Impacto'!$D$13),"Moderado",IF(OR(N290='[16]Tabla Impacto'!$C$14,N290='[16]Tabla Impacto'!$D$14),"Mayor",IF(OR(N290='[16]Tabla Impacto'!$C$15,N290='[16]Tabla Impacto'!$D$15),"Catastrófico","")))))</f>
        <v>Moderado</v>
      </c>
      <c r="P290" s="1750">
        <f>IF(O290="","",IF(O290="Leve",0.2,IF(O290="Menor",0.4,IF(O290="Moderado",0.6,IF(O290="Mayor",0.8,IF(O290="Catastrófico",1,))))))</f>
        <v>0.6</v>
      </c>
      <c r="Q290" s="1756" t="str">
        <f>IF(OR(AND(K290="Muy Baja",O290="Leve"),AND(K290="Muy Baja",O290="Menor"),AND(K290="Baja",O290="Leve")),"Bajo",IF(OR(AND(K290="Muy baja",O290="Moderado"),AND(K290="Baja",O290="Menor"),AND(K290="Baja",O290="Moderado"),AND(K290="Media",O290="Leve"),AND(K290="Media",O290="Menor"),AND(K290="Media",O290="Moderado"),AND(K290="Alta",O290="Leve"),AND(K290="Alta",O290="Menor")),"Moderado",IF(OR(AND(K290="Muy Baja",O290="Mayor"),AND(K290="Baja",O290="Mayor"),AND(K290="Media",O290="Mayor"),AND(K290="Alta",O290="Moderado"),AND(K290="Alta",O290="Mayor"),AND(K290="Muy Alta",O290="Leve"),AND(K290="Muy Alta",O290="Menor"),AND(K290="Muy Alta",O290="Moderado"),AND(K290="Muy Alta",O290="Mayor")),"Alto",IF(OR(AND(K290="Muy Baja",O290="Catastrófico"),AND(K290="Baja",O290="Catastrófico"),AND(K290="Media",O290="Catastrófico"),AND(K290="Alta",O290="Catastrófico"),AND(K290="Muy Alta",O290="Catastrófico")),"Extremo",""))))</f>
        <v>Alto</v>
      </c>
      <c r="R290" s="1759">
        <v>1</v>
      </c>
      <c r="S290" s="1762" t="s">
        <v>283</v>
      </c>
      <c r="T290" s="1744" t="str">
        <f>IF(OR(U290="Preventivo",U290="Detectivo"),"Probabilidad",IF(U290="Correctivo","Impacto",""))</f>
        <v>Probabilidad</v>
      </c>
      <c r="U290" s="1720" t="s">
        <v>207</v>
      </c>
      <c r="V290" s="1720" t="s">
        <v>201</v>
      </c>
      <c r="W290" s="1741" t="str">
        <f t="shared" si="175"/>
        <v>40%</v>
      </c>
      <c r="X290" s="1747" t="s">
        <v>208</v>
      </c>
      <c r="Y290" s="1747" t="s">
        <v>203</v>
      </c>
      <c r="Z290" s="1720" t="s">
        <v>204</v>
      </c>
      <c r="AA290" s="1735">
        <f>IFERROR(IF(T290="Probabilidad",(L290-(+L290*W290)),IF(T290="Impacto",L290,"")),"")</f>
        <v>0.48</v>
      </c>
      <c r="AB290" s="1738" t="str">
        <f t="shared" si="176"/>
        <v>Media</v>
      </c>
      <c r="AC290" s="1741">
        <f t="shared" si="177"/>
        <v>0.48</v>
      </c>
      <c r="AD290" s="1738" t="str">
        <f t="shared" si="178"/>
        <v>Moderado</v>
      </c>
      <c r="AE290" s="1741">
        <f>IFERROR(IF(T290="Impacto",(P290-(+P290*W290)),IF(T290="Probabilidad",P290,"")),"")</f>
        <v>0.6</v>
      </c>
      <c r="AF290" s="1717" t="str">
        <f t="shared" si="179"/>
        <v>Moderado</v>
      </c>
      <c r="AG290" s="1720" t="s">
        <v>205</v>
      </c>
      <c r="AH290" s="1723" t="s">
        <v>284</v>
      </c>
      <c r="AI290" s="1726" t="s">
        <v>285</v>
      </c>
      <c r="AJ290" s="1729">
        <v>45352</v>
      </c>
      <c r="AK290" s="133"/>
      <c r="AL290" s="1732"/>
      <c r="AM290" s="1714" t="s">
        <v>206</v>
      </c>
      <c r="AN290" s="1710">
        <v>5</v>
      </c>
      <c r="AO290" s="1707" t="s">
        <v>841</v>
      </c>
      <c r="AP290" s="1710">
        <v>5</v>
      </c>
      <c r="AQ290" s="1707" t="s">
        <v>842</v>
      </c>
      <c r="AR290" s="1710">
        <v>5</v>
      </c>
      <c r="AS290" s="1707" t="s">
        <v>843</v>
      </c>
      <c r="AT290" s="1710">
        <v>5</v>
      </c>
    </row>
    <row r="291" spans="1:46" s="403" customFormat="1" ht="26.25" customHeight="1" x14ac:dyDescent="0.3">
      <c r="A291" s="1711"/>
      <c r="B291" s="1781"/>
      <c r="C291" s="1784"/>
      <c r="D291" s="1787"/>
      <c r="E291" s="1790"/>
      <c r="F291" s="1792"/>
      <c r="G291" s="308"/>
      <c r="H291" s="1766"/>
      <c r="I291" s="1769"/>
      <c r="J291" s="1772"/>
      <c r="K291" s="1754"/>
      <c r="L291" s="1751"/>
      <c r="M291" s="1775"/>
      <c r="N291" s="1751">
        <f>IF(NOT(ISERROR(MATCH(M291,_xlfn.ANCHORARRAY(F302),0))),L304&amp;"Por favor no seleccionar los criterios de impacto",M291)</f>
        <v>0</v>
      </c>
      <c r="O291" s="1754"/>
      <c r="P291" s="1751"/>
      <c r="Q291" s="1757"/>
      <c r="R291" s="1760"/>
      <c r="S291" s="1763"/>
      <c r="T291" s="1745"/>
      <c r="U291" s="1721"/>
      <c r="V291" s="1721"/>
      <c r="W291" s="1742"/>
      <c r="X291" s="1748"/>
      <c r="Y291" s="1748"/>
      <c r="Z291" s="1721"/>
      <c r="AA291" s="1736"/>
      <c r="AB291" s="1739"/>
      <c r="AC291" s="1742"/>
      <c r="AD291" s="1739"/>
      <c r="AE291" s="1742"/>
      <c r="AF291" s="1718"/>
      <c r="AG291" s="1721"/>
      <c r="AH291" s="1724"/>
      <c r="AI291" s="1727"/>
      <c r="AJ291" s="1730"/>
      <c r="AK291" s="133"/>
      <c r="AL291" s="1733"/>
      <c r="AM291" s="1715"/>
      <c r="AN291" s="1711"/>
      <c r="AO291" s="1708"/>
      <c r="AP291" s="1711"/>
      <c r="AQ291" s="1708"/>
      <c r="AR291" s="1711"/>
      <c r="AS291" s="1708"/>
      <c r="AT291" s="1711"/>
    </row>
    <row r="292" spans="1:46" s="403" customFormat="1" ht="26.25" customHeight="1" x14ac:dyDescent="0.3">
      <c r="A292" s="1711"/>
      <c r="B292" s="1781"/>
      <c r="C292" s="1784"/>
      <c r="D292" s="1787"/>
      <c r="E292" s="1790"/>
      <c r="F292" s="1792"/>
      <c r="G292" s="308"/>
      <c r="H292" s="1766"/>
      <c r="I292" s="1769"/>
      <c r="J292" s="1772"/>
      <c r="K292" s="1754"/>
      <c r="L292" s="1751"/>
      <c r="M292" s="1775"/>
      <c r="N292" s="1751">
        <f>IF(NOT(ISERROR(MATCH(M292,_xlfn.ANCHORARRAY(F303),0))),L305&amp;"Por favor no seleccionar los criterios de impacto",M292)</f>
        <v>0</v>
      </c>
      <c r="O292" s="1754"/>
      <c r="P292" s="1751"/>
      <c r="Q292" s="1757"/>
      <c r="R292" s="1760"/>
      <c r="S292" s="1763"/>
      <c r="T292" s="1745"/>
      <c r="U292" s="1721"/>
      <c r="V292" s="1721"/>
      <c r="W292" s="1742"/>
      <c r="X292" s="1748"/>
      <c r="Y292" s="1748"/>
      <c r="Z292" s="1721"/>
      <c r="AA292" s="1736"/>
      <c r="AB292" s="1739"/>
      <c r="AC292" s="1742"/>
      <c r="AD292" s="1739"/>
      <c r="AE292" s="1742"/>
      <c r="AF292" s="1718"/>
      <c r="AG292" s="1721"/>
      <c r="AH292" s="1724"/>
      <c r="AI292" s="1727"/>
      <c r="AJ292" s="1730"/>
      <c r="AK292" s="133"/>
      <c r="AL292" s="1733"/>
      <c r="AM292" s="1715"/>
      <c r="AN292" s="1711"/>
      <c r="AO292" s="1708"/>
      <c r="AP292" s="1711"/>
      <c r="AQ292" s="1708"/>
      <c r="AR292" s="1711"/>
      <c r="AS292" s="1708"/>
      <c r="AT292" s="1711"/>
    </row>
    <row r="293" spans="1:46" s="403" customFormat="1" ht="13.2" x14ac:dyDescent="0.3">
      <c r="A293" s="1711"/>
      <c r="B293" s="1781"/>
      <c r="C293" s="1784"/>
      <c r="D293" s="1787"/>
      <c r="E293" s="1790"/>
      <c r="F293" s="1792"/>
      <c r="G293" s="308"/>
      <c r="H293" s="1766"/>
      <c r="I293" s="1769"/>
      <c r="J293" s="1772"/>
      <c r="K293" s="1754"/>
      <c r="L293" s="1751"/>
      <c r="M293" s="1775"/>
      <c r="N293" s="1751">
        <f>IF(NOT(ISERROR(MATCH(M293,_xlfn.ANCHORARRAY(F304),0))),L306&amp;"Por favor no seleccionar los criterios de impacto",M293)</f>
        <v>0</v>
      </c>
      <c r="O293" s="1754"/>
      <c r="P293" s="1751"/>
      <c r="Q293" s="1757"/>
      <c r="R293" s="1760"/>
      <c r="S293" s="1763"/>
      <c r="T293" s="1745"/>
      <c r="U293" s="1721"/>
      <c r="V293" s="1721"/>
      <c r="W293" s="1742"/>
      <c r="X293" s="1748"/>
      <c r="Y293" s="1748"/>
      <c r="Z293" s="1721"/>
      <c r="AA293" s="1736"/>
      <c r="AB293" s="1739"/>
      <c r="AC293" s="1742"/>
      <c r="AD293" s="1739"/>
      <c r="AE293" s="1742"/>
      <c r="AF293" s="1718"/>
      <c r="AG293" s="1721"/>
      <c r="AH293" s="1724"/>
      <c r="AI293" s="1727"/>
      <c r="AJ293" s="1730"/>
      <c r="AK293" s="133"/>
      <c r="AL293" s="1733"/>
      <c r="AM293" s="1715"/>
      <c r="AN293" s="1711"/>
      <c r="AO293" s="1708"/>
      <c r="AP293" s="1711"/>
      <c r="AQ293" s="1708"/>
      <c r="AR293" s="1711"/>
      <c r="AS293" s="1708"/>
      <c r="AT293" s="1711"/>
    </row>
    <row r="294" spans="1:46" s="403" customFormat="1" ht="13.2" x14ac:dyDescent="0.3">
      <c r="A294" s="1711"/>
      <c r="B294" s="1781"/>
      <c r="C294" s="1784"/>
      <c r="D294" s="1787"/>
      <c r="E294" s="1790"/>
      <c r="F294" s="1792"/>
      <c r="G294" s="308"/>
      <c r="H294" s="1766"/>
      <c r="I294" s="1769"/>
      <c r="J294" s="1772"/>
      <c r="K294" s="1754"/>
      <c r="L294" s="1751"/>
      <c r="M294" s="1775"/>
      <c r="N294" s="1751">
        <f>IF(NOT(ISERROR(MATCH(M294,_xlfn.ANCHORARRAY(F305),0))),L307&amp;"Por favor no seleccionar los criterios de impacto",M294)</f>
        <v>0</v>
      </c>
      <c r="O294" s="1754"/>
      <c r="P294" s="1751"/>
      <c r="Q294" s="1757"/>
      <c r="R294" s="1760"/>
      <c r="S294" s="1763"/>
      <c r="T294" s="1745"/>
      <c r="U294" s="1721"/>
      <c r="V294" s="1721"/>
      <c r="W294" s="1742"/>
      <c r="X294" s="1748"/>
      <c r="Y294" s="1748"/>
      <c r="Z294" s="1721"/>
      <c r="AA294" s="1736"/>
      <c r="AB294" s="1739"/>
      <c r="AC294" s="1742"/>
      <c r="AD294" s="1739"/>
      <c r="AE294" s="1742"/>
      <c r="AF294" s="1718"/>
      <c r="AG294" s="1721"/>
      <c r="AH294" s="1724"/>
      <c r="AI294" s="1727"/>
      <c r="AJ294" s="1730"/>
      <c r="AK294" s="133"/>
      <c r="AL294" s="1733"/>
      <c r="AM294" s="1715"/>
      <c r="AN294" s="1711"/>
      <c r="AO294" s="1708"/>
      <c r="AP294" s="1711"/>
      <c r="AQ294" s="1708"/>
      <c r="AR294" s="1711"/>
      <c r="AS294" s="1708"/>
      <c r="AT294" s="1711"/>
    </row>
    <row r="295" spans="1:46" s="403" customFormat="1" ht="200.25" customHeight="1" thickBot="1" x14ac:dyDescent="0.35">
      <c r="A295" s="1712"/>
      <c r="B295" s="1782"/>
      <c r="C295" s="1785"/>
      <c r="D295" s="1788"/>
      <c r="E295" s="1791"/>
      <c r="F295" s="1792"/>
      <c r="G295" s="309"/>
      <c r="H295" s="1767"/>
      <c r="I295" s="1770"/>
      <c r="J295" s="1773"/>
      <c r="K295" s="1755"/>
      <c r="L295" s="1752"/>
      <c r="M295" s="1776"/>
      <c r="N295" s="1752">
        <f>IF(NOT(ISERROR(MATCH(M295,_xlfn.ANCHORARRAY(F306),0))),L308&amp;"Por favor no seleccionar los criterios de impacto",M295)</f>
        <v>0</v>
      </c>
      <c r="O295" s="1755"/>
      <c r="P295" s="1752"/>
      <c r="Q295" s="1758"/>
      <c r="R295" s="1761"/>
      <c r="S295" s="1764"/>
      <c r="T295" s="1746"/>
      <c r="U295" s="1722"/>
      <c r="V295" s="1722"/>
      <c r="W295" s="1743"/>
      <c r="X295" s="1749"/>
      <c r="Y295" s="1749"/>
      <c r="Z295" s="1722"/>
      <c r="AA295" s="1737"/>
      <c r="AB295" s="1740"/>
      <c r="AC295" s="1743"/>
      <c r="AD295" s="1740"/>
      <c r="AE295" s="1743"/>
      <c r="AF295" s="1719"/>
      <c r="AG295" s="1722"/>
      <c r="AH295" s="1725"/>
      <c r="AI295" s="1728"/>
      <c r="AJ295" s="1731"/>
      <c r="AK295" s="133"/>
      <c r="AL295" s="1734"/>
      <c r="AM295" s="1716"/>
      <c r="AN295" s="1712"/>
      <c r="AO295" s="1709"/>
      <c r="AP295" s="1712"/>
      <c r="AQ295" s="1709"/>
      <c r="AR295" s="1712"/>
      <c r="AS295" s="1709"/>
      <c r="AT295" s="1712"/>
    </row>
    <row r="296" spans="1:46" s="184" customFormat="1" ht="16.5" customHeight="1" x14ac:dyDescent="0.25">
      <c r="A296" s="1681" t="s">
        <v>156</v>
      </c>
      <c r="B296" s="1682"/>
      <c r="C296" s="1682"/>
      <c r="D296" s="1682"/>
      <c r="E296" s="1682"/>
      <c r="F296" s="1682"/>
      <c r="G296" s="1682"/>
      <c r="H296" s="1682"/>
      <c r="I296" s="1682"/>
      <c r="J296" s="1682"/>
      <c r="K296" s="1682"/>
      <c r="L296" s="1682"/>
      <c r="M296" s="1682"/>
      <c r="N296" s="1682"/>
      <c r="O296" s="1682"/>
      <c r="P296" s="1682"/>
      <c r="Q296" s="1682"/>
      <c r="R296" s="1682"/>
      <c r="S296" s="1682"/>
      <c r="T296" s="1682"/>
      <c r="U296" s="1682"/>
      <c r="V296" s="1682"/>
      <c r="W296" s="1682"/>
      <c r="X296" s="1682"/>
      <c r="Y296" s="1682"/>
      <c r="Z296" s="1682"/>
      <c r="AA296" s="1682"/>
      <c r="AB296" s="1682"/>
      <c r="AC296" s="1682"/>
      <c r="AD296" s="1682"/>
      <c r="AE296" s="1682"/>
      <c r="AF296" s="1682"/>
      <c r="AG296" s="1682"/>
      <c r="AH296" s="1682"/>
      <c r="AI296" s="1682"/>
      <c r="AJ296" s="1682"/>
      <c r="AK296" s="1682"/>
      <c r="AL296" s="1682"/>
      <c r="AM296" s="1683"/>
      <c r="AN296" s="37"/>
      <c r="AO296" s="37"/>
      <c r="AP296" s="37"/>
      <c r="AQ296" s="37"/>
      <c r="AR296" s="37"/>
      <c r="AS296" s="37"/>
      <c r="AT296" s="37"/>
    </row>
    <row r="297" spans="1:46" s="184" customFormat="1" ht="24" customHeight="1" x14ac:dyDescent="0.25">
      <c r="A297" s="1684"/>
      <c r="B297" s="1685"/>
      <c r="C297" s="1685"/>
      <c r="D297" s="1685"/>
      <c r="E297" s="1685"/>
      <c r="F297" s="1685"/>
      <c r="G297" s="1685"/>
      <c r="H297" s="1685"/>
      <c r="I297" s="1685"/>
      <c r="J297" s="1685"/>
      <c r="K297" s="1685"/>
      <c r="L297" s="1685"/>
      <c r="M297" s="1685"/>
      <c r="N297" s="1685"/>
      <c r="O297" s="1685"/>
      <c r="P297" s="1685"/>
      <c r="Q297" s="1685"/>
      <c r="R297" s="1685"/>
      <c r="S297" s="1685"/>
      <c r="T297" s="1685"/>
      <c r="U297" s="1685"/>
      <c r="V297" s="1685"/>
      <c r="W297" s="1685"/>
      <c r="X297" s="1685"/>
      <c r="Y297" s="1685"/>
      <c r="Z297" s="1685"/>
      <c r="AA297" s="1685"/>
      <c r="AB297" s="1685"/>
      <c r="AC297" s="1685"/>
      <c r="AD297" s="1685"/>
      <c r="AE297" s="1685"/>
      <c r="AF297" s="1685"/>
      <c r="AG297" s="1685"/>
      <c r="AH297" s="1685"/>
      <c r="AI297" s="1685"/>
      <c r="AJ297" s="1685"/>
      <c r="AK297" s="1685"/>
      <c r="AL297" s="1685"/>
      <c r="AM297" s="1686"/>
      <c r="AN297" s="37"/>
      <c r="AO297" s="37"/>
      <c r="AP297" s="37"/>
      <c r="AQ297" s="37"/>
      <c r="AR297" s="37"/>
      <c r="AS297" s="37"/>
      <c r="AT297" s="37"/>
    </row>
    <row r="298" spans="1:46" s="184" customFormat="1" x14ac:dyDescent="0.25">
      <c r="A298" s="242"/>
      <c r="B298" s="243"/>
      <c r="C298" s="242"/>
      <c r="D298" s="242"/>
      <c r="E298" s="242"/>
      <c r="F298" s="37"/>
      <c r="G298" s="37"/>
      <c r="H298" s="37"/>
      <c r="I298" s="225"/>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row>
    <row r="299" spans="1:46" s="184" customFormat="1" ht="26.25" customHeight="1" x14ac:dyDescent="0.25">
      <c r="A299" s="1667" t="s">
        <v>157</v>
      </c>
      <c r="B299" s="1668"/>
      <c r="C299" s="1680" t="s">
        <v>844</v>
      </c>
      <c r="D299" s="1680"/>
      <c r="E299" s="1680"/>
      <c r="F299" s="1680"/>
      <c r="G299" s="1680"/>
      <c r="H299" s="1680"/>
      <c r="I299" s="1680"/>
      <c r="J299" s="1680"/>
      <c r="K299" s="1680"/>
      <c r="L299" s="1680"/>
      <c r="M299" s="1680"/>
      <c r="N299" s="1680"/>
      <c r="O299" s="1680"/>
      <c r="P299" s="1680"/>
      <c r="Q299" s="1680"/>
      <c r="R299" s="1680"/>
      <c r="S299" s="1680"/>
      <c r="T299" s="1680"/>
      <c r="U299" s="1680"/>
      <c r="V299" s="1680"/>
      <c r="W299" s="1680"/>
      <c r="X299" s="1680"/>
      <c r="Y299" s="1680"/>
      <c r="Z299" s="1680"/>
      <c r="AA299" s="1680"/>
      <c r="AB299" s="1680"/>
      <c r="AC299" s="1680"/>
      <c r="AD299" s="1680"/>
      <c r="AE299" s="1680"/>
      <c r="AF299" s="1680"/>
      <c r="AG299" s="1680"/>
      <c r="AH299" s="1680"/>
      <c r="AI299" s="1680"/>
      <c r="AJ299" s="1680"/>
      <c r="AK299" s="1680"/>
      <c r="AL299" s="1680"/>
      <c r="AM299" s="1680"/>
      <c r="AN299" s="37"/>
      <c r="AO299" s="37"/>
      <c r="AP299" s="37"/>
      <c r="AQ299" s="37"/>
      <c r="AR299" s="37"/>
      <c r="AS299" s="37"/>
      <c r="AT299" s="37"/>
    </row>
    <row r="300" spans="1:46" s="184" customFormat="1" ht="60" customHeight="1" x14ac:dyDescent="0.25">
      <c r="A300" s="1667" t="s">
        <v>158</v>
      </c>
      <c r="B300" s="1668"/>
      <c r="C300" s="1713" t="s">
        <v>865</v>
      </c>
      <c r="D300" s="1713"/>
      <c r="E300" s="1713"/>
      <c r="F300" s="1713"/>
      <c r="G300" s="1713"/>
      <c r="H300" s="1713"/>
      <c r="I300" s="1713"/>
      <c r="J300" s="1713"/>
      <c r="K300" s="1713"/>
      <c r="L300" s="1713"/>
      <c r="M300" s="1713"/>
      <c r="N300" s="1713"/>
      <c r="O300" s="1713"/>
      <c r="P300" s="1713"/>
      <c r="Q300" s="1713"/>
      <c r="R300" s="1713"/>
      <c r="S300" s="1713"/>
      <c r="T300" s="1713"/>
      <c r="U300" s="1713"/>
      <c r="V300" s="1713"/>
      <c r="W300" s="1713"/>
      <c r="X300" s="1713"/>
      <c r="Y300" s="1713"/>
      <c r="Z300" s="1713"/>
      <c r="AA300" s="1713"/>
      <c r="AB300" s="1713"/>
      <c r="AC300" s="1713"/>
      <c r="AD300" s="1713"/>
      <c r="AE300" s="1713"/>
      <c r="AF300" s="1713"/>
      <c r="AG300" s="1713"/>
      <c r="AH300" s="1713"/>
      <c r="AI300" s="1713"/>
      <c r="AJ300" s="1713"/>
      <c r="AK300" s="1713"/>
      <c r="AL300" s="1713"/>
      <c r="AM300" s="1713"/>
      <c r="AN300" s="37"/>
      <c r="AO300" s="37"/>
      <c r="AP300" s="37"/>
      <c r="AQ300" s="37"/>
      <c r="AR300" s="37"/>
      <c r="AS300" s="37"/>
      <c r="AT300" s="37"/>
    </row>
    <row r="301" spans="1:46" s="184" customFormat="1" ht="97.2" customHeight="1" x14ac:dyDescent="0.25">
      <c r="A301" s="1667" t="s">
        <v>159</v>
      </c>
      <c r="B301" s="1668"/>
      <c r="C301" s="1669" t="s">
        <v>866</v>
      </c>
      <c r="D301" s="1669"/>
      <c r="E301" s="1669"/>
      <c r="F301" s="1669"/>
      <c r="G301" s="1669"/>
      <c r="H301" s="1669"/>
      <c r="I301" s="1669"/>
      <c r="J301" s="1669"/>
      <c r="K301" s="1669"/>
      <c r="L301" s="1669"/>
      <c r="M301" s="1669"/>
      <c r="N301" s="1669"/>
      <c r="O301" s="1669"/>
      <c r="P301" s="1669"/>
      <c r="Q301" s="1669"/>
      <c r="R301" s="1669"/>
      <c r="S301" s="1669"/>
      <c r="T301" s="1669"/>
      <c r="U301" s="1669"/>
      <c r="V301" s="1669"/>
      <c r="W301" s="1669"/>
      <c r="X301" s="1669"/>
      <c r="Y301" s="1669"/>
      <c r="Z301" s="1669"/>
      <c r="AA301" s="1669"/>
      <c r="AB301" s="1669"/>
      <c r="AC301" s="1669"/>
      <c r="AD301" s="1669"/>
      <c r="AE301" s="1669"/>
      <c r="AF301" s="1669"/>
      <c r="AG301" s="1669"/>
      <c r="AH301" s="1669"/>
      <c r="AI301" s="1669"/>
      <c r="AJ301" s="1669"/>
      <c r="AK301" s="1669"/>
      <c r="AL301" s="1669"/>
      <c r="AM301" s="1669"/>
      <c r="AN301" s="37"/>
      <c r="AO301" s="37"/>
      <c r="AP301" s="37"/>
      <c r="AQ301" s="37"/>
      <c r="AR301" s="37"/>
      <c r="AS301" s="37"/>
      <c r="AT301" s="37"/>
    </row>
    <row r="302" spans="1:46" s="184" customFormat="1" x14ac:dyDescent="0.25">
      <c r="A302" s="1670" t="s">
        <v>160</v>
      </c>
      <c r="B302" s="1671"/>
      <c r="C302" s="1672"/>
      <c r="D302" s="1672"/>
      <c r="E302" s="1672"/>
      <c r="F302" s="1672"/>
      <c r="G302" s="1672"/>
      <c r="H302" s="1672"/>
      <c r="I302" s="1672"/>
      <c r="J302" s="1673"/>
      <c r="K302" s="1630" t="s">
        <v>161</v>
      </c>
      <c r="L302" s="1672"/>
      <c r="M302" s="1672"/>
      <c r="N302" s="1672"/>
      <c r="O302" s="1672"/>
      <c r="P302" s="1672"/>
      <c r="Q302" s="1673"/>
      <c r="R302" s="1630" t="s">
        <v>162</v>
      </c>
      <c r="S302" s="1672"/>
      <c r="T302" s="1672"/>
      <c r="U302" s="1672"/>
      <c r="V302" s="1672"/>
      <c r="W302" s="1672"/>
      <c r="X302" s="1672"/>
      <c r="Y302" s="1672"/>
      <c r="Z302" s="1673"/>
      <c r="AA302" s="1630" t="s">
        <v>163</v>
      </c>
      <c r="AB302" s="1672"/>
      <c r="AC302" s="1672"/>
      <c r="AD302" s="1672"/>
      <c r="AE302" s="1672"/>
      <c r="AF302" s="1672"/>
      <c r="AG302" s="1673"/>
      <c r="AH302" s="1630" t="s">
        <v>164</v>
      </c>
      <c r="AI302" s="1672"/>
      <c r="AJ302" s="1672"/>
      <c r="AK302" s="1672"/>
      <c r="AL302" s="1672"/>
      <c r="AM302" s="1673"/>
      <c r="AN302" s="37"/>
      <c r="AO302" s="37"/>
      <c r="AP302" s="37"/>
      <c r="AQ302" s="37"/>
      <c r="AR302" s="37"/>
      <c r="AS302" s="37"/>
      <c r="AT302" s="37"/>
    </row>
    <row r="303" spans="1:46" s="184" customFormat="1" ht="16.5" customHeight="1" x14ac:dyDescent="0.25">
      <c r="A303" s="1649" t="s">
        <v>165</v>
      </c>
      <c r="B303" s="1651" t="s">
        <v>142</v>
      </c>
      <c r="C303" s="1626" t="s">
        <v>166</v>
      </c>
      <c r="D303" s="1626" t="s">
        <v>167</v>
      </c>
      <c r="E303" s="1631" t="s">
        <v>168</v>
      </c>
      <c r="F303" s="1652" t="s">
        <v>60</v>
      </c>
      <c r="G303" s="56"/>
      <c r="H303" s="56"/>
      <c r="I303" s="1631" t="s">
        <v>169</v>
      </c>
      <c r="J303" s="1626" t="s">
        <v>170</v>
      </c>
      <c r="K303" s="1628" t="s">
        <v>171</v>
      </c>
      <c r="L303" s="1629" t="s">
        <v>172</v>
      </c>
      <c r="M303" s="1631" t="s">
        <v>173</v>
      </c>
      <c r="N303" s="1631" t="s">
        <v>174</v>
      </c>
      <c r="O303" s="1666" t="s">
        <v>175</v>
      </c>
      <c r="P303" s="1629" t="s">
        <v>172</v>
      </c>
      <c r="Q303" s="1626" t="s">
        <v>176</v>
      </c>
      <c r="R303" s="1664" t="s">
        <v>177</v>
      </c>
      <c r="S303" s="1627" t="s">
        <v>178</v>
      </c>
      <c r="T303" s="1631" t="s">
        <v>179</v>
      </c>
      <c r="U303" s="1627" t="s">
        <v>180</v>
      </c>
      <c r="V303" s="1627"/>
      <c r="W303" s="1627"/>
      <c r="X303" s="1627"/>
      <c r="Y303" s="1627"/>
      <c r="Z303" s="1627"/>
      <c r="AA303" s="1663" t="s">
        <v>181</v>
      </c>
      <c r="AB303" s="1663" t="s">
        <v>182</v>
      </c>
      <c r="AC303" s="1663" t="s">
        <v>172</v>
      </c>
      <c r="AD303" s="1663" t="s">
        <v>183</v>
      </c>
      <c r="AE303" s="1663" t="s">
        <v>172</v>
      </c>
      <c r="AF303" s="1663" t="s">
        <v>184</v>
      </c>
      <c r="AG303" s="1664" t="s">
        <v>185</v>
      </c>
      <c r="AH303" s="1627" t="s">
        <v>164</v>
      </c>
      <c r="AI303" s="1627" t="s">
        <v>143</v>
      </c>
      <c r="AJ303" s="1627" t="s">
        <v>186</v>
      </c>
      <c r="AK303" s="1627" t="s">
        <v>187</v>
      </c>
      <c r="AL303" s="1627" t="s">
        <v>188</v>
      </c>
      <c r="AM303" s="1627" t="s">
        <v>189</v>
      </c>
      <c r="AN303" s="37"/>
      <c r="AO303" s="37"/>
      <c r="AP303" s="37"/>
      <c r="AQ303" s="37"/>
      <c r="AR303" s="37"/>
      <c r="AS303" s="37"/>
      <c r="AT303" s="37"/>
    </row>
    <row r="304" spans="1:46" s="222" customFormat="1" ht="94.5" customHeight="1" x14ac:dyDescent="0.3">
      <c r="A304" s="1650"/>
      <c r="B304" s="1651"/>
      <c r="C304" s="1627"/>
      <c r="D304" s="1627"/>
      <c r="E304" s="1628"/>
      <c r="F304" s="1653"/>
      <c r="G304" s="56" t="s">
        <v>511</v>
      </c>
      <c r="H304" s="56" t="s">
        <v>190</v>
      </c>
      <c r="I304" s="1626"/>
      <c r="J304" s="1627"/>
      <c r="K304" s="1626"/>
      <c r="L304" s="1630"/>
      <c r="M304" s="1626"/>
      <c r="N304" s="1626"/>
      <c r="O304" s="1630"/>
      <c r="P304" s="1630"/>
      <c r="Q304" s="1627"/>
      <c r="R304" s="1665"/>
      <c r="S304" s="1627"/>
      <c r="T304" s="1626"/>
      <c r="U304" s="42" t="s">
        <v>191</v>
      </c>
      <c r="V304" s="42" t="s">
        <v>192</v>
      </c>
      <c r="W304" s="42" t="s">
        <v>193</v>
      </c>
      <c r="X304" s="42" t="s">
        <v>194</v>
      </c>
      <c r="Y304" s="42" t="s">
        <v>195</v>
      </c>
      <c r="Z304" s="42" t="s">
        <v>196</v>
      </c>
      <c r="AA304" s="1663"/>
      <c r="AB304" s="1663"/>
      <c r="AC304" s="1663"/>
      <c r="AD304" s="1663"/>
      <c r="AE304" s="1663"/>
      <c r="AF304" s="1663"/>
      <c r="AG304" s="1665"/>
      <c r="AH304" s="1627"/>
      <c r="AI304" s="1627"/>
      <c r="AJ304" s="1627"/>
      <c r="AK304" s="1627"/>
      <c r="AL304" s="1627"/>
      <c r="AM304" s="1627"/>
      <c r="AN304" s="230"/>
      <c r="AO304" s="230"/>
      <c r="AP304" s="230"/>
      <c r="AQ304" s="230"/>
      <c r="AR304" s="230"/>
      <c r="AS304" s="230"/>
      <c r="AT304" s="230"/>
    </row>
    <row r="305" spans="1:42" s="231" customFormat="1" ht="409.05" customHeight="1" x14ac:dyDescent="0.3">
      <c r="A305" s="1618">
        <v>1</v>
      </c>
      <c r="B305" s="1656" t="s">
        <v>197</v>
      </c>
      <c r="C305" s="1656" t="s">
        <v>374</v>
      </c>
      <c r="D305" s="1698" t="s">
        <v>845</v>
      </c>
      <c r="E305" s="74" t="s">
        <v>846</v>
      </c>
      <c r="F305" s="1705" t="s">
        <v>847</v>
      </c>
      <c r="G305" s="1603" t="s">
        <v>512</v>
      </c>
      <c r="H305" s="1700" t="s">
        <v>848</v>
      </c>
      <c r="I305" s="1701" t="s">
        <v>198</v>
      </c>
      <c r="J305" s="1640">
        <f>254*412</f>
        <v>104648</v>
      </c>
      <c r="K305" s="1643" t="str">
        <f>IF(J305&lt;=0,"",IF(J305&lt;=2,"Muy Baja",IF(J305&lt;=24,"Baja",IF(J305&lt;=500,"Media",IF(J305&lt;=5000,"Alta","Muy Alta")))))</f>
        <v>Muy Alta</v>
      </c>
      <c r="L305" s="1632">
        <f>IF(K305="","",IF(K305="Muy Baja",0.2,IF(K305="Baja",0.4,IF(K305="Media",0.6,IF(K305="Alta",0.8,IF(K305="Muy Alta",1,))))))</f>
        <v>1</v>
      </c>
      <c r="M305" s="1646" t="s">
        <v>199</v>
      </c>
      <c r="N305" s="1632" t="str">
        <f>IF(NOT(ISERROR(MATCH(M305,'[17]Tabla Impacto'!$B$221:$B$223,0))),'[17]Tabla Impacto'!$F$223&amp;"Por favor no seleccionar los criterios de impacto(Afectación Económica o presupuestal y Pérdida Reputacional)",M305)</f>
        <v xml:space="preserve">     El riesgo afecta la imagen de de la entidad con efecto publicitario sostenido a nivel de sector administrativo, nivel departamental o municipal</v>
      </c>
      <c r="O305" s="1643" t="str">
        <f>IF(OR(N305='[17]Tabla Impacto'!$C$11,N305='[17]Tabla Impacto'!$D$11),"Leve",IF(OR(N305='[17]Tabla Impacto'!$C$12,N305='[17]Tabla Impacto'!$D$12),"Menor",IF(OR(N305='[17]Tabla Impacto'!$C$13,N305='[17]Tabla Impacto'!$D$13),"Moderado",IF(OR(N305='[17]Tabla Impacto'!$C$14,N305='[17]Tabla Impacto'!$D$14),"Mayor",IF(OR(N305='[17]Tabla Impacto'!$C$15,N305='[17]Tabla Impacto'!$D$15),"Catastrófico","")))))</f>
        <v>Mayor</v>
      </c>
      <c r="P305" s="1632">
        <f>IF(O305="","",IF(O305="Leve",0.2,IF(O305="Menor",0.4,IF(O305="Moderado",0.6,IF(O305="Mayor",0.8,IF(O305="Catastrófico",1,))))))</f>
        <v>0.8</v>
      </c>
      <c r="Q305" s="1635" t="str">
        <f>IF(OR(AND(K305="Muy Baja",O305="Leve"),AND(K305="Muy Baja",O305="Menor"),AND(K305="Baja",O305="Leve")),"Bajo",IF(OR(AND(K305="Muy baja",O305="Moderado"),AND(K305="Baja",O305="Menor"),AND(K305="Baja",O305="Moderado"),AND(K305="Media",O305="Leve"),AND(K305="Media",O305="Menor"),AND(K305="Media",O305="Moderado"),AND(K305="Alta",O305="Leve"),AND(K305="Alta",O305="Menor")),"Moderado",IF(OR(AND(K305="Muy Baja",O305="Mayor"),AND(K305="Baja",O305="Mayor"),AND(K305="Media",O305="Mayor"),AND(K305="Alta",O305="Moderado"),AND(K305="Alta",O305="Mayor"),AND(K305="Muy Alta",O305="Leve"),AND(K305="Muy Alta",O305="Menor"),AND(K305="Muy Alta",O305="Moderado"),AND(K305="Muy Alta",O305="Mayor")),"Alto",IF(OR(AND(K305="Muy Baja",O305="Catastrófico"),AND(K305="Baja",O305="Catastrófico"),AND(K305="Media",O305="Catastrófico"),AND(K305="Alta",O305="Catastrófico"),AND(K305="Muy Alta",O305="Catastrófico")),"Extremo",""))))</f>
        <v>Alto</v>
      </c>
      <c r="R305" s="48">
        <v>1</v>
      </c>
      <c r="S305" s="60" t="s">
        <v>849</v>
      </c>
      <c r="T305" s="50" t="str">
        <f>IF(OR(U305="Preventivo",U305="Detectivo"),"Probabilidad",IF(U305="Correctivo","Impacto",""))</f>
        <v>Probabilidad</v>
      </c>
      <c r="U305" s="61" t="s">
        <v>200</v>
      </c>
      <c r="V305" s="61" t="s">
        <v>201</v>
      </c>
      <c r="W305" s="62" t="str">
        <f>IF(AND(U305="Preventivo",V305="Automático"),"50%",IF(AND(U305="Preventivo",V305="Manual"),"40%",IF(AND(U305="Detectivo",V305="Automático"),"40%",IF(AND(U305="Detectivo",V305="Manual"),"30%",IF(AND(U305="Correctivo",V305="Automático"),"35%",IF(AND(U305="Correctivo",V305="Manual"),"25%",""))))))</f>
        <v>30%</v>
      </c>
      <c r="X305" s="61" t="s">
        <v>202</v>
      </c>
      <c r="Y305" s="61" t="s">
        <v>203</v>
      </c>
      <c r="Z305" s="61" t="s">
        <v>204</v>
      </c>
      <c r="AA305" s="63">
        <f>IFERROR(IF(T305="Probabilidad",(L305-(+L305*W305)),IF(T305="Impacto",L305,"")),"")</f>
        <v>0.7</v>
      </c>
      <c r="AB305" s="64" t="str">
        <f>IFERROR(IF(AA305="","",IF(AA305&lt;=0.2,"Muy Baja",IF(AA305&lt;=0.4,"Baja",IF(AA305&lt;=0.6,"Media",IF(AA305&lt;=0.8,"Alta","Muy Alta"))))),"")</f>
        <v>Alta</v>
      </c>
      <c r="AC305" s="65">
        <f>+AA305</f>
        <v>0.7</v>
      </c>
      <c r="AD305" s="64" t="str">
        <f>IFERROR(IF(AE305="","",IF(AE305&lt;=0.2,"Leve",IF(AE305&lt;=0.4,"Menor",IF(AE305&lt;=0.6,"Moderado",IF(AE305&lt;=0.8,"Mayor","Catastrófico"))))),"")</f>
        <v>Mayor</v>
      </c>
      <c r="AE305" s="65">
        <f>IFERROR(IF(T305="Impacto",(P305-(+P305*W305)),IF(T305="Probabilidad",P305,"")),"")</f>
        <v>0.8</v>
      </c>
      <c r="AF305" s="66" t="str">
        <f>IFERROR(IF(OR(AND(AB305="Muy Baja",AD305="Leve"),AND(AB305="Muy Baja",AD305="Menor"),AND(AB305="Baja",AD305="Leve")),"Bajo",IF(OR(AND(AB305="Muy baja",AD305="Moderado"),AND(AB305="Baja",AD305="Menor"),AND(AB305="Baja",AD305="Moderado"),AND(AB305="Media",AD305="Leve"),AND(AB305="Media",AD305="Menor"),AND(AB305="Media",AD305="Moderado"),AND(AB305="Alta",AD305="Leve"),AND(AB305="Alta",AD305="Menor")),"Moderado",IF(OR(AND(AB305="Muy Baja",AD305="Mayor"),AND(AB305="Baja",AD305="Mayor"),AND(AB305="Media",AD305="Mayor"),AND(AB305="Alta",AD305="Moderado"),AND(AB305="Alta",AD305="Mayor"),AND(AB305="Muy Alta",AD305="Leve"),AND(AB305="Muy Alta",AD305="Menor"),AND(AB305="Muy Alta",AD305="Moderado"),AND(AB305="Muy Alta",AD305="Mayor")),"Alto",IF(OR(AND(AB305="Muy Baja",AD305="Catastrófico"),AND(AB305="Baja",AD305="Catastrófico"),AND(AB305="Media",AD305="Catastrófico"),AND(AB305="Alta",AD305="Catastrófico"),AND(AB305="Muy Alta",AD305="Catastrófico")),"Extremo","")))),"")</f>
        <v>Alto</v>
      </c>
      <c r="AG305" s="81" t="s">
        <v>205</v>
      </c>
      <c r="AH305" s="69" t="s">
        <v>850</v>
      </c>
      <c r="AI305" s="69" t="s">
        <v>375</v>
      </c>
      <c r="AJ305" s="406" t="s">
        <v>851</v>
      </c>
      <c r="AK305" s="147" t="s">
        <v>852</v>
      </c>
      <c r="AL305" s="69" t="s">
        <v>853</v>
      </c>
      <c r="AM305" s="70"/>
      <c r="AN305" s="224"/>
      <c r="AO305" s="224"/>
      <c r="AP305" s="224"/>
    </row>
    <row r="306" spans="1:42" s="184" customFormat="1" ht="234.6" x14ac:dyDescent="0.25">
      <c r="A306" s="1619"/>
      <c r="B306" s="1657"/>
      <c r="C306" s="1657"/>
      <c r="D306" s="1699"/>
      <c r="E306" s="233" t="s">
        <v>854</v>
      </c>
      <c r="F306" s="1705"/>
      <c r="G306" s="1604"/>
      <c r="H306" s="1700"/>
      <c r="I306" s="1702"/>
      <c r="J306" s="1641"/>
      <c r="K306" s="1644"/>
      <c r="L306" s="1633"/>
      <c r="M306" s="1647"/>
      <c r="N306" s="1633">
        <f>IF(NOT(ISERROR(MATCH(M306,_xlfn.ANCHORARRAY(F317),0))),L319&amp;"Por favor no seleccionar los criterios de impacto",M306)</f>
        <v>0</v>
      </c>
      <c r="O306" s="1644"/>
      <c r="P306" s="1633"/>
      <c r="Q306" s="1636"/>
      <c r="R306" s="48">
        <v>2</v>
      </c>
      <c r="S306" s="49" t="s">
        <v>855</v>
      </c>
      <c r="T306" s="50" t="str">
        <f>IF(OR(U306="Preventivo",U306="Detectivo"),"Probabilidad",IF(U306="Correctivo","Impacto",""))</f>
        <v>Probabilidad</v>
      </c>
      <c r="U306" s="61" t="s">
        <v>207</v>
      </c>
      <c r="V306" s="61" t="s">
        <v>201</v>
      </c>
      <c r="W306" s="62" t="str">
        <f t="shared" ref="W306:W310" si="180">IF(AND(U306="Preventivo",V306="Automático"),"50%",IF(AND(U306="Preventivo",V306="Manual"),"40%",IF(AND(U306="Detectivo",V306="Automático"),"40%",IF(AND(U306="Detectivo",V306="Manual"),"30%",IF(AND(U306="Correctivo",V306="Automático"),"35%",IF(AND(U306="Correctivo",V306="Manual"),"25%",""))))))</f>
        <v>40%</v>
      </c>
      <c r="X306" s="61" t="s">
        <v>202</v>
      </c>
      <c r="Y306" s="61" t="s">
        <v>210</v>
      </c>
      <c r="Z306" s="61" t="s">
        <v>204</v>
      </c>
      <c r="AA306" s="63">
        <f>IFERROR(IF(AND(T305="Probabilidad",T306="Probabilidad"),(AC305-(+AC305*W306)),IF(AND(T305="Impacto",T306="Probabilidad"),(L305-(+L305*W306)),IF(T306="Impacto",AC305,""))),"")</f>
        <v>0.42</v>
      </c>
      <c r="AB306" s="64" t="str">
        <f t="shared" ref="AB306:AB310" si="181">IFERROR(IF(AA306="","",IF(AA306&lt;=0.2,"Muy Baja",IF(AA306&lt;=0.4,"Baja",IF(AA306&lt;=0.6,"Media",IF(AA306&lt;=0.8,"Alta","Muy Alta"))))),"")</f>
        <v>Media</v>
      </c>
      <c r="AC306" s="65">
        <f>+AA306</f>
        <v>0.42</v>
      </c>
      <c r="AD306" s="64" t="str">
        <f t="shared" ref="AD306:AD310" si="182">IFERROR(IF(AE306="","",IF(AE306&lt;=0.2,"Leve",IF(AE306&lt;=0.4,"Menor",IF(AE306&lt;=0.6,"Moderado",IF(AE306&lt;=0.8,"Mayor","Catastrófico"))))),"")</f>
        <v>Mayor</v>
      </c>
      <c r="AE306" s="65">
        <f>IFERROR(IF(AND(T305="Impacto",T306="Impacto"),(AE305-(+AE305*W306)),IF(AND(T305="Probabilidad",T306="Impacto"),(P305-(+P305*W306)),IF(T306="Probabilidad",AE305,""))),"")</f>
        <v>0.8</v>
      </c>
      <c r="AF306" s="66" t="str">
        <f t="shared" ref="AF306:AF310" si="183">IFERROR(IF(OR(AND(AB306="Muy Baja",AD306="Leve"),AND(AB306="Muy Baja",AD306="Menor"),AND(AB306="Baja",AD306="Leve")),"Bajo",IF(OR(AND(AB306="Muy baja",AD306="Moderado"),AND(AB306="Baja",AD306="Menor"),AND(AB306="Baja",AD306="Moderado"),AND(AB306="Media",AD306="Leve"),AND(AB306="Media",AD306="Menor"),AND(AB306="Media",AD306="Moderado"),AND(AB306="Alta",AD306="Leve"),AND(AB306="Alta",AD306="Menor")),"Moderado",IF(OR(AND(AB306="Muy Baja",AD306="Mayor"),AND(AB306="Baja",AD306="Mayor"),AND(AB306="Media",AD306="Mayor"),AND(AB306="Alta",AD306="Moderado"),AND(AB306="Alta",AD306="Mayor"),AND(AB306="Muy Alta",AD306="Leve"),AND(AB306="Muy Alta",AD306="Menor"),AND(AB306="Muy Alta",AD306="Moderado"),AND(AB306="Muy Alta",AD306="Mayor")),"Alto",IF(OR(AND(AB306="Muy Baja",AD306="Catastrófico"),AND(AB306="Baja",AD306="Catastrófico"),AND(AB306="Media",AD306="Catastrófico"),AND(AB306="Alta",AD306="Catastrófico"),AND(AB306="Muy Alta",AD306="Catastrófico")),"Extremo","")))),"")</f>
        <v>Alto</v>
      </c>
      <c r="AG306" s="81"/>
      <c r="AH306" s="77" t="s">
        <v>856</v>
      </c>
      <c r="AI306" s="77" t="s">
        <v>857</v>
      </c>
      <c r="AJ306" s="406" t="s">
        <v>851</v>
      </c>
      <c r="AK306" s="147" t="s">
        <v>852</v>
      </c>
      <c r="AL306" s="77" t="s">
        <v>858</v>
      </c>
      <c r="AM306" s="78"/>
      <c r="AN306" s="37"/>
      <c r="AO306" s="37"/>
      <c r="AP306" s="37"/>
    </row>
    <row r="307" spans="1:42" s="184" customFormat="1" ht="202.05" customHeight="1" x14ac:dyDescent="0.25">
      <c r="A307" s="1619"/>
      <c r="B307" s="1657"/>
      <c r="C307" s="1657"/>
      <c r="D307" s="1699"/>
      <c r="E307" s="80" t="s">
        <v>376</v>
      </c>
      <c r="F307" s="1705"/>
      <c r="G307" s="1604"/>
      <c r="H307" s="1700"/>
      <c r="I307" s="1702"/>
      <c r="J307" s="1641"/>
      <c r="K307" s="1644"/>
      <c r="L307" s="1633"/>
      <c r="M307" s="1647"/>
      <c r="N307" s="1633">
        <f>IF(NOT(ISERROR(MATCH(M307,_xlfn.ANCHORARRAY(F318),0))),L320&amp;"Por favor no seleccionar los criterios de impacto",M307)</f>
        <v>0</v>
      </c>
      <c r="O307" s="1644"/>
      <c r="P307" s="1633"/>
      <c r="Q307" s="1636"/>
      <c r="R307" s="48">
        <v>3</v>
      </c>
      <c r="S307" s="79" t="s">
        <v>859</v>
      </c>
      <c r="T307" s="50" t="str">
        <f t="shared" ref="T307:T310" si="184">IF(OR(U307="Preventivo",U307="Detectivo"),"Probabilidad",IF(U307="Correctivo","Impacto",""))</f>
        <v>Probabilidad</v>
      </c>
      <c r="U307" s="61" t="s">
        <v>200</v>
      </c>
      <c r="V307" s="61" t="s">
        <v>201</v>
      </c>
      <c r="W307" s="62" t="str">
        <f t="shared" si="180"/>
        <v>30%</v>
      </c>
      <c r="X307" s="61" t="s">
        <v>202</v>
      </c>
      <c r="Y307" s="61" t="s">
        <v>203</v>
      </c>
      <c r="Z307" s="61" t="s">
        <v>204</v>
      </c>
      <c r="AA307" s="63">
        <f>IFERROR(IF(AND(T306="Probabilidad",T307="Probabilidad"),(AC306-(+AC306*W307)),IF(AND(T306="Impacto",T307="Probabilidad"),(AC305-(+AC305*W307)),IF(T307="Impacto",AC306,""))),"")</f>
        <v>0.29399999999999998</v>
      </c>
      <c r="AB307" s="64" t="str">
        <f t="shared" si="181"/>
        <v>Baja</v>
      </c>
      <c r="AC307" s="65">
        <f t="shared" ref="AC307:AC310" si="185">+AA307</f>
        <v>0.29399999999999998</v>
      </c>
      <c r="AD307" s="64" t="str">
        <f t="shared" si="182"/>
        <v>Mayor</v>
      </c>
      <c r="AE307" s="65">
        <f t="shared" ref="AE307:AE310" si="186">IFERROR(IF(AND(T306="Impacto",T307="Impacto"),(AE306-(+AE306*W307)),IF(AND(T306="Probabilidad",T307="Impacto"),(AE305-(+AE305*W307)),IF(T307="Probabilidad",AE306,""))),"")</f>
        <v>0.8</v>
      </c>
      <c r="AF307" s="66" t="str">
        <f t="shared" si="183"/>
        <v>Alto</v>
      </c>
      <c r="AG307" s="81" t="s">
        <v>205</v>
      </c>
      <c r="AH307" s="77" t="s">
        <v>377</v>
      </c>
      <c r="AI307" s="77" t="s">
        <v>378</v>
      </c>
      <c r="AJ307" s="406" t="s">
        <v>851</v>
      </c>
      <c r="AK307" s="147" t="s">
        <v>852</v>
      </c>
      <c r="AL307" s="77" t="s">
        <v>860</v>
      </c>
      <c r="AM307" s="78"/>
      <c r="AN307" s="37"/>
      <c r="AO307" s="37"/>
      <c r="AP307" s="37"/>
    </row>
    <row r="308" spans="1:42" s="184" customFormat="1" ht="175.95" customHeight="1" x14ac:dyDescent="0.25">
      <c r="A308" s="1619"/>
      <c r="B308" s="1657"/>
      <c r="C308" s="1657"/>
      <c r="D308" s="1699"/>
      <c r="E308" s="80" t="s">
        <v>861</v>
      </c>
      <c r="F308" s="1705"/>
      <c r="G308" s="1604"/>
      <c r="H308" s="1700"/>
      <c r="I308" s="1702"/>
      <c r="J308" s="1641"/>
      <c r="K308" s="1644"/>
      <c r="L308" s="1633"/>
      <c r="M308" s="1647"/>
      <c r="N308" s="1633">
        <f>IF(NOT(ISERROR(MATCH(M308,_xlfn.ANCHORARRAY(F319),0))),L321&amp;"Por favor no seleccionar los criterios de impacto",M308)</f>
        <v>0</v>
      </c>
      <c r="O308" s="1644"/>
      <c r="P308" s="1633"/>
      <c r="Q308" s="1636"/>
      <c r="R308" s="48">
        <v>4</v>
      </c>
      <c r="S308" s="49" t="s">
        <v>862</v>
      </c>
      <c r="T308" s="50" t="str">
        <f t="shared" si="184"/>
        <v>Probabilidad</v>
      </c>
      <c r="U308" s="61" t="s">
        <v>200</v>
      </c>
      <c r="V308" s="61" t="s">
        <v>201</v>
      </c>
      <c r="W308" s="62" t="str">
        <f t="shared" si="180"/>
        <v>30%</v>
      </c>
      <c r="X308" s="61" t="s">
        <v>202</v>
      </c>
      <c r="Y308" s="61" t="s">
        <v>203</v>
      </c>
      <c r="Z308" s="61" t="s">
        <v>204</v>
      </c>
      <c r="AA308" s="63">
        <f t="shared" ref="AA308:AA310" si="187">IFERROR(IF(AND(T307="Probabilidad",T308="Probabilidad"),(AC307-(+AC307*W308)),IF(AND(T307="Impacto",T308="Probabilidad"),(AC306-(+AC306*W308)),IF(T308="Impacto",AC307,""))),"")</f>
        <v>0.20579999999999998</v>
      </c>
      <c r="AB308" s="64" t="str">
        <f t="shared" si="181"/>
        <v>Baja</v>
      </c>
      <c r="AC308" s="65">
        <f t="shared" si="185"/>
        <v>0.20579999999999998</v>
      </c>
      <c r="AD308" s="64" t="str">
        <f t="shared" si="182"/>
        <v>Mayor</v>
      </c>
      <c r="AE308" s="65">
        <f t="shared" si="186"/>
        <v>0.8</v>
      </c>
      <c r="AF308" s="66" t="str">
        <f t="shared" si="183"/>
        <v>Alto</v>
      </c>
      <c r="AG308" s="81" t="s">
        <v>205</v>
      </c>
      <c r="AH308" s="407" t="s">
        <v>863</v>
      </c>
      <c r="AI308" s="78" t="s">
        <v>378</v>
      </c>
      <c r="AJ308" s="406" t="s">
        <v>851</v>
      </c>
      <c r="AK308" s="147" t="s">
        <v>852</v>
      </c>
      <c r="AL308" s="77" t="s">
        <v>864</v>
      </c>
      <c r="AM308" s="78"/>
      <c r="AN308" s="37"/>
      <c r="AO308" s="37"/>
      <c r="AP308" s="37"/>
    </row>
    <row r="309" spans="1:42" s="184" customFormat="1" ht="48.75" customHeight="1" x14ac:dyDescent="0.25">
      <c r="A309" s="1619"/>
      <c r="B309" s="1657"/>
      <c r="C309" s="1657"/>
      <c r="D309" s="1699"/>
      <c r="E309" s="80"/>
      <c r="F309" s="1705"/>
      <c r="G309" s="1604"/>
      <c r="H309" s="1700"/>
      <c r="I309" s="1702"/>
      <c r="J309" s="1641"/>
      <c r="K309" s="1644"/>
      <c r="L309" s="1633"/>
      <c r="M309" s="1647"/>
      <c r="N309" s="1633">
        <f>IF(NOT(ISERROR(MATCH(M309,_xlfn.ANCHORARRAY(F320),0))),L322&amp;"Por favor no seleccionar los criterios de impacto",M309)</f>
        <v>0</v>
      </c>
      <c r="O309" s="1644"/>
      <c r="P309" s="1633"/>
      <c r="Q309" s="1636"/>
      <c r="R309" s="48">
        <v>5</v>
      </c>
      <c r="S309" s="49"/>
      <c r="T309" s="50" t="str">
        <f t="shared" si="184"/>
        <v/>
      </c>
      <c r="U309" s="61"/>
      <c r="V309" s="61"/>
      <c r="W309" s="62" t="str">
        <f t="shared" si="180"/>
        <v/>
      </c>
      <c r="X309" s="61"/>
      <c r="Y309" s="61"/>
      <c r="Z309" s="61"/>
      <c r="AA309" s="63" t="str">
        <f t="shared" si="187"/>
        <v/>
      </c>
      <c r="AB309" s="64" t="str">
        <f t="shared" si="181"/>
        <v/>
      </c>
      <c r="AC309" s="65" t="str">
        <f t="shared" si="185"/>
        <v/>
      </c>
      <c r="AD309" s="64" t="str">
        <f t="shared" si="182"/>
        <v/>
      </c>
      <c r="AE309" s="65" t="str">
        <f t="shared" si="186"/>
        <v/>
      </c>
      <c r="AF309" s="66" t="str">
        <f t="shared" si="183"/>
        <v/>
      </c>
      <c r="AG309" s="81"/>
      <c r="AH309" s="77"/>
      <c r="AI309" s="78"/>
      <c r="AJ309" s="82"/>
      <c r="AK309" s="82"/>
      <c r="AL309" s="77"/>
      <c r="AM309" s="78"/>
      <c r="AN309" s="37"/>
      <c r="AO309" s="37"/>
      <c r="AP309" s="37"/>
    </row>
    <row r="310" spans="1:42" s="184" customFormat="1" ht="42.75" customHeight="1" x14ac:dyDescent="0.25">
      <c r="A310" s="1620"/>
      <c r="B310" s="1658"/>
      <c r="C310" s="1658"/>
      <c r="D310" s="1704"/>
      <c r="E310" s="80"/>
      <c r="F310" s="1705"/>
      <c r="G310" s="1605"/>
      <c r="H310" s="1700"/>
      <c r="I310" s="1706"/>
      <c r="J310" s="1642"/>
      <c r="K310" s="1645"/>
      <c r="L310" s="1634"/>
      <c r="M310" s="1648"/>
      <c r="N310" s="1634">
        <f>IF(NOT(ISERROR(MATCH(M310,_xlfn.ANCHORARRAY(F321),0))),#REF!&amp;"Por favor no seleccionar los criterios de impacto",M310)</f>
        <v>0</v>
      </c>
      <c r="O310" s="1645"/>
      <c r="P310" s="1634"/>
      <c r="Q310" s="1637"/>
      <c r="R310" s="48">
        <v>6</v>
      </c>
      <c r="S310" s="49"/>
      <c r="T310" s="50" t="str">
        <f t="shared" si="184"/>
        <v/>
      </c>
      <c r="U310" s="61"/>
      <c r="V310" s="61"/>
      <c r="W310" s="62" t="str">
        <f t="shared" si="180"/>
        <v/>
      </c>
      <c r="X310" s="61"/>
      <c r="Y310" s="61"/>
      <c r="Z310" s="61"/>
      <c r="AA310" s="63" t="str">
        <f t="shared" si="187"/>
        <v/>
      </c>
      <c r="AB310" s="64" t="str">
        <f t="shared" si="181"/>
        <v/>
      </c>
      <c r="AC310" s="65" t="str">
        <f t="shared" si="185"/>
        <v/>
      </c>
      <c r="AD310" s="64" t="str">
        <f t="shared" si="182"/>
        <v/>
      </c>
      <c r="AE310" s="65" t="str">
        <f t="shared" si="186"/>
        <v/>
      </c>
      <c r="AF310" s="66" t="str">
        <f t="shared" si="183"/>
        <v/>
      </c>
      <c r="AG310" s="81"/>
      <c r="AH310" s="77"/>
      <c r="AI310" s="78"/>
      <c r="AJ310" s="82"/>
      <c r="AK310" s="82"/>
      <c r="AL310" s="77"/>
      <c r="AM310" s="78"/>
      <c r="AN310" s="37"/>
      <c r="AO310" s="37"/>
      <c r="AP310" s="37"/>
    </row>
    <row r="311" spans="1:42" s="184" customFormat="1" ht="16.5" customHeight="1" x14ac:dyDescent="0.25">
      <c r="A311" s="1681" t="s">
        <v>156</v>
      </c>
      <c r="B311" s="1682"/>
      <c r="C311" s="1682"/>
      <c r="D311" s="1682"/>
      <c r="E311" s="1682"/>
      <c r="F311" s="1682"/>
      <c r="G311" s="1682"/>
      <c r="H311" s="1682"/>
      <c r="I311" s="1682"/>
      <c r="J311" s="1682"/>
      <c r="K311" s="1682"/>
      <c r="L311" s="1682"/>
      <c r="M311" s="1682"/>
      <c r="N311" s="1682"/>
      <c r="O311" s="1682"/>
      <c r="P311" s="1682"/>
      <c r="Q311" s="1682"/>
      <c r="R311" s="1682"/>
      <c r="S311" s="1682"/>
      <c r="T311" s="1682"/>
      <c r="U311" s="1682"/>
      <c r="V311" s="1682"/>
      <c r="W311" s="1682"/>
      <c r="X311" s="1682"/>
      <c r="Y311" s="1682"/>
      <c r="Z311" s="1682"/>
      <c r="AA311" s="1682"/>
      <c r="AB311" s="1682"/>
      <c r="AC311" s="1682"/>
      <c r="AD311" s="1682"/>
      <c r="AE311" s="1682"/>
      <c r="AF311" s="1682"/>
      <c r="AG311" s="1682"/>
      <c r="AH311" s="1682"/>
      <c r="AI311" s="1682"/>
      <c r="AJ311" s="1682"/>
      <c r="AK311" s="1682"/>
      <c r="AL311" s="1682"/>
      <c r="AM311" s="1683"/>
      <c r="AN311" s="37"/>
      <c r="AO311" s="37"/>
      <c r="AP311" s="37"/>
    </row>
    <row r="312" spans="1:42" s="184" customFormat="1" ht="24" customHeight="1" x14ac:dyDescent="0.25">
      <c r="A312" s="1684"/>
      <c r="B312" s="1685"/>
      <c r="C312" s="1685"/>
      <c r="D312" s="1685"/>
      <c r="E312" s="1685"/>
      <c r="F312" s="1685"/>
      <c r="G312" s="1685"/>
      <c r="H312" s="1685"/>
      <c r="I312" s="1685"/>
      <c r="J312" s="1685"/>
      <c r="K312" s="1685"/>
      <c r="L312" s="1685"/>
      <c r="M312" s="1685"/>
      <c r="N312" s="1685"/>
      <c r="O312" s="1685"/>
      <c r="P312" s="1685"/>
      <c r="Q312" s="1685"/>
      <c r="R312" s="1685"/>
      <c r="S312" s="1685"/>
      <c r="T312" s="1685"/>
      <c r="U312" s="1685"/>
      <c r="V312" s="1685"/>
      <c r="W312" s="1685"/>
      <c r="X312" s="1685"/>
      <c r="Y312" s="1685"/>
      <c r="Z312" s="1685"/>
      <c r="AA312" s="1685"/>
      <c r="AB312" s="1685"/>
      <c r="AC312" s="1685"/>
      <c r="AD312" s="1685"/>
      <c r="AE312" s="1685"/>
      <c r="AF312" s="1685"/>
      <c r="AG312" s="1685"/>
      <c r="AH312" s="1685"/>
      <c r="AI312" s="1685"/>
      <c r="AJ312" s="1685"/>
      <c r="AK312" s="1685"/>
      <c r="AL312" s="1685"/>
      <c r="AM312" s="1686"/>
      <c r="AN312" s="37"/>
      <c r="AO312" s="37"/>
      <c r="AP312" s="37"/>
    </row>
    <row r="313" spans="1:42" s="184" customFormat="1" x14ac:dyDescent="0.25">
      <c r="A313" s="242"/>
      <c r="B313" s="243"/>
      <c r="C313" s="242"/>
      <c r="D313" s="242"/>
      <c r="E313" s="242"/>
      <c r="F313" s="37"/>
      <c r="G313" s="37"/>
      <c r="H313" s="37"/>
      <c r="I313" s="225"/>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row>
    <row r="314" spans="1:42" s="184" customFormat="1" ht="26.25" customHeight="1" x14ac:dyDescent="0.25">
      <c r="A314" s="1667" t="s">
        <v>157</v>
      </c>
      <c r="B314" s="1668"/>
      <c r="C314" s="1680" t="s">
        <v>867</v>
      </c>
      <c r="D314" s="1680"/>
      <c r="E314" s="1680"/>
      <c r="F314" s="1680"/>
      <c r="G314" s="1680"/>
      <c r="H314" s="1680"/>
      <c r="I314" s="1680"/>
      <c r="J314" s="1680"/>
      <c r="K314" s="1680"/>
      <c r="L314" s="1680"/>
      <c r="M314" s="1680"/>
      <c r="N314" s="1680"/>
      <c r="O314" s="1680"/>
      <c r="P314" s="1680"/>
      <c r="Q314" s="1680"/>
      <c r="R314" s="1680"/>
      <c r="S314" s="1680"/>
      <c r="T314" s="1680"/>
      <c r="U314" s="1680"/>
      <c r="V314" s="1680"/>
      <c r="W314" s="1680"/>
      <c r="X314" s="1680"/>
      <c r="Y314" s="1680"/>
      <c r="Z314" s="1680"/>
      <c r="AA314" s="1680"/>
      <c r="AB314" s="1680"/>
      <c r="AC314" s="1680"/>
      <c r="AD314" s="1680"/>
      <c r="AE314" s="1680"/>
      <c r="AF314" s="1680"/>
      <c r="AG314" s="1680"/>
      <c r="AH314" s="1680"/>
      <c r="AI314" s="1680"/>
      <c r="AJ314" s="1680"/>
      <c r="AK314" s="1680"/>
      <c r="AL314" s="1680"/>
      <c r="AM314" s="1680"/>
      <c r="AN314" s="37"/>
      <c r="AO314" s="37"/>
      <c r="AP314" s="37"/>
    </row>
    <row r="315" spans="1:42" s="184" customFormat="1" ht="30" customHeight="1" x14ac:dyDescent="0.25">
      <c r="A315" s="1667" t="s">
        <v>158</v>
      </c>
      <c r="B315" s="1668"/>
      <c r="C315" s="1669" t="s">
        <v>344</v>
      </c>
      <c r="D315" s="1669"/>
      <c r="E315" s="1669"/>
      <c r="F315" s="1669"/>
      <c r="G315" s="1669"/>
      <c r="H315" s="1669"/>
      <c r="I315" s="1669"/>
      <c r="J315" s="1669"/>
      <c r="K315" s="1669"/>
      <c r="L315" s="1669"/>
      <c r="M315" s="1669"/>
      <c r="N315" s="1669"/>
      <c r="O315" s="1669"/>
      <c r="P315" s="1669"/>
      <c r="Q315" s="1669"/>
      <c r="R315" s="1669"/>
      <c r="S315" s="1669"/>
      <c r="T315" s="1669"/>
      <c r="U315" s="1669"/>
      <c r="V315" s="1669"/>
      <c r="W315" s="1669"/>
      <c r="X315" s="1669"/>
      <c r="Y315" s="1669"/>
      <c r="Z315" s="1669"/>
      <c r="AA315" s="1669"/>
      <c r="AB315" s="1669"/>
      <c r="AC315" s="1669"/>
      <c r="AD315" s="1669"/>
      <c r="AE315" s="1669"/>
      <c r="AF315" s="1669"/>
      <c r="AG315" s="1669"/>
      <c r="AH315" s="1669"/>
      <c r="AI315" s="1669"/>
      <c r="AJ315" s="1669"/>
      <c r="AK315" s="1669"/>
      <c r="AL315" s="1669"/>
      <c r="AM315" s="1669"/>
      <c r="AN315" s="37"/>
      <c r="AO315" s="37"/>
      <c r="AP315" s="37"/>
    </row>
    <row r="316" spans="1:42" s="184" customFormat="1" ht="49.5" customHeight="1" x14ac:dyDescent="0.25">
      <c r="A316" s="1667" t="s">
        <v>159</v>
      </c>
      <c r="B316" s="1668"/>
      <c r="C316" s="1703" t="s">
        <v>345</v>
      </c>
      <c r="D316" s="1703"/>
      <c r="E316" s="1703"/>
      <c r="F316" s="1703"/>
      <c r="G316" s="1703"/>
      <c r="H316" s="1703"/>
      <c r="I316" s="1703"/>
      <c r="J316" s="1703"/>
      <c r="K316" s="1703"/>
      <c r="L316" s="1703"/>
      <c r="M316" s="1703"/>
      <c r="N316" s="1703"/>
      <c r="O316" s="1703"/>
      <c r="P316" s="1703"/>
      <c r="Q316" s="1703"/>
      <c r="R316" s="1703"/>
      <c r="S316" s="1703"/>
      <c r="T316" s="1703"/>
      <c r="U316" s="1703"/>
      <c r="V316" s="1703"/>
      <c r="W316" s="1703"/>
      <c r="X316" s="1703"/>
      <c r="Y316" s="1703"/>
      <c r="Z316" s="1703"/>
      <c r="AA316" s="1703"/>
      <c r="AB316" s="1703"/>
      <c r="AC316" s="1703"/>
      <c r="AD316" s="1703"/>
      <c r="AE316" s="1703"/>
      <c r="AF316" s="1703"/>
      <c r="AG316" s="1703"/>
      <c r="AH316" s="1703"/>
      <c r="AI316" s="1703"/>
      <c r="AJ316" s="1703"/>
      <c r="AK316" s="1703"/>
      <c r="AL316" s="1703"/>
      <c r="AM316" s="1703"/>
      <c r="AN316" s="37"/>
      <c r="AO316" s="37"/>
      <c r="AP316" s="37"/>
    </row>
    <row r="317" spans="1:42" s="184" customFormat="1" x14ac:dyDescent="0.25">
      <c r="A317" s="1670" t="s">
        <v>160</v>
      </c>
      <c r="B317" s="1671"/>
      <c r="C317" s="1672"/>
      <c r="D317" s="1672"/>
      <c r="E317" s="1672"/>
      <c r="F317" s="1672"/>
      <c r="G317" s="1672"/>
      <c r="H317" s="1672"/>
      <c r="I317" s="1672"/>
      <c r="J317" s="1673"/>
      <c r="K317" s="1630" t="s">
        <v>161</v>
      </c>
      <c r="L317" s="1672"/>
      <c r="M317" s="1672"/>
      <c r="N317" s="1672"/>
      <c r="O317" s="1672"/>
      <c r="P317" s="1672"/>
      <c r="Q317" s="1673"/>
      <c r="R317" s="1630" t="s">
        <v>162</v>
      </c>
      <c r="S317" s="1672"/>
      <c r="T317" s="1672"/>
      <c r="U317" s="1672"/>
      <c r="V317" s="1672"/>
      <c r="W317" s="1672"/>
      <c r="X317" s="1672"/>
      <c r="Y317" s="1672"/>
      <c r="Z317" s="1673"/>
      <c r="AA317" s="1630" t="s">
        <v>163</v>
      </c>
      <c r="AB317" s="1672"/>
      <c r="AC317" s="1672"/>
      <c r="AD317" s="1672"/>
      <c r="AE317" s="1672"/>
      <c r="AF317" s="1672"/>
      <c r="AG317" s="1673"/>
      <c r="AH317" s="1630" t="s">
        <v>164</v>
      </c>
      <c r="AI317" s="1672"/>
      <c r="AJ317" s="1672"/>
      <c r="AK317" s="1672"/>
      <c r="AL317" s="1672"/>
      <c r="AM317" s="1673"/>
      <c r="AN317" s="1629" t="s">
        <v>868</v>
      </c>
      <c r="AO317" s="1629" t="s">
        <v>869</v>
      </c>
      <c r="AP317" s="1629" t="s">
        <v>870</v>
      </c>
    </row>
    <row r="318" spans="1:42" s="184" customFormat="1" ht="16.5" customHeight="1" x14ac:dyDescent="0.25">
      <c r="A318" s="1649" t="s">
        <v>165</v>
      </c>
      <c r="B318" s="1651" t="s">
        <v>142</v>
      </c>
      <c r="C318" s="1626" t="s">
        <v>166</v>
      </c>
      <c r="D318" s="1626" t="s">
        <v>167</v>
      </c>
      <c r="E318" s="1631" t="s">
        <v>168</v>
      </c>
      <c r="F318" s="1652" t="s">
        <v>60</v>
      </c>
      <c r="G318" s="56"/>
      <c r="H318" s="56"/>
      <c r="I318" s="1631" t="s">
        <v>169</v>
      </c>
      <c r="J318" s="1626" t="s">
        <v>170</v>
      </c>
      <c r="K318" s="1628" t="s">
        <v>171</v>
      </c>
      <c r="L318" s="1629" t="s">
        <v>172</v>
      </c>
      <c r="M318" s="1631" t="s">
        <v>173</v>
      </c>
      <c r="N318" s="1631" t="s">
        <v>174</v>
      </c>
      <c r="O318" s="1666" t="s">
        <v>175</v>
      </c>
      <c r="P318" s="1629" t="s">
        <v>172</v>
      </c>
      <c r="Q318" s="1626" t="s">
        <v>176</v>
      </c>
      <c r="R318" s="1664" t="s">
        <v>177</v>
      </c>
      <c r="S318" s="1627" t="s">
        <v>178</v>
      </c>
      <c r="T318" s="1631" t="s">
        <v>179</v>
      </c>
      <c r="U318" s="1627" t="s">
        <v>180</v>
      </c>
      <c r="V318" s="1627"/>
      <c r="W318" s="1627"/>
      <c r="X318" s="1627"/>
      <c r="Y318" s="1627"/>
      <c r="Z318" s="1627"/>
      <c r="AA318" s="1663" t="s">
        <v>181</v>
      </c>
      <c r="AB318" s="1663" t="s">
        <v>182</v>
      </c>
      <c r="AC318" s="1663" t="s">
        <v>172</v>
      </c>
      <c r="AD318" s="1663" t="s">
        <v>183</v>
      </c>
      <c r="AE318" s="1663" t="s">
        <v>172</v>
      </c>
      <c r="AF318" s="1663" t="s">
        <v>184</v>
      </c>
      <c r="AG318" s="1664" t="s">
        <v>185</v>
      </c>
      <c r="AH318" s="1627" t="s">
        <v>164</v>
      </c>
      <c r="AI318" s="1627" t="s">
        <v>143</v>
      </c>
      <c r="AJ318" s="1627" t="s">
        <v>186</v>
      </c>
      <c r="AK318" s="1627" t="s">
        <v>187</v>
      </c>
      <c r="AL318" s="1627" t="s">
        <v>188</v>
      </c>
      <c r="AM318" s="1627" t="s">
        <v>189</v>
      </c>
      <c r="AN318" s="1629"/>
      <c r="AO318" s="1629"/>
      <c r="AP318" s="1629"/>
    </row>
    <row r="319" spans="1:42" s="222" customFormat="1" ht="94.5" customHeight="1" x14ac:dyDescent="0.3">
      <c r="A319" s="1650"/>
      <c r="B319" s="1651"/>
      <c r="C319" s="1627"/>
      <c r="D319" s="1627"/>
      <c r="E319" s="1628"/>
      <c r="F319" s="1653"/>
      <c r="G319" s="56" t="s">
        <v>511</v>
      </c>
      <c r="H319" s="56" t="s">
        <v>190</v>
      </c>
      <c r="I319" s="1626"/>
      <c r="J319" s="1627"/>
      <c r="K319" s="1626"/>
      <c r="L319" s="1630"/>
      <c r="M319" s="1626"/>
      <c r="N319" s="1626"/>
      <c r="O319" s="1630"/>
      <c r="P319" s="1630"/>
      <c r="Q319" s="1627"/>
      <c r="R319" s="1665"/>
      <c r="S319" s="1627"/>
      <c r="T319" s="1626"/>
      <c r="U319" s="42" t="s">
        <v>191</v>
      </c>
      <c r="V319" s="42" t="s">
        <v>192</v>
      </c>
      <c r="W319" s="42" t="s">
        <v>193</v>
      </c>
      <c r="X319" s="42" t="s">
        <v>194</v>
      </c>
      <c r="Y319" s="42" t="s">
        <v>195</v>
      </c>
      <c r="Z319" s="42" t="s">
        <v>196</v>
      </c>
      <c r="AA319" s="1663"/>
      <c r="AB319" s="1663"/>
      <c r="AC319" s="1663"/>
      <c r="AD319" s="1663"/>
      <c r="AE319" s="1663"/>
      <c r="AF319" s="1663"/>
      <c r="AG319" s="1665"/>
      <c r="AH319" s="1627"/>
      <c r="AI319" s="1627"/>
      <c r="AJ319" s="1627"/>
      <c r="AK319" s="1627"/>
      <c r="AL319" s="1627"/>
      <c r="AM319" s="1627"/>
      <c r="AN319" s="1629"/>
      <c r="AO319" s="1629"/>
      <c r="AP319" s="1629"/>
    </row>
    <row r="320" spans="1:42" s="231" customFormat="1" ht="217.5" customHeight="1" x14ac:dyDescent="0.3">
      <c r="A320" s="1618">
        <v>1</v>
      </c>
      <c r="B320" s="1656" t="s">
        <v>209</v>
      </c>
      <c r="C320" s="1656" t="s">
        <v>871</v>
      </c>
      <c r="D320" s="1698" t="s">
        <v>346</v>
      </c>
      <c r="E320" s="212" t="s">
        <v>347</v>
      </c>
      <c r="F320" s="1700" t="s">
        <v>348</v>
      </c>
      <c r="G320" s="1603" t="s">
        <v>512</v>
      </c>
      <c r="H320" s="1700" t="s">
        <v>349</v>
      </c>
      <c r="I320" s="1701" t="s">
        <v>198</v>
      </c>
      <c r="J320" s="1640">
        <v>300</v>
      </c>
      <c r="K320" s="1643" t="str">
        <f>IF(J320&lt;=0,"",IF(J320&lt;=2,"Muy Baja",IF(J320&lt;=24,"Baja",IF(J320&lt;=500,"Media",IF(J320&lt;=5000,"Alta","Muy Alta")))))</f>
        <v>Media</v>
      </c>
      <c r="L320" s="1632">
        <f>IF(K320="","",IF(K320="Muy Baja",0.2,IF(K320="Baja",0.4,IF(K320="Media",0.6,IF(K320="Alta",0.8,IF(K320="Muy Alta",1,))))))</f>
        <v>0.6</v>
      </c>
      <c r="M320" s="1646" t="s">
        <v>216</v>
      </c>
      <c r="N320" s="1632" t="str">
        <f>IF(NOT(ISERROR(MATCH(M320,'[18]Tabla Impacto'!$B$221:$B$223,0))),'[18]Tabla Impacto'!$F$223&amp;"Por favor no seleccionar los criterios de impacto(Afectación Económica o presupuestal y Pérdida Reputacional)",M320)</f>
        <v xml:space="preserve">     El riesgo afecta la imagen de alguna área de la organización</v>
      </c>
      <c r="O320" s="1643" t="str">
        <f>IF(OR(N320='[18]Tabla Impacto'!$C$11,N320='[18]Tabla Impacto'!$D$11),"Leve",IF(OR(N320='[18]Tabla Impacto'!$C$12,N320='[18]Tabla Impacto'!$D$12),"Menor",IF(OR(N320='[18]Tabla Impacto'!$C$13,N320='[18]Tabla Impacto'!$D$13),"Moderado",IF(OR(N320='[18]Tabla Impacto'!$C$14,N320='[18]Tabla Impacto'!$D$14),"Mayor",IF(OR(N320='[18]Tabla Impacto'!$C$15,N320='[18]Tabla Impacto'!$D$15),"Catastrófico","")))))</f>
        <v>Leve</v>
      </c>
      <c r="P320" s="1632">
        <f>IF(O320="","",IF(O320="Leve",0.2,IF(O320="Menor",0.4,IF(O320="Moderado",0.6,IF(O320="Mayor",0.8,IF(O320="Catastrófico",1,))))))</f>
        <v>0.2</v>
      </c>
      <c r="Q320" s="1635" t="str">
        <f>IF(OR(AND(K320="Muy Baja",O320="Leve"),AND(K320="Muy Baja",O320="Menor"),AND(K320="Baja",O320="Leve")),"Bajo",IF(OR(AND(K320="Muy baja",O320="Moderado"),AND(K320="Baja",O320="Menor"),AND(K320="Baja",O320="Moderado"),AND(K320="Media",O320="Leve"),AND(K320="Media",O320="Menor"),AND(K320="Media",O320="Moderado"),AND(K320="Alta",O320="Leve"),AND(K320="Alta",O320="Menor")),"Moderado",IF(OR(AND(K320="Muy Baja",O320="Mayor"),AND(K320="Baja",O320="Mayor"),AND(K320="Media",O320="Mayor"),AND(K320="Alta",O320="Moderado"),AND(K320="Alta",O320="Mayor"),AND(K320="Muy Alta",O320="Leve"),AND(K320="Muy Alta",O320="Menor"),AND(K320="Muy Alta",O320="Moderado"),AND(K320="Muy Alta",O320="Mayor")),"Alto",IF(OR(AND(K320="Muy Baja",O320="Catastrófico"),AND(K320="Baja",O320="Catastrófico"),AND(K320="Media",O320="Catastrófico"),AND(K320="Alta",O320="Catastrófico"),AND(K320="Muy Alta",O320="Catastrófico")),"Extremo",""))))</f>
        <v>Moderado</v>
      </c>
      <c r="R320" s="48">
        <v>1</v>
      </c>
      <c r="S320" s="79">
        <f>+[18]DOFA!E346</f>
        <v>0</v>
      </c>
      <c r="T320" s="50" t="str">
        <f>IF(OR(U320="Preventivo",U320="Detectivo"),"Probabilidad",IF(U320="Correctivo","Impacto",""))</f>
        <v>Probabilidad</v>
      </c>
      <c r="U320" s="61" t="s">
        <v>207</v>
      </c>
      <c r="V320" s="61" t="s">
        <v>201</v>
      </c>
      <c r="W320" s="62" t="str">
        <f>IF(AND(U320="Preventivo",V320="Automático"),"50%",IF(AND(U320="Preventivo",V320="Manual"),"40%",IF(AND(U320="Detectivo",V320="Automático"),"40%",IF(AND(U320="Detectivo",V320="Manual"),"30%",IF(AND(U320="Correctivo",V320="Automático"),"35%",IF(AND(U320="Correctivo",V320="Manual"),"25%",""))))))</f>
        <v>40%</v>
      </c>
      <c r="X320" s="61" t="s">
        <v>208</v>
      </c>
      <c r="Y320" s="61" t="s">
        <v>203</v>
      </c>
      <c r="Z320" s="61" t="s">
        <v>204</v>
      </c>
      <c r="AA320" s="63">
        <f>IFERROR(IF(T320="Probabilidad",(L320-(+L320*W320)),IF(T320="Impacto",L320,"")),"")</f>
        <v>0.36</v>
      </c>
      <c r="AB320" s="64" t="str">
        <f>IFERROR(IF(AA320="","",IF(AA320&lt;=0.2,"Muy Baja",IF(AA320&lt;=0.4,"Baja",IF(AA320&lt;=0.6,"Media",IF(AA320&lt;=0.8,"Alta","Muy Alta"))))),"")</f>
        <v>Baja</v>
      </c>
      <c r="AC320" s="65">
        <f>+AA320</f>
        <v>0.36</v>
      </c>
      <c r="AD320" s="64" t="str">
        <f>IFERROR(IF(AE320="","",IF(AE320&lt;=0.2,"Leve",IF(AE320&lt;=0.4,"Menor",IF(AE320&lt;=0.6,"Moderado",IF(AE320&lt;=0.8,"Mayor","Catastrófico"))))),"")</f>
        <v>Leve</v>
      </c>
      <c r="AE320" s="65">
        <f>IFERROR(IF(T320="Impacto",(P320-(+P320*W320)),IF(T320="Probabilidad",P320,"")),"")</f>
        <v>0.2</v>
      </c>
      <c r="AF320" s="66" t="str">
        <f>IFERROR(IF(OR(AND(AB320="Muy Baja",AD320="Leve"),AND(AB320="Muy Baja",AD320="Menor"),AND(AB320="Baja",AD320="Leve")),"Bajo",IF(OR(AND(AB320="Muy baja",AD320="Moderado"),AND(AB320="Baja",AD320="Menor"),AND(AB320="Baja",AD320="Moderado"),AND(AB320="Media",AD320="Leve"),AND(AB320="Media",AD320="Menor"),AND(AB320="Media",AD320="Moderado"),AND(AB320="Alta",AD320="Leve"),AND(AB320="Alta",AD320="Menor")),"Moderado",IF(OR(AND(AB320="Muy Baja",AD320="Mayor"),AND(AB320="Baja",AD320="Mayor"),AND(AB320="Media",AD320="Mayor"),AND(AB320="Alta",AD320="Moderado"),AND(AB320="Alta",AD320="Mayor"),AND(AB320="Muy Alta",AD320="Leve"),AND(AB320="Muy Alta",AD320="Menor"),AND(AB320="Muy Alta",AD320="Moderado"),AND(AB320="Muy Alta",AD320="Mayor")),"Alto",IF(OR(AND(AB320="Muy Baja",AD320="Catastrófico"),AND(AB320="Baja",AD320="Catastrófico"),AND(AB320="Media",AD320="Catastrófico"),AND(AB320="Alta",AD320="Catastrófico"),AND(AB320="Muy Alta",AD320="Catastrófico")),"Extremo","")))),"")</f>
        <v>Bajo</v>
      </c>
      <c r="AG320" s="81" t="s">
        <v>205</v>
      </c>
      <c r="AH320" s="38" t="s">
        <v>872</v>
      </c>
      <c r="AI320" s="69" t="s">
        <v>873</v>
      </c>
      <c r="AJ320" s="147" t="s">
        <v>874</v>
      </c>
      <c r="AK320" s="147" t="s">
        <v>875</v>
      </c>
      <c r="AL320" s="69"/>
      <c r="AM320" s="181" t="s">
        <v>206</v>
      </c>
      <c r="AN320" s="408" t="s">
        <v>876</v>
      </c>
      <c r="AO320" s="408" t="s">
        <v>877</v>
      </c>
      <c r="AP320" s="409" t="s">
        <v>878</v>
      </c>
    </row>
    <row r="321" spans="1:42" s="184" customFormat="1" ht="70.5" customHeight="1" x14ac:dyDescent="0.25">
      <c r="A321" s="1619"/>
      <c r="B321" s="1657"/>
      <c r="C321" s="1657"/>
      <c r="D321" s="1699"/>
      <c r="E321" s="410" t="s">
        <v>350</v>
      </c>
      <c r="F321" s="1700"/>
      <c r="G321" s="1604"/>
      <c r="H321" s="1700"/>
      <c r="I321" s="1702"/>
      <c r="J321" s="1641"/>
      <c r="K321" s="1644"/>
      <c r="L321" s="1633"/>
      <c r="M321" s="1647"/>
      <c r="N321" s="1633">
        <f>IF(NOT(ISERROR(MATCH(M321,_xlfn.ANCHORARRAY(F328),0))),#REF!&amp;"Por favor no seleccionar los criterios de impacto",M321)</f>
        <v>0</v>
      </c>
      <c r="O321" s="1644"/>
      <c r="P321" s="1633"/>
      <c r="Q321" s="1636"/>
      <c r="R321" s="48">
        <v>2</v>
      </c>
      <c r="S321" s="49"/>
      <c r="T321" s="50" t="str">
        <f>IF(OR(U321="Preventivo",U321="Detectivo"),"Probabilidad",IF(U321="Correctivo","Impacto",""))</f>
        <v/>
      </c>
      <c r="U321" s="61"/>
      <c r="V321" s="61"/>
      <c r="W321" s="62" t="str">
        <f t="shared" ref="W321:W323" si="188">IF(AND(U321="Preventivo",V321="Automático"),"50%",IF(AND(U321="Preventivo",V321="Manual"),"40%",IF(AND(U321="Detectivo",V321="Automático"),"40%",IF(AND(U321="Detectivo",V321="Manual"),"30%",IF(AND(U321="Correctivo",V321="Automático"),"35%",IF(AND(U321="Correctivo",V321="Manual"),"25%",""))))))</f>
        <v/>
      </c>
      <c r="X321" s="61"/>
      <c r="Y321" s="61"/>
      <c r="Z321" s="61"/>
      <c r="AA321" s="63" t="str">
        <f>IFERROR(IF(AND(T320="Probabilidad",T321="Probabilidad"),(AC320-(+AC320*W321)),IF(AND(T320="Impacto",T321="Probabilidad"),(L320-(+L320*W321)),IF(T321="Impacto",AC320,""))),"")</f>
        <v/>
      </c>
      <c r="AB321" s="64" t="str">
        <f t="shared" ref="AB321:AB323" si="189">IFERROR(IF(AA321="","",IF(AA321&lt;=0.2,"Muy Baja",IF(AA321&lt;=0.4,"Baja",IF(AA321&lt;=0.6,"Media",IF(AA321&lt;=0.8,"Alta","Muy Alta"))))),"")</f>
        <v/>
      </c>
      <c r="AC321" s="65" t="str">
        <f>+AA321</f>
        <v/>
      </c>
      <c r="AD321" s="64" t="str">
        <f t="shared" ref="AD321:AD323" si="190">IFERROR(IF(AE321="","",IF(AE321&lt;=0.2,"Leve",IF(AE321&lt;=0.4,"Menor",IF(AE321&lt;=0.6,"Moderado",IF(AE321&lt;=0.8,"Mayor","Catastrófico"))))),"")</f>
        <v/>
      </c>
      <c r="AE321" s="65" t="str">
        <f>IFERROR(IF(AND(T320="Impacto",T321="Impacto"),(AE320-(+AE320*W321)),IF(AND(T320="Probabilidad",T321="Impacto"),(P320-(+P320*W321)),IF(T321="Probabilidad",AE320,""))),"")</f>
        <v/>
      </c>
      <c r="AF321" s="66" t="str">
        <f t="shared" ref="AF321:AF323" si="191">IFERROR(IF(OR(AND(AB321="Muy Baja",AD321="Leve"),AND(AB321="Muy Baja",AD321="Menor"),AND(AB321="Baja",AD321="Leve")),"Bajo",IF(OR(AND(AB321="Muy baja",AD321="Moderado"),AND(AB321="Baja",AD321="Menor"),AND(AB321="Baja",AD321="Moderado"),AND(AB321="Media",AD321="Leve"),AND(AB321="Media",AD321="Menor"),AND(AB321="Media",AD321="Moderado"),AND(AB321="Alta",AD321="Leve"),AND(AB321="Alta",AD321="Menor")),"Moderado",IF(OR(AND(AB321="Muy Baja",AD321="Mayor"),AND(AB321="Baja",AD321="Mayor"),AND(AB321="Media",AD321="Mayor"),AND(AB321="Alta",AD321="Moderado"),AND(AB321="Alta",AD321="Mayor"),AND(AB321="Muy Alta",AD321="Leve"),AND(AB321="Muy Alta",AD321="Menor"),AND(AB321="Muy Alta",AD321="Moderado"),AND(AB321="Muy Alta",AD321="Mayor")),"Alto",IF(OR(AND(AB321="Muy Baja",AD321="Catastrófico"),AND(AB321="Baja",AD321="Catastrófico"),AND(AB321="Media",AD321="Catastrófico"),AND(AB321="Alta",AD321="Catastrófico"),AND(AB321="Muy Alta",AD321="Catastrófico")),"Extremo","")))),"")</f>
        <v/>
      </c>
      <c r="AG321" s="81"/>
      <c r="AH321" s="38"/>
      <c r="AI321" s="78"/>
      <c r="AJ321" s="82"/>
      <c r="AK321" s="82"/>
      <c r="AL321" s="77"/>
      <c r="AM321" s="182"/>
      <c r="AN321" s="411"/>
      <c r="AO321" s="411"/>
      <c r="AP321" s="411"/>
    </row>
    <row r="322" spans="1:42" s="184" customFormat="1" ht="46.2" customHeight="1" x14ac:dyDescent="0.25">
      <c r="A322" s="1619"/>
      <c r="B322" s="1657"/>
      <c r="C322" s="1657"/>
      <c r="D322" s="1699"/>
      <c r="E322" s="1696"/>
      <c r="F322" s="1700"/>
      <c r="G322" s="1604"/>
      <c r="H322" s="1700"/>
      <c r="I322" s="1702"/>
      <c r="J322" s="1641"/>
      <c r="K322" s="1644"/>
      <c r="L322" s="1633"/>
      <c r="M322" s="1647"/>
      <c r="N322" s="1633">
        <f>IF(NOT(ISERROR(MATCH(M322,_xlfn.ANCHORARRAY(F329),0))),#REF!&amp;"Por favor no seleccionar los criterios de impacto",M322)</f>
        <v>0</v>
      </c>
      <c r="O322" s="1644"/>
      <c r="P322" s="1633"/>
      <c r="Q322" s="1636"/>
      <c r="R322" s="48">
        <v>3</v>
      </c>
      <c r="S322" s="79"/>
      <c r="T322" s="50" t="str">
        <f t="shared" ref="T322:T323" si="192">IF(OR(U322="Preventivo",U322="Detectivo"),"Probabilidad",IF(U322="Correctivo","Impacto",""))</f>
        <v/>
      </c>
      <c r="U322" s="61"/>
      <c r="V322" s="61"/>
      <c r="W322" s="62" t="str">
        <f t="shared" si="188"/>
        <v/>
      </c>
      <c r="X322" s="61"/>
      <c r="Y322" s="61"/>
      <c r="Z322" s="61"/>
      <c r="AA322" s="63" t="str">
        <f>IFERROR(IF(AND(T321="Probabilidad",T322="Probabilidad"),(AC321-(+AC321*W322)),IF(AND(T321="Impacto",T322="Probabilidad"),(AC320-(+AC320*W322)),IF(T322="Impacto",AC321,""))),"")</f>
        <v/>
      </c>
      <c r="AB322" s="64" t="str">
        <f t="shared" si="189"/>
        <v/>
      </c>
      <c r="AC322" s="65" t="str">
        <f t="shared" ref="AC322:AC323" si="193">+AA322</f>
        <v/>
      </c>
      <c r="AD322" s="64" t="str">
        <f t="shared" si="190"/>
        <v/>
      </c>
      <c r="AE322" s="65" t="str">
        <f t="shared" ref="AE322:AE323" si="194">IFERROR(IF(AND(T321="Impacto",T322="Impacto"),(AE321-(+AE321*W322)),IF(AND(T321="Probabilidad",T322="Impacto"),(AE320-(+AE320*W322)),IF(T322="Probabilidad",AE321,""))),"")</f>
        <v/>
      </c>
      <c r="AF322" s="66" t="str">
        <f t="shared" si="191"/>
        <v/>
      </c>
      <c r="AG322" s="81"/>
      <c r="AH322" s="38"/>
      <c r="AI322" s="78"/>
      <c r="AJ322" s="82"/>
      <c r="AK322" s="82"/>
      <c r="AL322" s="77"/>
      <c r="AM322" s="182"/>
      <c r="AN322" s="411"/>
      <c r="AO322" s="411"/>
      <c r="AP322" s="411"/>
    </row>
    <row r="323" spans="1:42" s="184" customFormat="1" ht="46.5" customHeight="1" x14ac:dyDescent="0.25">
      <c r="A323" s="1619"/>
      <c r="B323" s="1657"/>
      <c r="C323" s="1657"/>
      <c r="D323" s="1699"/>
      <c r="E323" s="1697"/>
      <c r="F323" s="1700"/>
      <c r="G323" s="1604"/>
      <c r="H323" s="1700"/>
      <c r="I323" s="1702"/>
      <c r="J323" s="1641"/>
      <c r="K323" s="1644"/>
      <c r="L323" s="1633"/>
      <c r="M323" s="1647"/>
      <c r="N323" s="1633">
        <f>IF(NOT(ISERROR(MATCH(M323,_xlfn.ANCHORARRAY(#REF!),0))),#REF!&amp;"Por favor no seleccionar los criterios de impacto",M323)</f>
        <v>0</v>
      </c>
      <c r="O323" s="1644"/>
      <c r="P323" s="1633"/>
      <c r="Q323" s="1636"/>
      <c r="R323" s="48">
        <v>4</v>
      </c>
      <c r="S323" s="49"/>
      <c r="T323" s="50" t="str">
        <f t="shared" si="192"/>
        <v/>
      </c>
      <c r="U323" s="61"/>
      <c r="V323" s="61"/>
      <c r="W323" s="62" t="str">
        <f t="shared" si="188"/>
        <v/>
      </c>
      <c r="X323" s="61"/>
      <c r="Y323" s="61"/>
      <c r="Z323" s="61"/>
      <c r="AA323" s="63" t="str">
        <f t="shared" ref="AA323" si="195">IFERROR(IF(AND(T322="Probabilidad",T323="Probabilidad"),(AC322-(+AC322*W323)),IF(AND(T322="Impacto",T323="Probabilidad"),(AC321-(+AC321*W323)),IF(T323="Impacto",AC322,""))),"")</f>
        <v/>
      </c>
      <c r="AB323" s="64" t="str">
        <f t="shared" si="189"/>
        <v/>
      </c>
      <c r="AC323" s="65" t="str">
        <f t="shared" si="193"/>
        <v/>
      </c>
      <c r="AD323" s="64" t="str">
        <f t="shared" si="190"/>
        <v/>
      </c>
      <c r="AE323" s="65" t="str">
        <f t="shared" si="194"/>
        <v/>
      </c>
      <c r="AF323" s="66" t="str">
        <f t="shared" si="191"/>
        <v/>
      </c>
      <c r="AG323" s="81"/>
      <c r="AH323" s="38"/>
      <c r="AI323" s="78"/>
      <c r="AJ323" s="82"/>
      <c r="AK323" s="82"/>
      <c r="AL323" s="77"/>
      <c r="AM323" s="182"/>
      <c r="AN323" s="411"/>
      <c r="AO323" s="411"/>
      <c r="AP323" s="411"/>
    </row>
    <row r="324" spans="1:42" s="184" customFormat="1" ht="71.25" customHeight="1" x14ac:dyDescent="0.25">
      <c r="A324" s="1618">
        <v>2</v>
      </c>
      <c r="B324" s="1614" t="s">
        <v>209</v>
      </c>
      <c r="C324" s="1614" t="s">
        <v>351</v>
      </c>
      <c r="D324" s="1622" t="s">
        <v>879</v>
      </c>
      <c r="E324" s="88" t="s">
        <v>352</v>
      </c>
      <c r="F324" s="1625" t="s">
        <v>880</v>
      </c>
      <c r="G324" s="1603" t="s">
        <v>512</v>
      </c>
      <c r="H324" s="412" t="s">
        <v>881</v>
      </c>
      <c r="I324" s="1608" t="s">
        <v>198</v>
      </c>
      <c r="J324" s="1611">
        <v>500</v>
      </c>
      <c r="K324" s="1595" t="str">
        <f>IF(J324&lt;=0,"",IF(J324&lt;=2,"Muy Baja",IF(J324&lt;=24,"Baja",IF(J324&lt;=500,"Media",IF(J324&lt;=5000,"Alta","Muy Alta")))))</f>
        <v>Media</v>
      </c>
      <c r="L324" s="1592">
        <f>IF(K324="","",IF(K324="Muy Baja",0.2,IF(K324="Baja",0.4,IF(K324="Media",0.6,IF(K324="Alta",0.8,IF(K324="Muy Alta",1,))))))</f>
        <v>0.6</v>
      </c>
      <c r="M324" s="1589" t="s">
        <v>216</v>
      </c>
      <c r="N324" s="1592" t="str">
        <f>IF(NOT(ISERROR(MATCH(M324,'[18]Tabla Impacto'!$B$221:$B$223,0))),'[18]Tabla Impacto'!$F$223&amp;"Por favor no seleccionar los criterios de impacto(Afectación Económica o presupuestal y Pérdida Reputacional)",M324)</f>
        <v xml:space="preserve">     El riesgo afecta la imagen de alguna área de la organización</v>
      </c>
      <c r="O324" s="1595" t="str">
        <f>IF(OR(N324='[18]Tabla Impacto'!$C$11,N324='[18]Tabla Impacto'!$D$11),"Leve",IF(OR(N324='[18]Tabla Impacto'!$C$12,N324='[18]Tabla Impacto'!$D$12),"Menor",IF(OR(N324='[18]Tabla Impacto'!$C$13,N324='[18]Tabla Impacto'!$D$13),"Moderado",IF(OR(N324='[18]Tabla Impacto'!$C$14,N324='[18]Tabla Impacto'!$D$14),"Mayor",IF(OR(N324='[18]Tabla Impacto'!$C$15,N324='[18]Tabla Impacto'!$D$15),"Catastrófico","")))))</f>
        <v>Leve</v>
      </c>
      <c r="P324" s="1592">
        <f>IF(O324="","",IF(O324="Leve",0.2,IF(O324="Menor",0.4,IF(O324="Moderado",0.6,IF(O324="Mayor",0.8,IF(O324="Catastrófico",1,))))))</f>
        <v>0.2</v>
      </c>
      <c r="Q324" s="1598" t="str">
        <f>IF(OR(AND(K324="Muy Baja",O324="Leve"),AND(K324="Muy Baja",O324="Menor"),AND(K324="Baja",O324="Leve")),"Bajo",IF(OR(AND(K324="Muy baja",O324="Moderado"),AND(K324="Baja",O324="Menor"),AND(K324="Baja",O324="Moderado"),AND(K324="Media",O324="Leve"),AND(K324="Media",O324="Menor"),AND(K324="Media",O324="Moderado"),AND(K324="Alta",O324="Leve"),AND(K324="Alta",O324="Menor")),"Moderado",IF(OR(AND(K324="Muy Baja",O324="Mayor"),AND(K324="Baja",O324="Mayor"),AND(K324="Media",O324="Mayor"),AND(K324="Alta",O324="Moderado"),AND(K324="Alta",O324="Mayor"),AND(K324="Muy Alta",O324="Leve"),AND(K324="Muy Alta",O324="Menor"),AND(K324="Muy Alta",O324="Moderado"),AND(K324="Muy Alta",O324="Mayor")),"Alto",IF(OR(AND(K324="Muy Baja",O324="Catastrófico"),AND(K324="Baja",O324="Catastrófico"),AND(K324="Media",O324="Catastrófico"),AND(K324="Alta",O324="Catastrófico"),AND(K324="Muy Alta",O324="Catastrófico")),"Extremo",""))))</f>
        <v>Moderado</v>
      </c>
      <c r="R324" s="48">
        <v>1</v>
      </c>
      <c r="S324" s="49" t="s">
        <v>353</v>
      </c>
      <c r="T324" s="50" t="str">
        <f>IF(OR(U324="Preventivo",U324="Detectivo"),"Probabilidad",IF(U324="Correctivo","Impacto",""))</f>
        <v>Probabilidad</v>
      </c>
      <c r="U324" s="61" t="s">
        <v>207</v>
      </c>
      <c r="V324" s="61" t="s">
        <v>201</v>
      </c>
      <c r="W324" s="62" t="str">
        <f>IF(AND(U324="Preventivo",V324="Automático"),"50%",IF(AND(U324="Preventivo",V324="Manual"),"40%",IF(AND(U324="Detectivo",V324="Automático"),"40%",IF(AND(U324="Detectivo",V324="Manual"),"30%",IF(AND(U324="Correctivo",V324="Automático"),"35%",IF(AND(U324="Correctivo",V324="Manual"),"25%",""))))))</f>
        <v>40%</v>
      </c>
      <c r="X324" s="61" t="s">
        <v>208</v>
      </c>
      <c r="Y324" s="61" t="s">
        <v>203</v>
      </c>
      <c r="Z324" s="61" t="s">
        <v>204</v>
      </c>
      <c r="AA324" s="63">
        <f>IFERROR(IF(T324="Probabilidad",(L324-(+L324*W324)),IF(T324="Impacto",L324,"")),"")</f>
        <v>0.36</v>
      </c>
      <c r="AB324" s="64" t="str">
        <f>IFERROR(IF(AA324="","",IF(AA324&lt;=0.2,"Muy Baja",IF(AA324&lt;=0.4,"Baja",IF(AA324&lt;=0.6,"Media",IF(AA324&lt;=0.8,"Alta","Muy Alta"))))),"")</f>
        <v>Baja</v>
      </c>
      <c r="AC324" s="65">
        <f>+AA324</f>
        <v>0.36</v>
      </c>
      <c r="AD324" s="64" t="str">
        <f>IFERROR(IF(AE324="","",IF(AE324&lt;=0.2,"Leve",IF(AE324&lt;=0.4,"Menor",IF(AE324&lt;=0.6,"Moderado",IF(AE324&lt;=0.8,"Mayor","Catastrófico"))))),"")</f>
        <v>Leve</v>
      </c>
      <c r="AE324" s="65">
        <f>IFERROR(IF(T324="Impacto",(P324-(+P324*W324)),IF(T324="Probabilidad",P324,"")),"")</f>
        <v>0.2</v>
      </c>
      <c r="AF324" s="66" t="str">
        <f>IFERROR(IF(OR(AND(AB324="Muy Baja",AD324="Leve"),AND(AB324="Muy Baja",AD324="Menor"),AND(AB324="Baja",AD324="Leve")),"Bajo",IF(OR(AND(AB324="Muy baja",AD324="Moderado"),AND(AB324="Baja",AD324="Menor"),AND(AB324="Baja",AD324="Moderado"),AND(AB324="Media",AD324="Leve"),AND(AB324="Media",AD324="Menor"),AND(AB324="Media",AD324="Moderado"),AND(AB324="Alta",AD324="Leve"),AND(AB324="Alta",AD324="Menor")),"Moderado",IF(OR(AND(AB324="Muy Baja",AD324="Mayor"),AND(AB324="Baja",AD324="Mayor"),AND(AB324="Media",AD324="Mayor"),AND(AB324="Alta",AD324="Moderado"),AND(AB324="Alta",AD324="Mayor"),AND(AB324="Muy Alta",AD324="Leve"),AND(AB324="Muy Alta",AD324="Menor"),AND(AB324="Muy Alta",AD324="Moderado"),AND(AB324="Muy Alta",AD324="Mayor")),"Alto",IF(OR(AND(AB324="Muy Baja",AD324="Catastrófico"),AND(AB324="Baja",AD324="Catastrófico"),AND(AB324="Media",AD324="Catastrófico"),AND(AB324="Alta",AD324="Catastrófico"),AND(AB324="Muy Alta",AD324="Catastrófico")),"Extremo","")))),"")</f>
        <v>Bajo</v>
      </c>
      <c r="AG324" s="81"/>
      <c r="AH324" s="1616" t="s">
        <v>882</v>
      </c>
      <c r="AI324" s="1688" t="s">
        <v>873</v>
      </c>
      <c r="AJ324" s="147" t="s">
        <v>874</v>
      </c>
      <c r="AK324" s="147" t="s">
        <v>875</v>
      </c>
      <c r="AL324" s="77"/>
      <c r="AM324" s="182"/>
      <c r="AN324" s="413" t="s">
        <v>883</v>
      </c>
      <c r="AO324" s="413" t="s">
        <v>884</v>
      </c>
      <c r="AP324" s="413" t="s">
        <v>885</v>
      </c>
    </row>
    <row r="325" spans="1:42" s="184" customFormat="1" ht="66.75" customHeight="1" x14ac:dyDescent="0.25">
      <c r="A325" s="1619"/>
      <c r="B325" s="1621"/>
      <c r="C325" s="1621"/>
      <c r="D325" s="1623"/>
      <c r="E325" s="88" t="s">
        <v>354</v>
      </c>
      <c r="F325" s="1625"/>
      <c r="G325" s="1604"/>
      <c r="H325" s="412" t="s">
        <v>886</v>
      </c>
      <c r="I325" s="1609"/>
      <c r="J325" s="1612"/>
      <c r="K325" s="1596"/>
      <c r="L325" s="1593"/>
      <c r="M325" s="1590"/>
      <c r="N325" s="1593">
        <f>IF(NOT(ISERROR(MATCH(M325,_xlfn.ANCHORARRAY(F331),0))),L333&amp;"Por favor no seleccionar los criterios de impacto",M325)</f>
        <v>0</v>
      </c>
      <c r="O325" s="1596"/>
      <c r="P325" s="1593"/>
      <c r="Q325" s="1599"/>
      <c r="R325" s="48">
        <v>2</v>
      </c>
      <c r="S325" s="49" t="s">
        <v>355</v>
      </c>
      <c r="T325" s="50" t="str">
        <f>IF(OR(U325="Preventivo",U325="Detectivo"),"Probabilidad",IF(U325="Correctivo","Impacto",""))</f>
        <v>Probabilidad</v>
      </c>
      <c r="U325" s="61" t="s">
        <v>207</v>
      </c>
      <c r="V325" s="61" t="s">
        <v>201</v>
      </c>
      <c r="W325" s="62" t="str">
        <f t="shared" ref="W325:W327" si="196">IF(AND(U325="Preventivo",V325="Automático"),"50%",IF(AND(U325="Preventivo",V325="Manual"),"40%",IF(AND(U325="Detectivo",V325="Automático"),"40%",IF(AND(U325="Detectivo",V325="Manual"),"30%",IF(AND(U325="Correctivo",V325="Automático"),"35%",IF(AND(U325="Correctivo",V325="Manual"),"25%",""))))))</f>
        <v>40%</v>
      </c>
      <c r="X325" s="61" t="s">
        <v>208</v>
      </c>
      <c r="Y325" s="61" t="s">
        <v>203</v>
      </c>
      <c r="Z325" s="61" t="s">
        <v>204</v>
      </c>
      <c r="AA325" s="63">
        <f>IFERROR(IF(AND(T324="Probabilidad",T325="Probabilidad"),(AC324-(+AC324*W325)),IF(AND(T324="Impacto",T325="Probabilidad"),(L324-(+L324*W325)),IF(T325="Impacto",AC324,""))),"")</f>
        <v>0.216</v>
      </c>
      <c r="AB325" s="64" t="str">
        <f t="shared" ref="AB325:AB327" si="197">IFERROR(IF(AA325="","",IF(AA325&lt;=0.2,"Muy Baja",IF(AA325&lt;=0.4,"Baja",IF(AA325&lt;=0.6,"Media",IF(AA325&lt;=0.8,"Alta","Muy Alta"))))),"")</f>
        <v>Baja</v>
      </c>
      <c r="AC325" s="65">
        <f>+AA325</f>
        <v>0.216</v>
      </c>
      <c r="AD325" s="64" t="str">
        <f t="shared" ref="AD325:AD327" si="198">IFERROR(IF(AE325="","",IF(AE325&lt;=0.2,"Leve",IF(AE325&lt;=0.4,"Menor",IF(AE325&lt;=0.6,"Moderado",IF(AE325&lt;=0.8,"Mayor","Catastrófico"))))),"")</f>
        <v>Leve</v>
      </c>
      <c r="AE325" s="65">
        <f>IFERROR(IF(AND(T324="Impacto",T325="Impacto"),(AE324-(+AE324*W325)),IF(AND(T324="Probabilidad",T325="Impacto"),(P324-(+P324*W325)),IF(T325="Probabilidad",AE324,""))),"")</f>
        <v>0.2</v>
      </c>
      <c r="AF325" s="66" t="str">
        <f t="shared" ref="AF325:AF327" si="199">IFERROR(IF(OR(AND(AB325="Muy Baja",AD325="Leve"),AND(AB325="Muy Baja",AD325="Menor"),AND(AB325="Baja",AD325="Leve")),"Bajo",IF(OR(AND(AB325="Muy baja",AD325="Moderado"),AND(AB325="Baja",AD325="Menor"),AND(AB325="Baja",AD325="Moderado"),AND(AB325="Media",AD325="Leve"),AND(AB325="Media",AD325="Menor"),AND(AB325="Media",AD325="Moderado"),AND(AB325="Alta",AD325="Leve"),AND(AB325="Alta",AD325="Menor")),"Moderado",IF(OR(AND(AB325="Muy Baja",AD325="Mayor"),AND(AB325="Baja",AD325="Mayor"),AND(AB325="Media",AD325="Mayor"),AND(AB325="Alta",AD325="Moderado"),AND(AB325="Alta",AD325="Mayor"),AND(AB325="Muy Alta",AD325="Leve"),AND(AB325="Muy Alta",AD325="Menor"),AND(AB325="Muy Alta",AD325="Moderado"),AND(AB325="Muy Alta",AD325="Mayor")),"Alto",IF(OR(AND(AB325="Muy Baja",AD325="Catastrófico"),AND(AB325="Baja",AD325="Catastrófico"),AND(AB325="Media",AD325="Catastrófico"),AND(AB325="Alta",AD325="Catastrófico"),AND(AB325="Muy Alta",AD325="Catastrófico")),"Extremo","")))),"")</f>
        <v>Bajo</v>
      </c>
      <c r="AG325" s="81"/>
      <c r="AH325" s="1617"/>
      <c r="AI325" s="1689"/>
      <c r="AJ325" s="82"/>
      <c r="AK325" s="82"/>
      <c r="AL325" s="77"/>
      <c r="AM325" s="182"/>
      <c r="AN325" s="413" t="s">
        <v>887</v>
      </c>
      <c r="AO325" s="413" t="s">
        <v>888</v>
      </c>
      <c r="AP325" s="413" t="s">
        <v>889</v>
      </c>
    </row>
    <row r="326" spans="1:42" s="184" customFormat="1" ht="25.5" customHeight="1" x14ac:dyDescent="0.25">
      <c r="A326" s="1619"/>
      <c r="B326" s="1621"/>
      <c r="C326" s="1621"/>
      <c r="D326" s="1623"/>
      <c r="E326" s="88"/>
      <c r="F326" s="1625"/>
      <c r="G326" s="1604"/>
      <c r="H326" s="83"/>
      <c r="I326" s="1609"/>
      <c r="J326" s="1612"/>
      <c r="K326" s="1596"/>
      <c r="L326" s="1593"/>
      <c r="M326" s="1590"/>
      <c r="N326" s="1593">
        <f>IF(NOT(ISERROR(MATCH(M326,_xlfn.ANCHORARRAY(F332),0))),#REF!&amp;"Por favor no seleccionar los criterios de impacto",M326)</f>
        <v>0</v>
      </c>
      <c r="O326" s="1596"/>
      <c r="P326" s="1593"/>
      <c r="Q326" s="1599"/>
      <c r="R326" s="48">
        <v>3</v>
      </c>
      <c r="S326" s="79"/>
      <c r="T326" s="50" t="str">
        <f t="shared" ref="T326:T327" si="200">IF(OR(U326="Preventivo",U326="Detectivo"),"Probabilidad",IF(U326="Correctivo","Impacto",""))</f>
        <v/>
      </c>
      <c r="U326" s="61"/>
      <c r="V326" s="61"/>
      <c r="W326" s="62" t="str">
        <f t="shared" si="196"/>
        <v/>
      </c>
      <c r="X326" s="61"/>
      <c r="Y326" s="61"/>
      <c r="Z326" s="61"/>
      <c r="AA326" s="63" t="str">
        <f>IFERROR(IF(AND(T325="Probabilidad",T326="Probabilidad"),(AC325-(+AC325*W326)),IF(AND(T325="Impacto",T326="Probabilidad"),(AC324-(+AC324*W326)),IF(T326="Impacto",AC325,""))),"")</f>
        <v/>
      </c>
      <c r="AB326" s="64" t="str">
        <f t="shared" si="197"/>
        <v/>
      </c>
      <c r="AC326" s="65" t="str">
        <f t="shared" ref="AC326:AC327" si="201">+AA326</f>
        <v/>
      </c>
      <c r="AD326" s="64" t="str">
        <f t="shared" si="198"/>
        <v/>
      </c>
      <c r="AE326" s="65" t="str">
        <f t="shared" ref="AE326:AE327" si="202">IFERROR(IF(AND(T325="Impacto",T326="Impacto"),(AE325-(+AE325*W326)),IF(AND(T325="Probabilidad",T326="Impacto"),(AE324-(+AE324*W326)),IF(T326="Probabilidad",AE325,""))),"")</f>
        <v/>
      </c>
      <c r="AF326" s="66" t="str">
        <f t="shared" si="199"/>
        <v/>
      </c>
      <c r="AG326" s="81"/>
      <c r="AH326" s="38"/>
      <c r="AI326" s="78"/>
      <c r="AJ326" s="82"/>
      <c r="AK326" s="82"/>
      <c r="AL326" s="77"/>
      <c r="AM326" s="182"/>
      <c r="AN326" s="411"/>
      <c r="AO326" s="411"/>
      <c r="AP326" s="411"/>
    </row>
    <row r="327" spans="1:42" s="184" customFormat="1" ht="25.5" customHeight="1" x14ac:dyDescent="0.25">
      <c r="A327" s="1619"/>
      <c r="B327" s="1621"/>
      <c r="C327" s="1621"/>
      <c r="D327" s="1623"/>
      <c r="E327" s="88"/>
      <c r="F327" s="1625"/>
      <c r="G327" s="1604"/>
      <c r="H327" s="83"/>
      <c r="I327" s="1609"/>
      <c r="J327" s="1612"/>
      <c r="K327" s="1596"/>
      <c r="L327" s="1593"/>
      <c r="M327" s="1590"/>
      <c r="N327" s="1593">
        <f>IF(NOT(ISERROR(MATCH(M327,_xlfn.ANCHORARRAY(F333),0))),#REF!&amp;"Por favor no seleccionar los criterios de impacto",M327)</f>
        <v>0</v>
      </c>
      <c r="O327" s="1596"/>
      <c r="P327" s="1593"/>
      <c r="Q327" s="1599"/>
      <c r="R327" s="48">
        <v>4</v>
      </c>
      <c r="S327" s="49"/>
      <c r="T327" s="50" t="str">
        <f t="shared" si="200"/>
        <v/>
      </c>
      <c r="U327" s="61"/>
      <c r="V327" s="61"/>
      <c r="W327" s="62" t="str">
        <f t="shared" si="196"/>
        <v/>
      </c>
      <c r="X327" s="61"/>
      <c r="Y327" s="61"/>
      <c r="Z327" s="61"/>
      <c r="AA327" s="63" t="str">
        <f t="shared" ref="AA327" si="203">IFERROR(IF(AND(T326="Probabilidad",T327="Probabilidad"),(AC326-(+AC326*W327)),IF(AND(T326="Impacto",T327="Probabilidad"),(AC325-(+AC325*W327)),IF(T327="Impacto",AC326,""))),"")</f>
        <v/>
      </c>
      <c r="AB327" s="64" t="str">
        <f t="shared" si="197"/>
        <v/>
      </c>
      <c r="AC327" s="65" t="str">
        <f t="shared" si="201"/>
        <v/>
      </c>
      <c r="AD327" s="64" t="str">
        <f t="shared" si="198"/>
        <v/>
      </c>
      <c r="AE327" s="65" t="str">
        <f t="shared" si="202"/>
        <v/>
      </c>
      <c r="AF327" s="66" t="str">
        <f t="shared" si="199"/>
        <v/>
      </c>
      <c r="AG327" s="81"/>
      <c r="AH327" s="38"/>
      <c r="AI327" s="78"/>
      <c r="AJ327" s="82"/>
      <c r="AK327" s="82"/>
      <c r="AL327" s="77"/>
      <c r="AM327" s="182"/>
      <c r="AN327" s="411"/>
      <c r="AO327" s="411"/>
      <c r="AP327" s="411"/>
    </row>
    <row r="328" spans="1:42" s="184" customFormat="1" ht="144" customHeight="1" x14ac:dyDescent="0.25">
      <c r="A328" s="1618">
        <v>3</v>
      </c>
      <c r="B328" s="1614" t="s">
        <v>395</v>
      </c>
      <c r="C328" s="1614" t="s">
        <v>890</v>
      </c>
      <c r="D328" s="1690" t="s">
        <v>891</v>
      </c>
      <c r="E328" s="414" t="s">
        <v>892</v>
      </c>
      <c r="F328" s="1625" t="s">
        <v>893</v>
      </c>
      <c r="G328" s="1693" t="s">
        <v>597</v>
      </c>
      <c r="H328" s="1638" t="s">
        <v>894</v>
      </c>
      <c r="I328" s="1608" t="s">
        <v>198</v>
      </c>
      <c r="J328" s="1611">
        <v>12</v>
      </c>
      <c r="K328" s="1595" t="str">
        <f t="shared" ref="K328" si="204">IF(J328&lt;=0,"",IF(J328&lt;=2,"Muy Baja",IF(J328&lt;=24,"Baja",IF(J328&lt;=500,"Media",IF(J328&lt;=5000,"Alta","Muy Alta")))))</f>
        <v>Baja</v>
      </c>
      <c r="L328" s="1592">
        <f t="shared" ref="L328" si="205">IF(K328="","",IF(K328="Muy Baja",0.2,IF(K328="Baja",0.4,IF(K328="Media",0.6,IF(K328="Alta",0.8,IF(K328="Muy Alta",1,))))))</f>
        <v>0.4</v>
      </c>
      <c r="M328" s="1589"/>
      <c r="N328" s="1592">
        <f>IF(NOT(ISERROR(MATCH(M328,'[18]Tabla Impacto'!$B$221:$B$223,0))),'[18]Tabla Impacto'!$F$223&amp;"Por favor no seleccionar los criterios de impacto(Afectación Económica o presupuestal y Pérdida Reputacional)",M328)</f>
        <v>0</v>
      </c>
      <c r="O328" s="1595" t="str">
        <f>IF(OR(N328='[18]Tabla Impacto'!$C$11,N328='[18]Tabla Impacto'!$D$11),"Leve",IF(OR(N328='[18]Tabla Impacto'!$C$12,N328='[18]Tabla Impacto'!$D$12),"Menor",IF(OR(N328='[18]Tabla Impacto'!$C$13,N328='[18]Tabla Impacto'!$D$13),"Moderado",IF(OR(N328='[18]Tabla Impacto'!$C$14,N328='[18]Tabla Impacto'!$D$14),"Mayor",IF(OR(N328='[18]Tabla Impacto'!$C$15,N328='[18]Tabla Impacto'!$D$15),"Catastrófico","")))))</f>
        <v/>
      </c>
      <c r="P328" s="1592" t="str">
        <f t="shared" ref="P328" si="206">IF(O328="","",IF(O328="Leve",0.2,IF(O328="Menor",0.4,IF(O328="Moderado",0.6,IF(O328="Mayor",0.8,IF(O328="Catastrófico",1,))))))</f>
        <v/>
      </c>
      <c r="Q328" s="1598" t="str">
        <f t="shared" ref="Q328" si="207">IF(OR(AND(K328="Muy Baja",O328="Leve"),AND(K328="Muy Baja",O328="Menor"),AND(K328="Baja",O328="Leve")),"Bajo",IF(OR(AND(K328="Muy baja",O328="Moderado"),AND(K328="Baja",O328="Menor"),AND(K328="Baja",O328="Moderado"),AND(K328="Media",O328="Leve"),AND(K328="Media",O328="Menor"),AND(K328="Media",O328="Moderado"),AND(K328="Alta",O328="Leve"),AND(K328="Alta",O328="Menor")),"Moderado",IF(OR(AND(K328="Muy Baja",O328="Mayor"),AND(K328="Baja",O328="Mayor"),AND(K328="Media",O328="Mayor"),AND(K328="Alta",O328="Moderado"),AND(K328="Alta",O328="Mayor"),AND(K328="Muy Alta",O328="Leve"),AND(K328="Muy Alta",O328="Menor"),AND(K328="Muy Alta",O328="Moderado"),AND(K328="Muy Alta",O328="Mayor")),"Alto",IF(OR(AND(K328="Muy Baja",O328="Catastrófico"),AND(K328="Baja",O328="Catastrófico"),AND(K328="Media",O328="Catastrófico"),AND(K328="Alta",O328="Catastrófico"),AND(K328="Muy Alta",O328="Catastrófico")),"Extremo",""))))</f>
        <v/>
      </c>
      <c r="R328" s="48">
        <v>1</v>
      </c>
      <c r="S328" s="49" t="s">
        <v>895</v>
      </c>
      <c r="T328" s="50" t="str">
        <f>IF(OR(U328="Preventivo",U328="Detectivo"),"Probabilidad",IF(U328="Correctivo","Impacto",""))</f>
        <v>Probabilidad</v>
      </c>
      <c r="U328" s="61" t="s">
        <v>207</v>
      </c>
      <c r="V328" s="61" t="s">
        <v>201</v>
      </c>
      <c r="W328" s="62" t="str">
        <f>IF(AND(U328="Preventivo",V328="Automático"),"50%",IF(AND(U328="Preventivo",V328="Manual"),"40%",IF(AND(U328="Detectivo",V328="Automático"),"40%",IF(AND(U328="Detectivo",V328="Manual"),"30%",IF(AND(U328="Correctivo",V328="Automático"),"35%",IF(AND(U328="Correctivo",V328="Manual"),"25%",""))))))</f>
        <v>40%</v>
      </c>
      <c r="X328" s="61" t="s">
        <v>208</v>
      </c>
      <c r="Y328" s="61" t="s">
        <v>203</v>
      </c>
      <c r="Z328" s="61" t="s">
        <v>204</v>
      </c>
      <c r="AA328" s="63">
        <f>IFERROR(IF(T328="Probabilidad",(L328-(+L328*W328)),IF(T328="Impacto",L328,"")),"")</f>
        <v>0.24</v>
      </c>
      <c r="AB328" s="64" t="str">
        <f>IFERROR(IF(AA328="","",IF(AA328&lt;=0.2,"Muy Baja",IF(AA328&lt;=0.4,"Baja",IF(AA328&lt;=0.6,"Media",IF(AA328&lt;=0.8,"Alta","Muy Alta"))))),"")</f>
        <v>Baja</v>
      </c>
      <c r="AC328" s="65">
        <f>+AA328</f>
        <v>0.24</v>
      </c>
      <c r="AD328" s="64" t="str">
        <f>IFERROR(IF(AE328="","",IF(AE328&lt;=0.2,"Leve",IF(AE328&lt;=0.4,"Menor",IF(AE328&lt;=0.6,"Moderado",IF(AE328&lt;=0.8,"Mayor","Catastrófico"))))),"")</f>
        <v/>
      </c>
      <c r="AE328" s="65" t="str">
        <f>IFERROR(IF(T328="Impacto",(P328-(+P328*W328)),IF(T328="Probabilidad",P328,"")),"")</f>
        <v/>
      </c>
      <c r="AF328" s="66" t="str">
        <f>IFERROR(IF(OR(AND(AB328="Muy Baja",AD328="Leve"),AND(AB328="Muy Baja",AD328="Menor"),AND(AB328="Baja",AD328="Leve")),"Bajo",IF(OR(AND(AB328="Muy baja",AD328="Moderado"),AND(AB328="Baja",AD328="Menor"),AND(AB328="Baja",AD328="Moderado"),AND(AB328="Media",AD328="Leve"),AND(AB328="Media",AD328="Menor"),AND(AB328="Media",AD328="Moderado"),AND(AB328="Alta",AD328="Leve"),AND(AB328="Alta",AD328="Menor")),"Moderado",IF(OR(AND(AB328="Muy Baja",AD328="Mayor"),AND(AB328="Baja",AD328="Mayor"),AND(AB328="Media",AD328="Mayor"),AND(AB328="Alta",AD328="Moderado"),AND(AB328="Alta",AD328="Mayor"),AND(AB328="Muy Alta",AD328="Leve"),AND(AB328="Muy Alta",AD328="Menor"),AND(AB328="Muy Alta",AD328="Moderado"),AND(AB328="Muy Alta",AD328="Mayor")),"Alto",IF(OR(AND(AB328="Muy Baja",AD328="Catastrófico"),AND(AB328="Baja",AD328="Catastrófico"),AND(AB328="Media",AD328="Catastrófico"),AND(AB328="Alta",AD328="Catastrófico"),AND(AB328="Muy Alta",AD328="Catastrófico")),"Extremo","")))),"")</f>
        <v/>
      </c>
      <c r="AG328" s="81"/>
      <c r="AH328" s="415" t="s">
        <v>896</v>
      </c>
      <c r="AI328" s="393" t="s">
        <v>873</v>
      </c>
      <c r="AJ328" s="416" t="s">
        <v>874</v>
      </c>
      <c r="AK328" s="416" t="s">
        <v>897</v>
      </c>
      <c r="AL328" s="417"/>
      <c r="AM328" s="418" t="s">
        <v>206</v>
      </c>
      <c r="AN328" s="419" t="s">
        <v>898</v>
      </c>
      <c r="AO328" s="419" t="s">
        <v>899</v>
      </c>
      <c r="AP328" s="419" t="s">
        <v>900</v>
      </c>
    </row>
    <row r="329" spans="1:42" s="184" customFormat="1" ht="26.25" customHeight="1" x14ac:dyDescent="0.25">
      <c r="A329" s="1619"/>
      <c r="B329" s="1621"/>
      <c r="C329" s="1621"/>
      <c r="D329" s="1691"/>
      <c r="E329" s="414"/>
      <c r="F329" s="1625"/>
      <c r="G329" s="1694"/>
      <c r="H329" s="1687"/>
      <c r="I329" s="1609"/>
      <c r="J329" s="1612"/>
      <c r="K329" s="1596"/>
      <c r="L329" s="1593"/>
      <c r="M329" s="1590"/>
      <c r="N329" s="1593">
        <f>IF(NOT(ISERROR(MATCH(M329,_xlfn.ANCHORARRAY(F334),0))),L336&amp;"Por favor no seleccionar los criterios de impacto",M329)</f>
        <v>0</v>
      </c>
      <c r="O329" s="1596"/>
      <c r="P329" s="1593"/>
      <c r="Q329" s="1599"/>
      <c r="R329" s="48">
        <v>2</v>
      </c>
      <c r="S329" s="49"/>
      <c r="T329" s="50" t="str">
        <f>IF(OR(U329="Preventivo",U329="Detectivo"),"Probabilidad",IF(U329="Correctivo","Impacto",""))</f>
        <v/>
      </c>
      <c r="U329" s="61"/>
      <c r="V329" s="61"/>
      <c r="W329" s="62" t="str">
        <f t="shared" ref="W329:W330" si="208">IF(AND(U329="Preventivo",V329="Automático"),"50%",IF(AND(U329="Preventivo",V329="Manual"),"40%",IF(AND(U329="Detectivo",V329="Automático"),"40%",IF(AND(U329="Detectivo",V329="Manual"),"30%",IF(AND(U329="Correctivo",V329="Automático"),"35%",IF(AND(U329="Correctivo",V329="Manual"),"25%",""))))))</f>
        <v/>
      </c>
      <c r="X329" s="61"/>
      <c r="Y329" s="61"/>
      <c r="Z329" s="61"/>
      <c r="AA329" s="63" t="str">
        <f>IFERROR(IF(AND(T328="Probabilidad",T329="Probabilidad"),(AC328-(+AC328*W329)),IF(AND(T328="Impacto",T329="Probabilidad"),(L328-(+L328*W329)),IF(T329="Impacto",AC328,""))),"")</f>
        <v/>
      </c>
      <c r="AB329" s="64" t="str">
        <f t="shared" ref="AB329:AB330" si="209">IFERROR(IF(AA329="","",IF(AA329&lt;=0.2,"Muy Baja",IF(AA329&lt;=0.4,"Baja",IF(AA329&lt;=0.6,"Media",IF(AA329&lt;=0.8,"Alta","Muy Alta"))))),"")</f>
        <v/>
      </c>
      <c r="AC329" s="65" t="str">
        <f>+AA329</f>
        <v/>
      </c>
      <c r="AD329" s="64" t="str">
        <f t="shared" ref="AD329:AD330" si="210">IFERROR(IF(AE329="","",IF(AE329&lt;=0.2,"Leve",IF(AE329&lt;=0.4,"Menor",IF(AE329&lt;=0.6,"Moderado",IF(AE329&lt;=0.8,"Mayor","Catastrófico"))))),"")</f>
        <v/>
      </c>
      <c r="AE329" s="65" t="str">
        <f>IFERROR(IF(AND(T328="Impacto",T329="Impacto"),(AE328-(+AE328*W329)),IF(AND(T328="Probabilidad",T329="Impacto"),(P328-(+P328*W329)),IF(T329="Probabilidad",AE328,""))),"")</f>
        <v/>
      </c>
      <c r="AF329" s="66" t="str">
        <f t="shared" ref="AF329:AF330" si="211">IFERROR(IF(OR(AND(AB329="Muy Baja",AD329="Leve"),AND(AB329="Muy Baja",AD329="Menor"),AND(AB329="Baja",AD329="Leve")),"Bajo",IF(OR(AND(AB329="Muy baja",AD329="Moderado"),AND(AB329="Baja",AD329="Menor"),AND(AB329="Baja",AD329="Moderado"),AND(AB329="Media",AD329="Leve"),AND(AB329="Media",AD329="Menor"),AND(AB329="Media",AD329="Moderado"),AND(AB329="Alta",AD329="Leve"),AND(AB329="Alta",AD329="Menor")),"Moderado",IF(OR(AND(AB329="Muy Baja",AD329="Mayor"),AND(AB329="Baja",AD329="Mayor"),AND(AB329="Media",AD329="Mayor"),AND(AB329="Alta",AD329="Moderado"),AND(AB329="Alta",AD329="Mayor"),AND(AB329="Muy Alta",AD329="Leve"),AND(AB329="Muy Alta",AD329="Menor"),AND(AB329="Muy Alta",AD329="Moderado"),AND(AB329="Muy Alta",AD329="Mayor")),"Alto",IF(OR(AND(AB329="Muy Baja",AD329="Catastrófico"),AND(AB329="Baja",AD329="Catastrófico"),AND(AB329="Media",AD329="Catastrófico"),AND(AB329="Alta",AD329="Catastrófico"),AND(AB329="Muy Alta",AD329="Catastrófico")),"Extremo","")))),"")</f>
        <v/>
      </c>
      <c r="AG329" s="81"/>
      <c r="AH329" s="420"/>
      <c r="AI329" s="393"/>
      <c r="AJ329" s="416"/>
      <c r="AK329" s="416"/>
      <c r="AL329" s="417"/>
      <c r="AM329" s="418"/>
      <c r="AN329" s="393"/>
      <c r="AO329" s="413"/>
      <c r="AP329" s="413"/>
    </row>
    <row r="330" spans="1:42" s="184" customFormat="1" ht="26.25" customHeight="1" x14ac:dyDescent="0.25">
      <c r="A330" s="1620"/>
      <c r="B330" s="1615"/>
      <c r="C330" s="1615"/>
      <c r="D330" s="1692"/>
      <c r="E330" s="414"/>
      <c r="F330" s="1625"/>
      <c r="G330" s="1695"/>
      <c r="H330" s="1639"/>
      <c r="I330" s="1610"/>
      <c r="J330" s="1613"/>
      <c r="K330" s="1597"/>
      <c r="L330" s="1594"/>
      <c r="M330" s="1591"/>
      <c r="N330" s="1594">
        <f>IF(NOT(ISERROR(MATCH(M330,_xlfn.ANCHORARRAY(F338),0))),L340&amp;"Por favor no seleccionar los criterios de impacto",M330)</f>
        <v>0</v>
      </c>
      <c r="O330" s="1597"/>
      <c r="P330" s="1594"/>
      <c r="Q330" s="1600"/>
      <c r="R330" s="48">
        <v>3</v>
      </c>
      <c r="S330" s="49"/>
      <c r="T330" s="50" t="str">
        <f t="shared" ref="T330" si="212">IF(OR(U330="Preventivo",U330="Detectivo"),"Probabilidad",IF(U330="Correctivo","Impacto",""))</f>
        <v/>
      </c>
      <c r="U330" s="61"/>
      <c r="V330" s="61"/>
      <c r="W330" s="62" t="str">
        <f t="shared" si="208"/>
        <v/>
      </c>
      <c r="X330" s="61"/>
      <c r="Y330" s="61"/>
      <c r="Z330" s="61"/>
      <c r="AA330" s="158" t="str">
        <f>IFERROR(IF(AND(#REF!="Probabilidad",T330="Probabilidad"),(#REF!-(+#REF!*W330)),IF(AND(#REF!="Impacto",T330="Probabilidad"),(#REF!-(+#REF!*W330)),IF(T330="Impacto",#REF!,""))),"")</f>
        <v/>
      </c>
      <c r="AB330" s="159" t="str">
        <f t="shared" si="209"/>
        <v/>
      </c>
      <c r="AC330" s="65" t="str">
        <f t="shared" ref="AC330" si="213">+AA330</f>
        <v/>
      </c>
      <c r="AD330" s="159" t="str">
        <f t="shared" si="210"/>
        <v/>
      </c>
      <c r="AE330" s="65" t="str">
        <f>IFERROR(IF(AND(#REF!="Impacto",T330="Impacto"),(#REF!-(+#REF!*W330)),IF(AND(#REF!="Probabilidad",T330="Impacto"),(#REF!-(+#REF!*W330)),IF(T330="Probabilidad",#REF!,""))),"")</f>
        <v/>
      </c>
      <c r="AF330" s="160" t="str">
        <f t="shared" si="211"/>
        <v/>
      </c>
      <c r="AG330" s="81"/>
      <c r="AH330" s="420"/>
      <c r="AI330" s="393"/>
      <c r="AJ330" s="416"/>
      <c r="AK330" s="416"/>
      <c r="AL330" s="417"/>
      <c r="AM330" s="418"/>
      <c r="AN330" s="393"/>
      <c r="AO330" s="413"/>
      <c r="AP330" s="413"/>
    </row>
    <row r="331" spans="1:42" s="184" customFormat="1" ht="75.75" customHeight="1" x14ac:dyDescent="0.25">
      <c r="A331" s="1618">
        <v>4</v>
      </c>
      <c r="B331" s="1614" t="s">
        <v>395</v>
      </c>
      <c r="C331" s="1614" t="s">
        <v>901</v>
      </c>
      <c r="D331" s="1622" t="s">
        <v>902</v>
      </c>
      <c r="E331" s="414" t="s">
        <v>903</v>
      </c>
      <c r="F331" s="1625" t="s">
        <v>904</v>
      </c>
      <c r="G331" s="1603" t="s">
        <v>597</v>
      </c>
      <c r="H331" s="1638" t="s">
        <v>894</v>
      </c>
      <c r="I331" s="1608" t="s">
        <v>198</v>
      </c>
      <c r="J331" s="1611">
        <v>300</v>
      </c>
      <c r="K331" s="1595" t="str">
        <f t="shared" ref="K331" si="214">IF(J331&lt;=0,"",IF(J331&lt;=2,"Muy Baja",IF(J331&lt;=24,"Baja",IF(J331&lt;=500,"Media",IF(J331&lt;=5000,"Alta","Muy Alta")))))</f>
        <v>Media</v>
      </c>
      <c r="L331" s="1592">
        <f t="shared" ref="L331" si="215">IF(K331="","",IF(K331="Muy Baja",0.2,IF(K331="Baja",0.4,IF(K331="Media",0.6,IF(K331="Alta",0.8,IF(K331="Muy Alta",1,))))))</f>
        <v>0.6</v>
      </c>
      <c r="M331" s="1589" t="s">
        <v>393</v>
      </c>
      <c r="N331" s="1592" t="str">
        <f>IF(NOT(ISERROR(MATCH(M331,'[18]Tabla Impacto'!$B$221:$B$223,0))),'[18]Tabla Impacto'!$F$223&amp;"Por favor no seleccionar los criterios de impacto(Afectación Económica o presupuestal y Pérdida Reputacional)",M331)</f>
        <v xml:space="preserve">     Entre 200 y 1000 SMLMV</v>
      </c>
      <c r="O331" s="1595" t="str">
        <f>IF(OR(N331='[18]Tabla Impacto'!$C$11,N331='[18]Tabla Impacto'!$D$11),"Leve",IF(OR(N331='[18]Tabla Impacto'!$C$12,N331='[18]Tabla Impacto'!$D$12),"Menor",IF(OR(N331='[18]Tabla Impacto'!$C$13,N331='[18]Tabla Impacto'!$D$13),"Moderado",IF(OR(N331='[18]Tabla Impacto'!$C$14,N331='[18]Tabla Impacto'!$D$14),"Mayor",IF(OR(N331='[18]Tabla Impacto'!$C$15,N331='[18]Tabla Impacto'!$D$15),"Catastrófico","")))))</f>
        <v>Menor</v>
      </c>
      <c r="P331" s="1592">
        <f t="shared" ref="P331" si="216">IF(O331="","",IF(O331="Leve",0.2,IF(O331="Menor",0.4,IF(O331="Moderado",0.6,IF(O331="Mayor",0.8,IF(O331="Catastrófico",1,))))))</f>
        <v>0.4</v>
      </c>
      <c r="Q331" s="1598" t="str">
        <f t="shared" ref="Q331" si="217">IF(OR(AND(K331="Muy Baja",O331="Leve"),AND(K331="Muy Baja",O331="Menor"),AND(K331="Baja",O331="Leve")),"Bajo",IF(OR(AND(K331="Muy baja",O331="Moderado"),AND(K331="Baja",O331="Menor"),AND(K331="Baja",O331="Moderado"),AND(K331="Media",O331="Leve"),AND(K331="Media",O331="Menor"),AND(K331="Media",O331="Moderado"),AND(K331="Alta",O331="Leve"),AND(K331="Alta",O331="Menor")),"Moderado",IF(OR(AND(K331="Muy Baja",O331="Mayor"),AND(K331="Baja",O331="Mayor"),AND(K331="Media",O331="Mayor"),AND(K331="Alta",O331="Moderado"),AND(K331="Alta",O331="Mayor"),AND(K331="Muy Alta",O331="Leve"),AND(K331="Muy Alta",O331="Menor"),AND(K331="Muy Alta",O331="Moderado"),AND(K331="Muy Alta",O331="Mayor")),"Alto",IF(OR(AND(K331="Muy Baja",O331="Catastrófico"),AND(K331="Baja",O331="Catastrófico"),AND(K331="Media",O331="Catastrófico"),AND(K331="Alta",O331="Catastrófico"),AND(K331="Muy Alta",O331="Catastrófico")),"Extremo",""))))</f>
        <v>Moderado</v>
      </c>
      <c r="R331" s="48">
        <v>1</v>
      </c>
      <c r="S331" s="49" t="s">
        <v>905</v>
      </c>
      <c r="T331" s="50" t="str">
        <f>IF(OR(U331="Preventivo",U331="Detectivo"),"Probabilidad",IF(U331="Correctivo","Impacto",""))</f>
        <v>Probabilidad</v>
      </c>
      <c r="U331" s="61" t="s">
        <v>207</v>
      </c>
      <c r="V331" s="61" t="s">
        <v>201</v>
      </c>
      <c r="W331" s="62" t="str">
        <f>IF(AND(U331="Preventivo",V331="Automático"),"50%",IF(AND(U331="Preventivo",V331="Manual"),"40%",IF(AND(U331="Detectivo",V331="Automático"),"40%",IF(AND(U331="Detectivo",V331="Manual"),"30%",IF(AND(U331="Correctivo",V331="Automático"),"35%",IF(AND(U331="Correctivo",V331="Manual"),"25%",""))))))</f>
        <v>40%</v>
      </c>
      <c r="X331" s="61" t="s">
        <v>208</v>
      </c>
      <c r="Y331" s="61" t="s">
        <v>203</v>
      </c>
      <c r="Z331" s="421" t="s">
        <v>204</v>
      </c>
      <c r="AA331" s="422">
        <f>IFERROR(IF(T331="Probabilidad",(L331-(+L331*W331)),IF(T331="Impacto",L331,"")),"")</f>
        <v>0.36</v>
      </c>
      <c r="AB331" s="423" t="str">
        <f>IFERROR(IF(AA331="","",IF(AA331&lt;=0.2,"Muy Baja",IF(AA331&lt;=0.4,"Baja",IF(AA331&lt;=0.6,"Media",IF(AA331&lt;=0.8,"Alta","Muy Alta"))))),"")</f>
        <v>Baja</v>
      </c>
      <c r="AC331" s="424">
        <f>+AA331</f>
        <v>0.36</v>
      </c>
      <c r="AD331" s="423" t="str">
        <f>IFERROR(IF(AE331="","",IF(AE331&lt;=0.2,"Leve",IF(AE331&lt;=0.4,"Menor",IF(AE331&lt;=0.6,"Moderado",IF(AE331&lt;=0.8,"Mayor","Catastrófico"))))),"")</f>
        <v>Menor</v>
      </c>
      <c r="AE331" s="424">
        <f>IFERROR(IF(T331="Impacto",(P331-(+P331*W331)),IF(T331="Probabilidad",P331,"")),"")</f>
        <v>0.4</v>
      </c>
      <c r="AF331" s="425" t="str">
        <f>IFERROR(IF(OR(AND(AB331="Muy Baja",AD331="Leve"),AND(AB331="Muy Baja",AD331="Menor"),AND(AB331="Baja",AD331="Leve")),"Bajo",IF(OR(AND(AB331="Muy baja",AD331="Moderado"),AND(AB331="Baja",AD331="Menor"),AND(AB331="Baja",AD331="Moderado"),AND(AB331="Media",AD331="Leve"),AND(AB331="Media",AD331="Menor"),AND(AB331="Media",AD331="Moderado"),AND(AB331="Alta",AD331="Leve"),AND(AB331="Alta",AD331="Menor")),"Moderado",IF(OR(AND(AB331="Muy Baja",AD331="Mayor"),AND(AB331="Baja",AD331="Mayor"),AND(AB331="Media",AD331="Mayor"),AND(AB331="Alta",AD331="Moderado"),AND(AB331="Alta",AD331="Mayor"),AND(AB331="Muy Alta",AD331="Leve"),AND(AB331="Muy Alta",AD331="Menor"),AND(AB331="Muy Alta",AD331="Moderado"),AND(AB331="Muy Alta",AD331="Mayor")),"Alto",IF(OR(AND(AB331="Muy Baja",AD331="Catastrófico"),AND(AB331="Baja",AD331="Catastrófico"),AND(AB331="Media",AD331="Catastrófico"),AND(AB331="Alta",AD331="Catastrófico"),AND(AB331="Muy Alta",AD331="Catastrófico")),"Extremo","")))),"")</f>
        <v>Moderado</v>
      </c>
      <c r="AG331" s="426"/>
      <c r="AH331" s="427" t="s">
        <v>906</v>
      </c>
      <c r="AI331" s="393" t="s">
        <v>907</v>
      </c>
      <c r="AJ331" s="416" t="s">
        <v>874</v>
      </c>
      <c r="AK331" s="416" t="s">
        <v>897</v>
      </c>
      <c r="AL331" s="417"/>
      <c r="AM331" s="418" t="s">
        <v>206</v>
      </c>
      <c r="AN331" s="413" t="s">
        <v>898</v>
      </c>
      <c r="AO331" s="419" t="s">
        <v>899</v>
      </c>
      <c r="AP331" s="419" t="s">
        <v>908</v>
      </c>
    </row>
    <row r="332" spans="1:42" s="184" customFormat="1" ht="26.25" customHeight="1" x14ac:dyDescent="0.25">
      <c r="A332" s="1619"/>
      <c r="B332" s="1621"/>
      <c r="C332" s="1621"/>
      <c r="D332" s="1623"/>
      <c r="E332" s="88"/>
      <c r="F332" s="1625"/>
      <c r="G332" s="1604"/>
      <c r="H332" s="1687"/>
      <c r="I332" s="1609"/>
      <c r="J332" s="1612"/>
      <c r="K332" s="1596"/>
      <c r="L332" s="1593"/>
      <c r="M332" s="1590"/>
      <c r="N332" s="1593">
        <f>IF(NOT(ISERROR(MATCH(M332,_xlfn.ANCHORARRAY(F340),0))),L342&amp;"Por favor no seleccionar los criterios de impacto",M332)</f>
        <v>0</v>
      </c>
      <c r="O332" s="1596"/>
      <c r="P332" s="1593"/>
      <c r="Q332" s="1599"/>
      <c r="R332" s="48">
        <v>2</v>
      </c>
      <c r="S332" s="49"/>
      <c r="T332" s="50" t="str">
        <f>IF(OR(U332="Preventivo",U332="Detectivo"),"Probabilidad",IF(U332="Correctivo","Impacto",""))</f>
        <v/>
      </c>
      <c r="U332" s="61"/>
      <c r="V332" s="61"/>
      <c r="W332" s="62" t="str">
        <f t="shared" ref="W332:W333" si="218">IF(AND(U332="Preventivo",V332="Automático"),"50%",IF(AND(U332="Preventivo",V332="Manual"),"40%",IF(AND(U332="Detectivo",V332="Automático"),"40%",IF(AND(U332="Detectivo",V332="Manual"),"30%",IF(AND(U332="Correctivo",V332="Automático"),"35%",IF(AND(U332="Correctivo",V332="Manual"),"25%",""))))))</f>
        <v/>
      </c>
      <c r="X332" s="61"/>
      <c r="Y332" s="61"/>
      <c r="Z332" s="421"/>
      <c r="AA332" s="422" t="str">
        <f>IFERROR(IF(AND(T331="Probabilidad",T332="Probabilidad"),(AC331-(+AC331*W332)),IF(AND(T331="Impacto",T332="Probabilidad"),(L331-(+L331*W332)),IF(T332="Impacto",AC331,""))),"")</f>
        <v/>
      </c>
      <c r="AB332" s="423" t="str">
        <f t="shared" ref="AB332:AB333" si="219">IFERROR(IF(AA332="","",IF(AA332&lt;=0.2,"Muy Baja",IF(AA332&lt;=0.4,"Baja",IF(AA332&lt;=0.6,"Media",IF(AA332&lt;=0.8,"Alta","Muy Alta"))))),"")</f>
        <v/>
      </c>
      <c r="AC332" s="424" t="str">
        <f>+AA332</f>
        <v/>
      </c>
      <c r="AD332" s="423" t="str">
        <f t="shared" ref="AD332:AD333" si="220">IFERROR(IF(AE332="","",IF(AE332&lt;=0.2,"Leve",IF(AE332&lt;=0.4,"Menor",IF(AE332&lt;=0.6,"Moderado",IF(AE332&lt;=0.8,"Mayor","Catastrófico"))))),"")</f>
        <v/>
      </c>
      <c r="AE332" s="424" t="str">
        <f>IFERROR(IF(AND(T331="Impacto",T332="Impacto"),(AE331-(+AE331*W332)),IF(AND(T331="Probabilidad",T332="Impacto"),(P331-(+P331*W332)),IF(T332="Probabilidad",AE331,""))),"")</f>
        <v/>
      </c>
      <c r="AF332" s="425" t="str">
        <f t="shared" ref="AF332:AF333" si="221">IFERROR(IF(OR(AND(AB332="Muy Baja",AD332="Leve"),AND(AB332="Muy Baja",AD332="Menor"),AND(AB332="Baja",AD332="Leve")),"Bajo",IF(OR(AND(AB332="Muy baja",AD332="Moderado"),AND(AB332="Baja",AD332="Menor"),AND(AB332="Baja",AD332="Moderado"),AND(AB332="Media",AD332="Leve"),AND(AB332="Media",AD332="Menor"),AND(AB332="Media",AD332="Moderado"),AND(AB332="Alta",AD332="Leve"),AND(AB332="Alta",AD332="Menor")),"Moderado",IF(OR(AND(AB332="Muy Baja",AD332="Mayor"),AND(AB332="Baja",AD332="Mayor"),AND(AB332="Media",AD332="Mayor"),AND(AB332="Alta",AD332="Moderado"),AND(AB332="Alta",AD332="Mayor"),AND(AB332="Muy Alta",AD332="Leve"),AND(AB332="Muy Alta",AD332="Menor"),AND(AB332="Muy Alta",AD332="Moderado"),AND(AB332="Muy Alta",AD332="Mayor")),"Alto",IF(OR(AND(AB332="Muy Baja",AD332="Catastrófico"),AND(AB332="Baja",AD332="Catastrófico"),AND(AB332="Media",AD332="Catastrófico"),AND(AB332="Alta",AD332="Catastrófico"),AND(AB332="Muy Alta",AD332="Catastrófico")),"Extremo","")))),"")</f>
        <v/>
      </c>
      <c r="AG332" s="426"/>
      <c r="AH332" s="427"/>
      <c r="AI332" s="393"/>
      <c r="AJ332" s="416"/>
      <c r="AK332" s="416"/>
      <c r="AL332" s="417"/>
      <c r="AM332" s="418"/>
      <c r="AN332" s="413"/>
      <c r="AO332" s="413"/>
      <c r="AP332" s="411"/>
    </row>
    <row r="333" spans="1:42" s="184" customFormat="1" ht="26.25" customHeight="1" x14ac:dyDescent="0.25">
      <c r="A333" s="1619"/>
      <c r="B333" s="1621"/>
      <c r="C333" s="1621"/>
      <c r="D333" s="1623"/>
      <c r="E333" s="88"/>
      <c r="F333" s="1625"/>
      <c r="G333" s="1604"/>
      <c r="H333" s="1687"/>
      <c r="I333" s="1609"/>
      <c r="J333" s="1612"/>
      <c r="K333" s="1596"/>
      <c r="L333" s="1593"/>
      <c r="M333" s="1590"/>
      <c r="N333" s="1593">
        <f>IF(NOT(ISERROR(MATCH(M333,_xlfn.ANCHORARRAY(F341),0))),L343&amp;"Por favor no seleccionar los criterios de impacto",M333)</f>
        <v>0</v>
      </c>
      <c r="O333" s="1596"/>
      <c r="P333" s="1593"/>
      <c r="Q333" s="1599"/>
      <c r="R333" s="48">
        <v>3</v>
      </c>
      <c r="S333" s="79"/>
      <c r="T333" s="50" t="str">
        <f t="shared" ref="T333" si="222">IF(OR(U333="Preventivo",U333="Detectivo"),"Probabilidad",IF(U333="Correctivo","Impacto",""))</f>
        <v/>
      </c>
      <c r="U333" s="61"/>
      <c r="V333" s="61"/>
      <c r="W333" s="62" t="str">
        <f t="shared" si="218"/>
        <v/>
      </c>
      <c r="X333" s="61"/>
      <c r="Y333" s="61"/>
      <c r="Z333" s="421"/>
      <c r="AA333" s="422" t="str">
        <f>IFERROR(IF(AND(T332="Probabilidad",T333="Probabilidad"),(AC332-(+AC332*W333)),IF(AND(T332="Impacto",T333="Probabilidad"),(AC331-(+AC331*W333)),IF(T333="Impacto",AC332,""))),"")</f>
        <v/>
      </c>
      <c r="AB333" s="423" t="str">
        <f t="shared" si="219"/>
        <v/>
      </c>
      <c r="AC333" s="424" t="str">
        <f t="shared" ref="AC333" si="223">+AA333</f>
        <v/>
      </c>
      <c r="AD333" s="423" t="str">
        <f t="shared" si="220"/>
        <v/>
      </c>
      <c r="AE333" s="424" t="str">
        <f t="shared" ref="AE333" si="224">IFERROR(IF(AND(T332="Impacto",T333="Impacto"),(AE332-(+AE332*W333)),IF(AND(T332="Probabilidad",T333="Impacto"),(AE331-(+AE331*W333)),IF(T333="Probabilidad",AE332,""))),"")</f>
        <v/>
      </c>
      <c r="AF333" s="425" t="str">
        <f t="shared" si="221"/>
        <v/>
      </c>
      <c r="AG333" s="426"/>
      <c r="AH333" s="427"/>
      <c r="AI333" s="393"/>
      <c r="AJ333" s="416"/>
      <c r="AK333" s="416"/>
      <c r="AL333" s="417"/>
      <c r="AM333" s="418"/>
      <c r="AN333" s="413"/>
      <c r="AO333" s="413"/>
      <c r="AP333" s="411"/>
    </row>
    <row r="334" spans="1:42" s="184" customFormat="1" ht="16.5" customHeight="1" x14ac:dyDescent="0.25">
      <c r="A334" s="1681" t="s">
        <v>156</v>
      </c>
      <c r="B334" s="1682"/>
      <c r="C334" s="1682"/>
      <c r="D334" s="1682"/>
      <c r="E334" s="1682"/>
      <c r="F334" s="1682"/>
      <c r="G334" s="1682"/>
      <c r="H334" s="1682"/>
      <c r="I334" s="1682"/>
      <c r="J334" s="1682"/>
      <c r="K334" s="1682"/>
      <c r="L334" s="1682"/>
      <c r="M334" s="1682"/>
      <c r="N334" s="1682"/>
      <c r="O334" s="1682"/>
      <c r="P334" s="1682"/>
      <c r="Q334" s="1682"/>
      <c r="R334" s="1682"/>
      <c r="S334" s="1682"/>
      <c r="T334" s="1682"/>
      <c r="U334" s="1682"/>
      <c r="V334" s="1682"/>
      <c r="W334" s="1682"/>
      <c r="X334" s="1682"/>
      <c r="Y334" s="1682"/>
      <c r="Z334" s="1682"/>
      <c r="AA334" s="1682"/>
      <c r="AB334" s="1682"/>
      <c r="AC334" s="1682"/>
      <c r="AD334" s="1682"/>
      <c r="AE334" s="1682"/>
      <c r="AF334" s="1682"/>
      <c r="AG334" s="1682"/>
      <c r="AH334" s="1682"/>
      <c r="AI334" s="1682"/>
      <c r="AJ334" s="1682"/>
      <c r="AK334" s="1682"/>
      <c r="AL334" s="1682"/>
      <c r="AM334" s="1683"/>
      <c r="AN334" s="37"/>
      <c r="AO334" s="37"/>
      <c r="AP334" s="37"/>
    </row>
    <row r="335" spans="1:42" s="184" customFormat="1" ht="24" customHeight="1" x14ac:dyDescent="0.25">
      <c r="A335" s="1684"/>
      <c r="B335" s="1685"/>
      <c r="C335" s="1685"/>
      <c r="D335" s="1685"/>
      <c r="E335" s="1685"/>
      <c r="F335" s="1685"/>
      <c r="G335" s="1685"/>
      <c r="H335" s="1685"/>
      <c r="I335" s="1685"/>
      <c r="J335" s="1685"/>
      <c r="K335" s="1685"/>
      <c r="L335" s="1685"/>
      <c r="M335" s="1685"/>
      <c r="N335" s="1685"/>
      <c r="O335" s="1685"/>
      <c r="P335" s="1685"/>
      <c r="Q335" s="1685"/>
      <c r="R335" s="1685"/>
      <c r="S335" s="1685"/>
      <c r="T335" s="1685"/>
      <c r="U335" s="1685"/>
      <c r="V335" s="1685"/>
      <c r="W335" s="1685"/>
      <c r="X335" s="1685"/>
      <c r="Y335" s="1685"/>
      <c r="Z335" s="1685"/>
      <c r="AA335" s="1685"/>
      <c r="AB335" s="1685"/>
      <c r="AC335" s="1685"/>
      <c r="AD335" s="1685"/>
      <c r="AE335" s="1685"/>
      <c r="AF335" s="1685"/>
      <c r="AG335" s="1685"/>
      <c r="AH335" s="1685"/>
      <c r="AI335" s="1685"/>
      <c r="AJ335" s="1685"/>
      <c r="AK335" s="1685"/>
      <c r="AL335" s="1685"/>
      <c r="AM335" s="1686"/>
      <c r="AN335" s="37"/>
      <c r="AO335" s="37"/>
      <c r="AP335" s="37"/>
    </row>
    <row r="337" spans="1:39" s="184" customFormat="1" ht="26.25" customHeight="1" x14ac:dyDescent="0.25">
      <c r="A337" s="1667" t="s">
        <v>157</v>
      </c>
      <c r="B337" s="1668"/>
      <c r="C337" s="1680" t="s">
        <v>286</v>
      </c>
      <c r="D337" s="1680"/>
      <c r="E337" s="1680"/>
      <c r="F337" s="1680"/>
      <c r="G337" s="1680"/>
      <c r="H337" s="1680"/>
      <c r="I337" s="1680"/>
      <c r="J337" s="1680"/>
      <c r="K337" s="1680"/>
      <c r="L337" s="1680"/>
      <c r="M337" s="1680"/>
      <c r="N337" s="1680"/>
      <c r="O337" s="1680"/>
      <c r="P337" s="1680"/>
      <c r="Q337" s="1680"/>
      <c r="R337" s="1680"/>
      <c r="S337" s="1680"/>
      <c r="T337" s="1680"/>
      <c r="U337" s="1680"/>
      <c r="V337" s="1680"/>
      <c r="W337" s="1680"/>
      <c r="X337" s="1680"/>
      <c r="Y337" s="1680"/>
      <c r="Z337" s="1680"/>
      <c r="AA337" s="1680"/>
      <c r="AB337" s="1680"/>
      <c r="AC337" s="1680"/>
      <c r="AD337" s="1680"/>
      <c r="AE337" s="1680"/>
      <c r="AF337" s="1680"/>
      <c r="AG337" s="1680"/>
      <c r="AH337" s="1680"/>
      <c r="AI337" s="1680"/>
      <c r="AJ337" s="1680"/>
      <c r="AK337" s="1680"/>
      <c r="AL337" s="1680"/>
      <c r="AM337" s="1680"/>
    </row>
    <row r="338" spans="1:39" s="184" customFormat="1" ht="50.25" customHeight="1" x14ac:dyDescent="0.25">
      <c r="A338" s="1667" t="s">
        <v>158</v>
      </c>
      <c r="B338" s="1668"/>
      <c r="C338" s="1680" t="s">
        <v>287</v>
      </c>
      <c r="D338" s="1680"/>
      <c r="E338" s="1680"/>
      <c r="F338" s="1680"/>
      <c r="G338" s="1680"/>
      <c r="H338" s="1680"/>
      <c r="I338" s="1680"/>
      <c r="J338" s="1680"/>
      <c r="K338" s="1680"/>
      <c r="L338" s="1680"/>
      <c r="M338" s="1680"/>
      <c r="N338" s="1680"/>
      <c r="O338" s="1680"/>
      <c r="P338" s="1680"/>
      <c r="Q338" s="1680"/>
      <c r="R338" s="1680"/>
      <c r="S338" s="1680"/>
      <c r="T338" s="1680"/>
      <c r="U338" s="1680"/>
      <c r="V338" s="1680"/>
      <c r="W338" s="1680"/>
      <c r="X338" s="1680"/>
      <c r="Y338" s="1680"/>
      <c r="Z338" s="1680"/>
      <c r="AA338" s="1680"/>
      <c r="AB338" s="1680"/>
      <c r="AC338" s="1680"/>
      <c r="AD338" s="1680"/>
      <c r="AE338" s="1680"/>
      <c r="AF338" s="1680"/>
      <c r="AG338" s="1680"/>
      <c r="AH338" s="1680"/>
      <c r="AI338" s="1680"/>
      <c r="AJ338" s="1680"/>
      <c r="AK338" s="1680"/>
      <c r="AL338" s="1680"/>
      <c r="AM338" s="1680"/>
    </row>
    <row r="339" spans="1:39" s="184" customFormat="1" ht="49.5" customHeight="1" x14ac:dyDescent="0.25">
      <c r="A339" s="1667" t="s">
        <v>159</v>
      </c>
      <c r="B339" s="1668"/>
      <c r="C339" s="1669" t="s">
        <v>288</v>
      </c>
      <c r="D339" s="1669"/>
      <c r="E339" s="1669"/>
      <c r="F339" s="1669"/>
      <c r="G339" s="1669"/>
      <c r="H339" s="1669"/>
      <c r="I339" s="1669"/>
      <c r="J339" s="1669"/>
      <c r="K339" s="1669"/>
      <c r="L339" s="1669"/>
      <c r="M339" s="1669"/>
      <c r="N339" s="1669"/>
      <c r="O339" s="1669"/>
      <c r="P339" s="1669"/>
      <c r="Q339" s="1669"/>
      <c r="R339" s="1669"/>
      <c r="S339" s="1669"/>
      <c r="T339" s="1669"/>
      <c r="U339" s="1669"/>
      <c r="V339" s="1669"/>
      <c r="W339" s="1669"/>
      <c r="X339" s="1669"/>
      <c r="Y339" s="1669"/>
      <c r="Z339" s="1669"/>
      <c r="AA339" s="1669"/>
      <c r="AB339" s="1669"/>
      <c r="AC339" s="1669"/>
      <c r="AD339" s="1669"/>
      <c r="AE339" s="1669"/>
      <c r="AF339" s="1669"/>
      <c r="AG339" s="1669"/>
      <c r="AH339" s="1669"/>
      <c r="AI339" s="1669"/>
      <c r="AJ339" s="1669"/>
      <c r="AK339" s="1669"/>
      <c r="AL339" s="1669"/>
      <c r="AM339" s="1669"/>
    </row>
    <row r="340" spans="1:39" s="184" customFormat="1" x14ac:dyDescent="0.25">
      <c r="A340" s="1670" t="s">
        <v>160</v>
      </c>
      <c r="B340" s="1671"/>
      <c r="C340" s="1672"/>
      <c r="D340" s="1672"/>
      <c r="E340" s="1672"/>
      <c r="F340" s="1672"/>
      <c r="G340" s="1672"/>
      <c r="H340" s="1672"/>
      <c r="I340" s="1672"/>
      <c r="J340" s="1673"/>
      <c r="K340" s="1630" t="s">
        <v>161</v>
      </c>
      <c r="L340" s="1672"/>
      <c r="M340" s="1672"/>
      <c r="N340" s="1672"/>
      <c r="O340" s="1672"/>
      <c r="P340" s="1672"/>
      <c r="Q340" s="1673"/>
      <c r="R340" s="1630" t="s">
        <v>162</v>
      </c>
      <c r="S340" s="1672"/>
      <c r="T340" s="1672"/>
      <c r="U340" s="1672"/>
      <c r="V340" s="1672"/>
      <c r="W340" s="1672"/>
      <c r="X340" s="1672"/>
      <c r="Y340" s="1672"/>
      <c r="Z340" s="1673"/>
      <c r="AA340" s="1630" t="s">
        <v>163</v>
      </c>
      <c r="AB340" s="1672"/>
      <c r="AC340" s="1672"/>
      <c r="AD340" s="1672"/>
      <c r="AE340" s="1672"/>
      <c r="AF340" s="1672"/>
      <c r="AG340" s="1673"/>
      <c r="AH340" s="1630" t="s">
        <v>164</v>
      </c>
      <c r="AI340" s="1672"/>
      <c r="AJ340" s="1672"/>
      <c r="AK340" s="1672"/>
      <c r="AL340" s="1672"/>
      <c r="AM340" s="1673"/>
    </row>
    <row r="341" spans="1:39" s="184" customFormat="1" ht="16.5" customHeight="1" x14ac:dyDescent="0.25">
      <c r="A341" s="1649" t="s">
        <v>165</v>
      </c>
      <c r="B341" s="1651" t="s">
        <v>142</v>
      </c>
      <c r="C341" s="1626" t="s">
        <v>166</v>
      </c>
      <c r="D341" s="1626" t="s">
        <v>167</v>
      </c>
      <c r="E341" s="1631" t="s">
        <v>168</v>
      </c>
      <c r="F341" s="1652" t="s">
        <v>60</v>
      </c>
      <c r="G341" s="56"/>
      <c r="H341" s="56"/>
      <c r="I341" s="1631" t="s">
        <v>169</v>
      </c>
      <c r="J341" s="1626" t="s">
        <v>170</v>
      </c>
      <c r="K341" s="1628" t="s">
        <v>171</v>
      </c>
      <c r="L341" s="1629" t="s">
        <v>172</v>
      </c>
      <c r="M341" s="1631" t="s">
        <v>173</v>
      </c>
      <c r="N341" s="1631" t="s">
        <v>174</v>
      </c>
      <c r="O341" s="1666" t="s">
        <v>175</v>
      </c>
      <c r="P341" s="1629" t="s">
        <v>172</v>
      </c>
      <c r="Q341" s="1626" t="s">
        <v>176</v>
      </c>
      <c r="R341" s="1664" t="s">
        <v>177</v>
      </c>
      <c r="S341" s="1627" t="s">
        <v>178</v>
      </c>
      <c r="T341" s="1631" t="s">
        <v>179</v>
      </c>
      <c r="U341" s="1627" t="s">
        <v>180</v>
      </c>
      <c r="V341" s="1627"/>
      <c r="W341" s="1627"/>
      <c r="X341" s="1627"/>
      <c r="Y341" s="1627"/>
      <c r="Z341" s="1627"/>
      <c r="AA341" s="1663" t="s">
        <v>181</v>
      </c>
      <c r="AB341" s="1663" t="s">
        <v>182</v>
      </c>
      <c r="AC341" s="1663" t="s">
        <v>172</v>
      </c>
      <c r="AD341" s="1663" t="s">
        <v>183</v>
      </c>
      <c r="AE341" s="1663" t="s">
        <v>172</v>
      </c>
      <c r="AF341" s="1663" t="s">
        <v>184</v>
      </c>
      <c r="AG341" s="1664" t="s">
        <v>185</v>
      </c>
      <c r="AH341" s="1627" t="s">
        <v>164</v>
      </c>
      <c r="AI341" s="1627" t="s">
        <v>143</v>
      </c>
      <c r="AJ341" s="1627" t="s">
        <v>186</v>
      </c>
      <c r="AK341" s="1627" t="s">
        <v>187</v>
      </c>
      <c r="AL341" s="1627" t="s">
        <v>909</v>
      </c>
      <c r="AM341" s="1627" t="s">
        <v>189</v>
      </c>
    </row>
    <row r="342" spans="1:39" s="222" customFormat="1" ht="121.5" customHeight="1" x14ac:dyDescent="0.3">
      <c r="A342" s="1650"/>
      <c r="B342" s="1651"/>
      <c r="C342" s="1627"/>
      <c r="D342" s="1627"/>
      <c r="E342" s="1628"/>
      <c r="F342" s="1653"/>
      <c r="G342" s="56" t="s">
        <v>511</v>
      </c>
      <c r="H342" s="56" t="s">
        <v>190</v>
      </c>
      <c r="I342" s="1626"/>
      <c r="J342" s="1627"/>
      <c r="K342" s="1626"/>
      <c r="L342" s="1630"/>
      <c r="M342" s="1626"/>
      <c r="N342" s="1626"/>
      <c r="O342" s="1630"/>
      <c r="P342" s="1630"/>
      <c r="Q342" s="1627"/>
      <c r="R342" s="1665"/>
      <c r="S342" s="1627"/>
      <c r="T342" s="1626"/>
      <c r="U342" s="42" t="s">
        <v>191</v>
      </c>
      <c r="V342" s="42" t="s">
        <v>192</v>
      </c>
      <c r="W342" s="42" t="s">
        <v>193</v>
      </c>
      <c r="X342" s="42" t="s">
        <v>194</v>
      </c>
      <c r="Y342" s="42" t="s">
        <v>195</v>
      </c>
      <c r="Z342" s="42" t="s">
        <v>196</v>
      </c>
      <c r="AA342" s="1663"/>
      <c r="AB342" s="1663"/>
      <c r="AC342" s="1663"/>
      <c r="AD342" s="1663"/>
      <c r="AE342" s="1663"/>
      <c r="AF342" s="1663"/>
      <c r="AG342" s="1665"/>
      <c r="AH342" s="1627"/>
      <c r="AI342" s="1627"/>
      <c r="AJ342" s="1627"/>
      <c r="AK342" s="1627"/>
      <c r="AL342" s="1627"/>
      <c r="AM342" s="1627"/>
    </row>
    <row r="343" spans="1:39" s="231" customFormat="1" ht="210" customHeight="1" x14ac:dyDescent="0.3">
      <c r="A343" s="1618">
        <v>1</v>
      </c>
      <c r="B343" s="1656" t="s">
        <v>209</v>
      </c>
      <c r="C343" s="1656" t="s">
        <v>289</v>
      </c>
      <c r="D343" s="1659" t="s">
        <v>290</v>
      </c>
      <c r="E343" s="90" t="s">
        <v>910</v>
      </c>
      <c r="F343" s="1603" t="s">
        <v>911</v>
      </c>
      <c r="G343" s="241"/>
      <c r="H343" s="1603" t="s">
        <v>291</v>
      </c>
      <c r="I343" s="1654" t="s">
        <v>292</v>
      </c>
      <c r="J343" s="1640">
        <v>8760</v>
      </c>
      <c r="K343" s="1643" t="str">
        <f>IF(J343&lt;=0,"",IF(J343&lt;=2,"Muy Baja",IF(J343&lt;=24,"Baja",IF(J343&lt;=500,"Media",IF(J343&lt;=5000,"Alta","Muy Alta")))))</f>
        <v>Muy Alta</v>
      </c>
      <c r="L343" s="1632">
        <f>IF(K343="","",IF(K343="Muy Baja",0.2,IF(K343="Baja",0.4,IF(K343="Media",0.6,IF(K343="Alta",0.8,IF(K343="Muy Alta",1,))))))</f>
        <v>1</v>
      </c>
      <c r="M343" s="1646" t="s">
        <v>225</v>
      </c>
      <c r="N343" s="1632" t="str">
        <f>IF(NOT(ISERROR(MATCH(M343,'[19]Tabla Impacto'!$B$221:$B$223,0))),'[19]Tabla Impacto'!$F$223&amp;"Por favor no seleccionar los criterios de impacto(Afectación Económica o presupuestal y Pérdida Reputacional)",M343)</f>
        <v xml:space="preserve">     El riesgo afecta la imagen de la entidad con algunos usuarios de relevancia frente al logro de los objetivos</v>
      </c>
      <c r="O343" s="1643" t="str">
        <f>IF(OR(N343='[19]Tabla Impacto'!$C$11,N343='[19]Tabla Impacto'!$D$11),"Leve",IF(OR(N343='[19]Tabla Impacto'!$C$12,N343='[19]Tabla Impacto'!$D$12),"Menor",IF(OR(N343='[19]Tabla Impacto'!$C$13,N343='[19]Tabla Impacto'!$D$13),"Moderado",IF(OR(N343='[19]Tabla Impacto'!$C$14,N343='[19]Tabla Impacto'!$D$14),"Mayor",IF(OR(N343='[19]Tabla Impacto'!$C$15,N343='[19]Tabla Impacto'!$D$15),"Catastrófico","")))))</f>
        <v>Moderado</v>
      </c>
      <c r="P343" s="1632">
        <f>IF(O343="","",IF(O343="Leve",0.2,IF(O343="Menor",0.4,IF(O343="Moderado",0.6,IF(O343="Mayor",0.8,IF(O343="Catastrófico",1,))))))</f>
        <v>0.6</v>
      </c>
      <c r="Q343" s="1635" t="str">
        <f>IF(OR(AND(K343="Muy Baja",O343="Leve"),AND(K343="Muy Baja",O343="Menor"),AND(K343="Baja",O343="Leve")),"Bajo",IF(OR(AND(K343="Muy baja",O343="Moderado"),AND(K343="Baja",O343="Menor"),AND(K343="Baja",O343="Moderado"),AND(K343="Media",O343="Leve"),AND(K343="Media",O343="Menor"),AND(K343="Media",O343="Moderado"),AND(K343="Alta",O343="Leve"),AND(K343="Alta",O343="Menor")),"Moderado",IF(OR(AND(K343="Muy Baja",O343="Mayor"),AND(K343="Baja",O343="Mayor"),AND(K343="Media",O343="Mayor"),AND(K343="Alta",O343="Moderado"),AND(K343="Alta",O343="Mayor"),AND(K343="Muy Alta",O343="Leve"),AND(K343="Muy Alta",O343="Menor"),AND(K343="Muy Alta",O343="Moderado"),AND(K343="Muy Alta",O343="Mayor")),"Alto",IF(OR(AND(K343="Muy Baja",O343="Catastrófico"),AND(K343="Baja",O343="Catastrófico"),AND(K343="Media",O343="Catastrófico"),AND(K343="Alta",O343="Catastrófico"),AND(K343="Muy Alta",O343="Catastrófico")),"Extremo",""))))</f>
        <v>Alto</v>
      </c>
      <c r="R343" s="48">
        <v>1</v>
      </c>
      <c r="S343" s="60" t="s">
        <v>912</v>
      </c>
      <c r="T343" s="50" t="str">
        <f t="shared" ref="T343:T345" si="225">IF(OR(U343="Preventivo",U343="Detectivo"),"Probabilidad",IF(U343="Correctivo","Impacto",""))</f>
        <v>Probabilidad</v>
      </c>
      <c r="U343" s="61" t="s">
        <v>207</v>
      </c>
      <c r="V343" s="61" t="s">
        <v>201</v>
      </c>
      <c r="W343" s="62" t="str">
        <f>IF(AND(U343="Preventivo",V343="Automático"),"50%",IF(AND(U343="Preventivo",V343="Manual"),"40%",IF(AND(U343="Detectivo",V343="Automático"),"40%",IF(AND(U343="Detectivo",V343="Manual"),"30%",IF(AND(U343="Correctivo",V343="Automático"),"35%",IF(AND(U343="Correctivo",V343="Manual"),"25%",""))))))</f>
        <v>40%</v>
      </c>
      <c r="X343" s="61" t="s">
        <v>208</v>
      </c>
      <c r="Y343" s="61" t="s">
        <v>210</v>
      </c>
      <c r="Z343" s="61" t="s">
        <v>204</v>
      </c>
      <c r="AA343" s="63">
        <f>IFERROR(IF(T343="Probabilidad",(L343-(+L343*W343)),IF(T343="Impacto",L343,"")),"")</f>
        <v>0.6</v>
      </c>
      <c r="AB343" s="64" t="str">
        <f>IFERROR(IF(AA343="","",IF(AA343&lt;=0.2,"Muy Baja",IF(AA343&lt;=0.4,"Baja",IF(AA343&lt;=0.6,"Media",IF(AA343&lt;=0.8,"Alta","Muy Alta"))))),"")</f>
        <v>Media</v>
      </c>
      <c r="AC343" s="65">
        <f>+AA343</f>
        <v>0.6</v>
      </c>
      <c r="AD343" s="64" t="str">
        <f>IFERROR(IF(AE343="","",IF(AE343&lt;=0.2,"Leve",IF(AE343&lt;=0.4,"Menor",IF(AE343&lt;=0.6,"Moderado",IF(AE343&lt;=0.8,"Mayor","Catastrófico"))))),"")</f>
        <v>Moderado</v>
      </c>
      <c r="AE343" s="65">
        <f>IFERROR(IF(T343="Impacto",(P343-(+P343*W343)),IF(T343="Probabilidad",P343,"")),"")</f>
        <v>0.6</v>
      </c>
      <c r="AF343" s="66" t="str">
        <f>IFERROR(IF(OR(AND(AB343="Muy Baja",AD343="Leve"),AND(AB343="Muy Baja",AD343="Menor"),AND(AB343="Baja",AD343="Leve")),"Bajo",IF(OR(AND(AB343="Muy baja",AD343="Moderado"),AND(AB343="Baja",AD343="Menor"),AND(AB343="Baja",AD343="Moderado"),AND(AB343="Media",AD343="Leve"),AND(AB343="Media",AD343="Menor"),AND(AB343="Media",AD343="Moderado"),AND(AB343="Alta",AD343="Leve"),AND(AB343="Alta",AD343="Menor")),"Moderado",IF(OR(AND(AB343="Muy Baja",AD343="Mayor"),AND(AB343="Baja",AD343="Mayor"),AND(AB343="Media",AD343="Mayor"),AND(AB343="Alta",AD343="Moderado"),AND(AB343="Alta",AD343="Mayor"),AND(AB343="Muy Alta",AD343="Leve"),AND(AB343="Muy Alta",AD343="Menor"),AND(AB343="Muy Alta",AD343="Moderado"),AND(AB343="Muy Alta",AD343="Mayor")),"Alto",IF(OR(AND(AB343="Muy Baja",AD343="Catastrófico"),AND(AB343="Baja",AD343="Catastrófico"),AND(AB343="Media",AD343="Catastrófico"),AND(AB343="Alta",AD343="Catastrófico"),AND(AB343="Muy Alta",AD343="Catastrófico")),"Extremo","")))),"")</f>
        <v>Moderado</v>
      </c>
      <c r="AG343" s="81" t="s">
        <v>205</v>
      </c>
      <c r="AH343" s="149">
        <f>+'[20]DOFA '!E364</f>
        <v>0</v>
      </c>
      <c r="AI343" s="70" t="s">
        <v>293</v>
      </c>
      <c r="AJ343" s="147" t="s">
        <v>913</v>
      </c>
      <c r="AK343" s="148"/>
      <c r="AL343" s="149" t="s">
        <v>914</v>
      </c>
      <c r="AM343" s="70" t="s">
        <v>206</v>
      </c>
    </row>
    <row r="344" spans="1:39" s="184" customFormat="1" ht="242.25" customHeight="1" x14ac:dyDescent="0.25">
      <c r="A344" s="1619"/>
      <c r="B344" s="1657"/>
      <c r="C344" s="1657"/>
      <c r="D344" s="1660"/>
      <c r="E344" s="150" t="s">
        <v>915</v>
      </c>
      <c r="F344" s="1604"/>
      <c r="G344" s="241"/>
      <c r="H344" s="1604"/>
      <c r="I344" s="1655"/>
      <c r="J344" s="1641"/>
      <c r="K344" s="1644"/>
      <c r="L344" s="1633"/>
      <c r="M344" s="1647"/>
      <c r="N344" s="1633">
        <f>IF(NOT(ISERROR(MATCH(M344,_xlfn.ANCHORARRAY(F351),0))),L353&amp;"Por favor no seleccionar los criterios de impacto",M344)</f>
        <v>0</v>
      </c>
      <c r="O344" s="1644"/>
      <c r="P344" s="1633"/>
      <c r="Q344" s="1636"/>
      <c r="R344" s="48">
        <v>2</v>
      </c>
      <c r="S344" s="60" t="s">
        <v>916</v>
      </c>
      <c r="T344" s="50" t="str">
        <f t="shared" si="225"/>
        <v>Probabilidad</v>
      </c>
      <c r="U344" s="61" t="s">
        <v>207</v>
      </c>
      <c r="V344" s="61" t="s">
        <v>201</v>
      </c>
      <c r="W344" s="62" t="str">
        <f t="shared" ref="W344:W346" si="226">IF(AND(U344="Preventivo",V344="Automático"),"50%",IF(AND(U344="Preventivo",V344="Manual"),"40%",IF(AND(U344="Detectivo",V344="Automático"),"40%",IF(AND(U344="Detectivo",V344="Manual"),"30%",IF(AND(U344="Correctivo",V344="Automático"),"35%",IF(AND(U344="Correctivo",V344="Manual"),"25%",""))))))</f>
        <v>40%</v>
      </c>
      <c r="X344" s="61" t="s">
        <v>208</v>
      </c>
      <c r="Y344" s="61" t="s">
        <v>210</v>
      </c>
      <c r="Z344" s="61" t="s">
        <v>204</v>
      </c>
      <c r="AA344" s="63">
        <f>IFERROR(IF(AND(T343="Probabilidad",T344="Probabilidad"),(AC343-(+AC343*W344)),IF(AND(T343="Impacto",T344="Probabilidad"),(AC342-(+AC342*W344)),IF(T344="Impacto",AC343,""))),"")</f>
        <v>0.36</v>
      </c>
      <c r="AB344" s="64" t="str">
        <f t="shared" ref="AB344:AB346" si="227">IFERROR(IF(AA344="","",IF(AA344&lt;=0.2,"Muy Baja",IF(AA344&lt;=0.4,"Baja",IF(AA344&lt;=0.6,"Media",IF(AA344&lt;=0.8,"Alta","Muy Alta"))))),"")</f>
        <v>Baja</v>
      </c>
      <c r="AC344" s="65">
        <f t="shared" ref="AC344:AC346" si="228">+AA344</f>
        <v>0.36</v>
      </c>
      <c r="AD344" s="64" t="str">
        <f t="shared" ref="AD344:AD346" si="229">IFERROR(IF(AE344="","",IF(AE344&lt;=0.2,"Leve",IF(AE344&lt;=0.4,"Menor",IF(AE344&lt;=0.6,"Moderado",IF(AE344&lt;=0.8,"Mayor","Catastrófico"))))),"")</f>
        <v>Moderado</v>
      </c>
      <c r="AE344" s="65">
        <f>IFERROR(IF(AND(T343="Impacto",T344="Impacto"),(AE343-(+AE343*W344)),IF(AND(T343="Probabilidad",T344="Impacto"),(AE342-(+AE342*W344)),IF(T344="Probabilidad",AE343,""))),"")</f>
        <v>0.6</v>
      </c>
      <c r="AF344" s="66" t="str">
        <f t="shared" ref="AF344:AF346" si="230">IFERROR(IF(OR(AND(AB344="Muy Baja",AD344="Leve"),AND(AB344="Muy Baja",AD344="Menor"),AND(AB344="Baja",AD344="Leve")),"Bajo",IF(OR(AND(AB344="Muy baja",AD344="Moderado"),AND(AB344="Baja",AD344="Menor"),AND(AB344="Baja",AD344="Moderado"),AND(AB344="Media",AD344="Leve"),AND(AB344="Media",AD344="Menor"),AND(AB344="Media",AD344="Moderado"),AND(AB344="Alta",AD344="Leve"),AND(AB344="Alta",AD344="Menor")),"Moderado",IF(OR(AND(AB344="Muy Baja",AD344="Mayor"),AND(AB344="Baja",AD344="Mayor"),AND(AB344="Media",AD344="Mayor"),AND(AB344="Alta",AD344="Moderado"),AND(AB344="Alta",AD344="Mayor"),AND(AB344="Muy Alta",AD344="Leve"),AND(AB344="Muy Alta",AD344="Menor"),AND(AB344="Muy Alta",AD344="Moderado"),AND(AB344="Muy Alta",AD344="Mayor")),"Alto",IF(OR(AND(AB344="Muy Baja",AD344="Catastrófico"),AND(AB344="Baja",AD344="Catastrófico"),AND(AB344="Media",AD344="Catastrófico"),AND(AB344="Alta",AD344="Catastrófico"),AND(AB344="Muy Alta",AD344="Catastrófico")),"Extremo","")))),"")</f>
        <v>Moderado</v>
      </c>
      <c r="AG344" s="81" t="s">
        <v>205</v>
      </c>
      <c r="AH344" s="97" t="s">
        <v>294</v>
      </c>
      <c r="AI344" s="70" t="s">
        <v>293</v>
      </c>
      <c r="AJ344" s="100" t="s">
        <v>917</v>
      </c>
      <c r="AK344" s="148">
        <v>45473</v>
      </c>
      <c r="AL344" s="97" t="s">
        <v>918</v>
      </c>
      <c r="AM344" s="70" t="s">
        <v>206</v>
      </c>
    </row>
    <row r="345" spans="1:39" s="184" customFormat="1" ht="166.5" customHeight="1" x14ac:dyDescent="0.25">
      <c r="A345" s="1619"/>
      <c r="B345" s="1657"/>
      <c r="C345" s="1657"/>
      <c r="D345" s="1660"/>
      <c r="E345" s="80" t="s">
        <v>919</v>
      </c>
      <c r="F345" s="1604"/>
      <c r="G345" s="241"/>
      <c r="H345" s="1604"/>
      <c r="I345" s="1655"/>
      <c r="J345" s="1641"/>
      <c r="K345" s="1644"/>
      <c r="L345" s="1633"/>
      <c r="M345" s="1647"/>
      <c r="N345" s="1633">
        <f>IF(NOT(ISERROR(MATCH(M345,_xlfn.ANCHORARRAY(F352),0))),L354&amp;"Por favor no seleccionar los criterios de impacto",M345)</f>
        <v>0</v>
      </c>
      <c r="O345" s="1644"/>
      <c r="P345" s="1633"/>
      <c r="Q345" s="1636"/>
      <c r="R345" s="48">
        <v>3</v>
      </c>
      <c r="S345" s="49" t="s">
        <v>296</v>
      </c>
      <c r="T345" s="50" t="str">
        <f t="shared" si="225"/>
        <v>Probabilidad</v>
      </c>
      <c r="U345" s="61" t="s">
        <v>207</v>
      </c>
      <c r="V345" s="61" t="s">
        <v>201</v>
      </c>
      <c r="W345" s="62" t="str">
        <f t="shared" si="226"/>
        <v>40%</v>
      </c>
      <c r="X345" s="61" t="s">
        <v>208</v>
      </c>
      <c r="Y345" s="61" t="s">
        <v>210</v>
      </c>
      <c r="Z345" s="61" t="s">
        <v>204</v>
      </c>
      <c r="AA345" s="63">
        <f t="shared" ref="AA345:AA346" si="231">IFERROR(IF(AND(T344="Probabilidad",T345="Probabilidad"),(AC344-(+AC344*W345)),IF(AND(T344="Impacto",T345="Probabilidad"),(AC343-(+AC343*W345)),IF(T345="Impacto",AC344,""))),"")</f>
        <v>0.216</v>
      </c>
      <c r="AB345" s="64" t="str">
        <f t="shared" si="227"/>
        <v>Baja</v>
      </c>
      <c r="AC345" s="65">
        <f t="shared" si="228"/>
        <v>0.216</v>
      </c>
      <c r="AD345" s="64" t="str">
        <f t="shared" si="229"/>
        <v>Moderado</v>
      </c>
      <c r="AE345" s="65">
        <f t="shared" ref="AE345:AE346" si="232">IFERROR(IF(AND(T344="Impacto",T345="Impacto"),(AE344-(+AE344*W345)),IF(AND(T344="Probabilidad",T345="Impacto"),(AE343-(+AE343*W345)),IF(T345="Probabilidad",AE344,""))),"")</f>
        <v>0.6</v>
      </c>
      <c r="AF345" s="66" t="str">
        <f t="shared" si="230"/>
        <v>Moderado</v>
      </c>
      <c r="AG345" s="81" t="s">
        <v>205</v>
      </c>
      <c r="AH345" s="77">
        <f>+'[20]DOFA '!E366</f>
        <v>0</v>
      </c>
      <c r="AI345" s="77" t="s">
        <v>297</v>
      </c>
      <c r="AJ345" s="100" t="s">
        <v>920</v>
      </c>
      <c r="AK345" s="148">
        <v>45473</v>
      </c>
      <c r="AL345" s="97" t="s">
        <v>921</v>
      </c>
      <c r="AM345" s="70" t="s">
        <v>206</v>
      </c>
    </row>
    <row r="346" spans="1:39" s="184" customFormat="1" ht="204.75" customHeight="1" x14ac:dyDescent="0.25">
      <c r="A346" s="71"/>
      <c r="B346" s="72"/>
      <c r="C346" s="72"/>
      <c r="D346" s="73"/>
      <c r="E346" s="80" t="s">
        <v>922</v>
      </c>
      <c r="F346" s="151"/>
      <c r="G346" s="241"/>
      <c r="H346" s="1605"/>
      <c r="I346" s="75"/>
      <c r="J346" s="1642"/>
      <c r="K346" s="1645"/>
      <c r="L346" s="1634"/>
      <c r="M346" s="1648"/>
      <c r="N346" s="76"/>
      <c r="O346" s="1645"/>
      <c r="P346" s="76"/>
      <c r="Q346" s="1637"/>
      <c r="R346" s="48">
        <v>4</v>
      </c>
      <c r="S346" s="49" t="s">
        <v>923</v>
      </c>
      <c r="T346" s="50" t="s">
        <v>141</v>
      </c>
      <c r="U346" s="61" t="s">
        <v>207</v>
      </c>
      <c r="V346" s="61" t="s">
        <v>201</v>
      </c>
      <c r="W346" s="62" t="str">
        <f t="shared" si="226"/>
        <v>40%</v>
      </c>
      <c r="X346" s="61" t="s">
        <v>202</v>
      </c>
      <c r="Y346" s="61" t="s">
        <v>210</v>
      </c>
      <c r="Z346" s="61" t="s">
        <v>298</v>
      </c>
      <c r="AA346" s="63">
        <f t="shared" si="231"/>
        <v>0.12959999999999999</v>
      </c>
      <c r="AB346" s="64" t="str">
        <f t="shared" si="227"/>
        <v>Muy Baja</v>
      </c>
      <c r="AC346" s="65">
        <f t="shared" si="228"/>
        <v>0.12959999999999999</v>
      </c>
      <c r="AD346" s="64" t="str">
        <f t="shared" si="229"/>
        <v>Moderado</v>
      </c>
      <c r="AE346" s="65">
        <f t="shared" si="232"/>
        <v>0.6</v>
      </c>
      <c r="AF346" s="66" t="str">
        <f t="shared" si="230"/>
        <v>Moderado</v>
      </c>
      <c r="AG346" s="81" t="s">
        <v>205</v>
      </c>
      <c r="AH346" s="77">
        <f>+'[20]DOFA '!E380</f>
        <v>0</v>
      </c>
      <c r="AI346" s="77" t="s">
        <v>297</v>
      </c>
      <c r="AJ346" s="100" t="s">
        <v>924</v>
      </c>
      <c r="AK346" s="148">
        <v>45473</v>
      </c>
      <c r="AL346" s="97" t="s">
        <v>925</v>
      </c>
      <c r="AM346" s="70" t="s">
        <v>206</v>
      </c>
    </row>
    <row r="347" spans="1:39" s="184" customFormat="1" x14ac:dyDescent="0.25">
      <c r="A347" s="1674" t="s">
        <v>926</v>
      </c>
      <c r="B347" s="1675"/>
      <c r="C347" s="1675"/>
      <c r="D347" s="1675"/>
      <c r="E347" s="1675"/>
      <c r="F347" s="1675"/>
      <c r="G347" s="1675"/>
      <c r="H347" s="1675"/>
      <c r="I347" s="1675"/>
      <c r="J347" s="1675"/>
      <c r="K347" s="1675"/>
      <c r="L347" s="1675"/>
      <c r="M347" s="1675"/>
      <c r="N347" s="1675"/>
      <c r="O347" s="1675"/>
      <c r="P347" s="1675"/>
      <c r="Q347" s="1675"/>
      <c r="R347" s="1675"/>
      <c r="S347" s="1675"/>
      <c r="T347" s="1675"/>
      <c r="U347" s="1675"/>
      <c r="V347" s="1675"/>
      <c r="W347" s="1675"/>
      <c r="X347" s="1675"/>
      <c r="Y347" s="1675"/>
      <c r="Z347" s="1675"/>
      <c r="AA347" s="1675"/>
      <c r="AB347" s="1675"/>
      <c r="AC347" s="1675"/>
      <c r="AD347" s="1675"/>
      <c r="AE347" s="1675"/>
      <c r="AF347" s="1675"/>
      <c r="AG347" s="1675"/>
      <c r="AH347" s="1675"/>
      <c r="AI347" s="1675"/>
      <c r="AJ347" s="1675"/>
      <c r="AK347" s="1675"/>
      <c r="AL347" s="1675"/>
      <c r="AM347" s="1676"/>
    </row>
    <row r="348" spans="1:39" s="184" customFormat="1" x14ac:dyDescent="0.25">
      <c r="A348" s="1677"/>
      <c r="B348" s="1678"/>
      <c r="C348" s="1678"/>
      <c r="D348" s="1678"/>
      <c r="E348" s="1678"/>
      <c r="F348" s="1678"/>
      <c r="G348" s="1678"/>
      <c r="H348" s="1678"/>
      <c r="I348" s="1678"/>
      <c r="J348" s="1678"/>
      <c r="K348" s="1678"/>
      <c r="L348" s="1678"/>
      <c r="M348" s="1678"/>
      <c r="N348" s="1678"/>
      <c r="O348" s="1678"/>
      <c r="P348" s="1678"/>
      <c r="Q348" s="1678"/>
      <c r="R348" s="1678"/>
      <c r="S348" s="1678"/>
      <c r="T348" s="1678"/>
      <c r="U348" s="1678"/>
      <c r="V348" s="1678"/>
      <c r="W348" s="1678"/>
      <c r="X348" s="1678"/>
      <c r="Y348" s="1678"/>
      <c r="Z348" s="1678"/>
      <c r="AA348" s="1678"/>
      <c r="AB348" s="1678"/>
      <c r="AC348" s="1678"/>
      <c r="AD348" s="1678"/>
      <c r="AE348" s="1678"/>
      <c r="AF348" s="1678"/>
      <c r="AG348" s="1678"/>
      <c r="AH348" s="1678"/>
      <c r="AI348" s="1678"/>
      <c r="AJ348" s="1678"/>
      <c r="AK348" s="1678"/>
      <c r="AL348" s="1678"/>
      <c r="AM348" s="1679"/>
    </row>
    <row r="349" spans="1:39" s="184" customFormat="1" x14ac:dyDescent="0.25">
      <c r="A349" s="242"/>
      <c r="B349" s="243"/>
      <c r="C349" s="242"/>
      <c r="D349" s="242"/>
      <c r="E349" s="242"/>
      <c r="F349" s="37"/>
      <c r="G349" s="37"/>
      <c r="H349" s="37"/>
      <c r="I349" s="225"/>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row>
    <row r="350" spans="1:39" s="184" customFormat="1" ht="23.4" x14ac:dyDescent="0.25">
      <c r="A350" s="1667" t="s">
        <v>157</v>
      </c>
      <c r="B350" s="1668"/>
      <c r="C350" s="1680" t="s">
        <v>927</v>
      </c>
      <c r="D350" s="1680"/>
      <c r="E350" s="1680"/>
      <c r="F350" s="1680"/>
      <c r="G350" s="1680"/>
      <c r="H350" s="1680"/>
      <c r="I350" s="1680"/>
      <c r="J350" s="1680"/>
      <c r="K350" s="1680"/>
      <c r="L350" s="1680"/>
      <c r="M350" s="1680"/>
      <c r="N350" s="1680"/>
      <c r="O350" s="1680"/>
      <c r="P350" s="1680"/>
      <c r="Q350" s="1680"/>
      <c r="R350" s="1680"/>
      <c r="S350" s="1680"/>
      <c r="T350" s="1680"/>
      <c r="U350" s="1680"/>
      <c r="V350" s="1680"/>
      <c r="W350" s="1680"/>
      <c r="X350" s="1680"/>
      <c r="Y350" s="1680"/>
      <c r="Z350" s="1680"/>
      <c r="AA350" s="1680"/>
      <c r="AB350" s="1680"/>
      <c r="AC350" s="1680"/>
      <c r="AD350" s="1680"/>
      <c r="AE350" s="1680"/>
      <c r="AF350" s="1680"/>
      <c r="AG350" s="1680"/>
      <c r="AH350" s="1680"/>
      <c r="AI350" s="1680"/>
      <c r="AJ350" s="1680"/>
      <c r="AK350" s="1680"/>
      <c r="AL350" s="1680"/>
      <c r="AM350" s="1680"/>
    </row>
    <row r="351" spans="1:39" s="184" customFormat="1" ht="23.4" x14ac:dyDescent="0.25">
      <c r="A351" s="1667" t="s">
        <v>158</v>
      </c>
      <c r="B351" s="1668"/>
      <c r="C351" s="1669" t="s">
        <v>928</v>
      </c>
      <c r="D351" s="1669"/>
      <c r="E351" s="1669"/>
      <c r="F351" s="1669"/>
      <c r="G351" s="1669"/>
      <c r="H351" s="1669"/>
      <c r="I351" s="1669"/>
      <c r="J351" s="1669"/>
      <c r="K351" s="1669"/>
      <c r="L351" s="1669"/>
      <c r="M351" s="1669"/>
      <c r="N351" s="1669"/>
      <c r="O351" s="1669"/>
      <c r="P351" s="1669"/>
      <c r="Q351" s="1669"/>
      <c r="R351" s="1669"/>
      <c r="S351" s="1669"/>
      <c r="T351" s="1669"/>
      <c r="U351" s="1669"/>
      <c r="V351" s="1669"/>
      <c r="W351" s="1669"/>
      <c r="X351" s="1669"/>
      <c r="Y351" s="1669"/>
      <c r="Z351" s="1669"/>
      <c r="AA351" s="1669"/>
      <c r="AB351" s="1669"/>
      <c r="AC351" s="1669"/>
      <c r="AD351" s="1669"/>
      <c r="AE351" s="1669"/>
      <c r="AF351" s="1669"/>
      <c r="AG351" s="1669"/>
      <c r="AH351" s="1669"/>
      <c r="AI351" s="1669"/>
      <c r="AJ351" s="1669"/>
      <c r="AK351" s="1669"/>
      <c r="AL351" s="1669"/>
      <c r="AM351" s="1669"/>
    </row>
    <row r="352" spans="1:39" s="184" customFormat="1" ht="23.4" x14ac:dyDescent="0.25">
      <c r="A352" s="1667" t="s">
        <v>159</v>
      </c>
      <c r="B352" s="1668"/>
      <c r="C352" s="1669" t="s">
        <v>316</v>
      </c>
      <c r="D352" s="1669"/>
      <c r="E352" s="1669"/>
      <c r="F352" s="1669"/>
      <c r="G352" s="1669"/>
      <c r="H352" s="1669"/>
      <c r="I352" s="1669"/>
      <c r="J352" s="1669"/>
      <c r="K352" s="1669"/>
      <c r="L352" s="1669"/>
      <c r="M352" s="1669"/>
      <c r="N352" s="1669"/>
      <c r="O352" s="1669"/>
      <c r="P352" s="1669"/>
      <c r="Q352" s="1669"/>
      <c r="R352" s="1669"/>
      <c r="S352" s="1669"/>
      <c r="T352" s="1669"/>
      <c r="U352" s="1669"/>
      <c r="V352" s="1669"/>
      <c r="W352" s="1669"/>
      <c r="X352" s="1669"/>
      <c r="Y352" s="1669"/>
      <c r="Z352" s="1669"/>
      <c r="AA352" s="1669"/>
      <c r="AB352" s="1669"/>
      <c r="AC352" s="1669"/>
      <c r="AD352" s="1669"/>
      <c r="AE352" s="1669"/>
      <c r="AF352" s="1669"/>
      <c r="AG352" s="1669"/>
      <c r="AH352" s="1669"/>
      <c r="AI352" s="1669"/>
      <c r="AJ352" s="1669"/>
      <c r="AK352" s="1669"/>
      <c r="AL352" s="1669"/>
      <c r="AM352" s="1669"/>
    </row>
    <row r="353" spans="1:39" s="184" customFormat="1" x14ac:dyDescent="0.25">
      <c r="A353" s="1670" t="s">
        <v>160</v>
      </c>
      <c r="B353" s="1671"/>
      <c r="C353" s="1672"/>
      <c r="D353" s="1672"/>
      <c r="E353" s="1672"/>
      <c r="F353" s="1672"/>
      <c r="G353" s="1672"/>
      <c r="H353" s="1672"/>
      <c r="I353" s="1672"/>
      <c r="J353" s="1673"/>
      <c r="K353" s="1630" t="s">
        <v>161</v>
      </c>
      <c r="L353" s="1672"/>
      <c r="M353" s="1672"/>
      <c r="N353" s="1672"/>
      <c r="O353" s="1672"/>
      <c r="P353" s="1672"/>
      <c r="Q353" s="1673"/>
      <c r="R353" s="1630" t="s">
        <v>162</v>
      </c>
      <c r="S353" s="1672"/>
      <c r="T353" s="1672"/>
      <c r="U353" s="1672"/>
      <c r="V353" s="1672"/>
      <c r="W353" s="1672"/>
      <c r="X353" s="1672"/>
      <c r="Y353" s="1672"/>
      <c r="Z353" s="1673"/>
      <c r="AA353" s="1630" t="s">
        <v>163</v>
      </c>
      <c r="AB353" s="1672"/>
      <c r="AC353" s="1672"/>
      <c r="AD353" s="1672"/>
      <c r="AE353" s="1672"/>
      <c r="AF353" s="1672"/>
      <c r="AG353" s="1673"/>
      <c r="AH353" s="1630" t="s">
        <v>164</v>
      </c>
      <c r="AI353" s="1672"/>
      <c r="AJ353" s="1672"/>
      <c r="AK353" s="1672"/>
      <c r="AL353" s="1672"/>
      <c r="AM353" s="1673"/>
    </row>
    <row r="354" spans="1:39" s="184" customFormat="1" x14ac:dyDescent="0.25">
      <c r="A354" s="1649" t="s">
        <v>165</v>
      </c>
      <c r="B354" s="1651" t="s">
        <v>142</v>
      </c>
      <c r="C354" s="1626" t="s">
        <v>166</v>
      </c>
      <c r="D354" s="1626" t="s">
        <v>167</v>
      </c>
      <c r="E354" s="1631" t="s">
        <v>168</v>
      </c>
      <c r="F354" s="1652" t="s">
        <v>60</v>
      </c>
      <c r="G354" s="56"/>
      <c r="H354" s="56"/>
      <c r="I354" s="1631" t="s">
        <v>169</v>
      </c>
      <c r="J354" s="1626" t="s">
        <v>170</v>
      </c>
      <c r="K354" s="1628" t="s">
        <v>171</v>
      </c>
      <c r="L354" s="1629" t="s">
        <v>172</v>
      </c>
      <c r="M354" s="1631" t="s">
        <v>173</v>
      </c>
      <c r="N354" s="1631" t="s">
        <v>174</v>
      </c>
      <c r="O354" s="1666" t="s">
        <v>175</v>
      </c>
      <c r="P354" s="1629" t="s">
        <v>172</v>
      </c>
      <c r="Q354" s="1626" t="s">
        <v>176</v>
      </c>
      <c r="R354" s="1664" t="s">
        <v>177</v>
      </c>
      <c r="S354" s="1627" t="s">
        <v>178</v>
      </c>
      <c r="T354" s="1631" t="s">
        <v>179</v>
      </c>
      <c r="U354" s="1627" t="s">
        <v>180</v>
      </c>
      <c r="V354" s="1627"/>
      <c r="W354" s="1627"/>
      <c r="X354" s="1627"/>
      <c r="Y354" s="1627"/>
      <c r="Z354" s="1627"/>
      <c r="AA354" s="1663" t="s">
        <v>181</v>
      </c>
      <c r="AB354" s="1663" t="s">
        <v>182</v>
      </c>
      <c r="AC354" s="1663" t="s">
        <v>172</v>
      </c>
      <c r="AD354" s="1663" t="s">
        <v>183</v>
      </c>
      <c r="AE354" s="1663" t="s">
        <v>172</v>
      </c>
      <c r="AF354" s="1663" t="s">
        <v>184</v>
      </c>
      <c r="AG354" s="1664" t="s">
        <v>185</v>
      </c>
      <c r="AH354" s="1627" t="s">
        <v>164</v>
      </c>
      <c r="AI354" s="1627" t="s">
        <v>143</v>
      </c>
      <c r="AJ354" s="1627" t="s">
        <v>186</v>
      </c>
      <c r="AK354" s="1627" t="s">
        <v>187</v>
      </c>
      <c r="AL354" s="1627" t="s">
        <v>188</v>
      </c>
      <c r="AM354" s="1627" t="s">
        <v>189</v>
      </c>
    </row>
    <row r="355" spans="1:39" s="222" customFormat="1" ht="70.2" x14ac:dyDescent="0.3">
      <c r="A355" s="1650"/>
      <c r="B355" s="1651"/>
      <c r="C355" s="1627"/>
      <c r="D355" s="1627"/>
      <c r="E355" s="1628"/>
      <c r="F355" s="1653"/>
      <c r="G355" s="56" t="s">
        <v>511</v>
      </c>
      <c r="H355" s="56" t="s">
        <v>190</v>
      </c>
      <c r="I355" s="1626"/>
      <c r="J355" s="1627"/>
      <c r="K355" s="1626"/>
      <c r="L355" s="1630"/>
      <c r="M355" s="1626"/>
      <c r="N355" s="1626"/>
      <c r="O355" s="1630"/>
      <c r="P355" s="1630"/>
      <c r="Q355" s="1627"/>
      <c r="R355" s="1665"/>
      <c r="S355" s="1627"/>
      <c r="T355" s="1626"/>
      <c r="U355" s="42" t="s">
        <v>191</v>
      </c>
      <c r="V355" s="42" t="s">
        <v>192</v>
      </c>
      <c r="W355" s="42" t="s">
        <v>193</v>
      </c>
      <c r="X355" s="42" t="s">
        <v>194</v>
      </c>
      <c r="Y355" s="42" t="s">
        <v>195</v>
      </c>
      <c r="Z355" s="42" t="s">
        <v>196</v>
      </c>
      <c r="AA355" s="1663"/>
      <c r="AB355" s="1663"/>
      <c r="AC355" s="1663"/>
      <c r="AD355" s="1663"/>
      <c r="AE355" s="1663"/>
      <c r="AF355" s="1663"/>
      <c r="AG355" s="1665"/>
      <c r="AH355" s="1627"/>
      <c r="AI355" s="1627"/>
      <c r="AJ355" s="1627"/>
      <c r="AK355" s="1627"/>
      <c r="AL355" s="1627"/>
      <c r="AM355" s="1627"/>
    </row>
    <row r="356" spans="1:39" s="231" customFormat="1" ht="77.400000000000006" x14ac:dyDescent="0.3">
      <c r="A356" s="1618">
        <v>1</v>
      </c>
      <c r="B356" s="1656" t="s">
        <v>209</v>
      </c>
      <c r="C356" s="1656" t="s">
        <v>317</v>
      </c>
      <c r="D356" s="1659" t="s">
        <v>318</v>
      </c>
      <c r="E356" s="157" t="s">
        <v>319</v>
      </c>
      <c r="F356" s="1603" t="s">
        <v>929</v>
      </c>
      <c r="G356" s="1603" t="s">
        <v>512</v>
      </c>
      <c r="H356" s="1603" t="s">
        <v>930</v>
      </c>
      <c r="I356" s="1654" t="s">
        <v>198</v>
      </c>
      <c r="J356" s="1640">
        <v>360</v>
      </c>
      <c r="K356" s="1643" t="str">
        <f>IF(J356&lt;=0,"",IF(J356&lt;=2,"Muy Baja",IF(J356&lt;=24,"Baja",IF(J356&lt;=500,"Media",IF(J356&lt;=5000,"Alta","Muy Alta")))))</f>
        <v>Media</v>
      </c>
      <c r="L356" s="1632">
        <f>IF(K356="","",IF(K356="Muy Baja",0.2,IF(K356="Baja",0.4,IF(K356="Media",0.6,IF(K356="Alta",0.8,IF(K356="Muy Alta",1,))))))</f>
        <v>0.6</v>
      </c>
      <c r="M356" s="1646" t="s">
        <v>225</v>
      </c>
      <c r="N356" s="1632" t="str">
        <f>IF(NOT(ISERROR(MATCH(M356,'[21]Tabla Impacto'!$B$221:$B$223,0))),'[21]Tabla Impacto'!$F$223&amp;"Por favor no seleccionar los criterios de impacto(Afectación Económica o presupuestal y Pérdida Reputacional)",M356)</f>
        <v xml:space="preserve">     El riesgo afecta la imagen de la entidad con algunos usuarios de relevancia frente al logro de los objetivos</v>
      </c>
      <c r="O356" s="1643" t="str">
        <f>IF(OR(N356='[21]Tabla Impacto'!$C$11,N356='[21]Tabla Impacto'!$D$11),"Leve",IF(OR(N356='[21]Tabla Impacto'!$C$12,N356='[21]Tabla Impacto'!$D$12),"Menor",IF(OR(N356='[21]Tabla Impacto'!$C$13,N356='[21]Tabla Impacto'!$D$13),"Moderado",IF(OR(N356='[21]Tabla Impacto'!$C$14,N356='[21]Tabla Impacto'!$D$14),"Mayor",IF(OR(N356='[21]Tabla Impacto'!$C$15,N356='[21]Tabla Impacto'!$D$15),"Catastrófico","")))))</f>
        <v>Moderado</v>
      </c>
      <c r="P356" s="1632">
        <f>IF(O356="","",IF(O356="Leve",0.2,IF(O356="Menor",0.4,IF(O356="Moderado",0.6,IF(O356="Mayor",0.8,IF(O356="Catastrófico",1,))))))</f>
        <v>0.6</v>
      </c>
      <c r="Q356" s="1635" t="str">
        <f>IF(OR(AND(K356="Muy Baja",O356="Leve"),AND(K356="Muy Baja",O356="Menor"),AND(K356="Baja",O356="Leve")),"Bajo",IF(OR(AND(K356="Muy baja",O356="Moderado"),AND(K356="Baja",O356="Menor"),AND(K356="Baja",O356="Moderado"),AND(K356="Media",O356="Leve"),AND(K356="Media",O356="Menor"),AND(K356="Media",O356="Moderado"),AND(K356="Alta",O356="Leve"),AND(K356="Alta",O356="Menor")),"Moderado",IF(OR(AND(K356="Muy Baja",O356="Mayor"),AND(K356="Baja",O356="Mayor"),AND(K356="Media",O356="Mayor"),AND(K356="Alta",O356="Moderado"),AND(K356="Alta",O356="Mayor"),AND(K356="Muy Alta",O356="Leve"),AND(K356="Muy Alta",O356="Menor"),AND(K356="Muy Alta",O356="Moderado"),AND(K356="Muy Alta",O356="Mayor")),"Alto",IF(OR(AND(K356="Muy Baja",O356="Catastrófico"),AND(K356="Baja",O356="Catastrófico"),AND(K356="Media",O356="Catastrófico"),AND(K356="Alta",O356="Catastrófico"),AND(K356="Muy Alta",O356="Catastrófico")),"Extremo",""))))</f>
        <v>Moderado</v>
      </c>
      <c r="R356" s="48">
        <v>1</v>
      </c>
      <c r="S356" s="60">
        <f>+[21]DOFA!G386</f>
        <v>0</v>
      </c>
      <c r="T356" s="50" t="str">
        <f>IF(OR(U356="Preventivo",U356="Detectivo"),"Probabilidad",IF(U356="Correctivo","Impacto",""))</f>
        <v>Probabilidad</v>
      </c>
      <c r="U356" s="61" t="s">
        <v>207</v>
      </c>
      <c r="V356" s="61" t="s">
        <v>201</v>
      </c>
      <c r="W356" s="62" t="str">
        <f>IF(AND(U356="Preventivo",V356="Automático"),"50%",IF(AND(U356="Preventivo",V356="Manual"),"40%",IF(AND(U356="Detectivo",V356="Automático"),"40%",IF(AND(U356="Detectivo",V356="Manual"),"30%",IF(AND(U356="Correctivo",V356="Automático"),"35%",IF(AND(U356="Correctivo",V356="Manual"),"25%",""))))))</f>
        <v>40%</v>
      </c>
      <c r="X356" s="61" t="s">
        <v>208</v>
      </c>
      <c r="Y356" s="61" t="s">
        <v>203</v>
      </c>
      <c r="Z356" s="61" t="s">
        <v>204</v>
      </c>
      <c r="AA356" s="63">
        <f>IFERROR(IF(T356="Probabilidad",(L356-(+L356*W356)),IF(T356="Impacto",L356,"")),"")</f>
        <v>0.36</v>
      </c>
      <c r="AB356" s="64" t="str">
        <f>IFERROR(IF(AA356="","",IF(AA356&lt;=0.2,"Muy Baja",IF(AA356&lt;=0.4,"Baja",IF(AA356&lt;=0.6,"Media",IF(AA356&lt;=0.8,"Alta","Muy Alta"))))),"")</f>
        <v>Baja</v>
      </c>
      <c r="AC356" s="65">
        <f>+AA356</f>
        <v>0.36</v>
      </c>
      <c r="AD356" s="64" t="str">
        <f>IFERROR(IF(AE356="","",IF(AE356&lt;=0.2,"Leve",IF(AE356&lt;=0.4,"Menor",IF(AE356&lt;=0.6,"Moderado",IF(AE356&lt;=0.8,"Mayor","Catastrófico"))))),"")</f>
        <v>Moderado</v>
      </c>
      <c r="AE356" s="65">
        <f>IFERROR(IF(T356="Impacto",(P356-(+P356*W356)),IF(T356="Probabilidad",P356,"")),"")</f>
        <v>0.6</v>
      </c>
      <c r="AF356" s="66" t="str">
        <f>IFERROR(IF(OR(AND(AB356="Muy Baja",AD356="Leve"),AND(AB356="Muy Baja",AD356="Menor"),AND(AB356="Baja",AD356="Leve")),"Bajo",IF(OR(AND(AB356="Muy baja",AD356="Moderado"),AND(AB356="Baja",AD356="Menor"),AND(AB356="Baja",AD356="Moderado"),AND(AB356="Media",AD356="Leve"),AND(AB356="Media",AD356="Menor"),AND(AB356="Media",AD356="Moderado"),AND(AB356="Alta",AD356="Leve"),AND(AB356="Alta",AD356="Menor")),"Moderado",IF(OR(AND(AB356="Muy Baja",AD356="Mayor"),AND(AB356="Baja",AD356="Mayor"),AND(AB356="Media",AD356="Mayor"),AND(AB356="Alta",AD356="Moderado"),AND(AB356="Alta",AD356="Mayor"),AND(AB356="Muy Alta",AD356="Leve"),AND(AB356="Muy Alta",AD356="Menor"),AND(AB356="Muy Alta",AD356="Moderado"),AND(AB356="Muy Alta",AD356="Mayor")),"Alto",IF(OR(AND(AB356="Muy Baja",AD356="Catastrófico"),AND(AB356="Baja",AD356="Catastrófico"),AND(AB356="Media",AD356="Catastrófico"),AND(AB356="Alta",AD356="Catastrófico"),AND(AB356="Muy Alta",AD356="Catastrófico")),"Extremo","")))),"")</f>
        <v>Moderado</v>
      </c>
      <c r="AG356" s="81" t="s">
        <v>205</v>
      </c>
      <c r="AH356" s="69" t="s">
        <v>931</v>
      </c>
      <c r="AI356" s="69" t="s">
        <v>932</v>
      </c>
      <c r="AJ356" s="148">
        <v>45293</v>
      </c>
      <c r="AK356" s="148">
        <v>45473</v>
      </c>
      <c r="AL356" s="1616" t="s">
        <v>933</v>
      </c>
      <c r="AM356" s="232" t="s">
        <v>206</v>
      </c>
    </row>
    <row r="357" spans="1:39" s="184" customFormat="1" ht="194.25" customHeight="1" x14ac:dyDescent="0.25">
      <c r="A357" s="1619"/>
      <c r="B357" s="1657"/>
      <c r="C357" s="1657"/>
      <c r="D357" s="1660"/>
      <c r="E357" s="157">
        <f>[21]Contexto!D363</f>
        <v>0</v>
      </c>
      <c r="F357" s="1604"/>
      <c r="G357" s="1604"/>
      <c r="H357" s="1604"/>
      <c r="I357" s="1655"/>
      <c r="J357" s="1641"/>
      <c r="K357" s="1644"/>
      <c r="L357" s="1633"/>
      <c r="M357" s="1647"/>
      <c r="N357" s="1633">
        <f>IF(NOT(ISERROR(MATCH(M357,_xlfn.ANCHORARRAY(F368),0))),L370&amp;"Por favor no seleccionar los criterios de impacto",M357)</f>
        <v>0</v>
      </c>
      <c r="O357" s="1644"/>
      <c r="P357" s="1633"/>
      <c r="Q357" s="1636"/>
      <c r="R357" s="48">
        <v>2</v>
      </c>
      <c r="S357" s="60">
        <f>+[21]DOFA!G388</f>
        <v>0</v>
      </c>
      <c r="T357" s="50" t="str">
        <f>IF(OR(U357="Preventivo",U357="Detectivo"),"Probabilidad",IF(U357="Correctivo","Impacto",""))</f>
        <v>Probabilidad</v>
      </c>
      <c r="U357" s="61" t="s">
        <v>207</v>
      </c>
      <c r="V357" s="61" t="s">
        <v>201</v>
      </c>
      <c r="W357" s="62" t="str">
        <f t="shared" ref="W357:W361" si="233">IF(AND(U357="Preventivo",V357="Automático"),"50%",IF(AND(U357="Preventivo",V357="Manual"),"40%",IF(AND(U357="Detectivo",V357="Automático"),"40%",IF(AND(U357="Detectivo",V357="Manual"),"30%",IF(AND(U357="Correctivo",V357="Automático"),"35%",IF(AND(U357="Correctivo",V357="Manual"),"25%",""))))))</f>
        <v>40%</v>
      </c>
      <c r="X357" s="61" t="s">
        <v>208</v>
      </c>
      <c r="Y357" s="61" t="s">
        <v>203</v>
      </c>
      <c r="Z357" s="61" t="s">
        <v>204</v>
      </c>
      <c r="AA357" s="63">
        <f>IFERROR(IF(AND(T356="Probabilidad",T357="Probabilidad"),(AC356-(+AC356*W357)),IF(AND(T356="Impacto",T357="Probabilidad"),(L356-(+L356*W357)),IF(T357="Impacto",AC356,""))),"")</f>
        <v>0.216</v>
      </c>
      <c r="AB357" s="64" t="str">
        <f t="shared" ref="AB357:AB361" si="234">IFERROR(IF(AA357="","",IF(AA357&lt;=0.2,"Muy Baja",IF(AA357&lt;=0.4,"Baja",IF(AA357&lt;=0.6,"Media",IF(AA357&lt;=0.8,"Alta","Muy Alta"))))),"")</f>
        <v>Baja</v>
      </c>
      <c r="AC357" s="65">
        <f>+AA357</f>
        <v>0.216</v>
      </c>
      <c r="AD357" s="64" t="str">
        <f t="shared" ref="AD357:AD361" si="235">IFERROR(IF(AE357="","",IF(AE357&lt;=0.2,"Leve",IF(AE357&lt;=0.4,"Menor",IF(AE357&lt;=0.6,"Moderado",IF(AE357&lt;=0.8,"Mayor","Catastrófico"))))),"")</f>
        <v>Moderado</v>
      </c>
      <c r="AE357" s="65">
        <f>IFERROR(IF(AND(T356="Impacto",T357="Impacto"),(AE356-(+AE356*W357)),IF(AND(T356="Probabilidad",T357="Impacto"),(P356-(+P356*W357)),IF(T357="Probabilidad",AE356,""))),"")</f>
        <v>0.6</v>
      </c>
      <c r="AF357" s="66" t="str">
        <f t="shared" ref="AF357:AF361" si="236">IFERROR(IF(OR(AND(AB357="Muy Baja",AD357="Leve"),AND(AB357="Muy Baja",AD357="Menor"),AND(AB357="Baja",AD357="Leve")),"Bajo",IF(OR(AND(AB357="Muy baja",AD357="Moderado"),AND(AB357="Baja",AD357="Menor"),AND(AB357="Baja",AD357="Moderado"),AND(AB357="Media",AD357="Leve"),AND(AB357="Media",AD357="Menor"),AND(AB357="Media",AD357="Moderado"),AND(AB357="Alta",AD357="Leve"),AND(AB357="Alta",AD357="Menor")),"Moderado",IF(OR(AND(AB357="Muy Baja",AD357="Mayor"),AND(AB357="Baja",AD357="Mayor"),AND(AB357="Media",AD357="Mayor"),AND(AB357="Alta",AD357="Moderado"),AND(AB357="Alta",AD357="Mayor"),AND(AB357="Muy Alta",AD357="Leve"),AND(AB357="Muy Alta",AD357="Menor"),AND(AB357="Muy Alta",AD357="Moderado"),AND(AB357="Muy Alta",AD357="Mayor")),"Alto",IF(OR(AND(AB357="Muy Baja",AD357="Catastrófico"),AND(AB357="Baja",AD357="Catastrófico"),AND(AB357="Media",AD357="Catastrófico"),AND(AB357="Alta",AD357="Catastrófico"),AND(AB357="Muy Alta",AD357="Catastrófico")),"Extremo","")))),"")</f>
        <v>Moderado</v>
      </c>
      <c r="AG357" s="81" t="s">
        <v>205</v>
      </c>
      <c r="AH357" s="69" t="s">
        <v>934</v>
      </c>
      <c r="AI357" s="69" t="s">
        <v>932</v>
      </c>
      <c r="AJ357" s="148">
        <v>45293</v>
      </c>
      <c r="AK357" s="148">
        <v>45473</v>
      </c>
      <c r="AL357" s="1617"/>
      <c r="AM357" s="232" t="s">
        <v>206</v>
      </c>
    </row>
    <row r="358" spans="1:39" s="184" customFormat="1" ht="15.6" hidden="1" x14ac:dyDescent="0.25">
      <c r="A358" s="1619"/>
      <c r="B358" s="1657"/>
      <c r="C358" s="1657"/>
      <c r="D358" s="1660"/>
      <c r="E358" s="80"/>
      <c r="F358" s="1604"/>
      <c r="G358" s="1604"/>
      <c r="H358" s="1604"/>
      <c r="I358" s="1655"/>
      <c r="J358" s="1641"/>
      <c r="K358" s="1644"/>
      <c r="L358" s="1633"/>
      <c r="M358" s="1647"/>
      <c r="N358" s="1633">
        <f>IF(NOT(ISERROR(MATCH(M358,_xlfn.ANCHORARRAY(F369),0))),L371&amp;"Por favor no seleccionar los criterios de impacto",M358)</f>
        <v>0</v>
      </c>
      <c r="O358" s="1644"/>
      <c r="P358" s="1633"/>
      <c r="Q358" s="1636"/>
      <c r="R358" s="48">
        <v>3</v>
      </c>
      <c r="S358" s="79"/>
      <c r="T358" s="50" t="str">
        <f t="shared" ref="T358:T361" si="237">IF(OR(U358="Preventivo",U358="Detectivo"),"Probabilidad",IF(U358="Correctivo","Impacto",""))</f>
        <v/>
      </c>
      <c r="U358" s="61"/>
      <c r="V358" s="61"/>
      <c r="W358" s="62" t="str">
        <f t="shared" si="233"/>
        <v/>
      </c>
      <c r="X358" s="61"/>
      <c r="Y358" s="61"/>
      <c r="Z358" s="61"/>
      <c r="AA358" s="63" t="str">
        <f>IFERROR(IF(AND(T357="Probabilidad",T358="Probabilidad"),(AC357-(+AC357*W358)),IF(AND(T357="Impacto",T358="Probabilidad"),(AC356-(+AC356*W358)),IF(T358="Impacto",AC357,""))),"")</f>
        <v/>
      </c>
      <c r="AB358" s="64" t="str">
        <f t="shared" si="234"/>
        <v/>
      </c>
      <c r="AC358" s="65" t="str">
        <f t="shared" ref="AC358:AC361" si="238">+AA358</f>
        <v/>
      </c>
      <c r="AD358" s="64" t="str">
        <f t="shared" si="235"/>
        <v/>
      </c>
      <c r="AE358" s="65" t="str">
        <f t="shared" ref="AE358:AE361" si="239">IFERROR(IF(AND(T357="Impacto",T358="Impacto"),(AE357-(+AE357*W358)),IF(AND(T357="Probabilidad",T358="Impacto"),(AE356-(+AE356*W358)),IF(T358="Probabilidad",AE357,""))),"")</f>
        <v/>
      </c>
      <c r="AF358" s="66" t="str">
        <f t="shared" si="236"/>
        <v/>
      </c>
      <c r="AG358" s="81"/>
      <c r="AH358" s="77"/>
      <c r="AI358" s="78"/>
      <c r="AJ358" s="82"/>
      <c r="AK358" s="82"/>
      <c r="AL358" s="77"/>
      <c r="AM358" s="78"/>
    </row>
    <row r="359" spans="1:39" s="184" customFormat="1" ht="15.6" hidden="1" x14ac:dyDescent="0.25">
      <c r="A359" s="1619"/>
      <c r="B359" s="1657"/>
      <c r="C359" s="1657"/>
      <c r="D359" s="1660"/>
      <c r="E359" s="80"/>
      <c r="F359" s="1604"/>
      <c r="G359" s="1604"/>
      <c r="H359" s="1604"/>
      <c r="I359" s="1655"/>
      <c r="J359" s="1641"/>
      <c r="K359" s="1644"/>
      <c r="L359" s="1633"/>
      <c r="M359" s="1647"/>
      <c r="N359" s="1633">
        <f>IF(NOT(ISERROR(MATCH(M359,_xlfn.ANCHORARRAY(F370),0))),L372&amp;"Por favor no seleccionar los criterios de impacto",M359)</f>
        <v>0</v>
      </c>
      <c r="O359" s="1644"/>
      <c r="P359" s="1633"/>
      <c r="Q359" s="1636"/>
      <c r="R359" s="48">
        <v>4</v>
      </c>
      <c r="S359" s="49"/>
      <c r="T359" s="50" t="str">
        <f t="shared" si="237"/>
        <v/>
      </c>
      <c r="U359" s="61"/>
      <c r="V359" s="61"/>
      <c r="W359" s="62" t="str">
        <f t="shared" si="233"/>
        <v/>
      </c>
      <c r="X359" s="61"/>
      <c r="Y359" s="61"/>
      <c r="Z359" s="61"/>
      <c r="AA359" s="63" t="str">
        <f t="shared" ref="AA359:AA361" si="240">IFERROR(IF(AND(T358="Probabilidad",T359="Probabilidad"),(AC358-(+AC358*W359)),IF(AND(T358="Impacto",T359="Probabilidad"),(AC357-(+AC357*W359)),IF(T359="Impacto",AC358,""))),"")</f>
        <v/>
      </c>
      <c r="AB359" s="64" t="str">
        <f t="shared" si="234"/>
        <v/>
      </c>
      <c r="AC359" s="65" t="str">
        <f t="shared" si="238"/>
        <v/>
      </c>
      <c r="AD359" s="64" t="str">
        <f t="shared" si="235"/>
        <v/>
      </c>
      <c r="AE359" s="65" t="str">
        <f t="shared" si="239"/>
        <v/>
      </c>
      <c r="AF359" s="66" t="str">
        <f t="shared" si="236"/>
        <v/>
      </c>
      <c r="AG359" s="81"/>
      <c r="AH359" s="77"/>
      <c r="AI359" s="78"/>
      <c r="AJ359" s="82"/>
      <c r="AK359" s="82"/>
      <c r="AL359" s="77"/>
      <c r="AM359" s="78"/>
    </row>
    <row r="360" spans="1:39" s="184" customFormat="1" ht="15.6" hidden="1" x14ac:dyDescent="0.25">
      <c r="A360" s="1619"/>
      <c r="B360" s="1657"/>
      <c r="C360" s="1657"/>
      <c r="D360" s="1660"/>
      <c r="E360" s="80"/>
      <c r="F360" s="1604"/>
      <c r="G360" s="1604"/>
      <c r="H360" s="1604"/>
      <c r="I360" s="1655"/>
      <c r="J360" s="1641"/>
      <c r="K360" s="1644"/>
      <c r="L360" s="1633"/>
      <c r="M360" s="1647"/>
      <c r="N360" s="1633">
        <f>IF(NOT(ISERROR(MATCH(M360,_xlfn.ANCHORARRAY(F371),0))),L373&amp;"Por favor no seleccionar los criterios de impacto",M360)</f>
        <v>0</v>
      </c>
      <c r="O360" s="1644"/>
      <c r="P360" s="1633"/>
      <c r="Q360" s="1636"/>
      <c r="R360" s="48">
        <v>5</v>
      </c>
      <c r="S360" s="49"/>
      <c r="T360" s="50" t="str">
        <f t="shared" si="237"/>
        <v/>
      </c>
      <c r="U360" s="61"/>
      <c r="V360" s="61"/>
      <c r="W360" s="62" t="str">
        <f t="shared" si="233"/>
        <v/>
      </c>
      <c r="X360" s="61"/>
      <c r="Y360" s="61"/>
      <c r="Z360" s="61"/>
      <c r="AA360" s="63" t="str">
        <f t="shared" si="240"/>
        <v/>
      </c>
      <c r="AB360" s="64" t="str">
        <f t="shared" si="234"/>
        <v/>
      </c>
      <c r="AC360" s="65" t="str">
        <f t="shared" si="238"/>
        <v/>
      </c>
      <c r="AD360" s="64" t="str">
        <f t="shared" si="235"/>
        <v/>
      </c>
      <c r="AE360" s="65" t="str">
        <f t="shared" si="239"/>
        <v/>
      </c>
      <c r="AF360" s="66" t="str">
        <f t="shared" si="236"/>
        <v/>
      </c>
      <c r="AG360" s="81"/>
      <c r="AH360" s="77"/>
      <c r="AI360" s="78"/>
      <c r="AJ360" s="82"/>
      <c r="AK360" s="82"/>
      <c r="AL360" s="77"/>
      <c r="AM360" s="78"/>
    </row>
    <row r="361" spans="1:39" s="184" customFormat="1" ht="15.6" hidden="1" x14ac:dyDescent="0.25">
      <c r="A361" s="1620"/>
      <c r="B361" s="1658"/>
      <c r="C361" s="1658"/>
      <c r="D361" s="1661"/>
      <c r="E361" s="80"/>
      <c r="F361" s="1605"/>
      <c r="G361" s="1605"/>
      <c r="H361" s="1605"/>
      <c r="I361" s="1662"/>
      <c r="J361" s="1642"/>
      <c r="K361" s="1645"/>
      <c r="L361" s="1634"/>
      <c r="M361" s="1648"/>
      <c r="N361" s="1634">
        <f>IF(NOT(ISERROR(MATCH(M361,_xlfn.ANCHORARRAY(F372),0))),L374&amp;"Por favor no seleccionar los criterios de impacto",M361)</f>
        <v>0</v>
      </c>
      <c r="O361" s="1645"/>
      <c r="P361" s="1634"/>
      <c r="Q361" s="1637"/>
      <c r="R361" s="48">
        <v>6</v>
      </c>
      <c r="S361" s="49"/>
      <c r="T361" s="50" t="str">
        <f t="shared" si="237"/>
        <v/>
      </c>
      <c r="U361" s="61"/>
      <c r="V361" s="61"/>
      <c r="W361" s="62" t="str">
        <f t="shared" si="233"/>
        <v/>
      </c>
      <c r="X361" s="61"/>
      <c r="Y361" s="61"/>
      <c r="Z361" s="61"/>
      <c r="AA361" s="63" t="str">
        <f t="shared" si="240"/>
        <v/>
      </c>
      <c r="AB361" s="64" t="str">
        <f t="shared" si="234"/>
        <v/>
      </c>
      <c r="AC361" s="65" t="str">
        <f t="shared" si="238"/>
        <v/>
      </c>
      <c r="AD361" s="64" t="str">
        <f t="shared" si="235"/>
        <v/>
      </c>
      <c r="AE361" s="65" t="str">
        <f t="shared" si="239"/>
        <v/>
      </c>
      <c r="AF361" s="66" t="str">
        <f t="shared" si="236"/>
        <v/>
      </c>
      <c r="AG361" s="81"/>
      <c r="AH361" s="77"/>
      <c r="AI361" s="78"/>
      <c r="AJ361" s="82"/>
      <c r="AK361" s="82"/>
      <c r="AL361" s="77"/>
      <c r="AM361" s="78"/>
    </row>
    <row r="362" spans="1:39" s="184" customFormat="1" ht="77.400000000000006" x14ac:dyDescent="0.25">
      <c r="A362" s="1618">
        <v>2</v>
      </c>
      <c r="B362" s="1614" t="s">
        <v>395</v>
      </c>
      <c r="C362" s="1614" t="s">
        <v>935</v>
      </c>
      <c r="D362" s="1622" t="s">
        <v>936</v>
      </c>
      <c r="E362" s="88" t="s">
        <v>937</v>
      </c>
      <c r="F362" s="1625" t="s">
        <v>938</v>
      </c>
      <c r="G362" s="1603" t="s">
        <v>597</v>
      </c>
      <c r="H362" s="1638" t="s">
        <v>939</v>
      </c>
      <c r="I362" s="1608" t="s">
        <v>198</v>
      </c>
      <c r="J362" s="1611">
        <v>360</v>
      </c>
      <c r="K362" s="1595" t="str">
        <f>IF(J362&lt;=0,"",IF(J362&lt;=2,"Muy Baja",IF(J362&lt;=24,"Baja",IF(J362&lt;=500,"Media",IF(J362&lt;=5000,"Alta","Muy Alta")))))</f>
        <v>Media</v>
      </c>
      <c r="L362" s="1592">
        <f>IF(K362="","",IF(K362="Muy Baja",0.2,IF(K362="Baja",0.4,IF(K362="Media",0.6,IF(K362="Alta",0.8,IF(K362="Muy Alta",1,))))))</f>
        <v>0.6</v>
      </c>
      <c r="M362" s="1589" t="s">
        <v>393</v>
      </c>
      <c r="N362" s="1592" t="str">
        <f>IF(NOT(ISERROR(MATCH(M362,'[21]Tabla Impacto'!$B$221:$B$223,0))),'[21]Tabla Impacto'!$F$223&amp;"Por favor no seleccionar los criterios de impacto(Afectación Económica o presupuestal y Pérdida Reputacional)",M362)</f>
        <v xml:space="preserve">     Entre 200 y 1000 SMLMV</v>
      </c>
      <c r="O362" s="1595" t="str">
        <f>IF(OR(N362='[21]Tabla Impacto'!$C$11,N362='[21]Tabla Impacto'!$D$11),"Leve",IF(OR(N362='[21]Tabla Impacto'!$C$12,N362='[21]Tabla Impacto'!$D$12),"Menor",IF(OR(N362='[21]Tabla Impacto'!$C$13,N362='[21]Tabla Impacto'!$D$13),"Moderado",IF(OR(N362='[21]Tabla Impacto'!$C$14,N362='[21]Tabla Impacto'!$D$14),"Mayor",IF(OR(N362='[21]Tabla Impacto'!$C$15,N362='[21]Tabla Impacto'!$D$15),"Catastrófico","")))))</f>
        <v>Menor</v>
      </c>
      <c r="P362" s="1592">
        <f>IF(O362="","",IF(O362="Leve",0.2,IF(O362="Menor",0.4,IF(O362="Moderado",0.6,IF(O362="Mayor",0.8,IF(O362="Catastrófico",1,))))))</f>
        <v>0.4</v>
      </c>
      <c r="Q362" s="1598" t="str">
        <f>IF(OR(AND(K362="Muy Baja",O362="Leve"),AND(K362="Muy Baja",O362="Menor"),AND(K362="Baja",O362="Leve")),"Bajo",IF(OR(AND(K362="Muy baja",O362="Moderado"),AND(K362="Baja",O362="Menor"),AND(K362="Baja",O362="Moderado"),AND(K362="Media",O362="Leve"),AND(K362="Media",O362="Menor"),AND(K362="Media",O362="Moderado"),AND(K362="Alta",O362="Leve"),AND(K362="Alta",O362="Menor")),"Moderado",IF(OR(AND(K362="Muy Baja",O362="Mayor"),AND(K362="Baja",O362="Mayor"),AND(K362="Media",O362="Mayor"),AND(K362="Alta",O362="Moderado"),AND(K362="Alta",O362="Mayor"),AND(K362="Muy Alta",O362="Leve"),AND(K362="Muy Alta",O362="Menor"),AND(K362="Muy Alta",O362="Moderado"),AND(K362="Muy Alta",O362="Mayor")),"Alto",IF(OR(AND(K362="Muy Baja",O362="Catastrófico"),AND(K362="Baja",O362="Catastrófico"),AND(K362="Media",O362="Catastrófico"),AND(K362="Alta",O362="Catastrófico"),AND(K362="Muy Alta",O362="Catastrófico")),"Extremo",""))))</f>
        <v>Moderado</v>
      </c>
      <c r="R362" s="48">
        <v>1</v>
      </c>
      <c r="S362" s="60">
        <f>+[21]DOFA!G392</f>
        <v>0</v>
      </c>
      <c r="T362" s="50" t="str">
        <f>IF(OR(U362="Preventivo",U362="Detectivo"),"Probabilidad",IF(U362="Correctivo","Impacto",""))</f>
        <v>Probabilidad</v>
      </c>
      <c r="U362" s="61" t="s">
        <v>207</v>
      </c>
      <c r="V362" s="61" t="s">
        <v>201</v>
      </c>
      <c r="W362" s="62" t="str">
        <f>IF(AND(U362="Preventivo",V362="Automático"),"50%",IF(AND(U362="Preventivo",V362="Manual"),"40%",IF(AND(U362="Detectivo",V362="Automático"),"40%",IF(AND(U362="Detectivo",V362="Manual"),"30%",IF(AND(U362="Correctivo",V362="Automático"),"35%",IF(AND(U362="Correctivo",V362="Manual"),"25%",""))))))</f>
        <v>40%</v>
      </c>
      <c r="X362" s="61" t="s">
        <v>208</v>
      </c>
      <c r="Y362" s="61" t="s">
        <v>203</v>
      </c>
      <c r="Z362" s="61" t="s">
        <v>204</v>
      </c>
      <c r="AA362" s="63">
        <f>IFERROR(IF(T362="Probabilidad",(L362-(+L362*W362)),IF(T362="Impacto",L362,"")),"")</f>
        <v>0.36</v>
      </c>
      <c r="AB362" s="64" t="str">
        <f>IFERROR(IF(AA362="","",IF(AA362&lt;=0.2,"Muy Baja",IF(AA362&lt;=0.4,"Baja",IF(AA362&lt;=0.6,"Media",IF(AA362&lt;=0.8,"Alta","Muy Alta"))))),"")</f>
        <v>Baja</v>
      </c>
      <c r="AC362" s="65">
        <f>+AA362</f>
        <v>0.36</v>
      </c>
      <c r="AD362" s="64" t="str">
        <f>IFERROR(IF(AE362="","",IF(AE362&lt;=0.2,"Leve",IF(AE362&lt;=0.4,"Menor",IF(AE362&lt;=0.6,"Moderado",IF(AE362&lt;=0.8,"Mayor","Catastrófico"))))),"")</f>
        <v>Menor</v>
      </c>
      <c r="AE362" s="65">
        <f>IFERROR(IF(T362="Impacto",(P362-(+P362*W362)),IF(T362="Probabilidad",P362,"")),"")</f>
        <v>0.4</v>
      </c>
      <c r="AF362" s="66" t="str">
        <f>IFERROR(IF(OR(AND(AB362="Muy Baja",AD362="Leve"),AND(AB362="Muy Baja",AD362="Menor"),AND(AB362="Baja",AD362="Leve")),"Bajo",IF(OR(AND(AB362="Muy baja",AD362="Moderado"),AND(AB362="Baja",AD362="Menor"),AND(AB362="Baja",AD362="Moderado"),AND(AB362="Media",AD362="Leve"),AND(AB362="Media",AD362="Menor"),AND(AB362="Media",AD362="Moderado"),AND(AB362="Alta",AD362="Leve"),AND(AB362="Alta",AD362="Menor")),"Moderado",IF(OR(AND(AB362="Muy Baja",AD362="Mayor"),AND(AB362="Baja",AD362="Mayor"),AND(AB362="Media",AD362="Mayor"),AND(AB362="Alta",AD362="Moderado"),AND(AB362="Alta",AD362="Mayor"),AND(AB362="Muy Alta",AD362="Leve"),AND(AB362="Muy Alta",AD362="Menor"),AND(AB362="Muy Alta",AD362="Moderado"),AND(AB362="Muy Alta",AD362="Mayor")),"Alto",IF(OR(AND(AB362="Muy Baja",AD362="Catastrófico"),AND(AB362="Baja",AD362="Catastrófico"),AND(AB362="Media",AD362="Catastrófico"),AND(AB362="Alta",AD362="Catastrófico"),AND(AB362="Muy Alta",AD362="Catastrófico")),"Extremo","")))),"")</f>
        <v>Moderado</v>
      </c>
      <c r="AG362" s="81" t="s">
        <v>205</v>
      </c>
      <c r="AH362" s="1614" t="s">
        <v>940</v>
      </c>
      <c r="AI362" s="69" t="s">
        <v>941</v>
      </c>
      <c r="AJ362" s="148">
        <v>45293</v>
      </c>
      <c r="AK362" s="148">
        <v>45473</v>
      </c>
      <c r="AL362" s="1616" t="s">
        <v>942</v>
      </c>
      <c r="AM362" s="214" t="s">
        <v>206</v>
      </c>
    </row>
    <row r="363" spans="1:39" s="184" customFormat="1" ht="126.75" customHeight="1" x14ac:dyDescent="0.25">
      <c r="A363" s="1619"/>
      <c r="B363" s="1621"/>
      <c r="C363" s="1621"/>
      <c r="D363" s="1623"/>
      <c r="E363" s="88" t="s">
        <v>943</v>
      </c>
      <c r="F363" s="1625"/>
      <c r="G363" s="1604"/>
      <c r="H363" s="1639"/>
      <c r="I363" s="1609"/>
      <c r="J363" s="1612"/>
      <c r="K363" s="1596"/>
      <c r="L363" s="1593"/>
      <c r="M363" s="1590"/>
      <c r="N363" s="1593">
        <f>IF(NOT(ISERROR(MATCH(M363,_xlfn.ANCHORARRAY(F374),0))),L376&amp;"Por favor no seleccionar los criterios de impacto",M363)</f>
        <v>0</v>
      </c>
      <c r="O363" s="1596"/>
      <c r="P363" s="1593"/>
      <c r="Q363" s="1599"/>
      <c r="R363" s="48">
        <v>2</v>
      </c>
      <c r="S363" s="60">
        <f>+[21]DOFA!G389</f>
        <v>0</v>
      </c>
      <c r="T363" s="50" t="str">
        <f>IF(OR(U363="Preventivo",U363="Detectivo"),"Probabilidad",IF(U363="Correctivo","Impacto",""))</f>
        <v>Probabilidad</v>
      </c>
      <c r="U363" s="61" t="s">
        <v>207</v>
      </c>
      <c r="V363" s="61" t="s">
        <v>201</v>
      </c>
      <c r="W363" s="62" t="str">
        <f t="shared" ref="W363:W367" si="241">IF(AND(U363="Preventivo",V363="Automático"),"50%",IF(AND(U363="Preventivo",V363="Manual"),"40%",IF(AND(U363="Detectivo",V363="Automático"),"40%",IF(AND(U363="Detectivo",V363="Manual"),"30%",IF(AND(U363="Correctivo",V363="Automático"),"35%",IF(AND(U363="Correctivo",V363="Manual"),"25%",""))))))</f>
        <v>40%</v>
      </c>
      <c r="X363" s="61" t="s">
        <v>208</v>
      </c>
      <c r="Y363" s="61" t="s">
        <v>203</v>
      </c>
      <c r="Z363" s="61" t="s">
        <v>204</v>
      </c>
      <c r="AA363" s="63">
        <f>IFERROR(IF(AND(T362="Probabilidad",T363="Probabilidad"),(AC362-(+AC362*W363)),IF(AND(T362="Impacto",T363="Probabilidad"),(L362-(+L362*W363)),IF(T363="Impacto",AC362,""))),"")</f>
        <v>0.216</v>
      </c>
      <c r="AB363" s="64" t="str">
        <f t="shared" ref="AB363:AB367" si="242">IFERROR(IF(AA363="","",IF(AA363&lt;=0.2,"Muy Baja",IF(AA363&lt;=0.4,"Baja",IF(AA363&lt;=0.6,"Media",IF(AA363&lt;=0.8,"Alta","Muy Alta"))))),"")</f>
        <v>Baja</v>
      </c>
      <c r="AC363" s="65">
        <f>+AA363</f>
        <v>0.216</v>
      </c>
      <c r="AD363" s="64" t="str">
        <f t="shared" ref="AD363:AD367" si="243">IFERROR(IF(AE363="","",IF(AE363&lt;=0.2,"Leve",IF(AE363&lt;=0.4,"Menor",IF(AE363&lt;=0.6,"Moderado",IF(AE363&lt;=0.8,"Mayor","Catastrófico"))))),"")</f>
        <v>Menor</v>
      </c>
      <c r="AE363" s="65">
        <f>IFERROR(IF(AND(T362="Impacto",T363="Impacto"),(AE362-(+AE362*W363)),IF(AND(T362="Probabilidad",T363="Impacto"),(P362-(+P362*W363)),IF(T363="Probabilidad",AE362,""))),"")</f>
        <v>0.4</v>
      </c>
      <c r="AF363" s="66" t="str">
        <f t="shared" ref="AF363:AF367" si="244">IFERROR(IF(OR(AND(AB363="Muy Baja",AD363="Leve"),AND(AB363="Muy Baja",AD363="Menor"),AND(AB363="Baja",AD363="Leve")),"Bajo",IF(OR(AND(AB363="Muy baja",AD363="Moderado"),AND(AB363="Baja",AD363="Menor"),AND(AB363="Baja",AD363="Moderado"),AND(AB363="Media",AD363="Leve"),AND(AB363="Media",AD363="Menor"),AND(AB363="Media",AD363="Moderado"),AND(AB363="Alta",AD363="Leve"),AND(AB363="Alta",AD363="Menor")),"Moderado",IF(OR(AND(AB363="Muy Baja",AD363="Mayor"),AND(AB363="Baja",AD363="Mayor"),AND(AB363="Media",AD363="Mayor"),AND(AB363="Alta",AD363="Moderado"),AND(AB363="Alta",AD363="Mayor"),AND(AB363="Muy Alta",AD363="Leve"),AND(AB363="Muy Alta",AD363="Menor"),AND(AB363="Muy Alta",AD363="Moderado"),AND(AB363="Muy Alta",AD363="Mayor")),"Alto",IF(OR(AND(AB363="Muy Baja",AD363="Catastrófico"),AND(AB363="Baja",AD363="Catastrófico"),AND(AB363="Media",AD363="Catastrófico"),AND(AB363="Alta",AD363="Catastrófico"),AND(AB363="Muy Alta",AD363="Catastrófico")),"Extremo","")))),"")</f>
        <v>Moderado</v>
      </c>
      <c r="AG363" s="81" t="s">
        <v>205</v>
      </c>
      <c r="AH363" s="1615"/>
      <c r="AI363" s="69" t="s">
        <v>941</v>
      </c>
      <c r="AJ363" s="148">
        <v>45293</v>
      </c>
      <c r="AK363" s="148">
        <v>45473</v>
      </c>
      <c r="AL363" s="1617"/>
      <c r="AM363" s="214" t="s">
        <v>206</v>
      </c>
    </row>
    <row r="364" spans="1:39" s="184" customFormat="1" ht="15.6" hidden="1" x14ac:dyDescent="0.25">
      <c r="A364" s="1619"/>
      <c r="B364" s="1621"/>
      <c r="C364" s="1621"/>
      <c r="D364" s="1623"/>
      <c r="E364" s="88"/>
      <c r="F364" s="1625"/>
      <c r="G364" s="1604"/>
      <c r="H364" s="83"/>
      <c r="I364" s="1609"/>
      <c r="J364" s="1612"/>
      <c r="K364" s="1596"/>
      <c r="L364" s="1593"/>
      <c r="M364" s="1590"/>
      <c r="N364" s="1593">
        <f>IF(NOT(ISERROR(MATCH(M364,_xlfn.ANCHORARRAY(F375),0))),L377&amp;"Por favor no seleccionar los criterios de impacto",M364)</f>
        <v>0</v>
      </c>
      <c r="O364" s="1596"/>
      <c r="P364" s="1593"/>
      <c r="Q364" s="1599"/>
      <c r="R364" s="48">
        <v>3</v>
      </c>
      <c r="S364" s="79"/>
      <c r="T364" s="50" t="str">
        <f t="shared" ref="T364:T367" si="245">IF(OR(U364="Preventivo",U364="Detectivo"),"Probabilidad",IF(U364="Correctivo","Impacto",""))</f>
        <v/>
      </c>
      <c r="U364" s="61"/>
      <c r="V364" s="61"/>
      <c r="W364" s="62" t="str">
        <f t="shared" si="241"/>
        <v/>
      </c>
      <c r="X364" s="61"/>
      <c r="Y364" s="61"/>
      <c r="Z364" s="61"/>
      <c r="AA364" s="63" t="str">
        <f>IFERROR(IF(AND(T363="Probabilidad",T364="Probabilidad"),(AC363-(+AC363*W364)),IF(AND(T363="Impacto",T364="Probabilidad"),(AC362-(+AC362*W364)),IF(T364="Impacto",AC363,""))),"")</f>
        <v/>
      </c>
      <c r="AB364" s="64" t="str">
        <f t="shared" si="242"/>
        <v/>
      </c>
      <c r="AC364" s="65" t="str">
        <f t="shared" ref="AC364:AC367" si="246">+AA364</f>
        <v/>
      </c>
      <c r="AD364" s="64" t="str">
        <f t="shared" si="243"/>
        <v/>
      </c>
      <c r="AE364" s="65" t="str">
        <f t="shared" ref="AE364:AE367" si="247">IFERROR(IF(AND(T363="Impacto",T364="Impacto"),(AE363-(+AE363*W364)),IF(AND(T363="Probabilidad",T364="Impacto"),(AE362-(+AE362*W364)),IF(T364="Probabilidad",AE363,""))),"")</f>
        <v/>
      </c>
      <c r="AF364" s="66" t="str">
        <f t="shared" si="244"/>
        <v/>
      </c>
      <c r="AG364" s="81"/>
      <c r="AH364" s="77"/>
      <c r="AI364" s="78"/>
      <c r="AJ364" s="82"/>
      <c r="AK364" s="82"/>
      <c r="AL364" s="77"/>
      <c r="AM364" s="78"/>
    </row>
    <row r="365" spans="1:39" s="184" customFormat="1" ht="15.6" hidden="1" x14ac:dyDescent="0.25">
      <c r="A365" s="1619"/>
      <c r="B365" s="1621"/>
      <c r="C365" s="1621"/>
      <c r="D365" s="1623"/>
      <c r="E365" s="88"/>
      <c r="F365" s="1625"/>
      <c r="G365" s="1604"/>
      <c r="H365" s="83"/>
      <c r="I365" s="1609"/>
      <c r="J365" s="1612"/>
      <c r="K365" s="1596"/>
      <c r="L365" s="1593"/>
      <c r="M365" s="1590"/>
      <c r="N365" s="1593">
        <f>IF(NOT(ISERROR(MATCH(M365,_xlfn.ANCHORARRAY(F376),0))),L378&amp;"Por favor no seleccionar los criterios de impacto",M365)</f>
        <v>0</v>
      </c>
      <c r="O365" s="1596"/>
      <c r="P365" s="1593"/>
      <c r="Q365" s="1599"/>
      <c r="R365" s="48">
        <v>4</v>
      </c>
      <c r="S365" s="49"/>
      <c r="T365" s="50" t="str">
        <f t="shared" si="245"/>
        <v/>
      </c>
      <c r="U365" s="61"/>
      <c r="V365" s="61"/>
      <c r="W365" s="62" t="str">
        <f t="shared" si="241"/>
        <v/>
      </c>
      <c r="X365" s="61"/>
      <c r="Y365" s="61"/>
      <c r="Z365" s="61"/>
      <c r="AA365" s="63" t="str">
        <f t="shared" ref="AA365:AA367" si="248">IFERROR(IF(AND(T364="Probabilidad",T365="Probabilidad"),(AC364-(+AC364*W365)),IF(AND(T364="Impacto",T365="Probabilidad"),(AC363-(+AC363*W365)),IF(T365="Impacto",AC364,""))),"")</f>
        <v/>
      </c>
      <c r="AB365" s="64" t="str">
        <f t="shared" si="242"/>
        <v/>
      </c>
      <c r="AC365" s="65" t="str">
        <f t="shared" si="246"/>
        <v/>
      </c>
      <c r="AD365" s="64" t="str">
        <f t="shared" si="243"/>
        <v/>
      </c>
      <c r="AE365" s="65" t="str">
        <f t="shared" si="247"/>
        <v/>
      </c>
      <c r="AF365" s="66" t="str">
        <f t="shared" si="244"/>
        <v/>
      </c>
      <c r="AG365" s="81"/>
      <c r="AH365" s="77"/>
      <c r="AI365" s="78"/>
      <c r="AJ365" s="82"/>
      <c r="AK365" s="82"/>
      <c r="AL365" s="77"/>
      <c r="AM365" s="78"/>
    </row>
    <row r="366" spans="1:39" s="184" customFormat="1" ht="15.6" hidden="1" x14ac:dyDescent="0.25">
      <c r="A366" s="1619"/>
      <c r="B366" s="1621"/>
      <c r="C366" s="1621"/>
      <c r="D366" s="1623"/>
      <c r="E366" s="88"/>
      <c r="F366" s="1625"/>
      <c r="G366" s="1604"/>
      <c r="H366" s="83"/>
      <c r="I366" s="1609"/>
      <c r="J366" s="1612"/>
      <c r="K366" s="1596"/>
      <c r="L366" s="1593"/>
      <c r="M366" s="1590"/>
      <c r="N366" s="1593">
        <f>IF(NOT(ISERROR(MATCH(M366,_xlfn.ANCHORARRAY(F377),0))),L379&amp;"Por favor no seleccionar los criterios de impacto",M366)</f>
        <v>0</v>
      </c>
      <c r="O366" s="1596"/>
      <c r="P366" s="1593"/>
      <c r="Q366" s="1599"/>
      <c r="R366" s="48">
        <v>5</v>
      </c>
      <c r="S366" s="49"/>
      <c r="T366" s="50" t="str">
        <f t="shared" si="245"/>
        <v/>
      </c>
      <c r="U366" s="61"/>
      <c r="V366" s="61"/>
      <c r="W366" s="62" t="str">
        <f t="shared" si="241"/>
        <v/>
      </c>
      <c r="X366" s="61"/>
      <c r="Y366" s="61"/>
      <c r="Z366" s="61"/>
      <c r="AA366" s="63" t="str">
        <f t="shared" si="248"/>
        <v/>
      </c>
      <c r="AB366" s="64" t="str">
        <f t="shared" si="242"/>
        <v/>
      </c>
      <c r="AC366" s="65" t="str">
        <f t="shared" si="246"/>
        <v/>
      </c>
      <c r="AD366" s="64" t="str">
        <f t="shared" si="243"/>
        <v/>
      </c>
      <c r="AE366" s="65" t="str">
        <f t="shared" si="247"/>
        <v/>
      </c>
      <c r="AF366" s="66" t="str">
        <f t="shared" si="244"/>
        <v/>
      </c>
      <c r="AG366" s="81"/>
      <c r="AH366" s="77"/>
      <c r="AI366" s="78"/>
      <c r="AJ366" s="82"/>
      <c r="AK366" s="82"/>
      <c r="AL366" s="77"/>
      <c r="AM366" s="78"/>
    </row>
    <row r="367" spans="1:39" s="184" customFormat="1" ht="15.6" hidden="1" x14ac:dyDescent="0.25">
      <c r="A367" s="1620"/>
      <c r="B367" s="1615"/>
      <c r="C367" s="1615"/>
      <c r="D367" s="1624"/>
      <c r="E367" s="88"/>
      <c r="F367" s="1625"/>
      <c r="G367" s="1605"/>
      <c r="H367" s="83"/>
      <c r="I367" s="1610"/>
      <c r="J367" s="1613"/>
      <c r="K367" s="1597"/>
      <c r="L367" s="1594"/>
      <c r="M367" s="1591"/>
      <c r="N367" s="1594">
        <f>IF(NOT(ISERROR(MATCH(M367,_xlfn.ANCHORARRAY(F378),0))),L380&amp;"Por favor no seleccionar los criterios de impacto",M367)</f>
        <v>0</v>
      </c>
      <c r="O367" s="1597"/>
      <c r="P367" s="1594"/>
      <c r="Q367" s="1600"/>
      <c r="R367" s="48">
        <v>6</v>
      </c>
      <c r="S367" s="49"/>
      <c r="T367" s="50" t="str">
        <f t="shared" si="245"/>
        <v/>
      </c>
      <c r="U367" s="61"/>
      <c r="V367" s="61"/>
      <c r="W367" s="62" t="str">
        <f t="shared" si="241"/>
        <v/>
      </c>
      <c r="X367" s="61"/>
      <c r="Y367" s="61"/>
      <c r="Z367" s="61"/>
      <c r="AA367" s="63" t="str">
        <f t="shared" si="248"/>
        <v/>
      </c>
      <c r="AB367" s="64" t="str">
        <f t="shared" si="242"/>
        <v/>
      </c>
      <c r="AC367" s="65" t="str">
        <f t="shared" si="246"/>
        <v/>
      </c>
      <c r="AD367" s="64" t="str">
        <f t="shared" si="243"/>
        <v/>
      </c>
      <c r="AE367" s="65" t="str">
        <f t="shared" si="247"/>
        <v/>
      </c>
      <c r="AF367" s="66" t="str">
        <f t="shared" si="244"/>
        <v/>
      </c>
      <c r="AG367" s="81"/>
      <c r="AH367" s="77"/>
      <c r="AI367" s="78"/>
      <c r="AJ367" s="82"/>
      <c r="AK367" s="82"/>
      <c r="AL367" s="77"/>
      <c r="AM367" s="78"/>
    </row>
    <row r="368" spans="1:39" s="184" customFormat="1" ht="77.400000000000006" x14ac:dyDescent="0.25">
      <c r="A368" s="1618">
        <v>3</v>
      </c>
      <c r="B368" s="1614" t="s">
        <v>395</v>
      </c>
      <c r="C368" s="1614" t="s">
        <v>935</v>
      </c>
      <c r="D368" s="1622" t="s">
        <v>944</v>
      </c>
      <c r="E368" s="88" t="s">
        <v>945</v>
      </c>
      <c r="F368" s="1625" t="s">
        <v>946</v>
      </c>
      <c r="G368" s="1603" t="s">
        <v>597</v>
      </c>
      <c r="H368" s="1606" t="s">
        <v>947</v>
      </c>
      <c r="I368" s="1608" t="s">
        <v>198</v>
      </c>
      <c r="J368" s="1611">
        <v>360</v>
      </c>
      <c r="K368" s="1595" t="str">
        <f t="shared" ref="K368" si="249">IF(J368&lt;=0,"",IF(J368&lt;=2,"Muy Baja",IF(J368&lt;=24,"Baja",IF(J368&lt;=500,"Media",IF(J368&lt;=5000,"Alta","Muy Alta")))))</f>
        <v>Media</v>
      </c>
      <c r="L368" s="1592">
        <f t="shared" ref="L368" si="250">IF(K368="","",IF(K368="Muy Baja",0.2,IF(K368="Baja",0.4,IF(K368="Media",0.6,IF(K368="Alta",0.8,IF(K368="Muy Alta",1,))))))</f>
        <v>0.6</v>
      </c>
      <c r="M368" s="1589" t="s">
        <v>393</v>
      </c>
      <c r="N368" s="1592" t="str">
        <f>IF(NOT(ISERROR(MATCH(M368,'[21]Tabla Impacto'!$B$221:$B$223,0))),'[21]Tabla Impacto'!$F$223&amp;"Por favor no seleccionar los criterios de impacto(Afectación Económica o presupuestal y Pérdida Reputacional)",M368)</f>
        <v xml:space="preserve">     Entre 200 y 1000 SMLMV</v>
      </c>
      <c r="O368" s="1595" t="str">
        <f>IF(OR(N368='[21]Tabla Impacto'!$C$11,N368='[21]Tabla Impacto'!$D$11),"Leve",IF(OR(N368='[21]Tabla Impacto'!$C$12,N368='[21]Tabla Impacto'!$D$12),"Menor",IF(OR(N368='[21]Tabla Impacto'!$C$13,N368='[21]Tabla Impacto'!$D$13),"Moderado",IF(OR(N368='[21]Tabla Impacto'!$C$14,N368='[21]Tabla Impacto'!$D$14),"Mayor",IF(OR(N368='[21]Tabla Impacto'!$C$15,N368='[21]Tabla Impacto'!$D$15),"Catastrófico","")))))</f>
        <v>Menor</v>
      </c>
      <c r="P368" s="1592">
        <f>IF(O368="","",IF(O368="Leve",0.2,IF(O368="Menor",0.4,IF(O368="Moderado",0.6,IF(O368="Mayor",0.8,IF(O368="Catastrófico",1,))))))</f>
        <v>0.4</v>
      </c>
      <c r="Q368" s="1598" t="str">
        <f t="shared" ref="Q368" si="251">IF(OR(AND(K368="Muy Baja",O368="Leve"),AND(K368="Muy Baja",O368="Menor"),AND(K368="Baja",O368="Leve")),"Bajo",IF(OR(AND(K368="Muy baja",O368="Moderado"),AND(K368="Baja",O368="Menor"),AND(K368="Baja",O368="Moderado"),AND(K368="Media",O368="Leve"),AND(K368="Media",O368="Menor"),AND(K368="Media",O368="Moderado"),AND(K368="Alta",O368="Leve"),AND(K368="Alta",O368="Menor")),"Moderado",IF(OR(AND(K368="Muy Baja",O368="Mayor"),AND(K368="Baja",O368="Mayor"),AND(K368="Media",O368="Mayor"),AND(K368="Alta",O368="Moderado"),AND(K368="Alta",O368="Mayor"),AND(K368="Muy Alta",O368="Leve"),AND(K368="Muy Alta",O368="Menor"),AND(K368="Muy Alta",O368="Moderado"),AND(K368="Muy Alta",O368="Mayor")),"Alto",IF(OR(AND(K368="Muy Baja",O368="Catastrófico"),AND(K368="Baja",O368="Catastrófico"),AND(K368="Media",O368="Catastrófico"),AND(K368="Alta",O368="Catastrófico"),AND(K368="Muy Alta",O368="Catastrófico")),"Extremo",""))))</f>
        <v>Moderado</v>
      </c>
      <c r="R368" s="48">
        <v>1</v>
      </c>
      <c r="S368" s="60">
        <f>+[21]DOFA!G390</f>
        <v>0</v>
      </c>
      <c r="T368" s="50" t="str">
        <f>IF(OR(U368="Preventivo",U368="Detectivo"),"Probabilidad",IF(U368="Correctivo","Impacto",""))</f>
        <v>Probabilidad</v>
      </c>
      <c r="U368" s="61" t="s">
        <v>207</v>
      </c>
      <c r="V368" s="61" t="s">
        <v>201</v>
      </c>
      <c r="W368" s="62" t="str">
        <f>IF(AND(U368="Preventivo",V368="Automático"),"50%",IF(AND(U368="Preventivo",V368="Manual"),"40%",IF(AND(U368="Detectivo",V368="Automático"),"40%",IF(AND(U368="Detectivo",V368="Manual"),"30%",IF(AND(U368="Correctivo",V368="Automático"),"35%",IF(AND(U368="Correctivo",V368="Manual"),"25%",""))))))</f>
        <v>40%</v>
      </c>
      <c r="X368" s="61" t="s">
        <v>208</v>
      </c>
      <c r="Y368" s="61" t="s">
        <v>203</v>
      </c>
      <c r="Z368" s="61" t="s">
        <v>204</v>
      </c>
      <c r="AA368" s="63">
        <f>IFERROR(IF(T368="Probabilidad",(L368-(+L368*W368)),IF(T368="Impacto",L368,"")),"")</f>
        <v>0.36</v>
      </c>
      <c r="AB368" s="64" t="str">
        <f>IFERROR(IF(AA368="","",IF(AA368&lt;=0.2,"Muy Baja",IF(AA368&lt;=0.4,"Baja",IF(AA368&lt;=0.6,"Media",IF(AA368&lt;=0.8,"Alta","Muy Alta"))))),"")</f>
        <v>Baja</v>
      </c>
      <c r="AC368" s="65">
        <f>+AA368</f>
        <v>0.36</v>
      </c>
      <c r="AD368" s="64" t="str">
        <f>IFERROR(IF(AE368="","",IF(AE368&lt;=0.2,"Leve",IF(AE368&lt;=0.4,"Menor",IF(AE368&lt;=0.6,"Moderado",IF(AE368&lt;=0.8,"Mayor","Catastrófico"))))),"")</f>
        <v>Menor</v>
      </c>
      <c r="AE368" s="65">
        <f>IFERROR(IF(T368="Impacto",(P368-(+P368*W368)),IF(T368="Probabilidad",P368,"")),"")</f>
        <v>0.4</v>
      </c>
      <c r="AF368" s="66" t="str">
        <f>IFERROR(IF(OR(AND(AB368="Muy Baja",AD368="Leve"),AND(AB368="Muy Baja",AD368="Menor"),AND(AB368="Baja",AD368="Leve")),"Bajo",IF(OR(AND(AB368="Muy baja",AD368="Moderado"),AND(AB368="Baja",AD368="Menor"),AND(AB368="Baja",AD368="Moderado"),AND(AB368="Media",AD368="Leve"),AND(AB368="Media",AD368="Menor"),AND(AB368="Media",AD368="Moderado"),AND(AB368="Alta",AD368="Leve"),AND(AB368="Alta",AD368="Menor")),"Moderado",IF(OR(AND(AB368="Muy Baja",AD368="Mayor"),AND(AB368="Baja",AD368="Mayor"),AND(AB368="Media",AD368="Mayor"),AND(AB368="Alta",AD368="Moderado"),AND(AB368="Alta",AD368="Mayor"),AND(AB368="Muy Alta",AD368="Leve"),AND(AB368="Muy Alta",AD368="Menor"),AND(AB368="Muy Alta",AD368="Moderado"),AND(AB368="Muy Alta",AD368="Mayor")),"Alto",IF(OR(AND(AB368="Muy Baja",AD368="Catastrófico"),AND(AB368="Baja",AD368="Catastrófico"),AND(AB368="Media",AD368="Catastrófico"),AND(AB368="Alta",AD368="Catastrófico"),AND(AB368="Muy Alta",AD368="Catastrófico")),"Extremo","")))),"")</f>
        <v>Moderado</v>
      </c>
      <c r="AG368" s="81" t="s">
        <v>205</v>
      </c>
      <c r="AH368" s="1601" t="s">
        <v>948</v>
      </c>
      <c r="AI368" s="206" t="s">
        <v>932</v>
      </c>
      <c r="AJ368" s="148">
        <v>45293</v>
      </c>
      <c r="AK368" s="148">
        <v>45473</v>
      </c>
      <c r="AL368" s="1581" t="s">
        <v>949</v>
      </c>
      <c r="AM368" s="211" t="s">
        <v>206</v>
      </c>
    </row>
    <row r="369" spans="1:40" s="184" customFormat="1" ht="135.75" customHeight="1" x14ac:dyDescent="0.25">
      <c r="A369" s="1619"/>
      <c r="B369" s="1621"/>
      <c r="C369" s="1621"/>
      <c r="D369" s="1623"/>
      <c r="E369" s="88" t="s">
        <v>950</v>
      </c>
      <c r="F369" s="1625"/>
      <c r="G369" s="1604"/>
      <c r="H369" s="1607"/>
      <c r="I369" s="1609"/>
      <c r="J369" s="1612"/>
      <c r="K369" s="1596"/>
      <c r="L369" s="1593"/>
      <c r="M369" s="1590"/>
      <c r="N369" s="1593">
        <f>IF(NOT(ISERROR(MATCH(M369,_xlfn.ANCHORARRAY(F380),0))),L382&amp;"Por favor no seleccionar los criterios de impacto",M369)</f>
        <v>0</v>
      </c>
      <c r="O369" s="1596"/>
      <c r="P369" s="1593"/>
      <c r="Q369" s="1599"/>
      <c r="R369" s="48">
        <v>2</v>
      </c>
      <c r="S369" s="83">
        <f>+[21]DOFA!G391</f>
        <v>0</v>
      </c>
      <c r="T369" s="50" t="str">
        <f>IF(OR(U369="Preventivo",U369="Detectivo"),"Probabilidad",IF(U369="Correctivo","Impacto",""))</f>
        <v>Probabilidad</v>
      </c>
      <c r="U369" s="61" t="s">
        <v>207</v>
      </c>
      <c r="V369" s="61" t="s">
        <v>201</v>
      </c>
      <c r="W369" s="62" t="str">
        <f t="shared" ref="W369:W373" si="252">IF(AND(U369="Preventivo",V369="Automático"),"50%",IF(AND(U369="Preventivo",V369="Manual"),"40%",IF(AND(U369="Detectivo",V369="Automático"),"40%",IF(AND(U369="Detectivo",V369="Manual"),"30%",IF(AND(U369="Correctivo",V369="Automático"),"35%",IF(AND(U369="Correctivo",V369="Manual"),"25%",""))))))</f>
        <v>40%</v>
      </c>
      <c r="X369" s="61" t="s">
        <v>208</v>
      </c>
      <c r="Y369" s="61" t="s">
        <v>203</v>
      </c>
      <c r="Z369" s="61" t="s">
        <v>204</v>
      </c>
      <c r="AA369" s="63">
        <f>IFERROR(IF(AND(T368="Probabilidad",T369="Probabilidad"),(AC368-(+AC368*W369)),IF(AND(T368="Impacto",T369="Probabilidad"),(L368-(+L368*W369)),IF(T369="Impacto",AC368,""))),"")</f>
        <v>0.216</v>
      </c>
      <c r="AB369" s="64" t="str">
        <f>IFERROR(IF(AA369="","",IF(AA369&lt;=0.2,"Muy Baja",IF(AA369&lt;=0.4,"Baja",IF(AA369&lt;=0.6,"Media",IF(AA369&lt;=0.8,"Alta","Muy Alta"))))),"")</f>
        <v>Baja</v>
      </c>
      <c r="AC369" s="65">
        <f>+AA369</f>
        <v>0.216</v>
      </c>
      <c r="AD369" s="64" t="str">
        <f>IFERROR(IF(AE369="","",IF(AE369&lt;=0.2,"Leve",IF(AE369&lt;=0.4,"Menor",IF(AE369&lt;=0.6,"Moderado",IF(AE369&lt;=0.8,"Mayor","Catastrófico"))))),"")</f>
        <v>Menor</v>
      </c>
      <c r="AE369" s="65">
        <f>IFERROR(IF(AND(T368="Impacto",T369="Impacto"),(AE368-(+AE368*W369)),IF(AND(T368="Probabilidad",T369="Impacto"),(P368-(+P368*W369)),IF(T369="Probabilidad",AE368,""))),"")</f>
        <v>0.4</v>
      </c>
      <c r="AF369" s="66" t="str">
        <f t="shared" ref="AF369:AF373" si="253">IFERROR(IF(OR(AND(AB369="Muy Baja",AD369="Leve"),AND(AB369="Muy Baja",AD369="Menor"),AND(AB369="Baja",AD369="Leve")),"Bajo",IF(OR(AND(AB369="Muy baja",AD369="Moderado"),AND(AB369="Baja",AD369="Menor"),AND(AB369="Baja",AD369="Moderado"),AND(AB369="Media",AD369="Leve"),AND(AB369="Media",AD369="Menor"),AND(AB369="Media",AD369="Moderado"),AND(AB369="Alta",AD369="Leve"),AND(AB369="Alta",AD369="Menor")),"Moderado",IF(OR(AND(AB369="Muy Baja",AD369="Mayor"),AND(AB369="Baja",AD369="Mayor"),AND(AB369="Media",AD369="Mayor"),AND(AB369="Alta",AD369="Moderado"),AND(AB369="Alta",AD369="Mayor"),AND(AB369="Muy Alta",AD369="Leve"),AND(AB369="Muy Alta",AD369="Menor"),AND(AB369="Muy Alta",AD369="Moderado"),AND(AB369="Muy Alta",AD369="Mayor")),"Alto",IF(OR(AND(AB369="Muy Baja",AD369="Catastrófico"),AND(AB369="Baja",AD369="Catastrófico"),AND(AB369="Media",AD369="Catastrófico"),AND(AB369="Alta",AD369="Catastrófico"),AND(AB369="Muy Alta",AD369="Catastrófico")),"Extremo","")))),"")</f>
        <v>Moderado</v>
      </c>
      <c r="AG369" s="81" t="s">
        <v>205</v>
      </c>
      <c r="AH369" s="1602"/>
      <c r="AI369" s="206" t="s">
        <v>932</v>
      </c>
      <c r="AJ369" s="148">
        <v>45293</v>
      </c>
      <c r="AK369" s="148">
        <v>45473</v>
      </c>
      <c r="AL369" s="1582"/>
      <c r="AM369" s="211" t="s">
        <v>206</v>
      </c>
      <c r="AN369" s="37"/>
    </row>
    <row r="370" spans="1:40" s="184" customFormat="1" ht="15.6" x14ac:dyDescent="0.25">
      <c r="A370" s="1619"/>
      <c r="B370" s="1621"/>
      <c r="C370" s="1621"/>
      <c r="D370" s="1623"/>
      <c r="E370" s="88"/>
      <c r="F370" s="1625"/>
      <c r="G370" s="1604"/>
      <c r="H370" s="83"/>
      <c r="I370" s="1609"/>
      <c r="J370" s="1612"/>
      <c r="K370" s="1596"/>
      <c r="L370" s="1593"/>
      <c r="M370" s="1590"/>
      <c r="N370" s="1593">
        <f>IF(NOT(ISERROR(MATCH(M370,_xlfn.ANCHORARRAY(F381),0))),L383&amp;"Por favor no seleccionar los criterios de impacto",M370)</f>
        <v>0</v>
      </c>
      <c r="O370" s="1596"/>
      <c r="P370" s="1593"/>
      <c r="Q370" s="1599"/>
      <c r="R370" s="48">
        <v>3</v>
      </c>
      <c r="S370" s="79"/>
      <c r="T370" s="50" t="str">
        <f t="shared" ref="T370:T373" si="254">IF(OR(U370="Preventivo",U370="Detectivo"),"Probabilidad",IF(U370="Correctivo","Impacto",""))</f>
        <v/>
      </c>
      <c r="U370" s="61"/>
      <c r="V370" s="61"/>
      <c r="W370" s="62" t="str">
        <f t="shared" si="252"/>
        <v/>
      </c>
      <c r="X370" s="61"/>
      <c r="Y370" s="61"/>
      <c r="Z370" s="61"/>
      <c r="AA370" s="63" t="str">
        <f>IFERROR(IF(AND(T369="Probabilidad",T370="Probabilidad"),(AC369-(+AC369*W370)),IF(AND(T369="Impacto",T370="Probabilidad"),(AC368-(+AC368*W370)),IF(T370="Impacto",AC369,""))),"")</f>
        <v/>
      </c>
      <c r="AB370" s="64" t="str">
        <f t="shared" ref="AB370:AB373" si="255">IFERROR(IF(AA370="","",IF(AA370&lt;=0.2,"Muy Baja",IF(AA370&lt;=0.4,"Baja",IF(AA370&lt;=0.6,"Media",IF(AA370&lt;=0.8,"Alta","Muy Alta"))))),"")</f>
        <v/>
      </c>
      <c r="AC370" s="65" t="str">
        <f t="shared" ref="AC370:AC373" si="256">+AA370</f>
        <v/>
      </c>
      <c r="AD370" s="64" t="str">
        <f t="shared" ref="AD370:AD373" si="257">IFERROR(IF(AE370="","",IF(AE370&lt;=0.2,"Leve",IF(AE370&lt;=0.4,"Menor",IF(AE370&lt;=0.6,"Moderado",IF(AE370&lt;=0.8,"Mayor","Catastrófico"))))),"")</f>
        <v/>
      </c>
      <c r="AE370" s="65" t="str">
        <f t="shared" ref="AE370:AE373" si="258">IFERROR(IF(AND(T369="Impacto",T370="Impacto"),(AE369-(+AE369*W370)),IF(AND(T369="Probabilidad",T370="Impacto"),(AE368-(+AE368*W370)),IF(T370="Probabilidad",AE369,""))),"")</f>
        <v/>
      </c>
      <c r="AF370" s="66" t="str">
        <f t="shared" si="253"/>
        <v/>
      </c>
      <c r="AG370" s="81"/>
      <c r="AH370" s="77"/>
      <c r="AI370" s="78"/>
      <c r="AJ370" s="82"/>
      <c r="AK370" s="82"/>
      <c r="AL370" s="77"/>
      <c r="AM370" s="78"/>
      <c r="AN370" s="37"/>
    </row>
    <row r="371" spans="1:40" s="184" customFormat="1" ht="15.6" x14ac:dyDescent="0.25">
      <c r="A371" s="1619"/>
      <c r="B371" s="1621"/>
      <c r="C371" s="1621"/>
      <c r="D371" s="1623"/>
      <c r="E371" s="88"/>
      <c r="F371" s="1625"/>
      <c r="G371" s="1604"/>
      <c r="H371" s="83"/>
      <c r="I371" s="1609"/>
      <c r="J371" s="1612"/>
      <c r="K371" s="1596"/>
      <c r="L371" s="1593"/>
      <c r="M371" s="1590"/>
      <c r="N371" s="1593">
        <f>IF(NOT(ISERROR(MATCH(M371,_xlfn.ANCHORARRAY(F382),0))),L384&amp;"Por favor no seleccionar los criterios de impacto",M371)</f>
        <v>0</v>
      </c>
      <c r="O371" s="1596"/>
      <c r="P371" s="1593"/>
      <c r="Q371" s="1599"/>
      <c r="R371" s="48">
        <v>4</v>
      </c>
      <c r="S371" s="49"/>
      <c r="T371" s="50" t="str">
        <f t="shared" si="254"/>
        <v/>
      </c>
      <c r="U371" s="61"/>
      <c r="V371" s="61"/>
      <c r="W371" s="62" t="str">
        <f t="shared" si="252"/>
        <v/>
      </c>
      <c r="X371" s="61"/>
      <c r="Y371" s="61"/>
      <c r="Z371" s="61"/>
      <c r="AA371" s="63" t="str">
        <f t="shared" ref="AA371:AA373" si="259">IFERROR(IF(AND(T370="Probabilidad",T371="Probabilidad"),(AC370-(+AC370*W371)),IF(AND(T370="Impacto",T371="Probabilidad"),(AC369-(+AC369*W371)),IF(T371="Impacto",AC370,""))),"")</f>
        <v/>
      </c>
      <c r="AB371" s="64" t="str">
        <f t="shared" si="255"/>
        <v/>
      </c>
      <c r="AC371" s="65" t="str">
        <f t="shared" si="256"/>
        <v/>
      </c>
      <c r="AD371" s="64" t="str">
        <f t="shared" si="257"/>
        <v/>
      </c>
      <c r="AE371" s="65" t="str">
        <f t="shared" si="258"/>
        <v/>
      </c>
      <c r="AF371" s="66" t="str">
        <f t="shared" si="253"/>
        <v/>
      </c>
      <c r="AG371" s="81"/>
      <c r="AH371" s="77"/>
      <c r="AI371" s="78"/>
      <c r="AJ371" s="82"/>
      <c r="AK371" s="82"/>
      <c r="AL371" s="77"/>
      <c r="AM371" s="78"/>
      <c r="AN371" s="37"/>
    </row>
    <row r="372" spans="1:40" s="184" customFormat="1" ht="15.6" x14ac:dyDescent="0.25">
      <c r="A372" s="1619"/>
      <c r="B372" s="1621"/>
      <c r="C372" s="1621"/>
      <c r="D372" s="1623"/>
      <c r="E372" s="88"/>
      <c r="F372" s="1625"/>
      <c r="G372" s="1604"/>
      <c r="H372" s="83"/>
      <c r="I372" s="1609"/>
      <c r="J372" s="1612"/>
      <c r="K372" s="1596"/>
      <c r="L372" s="1593"/>
      <c r="M372" s="1590"/>
      <c r="N372" s="1593">
        <f>IF(NOT(ISERROR(MATCH(M372,_xlfn.ANCHORARRAY(F383),0))),L385&amp;"Por favor no seleccionar los criterios de impacto",M372)</f>
        <v>0</v>
      </c>
      <c r="O372" s="1596"/>
      <c r="P372" s="1593"/>
      <c r="Q372" s="1599"/>
      <c r="R372" s="48">
        <v>5</v>
      </c>
      <c r="S372" s="49"/>
      <c r="T372" s="50" t="str">
        <f t="shared" si="254"/>
        <v/>
      </c>
      <c r="U372" s="61"/>
      <c r="V372" s="61"/>
      <c r="W372" s="62" t="str">
        <f t="shared" si="252"/>
        <v/>
      </c>
      <c r="X372" s="61"/>
      <c r="Y372" s="61"/>
      <c r="Z372" s="61"/>
      <c r="AA372" s="63" t="str">
        <f t="shared" si="259"/>
        <v/>
      </c>
      <c r="AB372" s="64" t="str">
        <f t="shared" si="255"/>
        <v/>
      </c>
      <c r="AC372" s="65" t="str">
        <f t="shared" si="256"/>
        <v/>
      </c>
      <c r="AD372" s="64" t="str">
        <f t="shared" si="257"/>
        <v/>
      </c>
      <c r="AE372" s="65" t="str">
        <f t="shared" si="258"/>
        <v/>
      </c>
      <c r="AF372" s="66" t="str">
        <f t="shared" si="253"/>
        <v/>
      </c>
      <c r="AG372" s="81"/>
      <c r="AH372" s="77"/>
      <c r="AI372" s="78"/>
      <c r="AJ372" s="82"/>
      <c r="AK372" s="82"/>
      <c r="AL372" s="77"/>
      <c r="AM372" s="78"/>
      <c r="AN372" s="37"/>
    </row>
    <row r="373" spans="1:40" s="184" customFormat="1" ht="15.6" x14ac:dyDescent="0.25">
      <c r="A373" s="1620"/>
      <c r="B373" s="1615"/>
      <c r="C373" s="1615"/>
      <c r="D373" s="1624"/>
      <c r="E373" s="88"/>
      <c r="F373" s="1625"/>
      <c r="G373" s="1605"/>
      <c r="H373" s="83"/>
      <c r="I373" s="1610"/>
      <c r="J373" s="1613"/>
      <c r="K373" s="1597"/>
      <c r="L373" s="1594"/>
      <c r="M373" s="1591"/>
      <c r="N373" s="1594">
        <f>IF(NOT(ISERROR(MATCH(M373,_xlfn.ANCHORARRAY(F384),0))),L386&amp;"Por favor no seleccionar los criterios de impacto",M373)</f>
        <v>0</v>
      </c>
      <c r="O373" s="1597"/>
      <c r="P373" s="1594"/>
      <c r="Q373" s="1600"/>
      <c r="R373" s="48">
        <v>6</v>
      </c>
      <c r="S373" s="49"/>
      <c r="T373" s="50" t="str">
        <f t="shared" si="254"/>
        <v/>
      </c>
      <c r="U373" s="61"/>
      <c r="V373" s="61"/>
      <c r="W373" s="62" t="str">
        <f t="shared" si="252"/>
        <v/>
      </c>
      <c r="X373" s="61"/>
      <c r="Y373" s="61"/>
      <c r="Z373" s="61"/>
      <c r="AA373" s="63" t="str">
        <f t="shared" si="259"/>
        <v/>
      </c>
      <c r="AB373" s="64" t="str">
        <f t="shared" si="255"/>
        <v/>
      </c>
      <c r="AC373" s="65" t="str">
        <f t="shared" si="256"/>
        <v/>
      </c>
      <c r="AD373" s="64" t="str">
        <f t="shared" si="257"/>
        <v/>
      </c>
      <c r="AE373" s="65" t="str">
        <f t="shared" si="258"/>
        <v/>
      </c>
      <c r="AF373" s="66" t="str">
        <f t="shared" si="253"/>
        <v/>
      </c>
      <c r="AG373" s="81"/>
      <c r="AH373" s="77"/>
      <c r="AI373" s="78"/>
      <c r="AJ373" s="82"/>
      <c r="AK373" s="82"/>
      <c r="AL373" s="77"/>
      <c r="AM373" s="78"/>
      <c r="AN373" s="37"/>
    </row>
    <row r="374" spans="1:40" s="446" customFormat="1" ht="16.5" customHeight="1" x14ac:dyDescent="0.25">
      <c r="A374" s="1583" t="s">
        <v>156</v>
      </c>
      <c r="B374" s="1584"/>
      <c r="C374" s="1584"/>
      <c r="D374" s="1584"/>
      <c r="E374" s="1584"/>
      <c r="F374" s="1584"/>
      <c r="G374" s="1584"/>
      <c r="H374" s="1584"/>
      <c r="I374" s="1584"/>
      <c r="J374" s="1584"/>
      <c r="K374" s="1584"/>
      <c r="L374" s="1584"/>
      <c r="M374" s="1584"/>
      <c r="N374" s="1584"/>
      <c r="O374" s="1584"/>
      <c r="P374" s="1584"/>
      <c r="Q374" s="1584"/>
      <c r="R374" s="1584"/>
      <c r="S374" s="1584"/>
      <c r="T374" s="1584"/>
      <c r="U374" s="1584"/>
      <c r="V374" s="1584"/>
      <c r="W374" s="1584"/>
      <c r="X374" s="1584"/>
      <c r="Y374" s="1584"/>
      <c r="Z374" s="1584"/>
      <c r="AA374" s="1584"/>
      <c r="AB374" s="1584"/>
      <c r="AC374" s="1584"/>
      <c r="AD374" s="1584"/>
      <c r="AE374" s="1584"/>
      <c r="AF374" s="1584"/>
      <c r="AG374" s="1584"/>
      <c r="AH374" s="1584"/>
      <c r="AI374" s="1584"/>
      <c r="AJ374" s="1584"/>
      <c r="AK374" s="1584"/>
      <c r="AL374" s="1584"/>
      <c r="AM374" s="1585"/>
      <c r="AN374" s="445"/>
    </row>
    <row r="375" spans="1:40" s="446" customFormat="1" ht="24" customHeight="1" x14ac:dyDescent="0.25">
      <c r="A375" s="1586"/>
      <c r="B375" s="1587"/>
      <c r="C375" s="1587"/>
      <c r="D375" s="1587"/>
      <c r="E375" s="1587"/>
      <c r="F375" s="1587"/>
      <c r="G375" s="1587"/>
      <c r="H375" s="1587"/>
      <c r="I375" s="1587"/>
      <c r="J375" s="1587"/>
      <c r="K375" s="1587"/>
      <c r="L375" s="1587"/>
      <c r="M375" s="1587"/>
      <c r="N375" s="1587"/>
      <c r="O375" s="1587"/>
      <c r="P375" s="1587"/>
      <c r="Q375" s="1587"/>
      <c r="R375" s="1587"/>
      <c r="S375" s="1587"/>
      <c r="T375" s="1587"/>
      <c r="U375" s="1587"/>
      <c r="V375" s="1587"/>
      <c r="W375" s="1587"/>
      <c r="X375" s="1587"/>
      <c r="Y375" s="1587"/>
      <c r="Z375" s="1587"/>
      <c r="AA375" s="1587"/>
      <c r="AB375" s="1587"/>
      <c r="AC375" s="1587"/>
      <c r="AD375" s="1587"/>
      <c r="AE375" s="1587"/>
      <c r="AF375" s="1587"/>
      <c r="AG375" s="1587"/>
      <c r="AH375" s="1587"/>
      <c r="AI375" s="1587"/>
      <c r="AJ375" s="1587"/>
      <c r="AK375" s="1587"/>
      <c r="AL375" s="1587"/>
      <c r="AM375" s="1588"/>
      <c r="AN375" s="445"/>
    </row>
    <row r="376" spans="1:40" s="446" customFormat="1" x14ac:dyDescent="0.25">
      <c r="A376" s="447"/>
      <c r="B376" s="448"/>
      <c r="C376" s="447"/>
      <c r="D376" s="447"/>
      <c r="E376" s="447"/>
      <c r="F376" s="445"/>
      <c r="G376" s="445"/>
      <c r="H376" s="445"/>
      <c r="I376" s="449"/>
      <c r="J376" s="445"/>
      <c r="K376" s="445"/>
      <c r="L376" s="445"/>
      <c r="M376" s="445"/>
      <c r="N376" s="445"/>
      <c r="O376" s="445"/>
      <c r="P376" s="445"/>
      <c r="Q376" s="445"/>
      <c r="R376" s="445"/>
      <c r="S376" s="445"/>
      <c r="T376" s="445"/>
      <c r="U376" s="445"/>
      <c r="V376" s="445"/>
      <c r="W376" s="445"/>
      <c r="X376" s="445"/>
      <c r="Y376" s="445"/>
      <c r="Z376" s="445"/>
      <c r="AA376" s="445"/>
      <c r="AB376" s="445"/>
      <c r="AC376" s="445"/>
      <c r="AD376" s="445"/>
      <c r="AE376" s="445"/>
      <c r="AF376" s="445"/>
      <c r="AG376" s="445"/>
      <c r="AH376" s="445"/>
      <c r="AI376" s="445"/>
      <c r="AJ376" s="445"/>
      <c r="AK376" s="445"/>
      <c r="AL376" s="445"/>
      <c r="AM376" s="445"/>
      <c r="AN376" s="445"/>
    </row>
    <row r="377" spans="1:40" s="446" customFormat="1" ht="26.25" customHeight="1" x14ac:dyDescent="0.25">
      <c r="A377" s="1574" t="s">
        <v>157</v>
      </c>
      <c r="B377" s="1575"/>
      <c r="C377" s="1576" t="s">
        <v>218</v>
      </c>
      <c r="D377" s="1576"/>
      <c r="E377" s="1576"/>
      <c r="F377" s="1576"/>
      <c r="G377" s="1576"/>
      <c r="H377" s="1576"/>
      <c r="I377" s="1576"/>
      <c r="J377" s="1576"/>
      <c r="K377" s="1576"/>
      <c r="L377" s="1576"/>
      <c r="M377" s="1576"/>
      <c r="N377" s="1576"/>
      <c r="O377" s="1576"/>
      <c r="P377" s="1576"/>
      <c r="Q377" s="1576"/>
      <c r="R377" s="1576"/>
      <c r="S377" s="1576"/>
      <c r="T377" s="1576"/>
      <c r="U377" s="1576"/>
      <c r="V377" s="1576"/>
      <c r="W377" s="1576"/>
      <c r="X377" s="1576"/>
      <c r="Y377" s="1576"/>
      <c r="Z377" s="1576"/>
      <c r="AA377" s="1576"/>
      <c r="AB377" s="1576"/>
      <c r="AC377" s="1576"/>
      <c r="AD377" s="1576"/>
      <c r="AE377" s="1576"/>
      <c r="AF377" s="1576"/>
      <c r="AG377" s="1576"/>
      <c r="AH377" s="1576"/>
      <c r="AI377" s="1576"/>
      <c r="AJ377" s="1576"/>
      <c r="AK377" s="1576"/>
      <c r="AL377" s="1576"/>
      <c r="AM377" s="1576"/>
      <c r="AN377" s="445"/>
    </row>
    <row r="378" spans="1:40" s="446" customFormat="1" ht="40.5" customHeight="1" x14ac:dyDescent="0.25">
      <c r="A378" s="1574" t="s">
        <v>158</v>
      </c>
      <c r="B378" s="1575"/>
      <c r="C378" s="1576" t="s">
        <v>219</v>
      </c>
      <c r="D378" s="1576"/>
      <c r="E378" s="1576"/>
      <c r="F378" s="1576"/>
      <c r="G378" s="1576"/>
      <c r="H378" s="1576"/>
      <c r="I378" s="1576"/>
      <c r="J378" s="1576"/>
      <c r="K378" s="1576"/>
      <c r="L378" s="1576"/>
      <c r="M378" s="1576"/>
      <c r="N378" s="1576"/>
      <c r="O378" s="1576"/>
      <c r="P378" s="1576"/>
      <c r="Q378" s="1576"/>
      <c r="R378" s="1576"/>
      <c r="S378" s="1576"/>
      <c r="T378" s="1576"/>
      <c r="U378" s="1576"/>
      <c r="V378" s="1576"/>
      <c r="W378" s="1576"/>
      <c r="X378" s="1576"/>
      <c r="Y378" s="1576"/>
      <c r="Z378" s="1576"/>
      <c r="AA378" s="1576"/>
      <c r="AB378" s="1576"/>
      <c r="AC378" s="1576"/>
      <c r="AD378" s="1576"/>
      <c r="AE378" s="1576"/>
      <c r="AF378" s="1576"/>
      <c r="AG378" s="1576"/>
      <c r="AH378" s="1576"/>
      <c r="AI378" s="1576"/>
      <c r="AJ378" s="1576"/>
      <c r="AK378" s="1576"/>
      <c r="AL378" s="1576"/>
      <c r="AM378" s="1576"/>
      <c r="AN378" s="445"/>
    </row>
    <row r="379" spans="1:40" s="446" customFormat="1" ht="34.5" customHeight="1" x14ac:dyDescent="0.25">
      <c r="A379" s="1574" t="s">
        <v>159</v>
      </c>
      <c r="B379" s="1575"/>
      <c r="C379" s="1576" t="s">
        <v>220</v>
      </c>
      <c r="D379" s="1576"/>
      <c r="E379" s="1576"/>
      <c r="F379" s="1576"/>
      <c r="G379" s="1576"/>
      <c r="H379" s="1576"/>
      <c r="I379" s="1576"/>
      <c r="J379" s="1576"/>
      <c r="K379" s="1576"/>
      <c r="L379" s="1576"/>
      <c r="M379" s="1576"/>
      <c r="N379" s="1576"/>
      <c r="O379" s="1576"/>
      <c r="P379" s="1576"/>
      <c r="Q379" s="1576"/>
      <c r="R379" s="1576"/>
      <c r="S379" s="1576"/>
      <c r="T379" s="1576"/>
      <c r="U379" s="1576"/>
      <c r="V379" s="1576"/>
      <c r="W379" s="1576"/>
      <c r="X379" s="1576"/>
      <c r="Y379" s="1576"/>
      <c r="Z379" s="1576"/>
      <c r="AA379" s="1576"/>
      <c r="AB379" s="1576"/>
      <c r="AC379" s="1576"/>
      <c r="AD379" s="1576"/>
      <c r="AE379" s="1576"/>
      <c r="AF379" s="1576"/>
      <c r="AG379" s="1576"/>
      <c r="AH379" s="1576"/>
      <c r="AI379" s="1576"/>
      <c r="AJ379" s="1576"/>
      <c r="AK379" s="1576"/>
      <c r="AL379" s="1576"/>
      <c r="AM379" s="1576"/>
      <c r="AN379" s="445"/>
    </row>
    <row r="380" spans="1:40" s="446" customFormat="1" x14ac:dyDescent="0.25">
      <c r="A380" s="1577" t="s">
        <v>160</v>
      </c>
      <c r="B380" s="1578"/>
      <c r="C380" s="1579"/>
      <c r="D380" s="1579"/>
      <c r="E380" s="1579"/>
      <c r="F380" s="1579"/>
      <c r="G380" s="1579"/>
      <c r="H380" s="1579"/>
      <c r="I380" s="1579"/>
      <c r="J380" s="1580"/>
      <c r="K380" s="1564" t="s">
        <v>161</v>
      </c>
      <c r="L380" s="1579"/>
      <c r="M380" s="1579"/>
      <c r="N380" s="1579"/>
      <c r="O380" s="1579"/>
      <c r="P380" s="1579"/>
      <c r="Q380" s="1580"/>
      <c r="R380" s="1564" t="s">
        <v>162</v>
      </c>
      <c r="S380" s="1579"/>
      <c r="T380" s="1579"/>
      <c r="U380" s="1579"/>
      <c r="V380" s="1579"/>
      <c r="W380" s="1579"/>
      <c r="X380" s="1579"/>
      <c r="Y380" s="1579"/>
      <c r="Z380" s="1580"/>
      <c r="AA380" s="1564" t="s">
        <v>163</v>
      </c>
      <c r="AB380" s="1579"/>
      <c r="AC380" s="1579"/>
      <c r="AD380" s="1579"/>
      <c r="AE380" s="1579"/>
      <c r="AF380" s="1579"/>
      <c r="AG380" s="1580"/>
      <c r="AH380" s="1564" t="s">
        <v>164</v>
      </c>
      <c r="AI380" s="1579"/>
      <c r="AJ380" s="1579"/>
      <c r="AK380" s="1579"/>
      <c r="AL380" s="1579"/>
      <c r="AM380" s="1580"/>
      <c r="AN380" s="445"/>
    </row>
    <row r="381" spans="1:40" s="446" customFormat="1" ht="16.5" customHeight="1" x14ac:dyDescent="0.25">
      <c r="A381" s="1569" t="s">
        <v>165</v>
      </c>
      <c r="B381" s="1571" t="s">
        <v>142</v>
      </c>
      <c r="C381" s="1566" t="s">
        <v>166</v>
      </c>
      <c r="D381" s="1566" t="s">
        <v>167</v>
      </c>
      <c r="E381" s="1567" t="s">
        <v>168</v>
      </c>
      <c r="F381" s="1572" t="s">
        <v>60</v>
      </c>
      <c r="G381" s="450"/>
      <c r="H381" s="450"/>
      <c r="I381" s="1567" t="s">
        <v>169</v>
      </c>
      <c r="J381" s="1566" t="s">
        <v>170</v>
      </c>
      <c r="K381" s="1568" t="s">
        <v>171</v>
      </c>
      <c r="L381" s="1565" t="s">
        <v>172</v>
      </c>
      <c r="M381" s="1567" t="s">
        <v>173</v>
      </c>
      <c r="N381" s="1567" t="s">
        <v>174</v>
      </c>
      <c r="O381" s="1563" t="s">
        <v>175</v>
      </c>
      <c r="P381" s="1565" t="s">
        <v>172</v>
      </c>
      <c r="Q381" s="1566" t="s">
        <v>176</v>
      </c>
      <c r="R381" s="1561" t="s">
        <v>177</v>
      </c>
      <c r="S381" s="1546" t="s">
        <v>178</v>
      </c>
      <c r="T381" s="1567" t="s">
        <v>179</v>
      </c>
      <c r="U381" s="1546" t="s">
        <v>180</v>
      </c>
      <c r="V381" s="1546"/>
      <c r="W381" s="1546"/>
      <c r="X381" s="1546"/>
      <c r="Y381" s="1546"/>
      <c r="Z381" s="1546"/>
      <c r="AA381" s="1560" t="s">
        <v>181</v>
      </c>
      <c r="AB381" s="1560" t="s">
        <v>182</v>
      </c>
      <c r="AC381" s="1560" t="s">
        <v>172</v>
      </c>
      <c r="AD381" s="1560" t="s">
        <v>183</v>
      </c>
      <c r="AE381" s="1560" t="s">
        <v>172</v>
      </c>
      <c r="AF381" s="1560" t="s">
        <v>184</v>
      </c>
      <c r="AG381" s="1561" t="s">
        <v>185</v>
      </c>
      <c r="AH381" s="1546" t="s">
        <v>164</v>
      </c>
      <c r="AI381" s="1546" t="s">
        <v>143</v>
      </c>
      <c r="AJ381" s="1546" t="s">
        <v>186</v>
      </c>
      <c r="AK381" s="1546" t="s">
        <v>187</v>
      </c>
      <c r="AL381" s="1545" t="s">
        <v>951</v>
      </c>
      <c r="AM381" s="1546" t="s">
        <v>189</v>
      </c>
      <c r="AN381" s="445"/>
    </row>
    <row r="382" spans="1:40" s="453" customFormat="1" ht="94.5" customHeight="1" x14ac:dyDescent="0.3">
      <c r="A382" s="1570"/>
      <c r="B382" s="1571"/>
      <c r="C382" s="1546"/>
      <c r="D382" s="1546"/>
      <c r="E382" s="1568"/>
      <c r="F382" s="1573"/>
      <c r="G382" s="450" t="s">
        <v>952</v>
      </c>
      <c r="H382" s="450" t="s">
        <v>190</v>
      </c>
      <c r="I382" s="1566"/>
      <c r="J382" s="1546"/>
      <c r="K382" s="1566"/>
      <c r="L382" s="1564"/>
      <c r="M382" s="1566"/>
      <c r="N382" s="1566"/>
      <c r="O382" s="1564"/>
      <c r="P382" s="1564"/>
      <c r="Q382" s="1546"/>
      <c r="R382" s="1562"/>
      <c r="S382" s="1546"/>
      <c r="T382" s="1566"/>
      <c r="U382" s="451" t="s">
        <v>191</v>
      </c>
      <c r="V382" s="451" t="s">
        <v>192</v>
      </c>
      <c r="W382" s="451" t="s">
        <v>193</v>
      </c>
      <c r="X382" s="451" t="s">
        <v>194</v>
      </c>
      <c r="Y382" s="451" t="s">
        <v>195</v>
      </c>
      <c r="Z382" s="451" t="s">
        <v>196</v>
      </c>
      <c r="AA382" s="1560"/>
      <c r="AB382" s="1560"/>
      <c r="AC382" s="1560"/>
      <c r="AD382" s="1560"/>
      <c r="AE382" s="1560"/>
      <c r="AF382" s="1560"/>
      <c r="AG382" s="1562"/>
      <c r="AH382" s="1546"/>
      <c r="AI382" s="1546"/>
      <c r="AJ382" s="1546"/>
      <c r="AK382" s="1546"/>
      <c r="AL382" s="1545"/>
      <c r="AM382" s="1546"/>
      <c r="AN382" s="452"/>
    </row>
    <row r="383" spans="1:40" s="470" customFormat="1" ht="296.25" customHeight="1" x14ac:dyDescent="0.3">
      <c r="A383" s="1526">
        <v>1</v>
      </c>
      <c r="B383" s="1547" t="s">
        <v>197</v>
      </c>
      <c r="C383" s="1547" t="s">
        <v>221</v>
      </c>
      <c r="D383" s="1550" t="s">
        <v>222</v>
      </c>
      <c r="E383" s="454" t="s">
        <v>953</v>
      </c>
      <c r="F383" s="1553" t="s">
        <v>223</v>
      </c>
      <c r="G383" s="1554" t="s">
        <v>512</v>
      </c>
      <c r="H383" s="1553" t="s">
        <v>224</v>
      </c>
      <c r="I383" s="1557" t="s">
        <v>198</v>
      </c>
      <c r="J383" s="1536">
        <v>24</v>
      </c>
      <c r="K383" s="1539" t="str">
        <f>IF(J383&lt;=0,"",IF(J383&lt;=2,"Muy Baja",IF(J383&lt;=24,"Baja",IF(J383&lt;=500,"Media",IF(J383&lt;=5000,"Alta","Muy Alta")))))</f>
        <v>Baja</v>
      </c>
      <c r="L383" s="1514">
        <f>IF(K383="","",IF(K383="Muy Baja",0.2,IF(K383="Baja",0.4,IF(K383="Media",0.6,IF(K383="Alta",0.8,IF(K383="Muy Alta",1,))))))</f>
        <v>0.4</v>
      </c>
      <c r="M383" s="1542" t="s">
        <v>225</v>
      </c>
      <c r="N383" s="1514" t="str">
        <f>IF(NOT(ISERROR(MATCH(M383,'[22]Tabla Impacto'!$B$221:$B$223,0))),'[22]Tabla Impacto'!$F$223&amp;"Por favor no seleccionar los criterios de impacto(Afectación Económica o presupuestal y Pérdida Reputacional)",M383)</f>
        <v xml:space="preserve">     El riesgo afecta la imagen de la entidad con algunos usuarios de relevancia frente al logro de los objetivos</v>
      </c>
      <c r="O383" s="1539" t="str">
        <f>IF(OR(N383='[22]Tabla Impacto'!$C$11,N383='[22]Tabla Impacto'!$D$11),"Leve",IF(OR(N383='[22]Tabla Impacto'!$C$12,N383='[22]Tabla Impacto'!$D$12),"Menor",IF(OR(N383='[22]Tabla Impacto'!$C$13,N383='[22]Tabla Impacto'!$D$13),"Moderado",IF(OR(N383='[22]Tabla Impacto'!$C$14,N383='[22]Tabla Impacto'!$D$14),"Mayor",IF(OR(N383='[22]Tabla Impacto'!$C$15,N383='[22]Tabla Impacto'!$D$15),"Catastrófico","")))))</f>
        <v>Moderado</v>
      </c>
      <c r="P383" s="1514">
        <f>IF(O383="","",IF(O383="Leve",0.2,IF(O383="Menor",0.4,IF(O383="Moderado",0.6,IF(O383="Mayor",0.8,IF(O383="Catastrófico",1,))))))</f>
        <v>0.6</v>
      </c>
      <c r="Q383" s="1517" t="str">
        <f>IF(OR(AND(K383="Muy Baja",O383="Leve"),AND(K383="Muy Baja",O383="Menor"),AND(K383="Baja",O383="Leve")),"Bajo",IF(OR(AND(K383="Muy baja",O383="Moderado"),AND(K383="Baja",O383="Menor"),AND(K383="Baja",O383="Moderado"),AND(K383="Media",O383="Leve"),AND(K383="Media",O383="Menor"),AND(K383="Media",O383="Moderado"),AND(K383="Alta",O383="Leve"),AND(K383="Alta",O383="Menor")),"Moderado",IF(OR(AND(K383="Muy Baja",O383="Mayor"),AND(K383="Baja",O383="Mayor"),AND(K383="Media",O383="Mayor"),AND(K383="Alta",O383="Moderado"),AND(K383="Alta",O383="Mayor"),AND(K383="Muy Alta",O383="Leve"),AND(K383="Muy Alta",O383="Menor"),AND(K383="Muy Alta",O383="Moderado"),AND(K383="Muy Alta",O383="Mayor")),"Alto",IF(OR(AND(K383="Muy Baja",O383="Catastrófico"),AND(K383="Baja",O383="Catastrófico"),AND(K383="Media",O383="Catastrófico"),AND(K383="Alta",O383="Catastrófico"),AND(K383="Muy Alta",O383="Catastrófico")),"Extremo",""))))</f>
        <v>Moderado</v>
      </c>
      <c r="R383" s="456">
        <v>1</v>
      </c>
      <c r="S383" s="457" t="s">
        <v>226</v>
      </c>
      <c r="T383" s="458" t="str">
        <f>IF(OR(U383="Preventivo",U383="Detectivo"),"Probabilidad",IF(U383="Correctivo","Impacto",""))</f>
        <v>Probabilidad</v>
      </c>
      <c r="U383" s="459" t="s">
        <v>207</v>
      </c>
      <c r="V383" s="459" t="s">
        <v>201</v>
      </c>
      <c r="W383" s="460" t="str">
        <f>IF(AND(U383="Preventivo",V383="Automático"),"50%",IF(AND(U383="Preventivo",V383="Manual"),"40%",IF(AND(U383="Detectivo",V383="Automático"),"40%",IF(AND(U383="Detectivo",V383="Manual"),"30%",IF(AND(U383="Correctivo",V383="Automático"),"35%",IF(AND(U383="Correctivo",V383="Manual"),"25%",""))))))</f>
        <v>40%</v>
      </c>
      <c r="X383" s="459" t="s">
        <v>208</v>
      </c>
      <c r="Y383" s="459" t="s">
        <v>203</v>
      </c>
      <c r="Z383" s="459" t="s">
        <v>204</v>
      </c>
      <c r="AA383" s="63">
        <f>IFERROR(IF(T383="Probabilidad",(L383-(+L383*W383)),IF(T383="Impacto",L383,"")),"")</f>
        <v>0.24</v>
      </c>
      <c r="AB383" s="461" t="str">
        <f>IFERROR(IF(AA383="","",IF(AA383&lt;=0.2,"Muy Baja",IF(AA383&lt;=0.4,"Baja",IF(AA383&lt;=0.6,"Media",IF(AA383&lt;=0.8,"Alta","Muy Alta"))))),"")</f>
        <v>Baja</v>
      </c>
      <c r="AC383" s="462">
        <f>+AA383</f>
        <v>0.24</v>
      </c>
      <c r="AD383" s="461" t="str">
        <f>IFERROR(IF(AE383="","",IF(AE383&lt;=0.2,"Leve",IF(AE383&lt;=0.4,"Menor",IF(AE383&lt;=0.6,"Moderado",IF(AE383&lt;=0.8,"Mayor","Catastrófico"))))),"")</f>
        <v>Moderado</v>
      </c>
      <c r="AE383" s="462">
        <f>IFERROR(IF(T383="Impacto",(P383-(+P383*W383)),IF(T383="Probabilidad",P383,"")),"")</f>
        <v>0.6</v>
      </c>
      <c r="AF383" s="1520" t="str">
        <f>IFERROR(IF(OR(AND(AB383="Muy Baja",AD383="Leve"),AND(AB383="Muy Baja",AD383="Menor"),AND(AB383="Baja",AD383="Leve")),"Bajo",IF(OR(AND(AB383="Muy baja",AD383="Moderado"),AND(AB383="Baja",AD383="Menor"),AND(AB383="Baja",AD383="Moderado"),AND(AB383="Media",AD383="Leve"),AND(AB383="Media",AD383="Menor"),AND(AB383="Media",AD383="Moderado"),AND(AB383="Alta",AD383="Leve"),AND(AB383="Alta",AD383="Menor")),"Moderado",IF(OR(AND(AB383="Muy Baja",AD383="Mayor"),AND(AB383="Baja",AD383="Mayor"),AND(AB383="Media",AD383="Mayor"),AND(AB383="Alta",AD383="Moderado"),AND(AB383="Alta",AD383="Mayor"),AND(AB383="Muy Alta",AD383="Leve"),AND(AB383="Muy Alta",AD383="Menor"),AND(AB383="Muy Alta",AD383="Moderado"),AND(AB383="Muy Alta",AD383="Mayor")),"Alto",IF(OR(AND(AB383="Muy Baja",AD383="Catastrófico"),AND(AB383="Baja",AD383="Catastrófico"),AND(AB383="Media",AD383="Catastrófico"),AND(AB383="Alta",AD383="Catastrófico"),AND(AB383="Muy Alta",AD383="Catastrófico")),"Extremo","")))),"")</f>
        <v>Moderado</v>
      </c>
      <c r="AG383" s="1523" t="s">
        <v>205</v>
      </c>
      <c r="AH383" s="464" t="s">
        <v>954</v>
      </c>
      <c r="AI383" s="464" t="s">
        <v>227</v>
      </c>
      <c r="AJ383" s="465" t="s">
        <v>955</v>
      </c>
      <c r="AK383" s="466" t="s">
        <v>956</v>
      </c>
      <c r="AL383" s="467" t="s">
        <v>957</v>
      </c>
      <c r="AM383" s="468" t="s">
        <v>958</v>
      </c>
      <c r="AN383" s="469"/>
    </row>
    <row r="384" spans="1:40" s="446" customFormat="1" ht="240" customHeight="1" x14ac:dyDescent="0.25">
      <c r="A384" s="1527"/>
      <c r="B384" s="1548"/>
      <c r="C384" s="1548"/>
      <c r="D384" s="1551"/>
      <c r="E384" s="471" t="s">
        <v>959</v>
      </c>
      <c r="F384" s="1553"/>
      <c r="G384" s="1555"/>
      <c r="H384" s="1553"/>
      <c r="I384" s="1558"/>
      <c r="J384" s="1537"/>
      <c r="K384" s="1540"/>
      <c r="L384" s="1515"/>
      <c r="M384" s="1543"/>
      <c r="N384" s="1515">
        <f>IF(NOT(ISERROR(MATCH(M384,_xlfn.ANCHORARRAY(F395),0))),L397&amp;"Por favor no seleccionar los criterios de impacto",M384)</f>
        <v>0</v>
      </c>
      <c r="O384" s="1540"/>
      <c r="P384" s="1515"/>
      <c r="Q384" s="1518"/>
      <c r="R384" s="456">
        <v>2</v>
      </c>
      <c r="S384" s="472" t="s">
        <v>960</v>
      </c>
      <c r="T384" s="458" t="str">
        <f>IF(OR(U384="Preventivo",U384="Detectivo"),"Probabilidad",IF(U384="Correctivo","Impacto",""))</f>
        <v>Probabilidad</v>
      </c>
      <c r="U384" s="459" t="s">
        <v>207</v>
      </c>
      <c r="V384" s="459" t="s">
        <v>201</v>
      </c>
      <c r="W384" s="460" t="str">
        <f t="shared" ref="W384:W388" si="260">IF(AND(U384="Preventivo",V384="Automático"),"50%",IF(AND(U384="Preventivo",V384="Manual"),"40%",IF(AND(U384="Detectivo",V384="Automático"),"40%",IF(AND(U384="Detectivo",V384="Manual"),"30%",IF(AND(U384="Correctivo",V384="Automático"),"35%",IF(AND(U384="Correctivo",V384="Manual"),"25%",""))))))</f>
        <v>40%</v>
      </c>
      <c r="X384" s="459" t="s">
        <v>208</v>
      </c>
      <c r="Y384" s="459" t="s">
        <v>203</v>
      </c>
      <c r="Z384" s="459" t="s">
        <v>204</v>
      </c>
      <c r="AA384" s="63">
        <f>IFERROR(IF(AND(T383="Probabilidad",T384="Probabilidad"),(AC383-(+AC383*W384)),IF(AND(T383="Impacto",T384="Probabilidad"),(L383-(+L383*W384)),IF(T384="Impacto",AC383,""))),"")</f>
        <v>0.14399999999999999</v>
      </c>
      <c r="AB384" s="461" t="str">
        <f t="shared" ref="AB384:AB388" si="261">IFERROR(IF(AA384="","",IF(AA384&lt;=0.2,"Muy Baja",IF(AA384&lt;=0.4,"Baja",IF(AA384&lt;=0.6,"Media",IF(AA384&lt;=0.8,"Alta","Muy Alta"))))),"")</f>
        <v>Muy Baja</v>
      </c>
      <c r="AC384" s="462">
        <f>+AA384</f>
        <v>0.14399999999999999</v>
      </c>
      <c r="AD384" s="461" t="str">
        <f t="shared" ref="AD384:AD388" si="262">IFERROR(IF(AE384="","",IF(AE384&lt;=0.2,"Leve",IF(AE384&lt;=0.4,"Menor",IF(AE384&lt;=0.6,"Moderado",IF(AE384&lt;=0.8,"Mayor","Catastrófico"))))),"")</f>
        <v>Moderado</v>
      </c>
      <c r="AE384" s="462">
        <f>IFERROR(IF(AND(T383="Impacto",T384="Impacto"),(AE383-(+AE383*W384)),IF(AND(T383="Probabilidad",T384="Impacto"),(P383-(+P383*W384)),IF(T384="Probabilidad",AE383,""))),"")</f>
        <v>0.6</v>
      </c>
      <c r="AF384" s="1521"/>
      <c r="AG384" s="1524"/>
      <c r="AH384" s="457" t="s">
        <v>961</v>
      </c>
      <c r="AI384" s="457" t="s">
        <v>228</v>
      </c>
      <c r="AJ384" s="465" t="s">
        <v>962</v>
      </c>
      <c r="AK384" s="474" t="s">
        <v>956</v>
      </c>
      <c r="AL384" s="475" t="s">
        <v>963</v>
      </c>
      <c r="AM384" s="468" t="s">
        <v>958</v>
      </c>
      <c r="AN384" s="476"/>
    </row>
    <row r="385" spans="1:40" s="446" customFormat="1" ht="408" customHeight="1" x14ac:dyDescent="0.25">
      <c r="A385" s="1527"/>
      <c r="B385" s="1548"/>
      <c r="C385" s="1548"/>
      <c r="D385" s="1551"/>
      <c r="E385" s="477" t="s">
        <v>229</v>
      </c>
      <c r="F385" s="1553"/>
      <c r="G385" s="1555"/>
      <c r="H385" s="1553"/>
      <c r="I385" s="1558"/>
      <c r="J385" s="1537"/>
      <c r="K385" s="1540"/>
      <c r="L385" s="1515"/>
      <c r="M385" s="1543"/>
      <c r="N385" s="1515">
        <f>IF(NOT(ISERROR(MATCH(M385,_xlfn.ANCHORARRAY(F396),0))),L398&amp;"Por favor no seleccionar los criterios de impacto",M385)</f>
        <v>0</v>
      </c>
      <c r="O385" s="1540"/>
      <c r="P385" s="1515"/>
      <c r="Q385" s="1518"/>
      <c r="R385" s="456">
        <v>3</v>
      </c>
      <c r="S385" s="478" t="s">
        <v>964</v>
      </c>
      <c r="T385" s="458" t="str">
        <f t="shared" ref="T385:T388" si="263">IF(OR(U385="Preventivo",U385="Detectivo"),"Probabilidad",IF(U385="Correctivo","Impacto",""))</f>
        <v>Probabilidad</v>
      </c>
      <c r="U385" s="459" t="s">
        <v>207</v>
      </c>
      <c r="V385" s="459" t="s">
        <v>201</v>
      </c>
      <c r="W385" s="460" t="str">
        <f t="shared" si="260"/>
        <v>40%</v>
      </c>
      <c r="X385" s="459" t="s">
        <v>208</v>
      </c>
      <c r="Y385" s="459" t="s">
        <v>203</v>
      </c>
      <c r="Z385" s="459" t="s">
        <v>204</v>
      </c>
      <c r="AA385" s="63">
        <f>IFERROR(IF(AND(T384="Probabilidad",T385="Probabilidad"),(AC384-(+AC384*W385)),IF(AND(T384="Impacto",T385="Probabilidad"),(AC383-(+AC383*W385)),IF(T385="Impacto",AC384,""))),"")</f>
        <v>8.6399999999999991E-2</v>
      </c>
      <c r="AB385" s="461" t="str">
        <f t="shared" si="261"/>
        <v>Muy Baja</v>
      </c>
      <c r="AC385" s="462">
        <f t="shared" ref="AC385:AC388" si="264">+AA385</f>
        <v>8.6399999999999991E-2</v>
      </c>
      <c r="AD385" s="461" t="str">
        <f t="shared" si="262"/>
        <v>Moderado</v>
      </c>
      <c r="AE385" s="462">
        <f t="shared" ref="AE385:AE388" si="265">IFERROR(IF(AND(T384="Impacto",T385="Impacto"),(AE384-(+AE384*W385)),IF(AND(T384="Probabilidad",T385="Impacto"),(AE383-(+AE383*W385)),IF(T385="Probabilidad",AE384,""))),"")</f>
        <v>0.6</v>
      </c>
      <c r="AF385" s="1521"/>
      <c r="AG385" s="1524"/>
      <c r="AH385" s="457" t="s">
        <v>965</v>
      </c>
      <c r="AI385" s="457" t="s">
        <v>227</v>
      </c>
      <c r="AJ385" s="466" t="s">
        <v>966</v>
      </c>
      <c r="AK385" s="474" t="s">
        <v>956</v>
      </c>
      <c r="AL385" s="479" t="s">
        <v>967</v>
      </c>
      <c r="AM385" s="468"/>
      <c r="AN385" s="480"/>
    </row>
    <row r="386" spans="1:40" s="446" customFormat="1" ht="286.5" customHeight="1" x14ac:dyDescent="0.25">
      <c r="A386" s="1527"/>
      <c r="B386" s="1548"/>
      <c r="C386" s="1548"/>
      <c r="D386" s="1551"/>
      <c r="E386" s="477" t="s">
        <v>230</v>
      </c>
      <c r="F386" s="1553"/>
      <c r="G386" s="1556"/>
      <c r="H386" s="1553"/>
      <c r="I386" s="1558"/>
      <c r="J386" s="1537"/>
      <c r="K386" s="1540"/>
      <c r="L386" s="1515"/>
      <c r="M386" s="1543"/>
      <c r="N386" s="1515">
        <f>IF(NOT(ISERROR(MATCH(M386,_xlfn.ANCHORARRAY(F397),0))),L399&amp;"Por favor no seleccionar los criterios de impacto",M386)</f>
        <v>0</v>
      </c>
      <c r="O386" s="1540"/>
      <c r="P386" s="1515"/>
      <c r="Q386" s="1518"/>
      <c r="R386" s="456">
        <v>4</v>
      </c>
      <c r="S386" s="472" t="s">
        <v>231</v>
      </c>
      <c r="T386" s="458" t="str">
        <f t="shared" si="263"/>
        <v>Probabilidad</v>
      </c>
      <c r="U386" s="459" t="s">
        <v>207</v>
      </c>
      <c r="V386" s="459" t="s">
        <v>201</v>
      </c>
      <c r="W386" s="460" t="str">
        <f t="shared" si="260"/>
        <v>40%</v>
      </c>
      <c r="X386" s="459" t="s">
        <v>208</v>
      </c>
      <c r="Y386" s="459" t="s">
        <v>203</v>
      </c>
      <c r="Z386" s="459" t="s">
        <v>204</v>
      </c>
      <c r="AA386" s="63">
        <f t="shared" ref="AA386:AA388" si="266">IFERROR(IF(AND(T385="Probabilidad",T386="Probabilidad"),(AC385-(+AC385*W386)),IF(AND(T385="Impacto",T386="Probabilidad"),(AC384-(+AC384*W386)),IF(T386="Impacto",AC385,""))),"")</f>
        <v>5.183999999999999E-2</v>
      </c>
      <c r="AB386" s="461" t="str">
        <f t="shared" si="261"/>
        <v>Muy Baja</v>
      </c>
      <c r="AC386" s="462">
        <f t="shared" si="264"/>
        <v>5.183999999999999E-2</v>
      </c>
      <c r="AD386" s="461" t="str">
        <f t="shared" si="262"/>
        <v>Moderado</v>
      </c>
      <c r="AE386" s="462">
        <f t="shared" si="265"/>
        <v>0.6</v>
      </c>
      <c r="AF386" s="1522"/>
      <c r="AG386" s="1525"/>
      <c r="AH386" s="457" t="s">
        <v>232</v>
      </c>
      <c r="AI386" s="457" t="s">
        <v>233</v>
      </c>
      <c r="AJ386" s="465" t="s">
        <v>968</v>
      </c>
      <c r="AK386" s="474" t="s">
        <v>956</v>
      </c>
      <c r="AL386" s="482" t="s">
        <v>969</v>
      </c>
      <c r="AM386" s="468" t="s">
        <v>958</v>
      </c>
      <c r="AN386" s="483"/>
    </row>
    <row r="387" spans="1:40" s="446" customFormat="1" ht="48.75" customHeight="1" x14ac:dyDescent="0.25">
      <c r="A387" s="1527"/>
      <c r="B387" s="1548"/>
      <c r="C387" s="1548"/>
      <c r="D387" s="1551"/>
      <c r="E387" s="484"/>
      <c r="F387" s="1553"/>
      <c r="G387" s="455"/>
      <c r="H387" s="1553"/>
      <c r="I387" s="1558"/>
      <c r="J387" s="1537"/>
      <c r="K387" s="1540"/>
      <c r="L387" s="1515"/>
      <c r="M387" s="1543"/>
      <c r="N387" s="1515">
        <f>IF(NOT(ISERROR(MATCH(M387,_xlfn.ANCHORARRAY(F398),0))),L400&amp;"Por favor no seleccionar los criterios de impacto",M387)</f>
        <v>0</v>
      </c>
      <c r="O387" s="1540"/>
      <c r="P387" s="1515"/>
      <c r="Q387" s="1518"/>
      <c r="R387" s="456">
        <v>5</v>
      </c>
      <c r="S387" s="472"/>
      <c r="T387" s="458" t="str">
        <f t="shared" si="263"/>
        <v/>
      </c>
      <c r="U387" s="459"/>
      <c r="V387" s="459"/>
      <c r="W387" s="460" t="str">
        <f t="shared" si="260"/>
        <v/>
      </c>
      <c r="X387" s="459"/>
      <c r="Y387" s="459"/>
      <c r="Z387" s="459"/>
      <c r="AA387" s="63" t="str">
        <f t="shared" si="266"/>
        <v/>
      </c>
      <c r="AB387" s="461" t="str">
        <f t="shared" si="261"/>
        <v/>
      </c>
      <c r="AC387" s="462" t="str">
        <f t="shared" si="264"/>
        <v/>
      </c>
      <c r="AD387" s="461" t="str">
        <f t="shared" si="262"/>
        <v/>
      </c>
      <c r="AE387" s="462" t="str">
        <f t="shared" si="265"/>
        <v/>
      </c>
      <c r="AF387" s="485" t="str">
        <f t="shared" ref="AF387:AF388" si="267">IFERROR(IF(OR(AND(AB387="Muy Baja",AD387="Leve"),AND(AB387="Muy Baja",AD387="Menor"),AND(AB387="Baja",AD387="Leve")),"Bajo",IF(OR(AND(AB387="Muy baja",AD387="Moderado"),AND(AB387="Baja",AD387="Menor"),AND(AB387="Baja",AD387="Moderado"),AND(AB387="Media",AD387="Leve"),AND(AB387="Media",AD387="Menor"),AND(AB387="Media",AD387="Moderado"),AND(AB387="Alta",AD387="Leve"),AND(AB387="Alta",AD387="Menor")),"Moderado",IF(OR(AND(AB387="Muy Baja",AD387="Mayor"),AND(AB387="Baja",AD387="Mayor"),AND(AB387="Media",AD387="Mayor"),AND(AB387="Alta",AD387="Moderado"),AND(AB387="Alta",AD387="Mayor"),AND(AB387="Muy Alta",AD387="Leve"),AND(AB387="Muy Alta",AD387="Menor"),AND(AB387="Muy Alta",AD387="Moderado"),AND(AB387="Muy Alta",AD387="Mayor")),"Alto",IF(OR(AND(AB387="Muy Baja",AD387="Catastrófico"),AND(AB387="Baja",AD387="Catastrófico"),AND(AB387="Media",AD387="Catastrófico"),AND(AB387="Alta",AD387="Catastrófico"),AND(AB387="Muy Alta",AD387="Catastrófico")),"Extremo","")))),"")</f>
        <v/>
      </c>
      <c r="AG387" s="486"/>
      <c r="AH387" s="487"/>
      <c r="AI387" s="488"/>
      <c r="AJ387" s="489"/>
      <c r="AK387" s="489"/>
      <c r="AL387" s="487"/>
      <c r="AM387" s="488"/>
      <c r="AN387" s="445"/>
    </row>
    <row r="388" spans="1:40" s="446" customFormat="1" ht="42.75" customHeight="1" x14ac:dyDescent="0.25">
      <c r="A388" s="1528"/>
      <c r="B388" s="1549"/>
      <c r="C388" s="1549"/>
      <c r="D388" s="1552"/>
      <c r="E388" s="484"/>
      <c r="F388" s="1553"/>
      <c r="G388" s="455"/>
      <c r="H388" s="1553"/>
      <c r="I388" s="1559"/>
      <c r="J388" s="1538"/>
      <c r="K388" s="1541"/>
      <c r="L388" s="1516"/>
      <c r="M388" s="1544"/>
      <c r="N388" s="1516">
        <f>IF(NOT(ISERROR(MATCH(M388,_xlfn.ANCHORARRAY(F399),0))),L401&amp;"Por favor no seleccionar los criterios de impacto",M388)</f>
        <v>0</v>
      </c>
      <c r="O388" s="1541"/>
      <c r="P388" s="1516"/>
      <c r="Q388" s="1519"/>
      <c r="R388" s="456">
        <v>6</v>
      </c>
      <c r="S388" s="472"/>
      <c r="T388" s="458" t="str">
        <f t="shared" si="263"/>
        <v/>
      </c>
      <c r="U388" s="459"/>
      <c r="V388" s="459"/>
      <c r="W388" s="460" t="str">
        <f t="shared" si="260"/>
        <v/>
      </c>
      <c r="X388" s="459"/>
      <c r="Y388" s="459"/>
      <c r="Z388" s="459"/>
      <c r="AA388" s="63" t="str">
        <f t="shared" si="266"/>
        <v/>
      </c>
      <c r="AB388" s="461" t="str">
        <f t="shared" si="261"/>
        <v/>
      </c>
      <c r="AC388" s="462" t="str">
        <f t="shared" si="264"/>
        <v/>
      </c>
      <c r="AD388" s="461" t="str">
        <f t="shared" si="262"/>
        <v/>
      </c>
      <c r="AE388" s="462" t="str">
        <f t="shared" si="265"/>
        <v/>
      </c>
      <c r="AF388" s="485" t="str">
        <f t="shared" si="267"/>
        <v/>
      </c>
      <c r="AG388" s="486"/>
      <c r="AH388" s="487"/>
      <c r="AI388" s="488"/>
      <c r="AJ388" s="489"/>
      <c r="AK388" s="489"/>
      <c r="AL388" s="487"/>
      <c r="AM388" s="488"/>
      <c r="AN388" s="445"/>
    </row>
    <row r="389" spans="1:40" s="446" customFormat="1" ht="228" customHeight="1" x14ac:dyDescent="0.25">
      <c r="A389" s="1526">
        <v>2</v>
      </c>
      <c r="B389" s="1529" t="s">
        <v>197</v>
      </c>
      <c r="C389" s="1529" t="s">
        <v>234</v>
      </c>
      <c r="D389" s="1532" t="s">
        <v>235</v>
      </c>
      <c r="E389" s="477" t="s">
        <v>970</v>
      </c>
      <c r="F389" s="1535" t="s">
        <v>236</v>
      </c>
      <c r="G389" s="1502" t="s">
        <v>512</v>
      </c>
      <c r="H389" s="1502" t="s">
        <v>237</v>
      </c>
      <c r="I389" s="1505" t="s">
        <v>198</v>
      </c>
      <c r="J389" s="1508">
        <v>4</v>
      </c>
      <c r="K389" s="1493" t="str">
        <f>IF(J389&lt;=0,"",IF(J389&lt;=2,"Muy Baja",IF(J389&lt;=24,"Baja",IF(J389&lt;=500,"Media",IF(J389&lt;=5000,"Alta","Muy Alta")))))</f>
        <v>Baja</v>
      </c>
      <c r="L389" s="1490">
        <f>IF(K389="","",IF(K389="Muy Baja",0.2,IF(K389="Baja",0.4,IF(K389="Media",0.6,IF(K389="Alta",0.8,IF(K389="Muy Alta",1,))))))</f>
        <v>0.4</v>
      </c>
      <c r="M389" s="1511" t="s">
        <v>225</v>
      </c>
      <c r="N389" s="1490" t="str">
        <f>IF(NOT(ISERROR(MATCH(M389,'[22]Tabla Impacto'!$B$221:$B$223,0))),'[22]Tabla Impacto'!$F$223&amp;"Por favor no seleccionar los criterios de impacto(Afectación Económica o presupuestal y Pérdida Reputacional)",M389)</f>
        <v xml:space="preserve">     El riesgo afecta la imagen de la entidad con algunos usuarios de relevancia frente al logro de los objetivos</v>
      </c>
      <c r="O389" s="1493" t="str">
        <f>IF(OR(N389='[22]Tabla Impacto'!$C$11,N389='[22]Tabla Impacto'!$D$11),"Leve",IF(OR(N389='[22]Tabla Impacto'!$C$12,N389='[22]Tabla Impacto'!$D$12),"Menor",IF(OR(N389='[22]Tabla Impacto'!$C$13,N389='[22]Tabla Impacto'!$D$13),"Moderado",IF(OR(N389='[22]Tabla Impacto'!$C$14,N389='[22]Tabla Impacto'!$D$14),"Mayor",IF(OR(N389='[22]Tabla Impacto'!$C$15,N389='[22]Tabla Impacto'!$D$15),"Catastrófico","")))))</f>
        <v>Moderado</v>
      </c>
      <c r="P389" s="1490">
        <f>IF(O389="","",IF(O389="Leve",0.2,IF(O389="Menor",0.4,IF(O389="Moderado",0.6,IF(O389="Mayor",0.8,IF(O389="Catastrófico",1,))))))</f>
        <v>0.6</v>
      </c>
      <c r="Q389" s="1496" t="str">
        <f>IF(OR(AND(K389="Muy Baja",O389="Leve"),AND(K389="Muy Baja",O389="Menor"),AND(K389="Baja",O389="Leve")),"Bajo",IF(OR(AND(K389="Muy baja",O389="Moderado"),AND(K389="Baja",O389="Menor"),AND(K389="Baja",O389="Moderado"),AND(K389="Media",O389="Leve"),AND(K389="Media",O389="Menor"),AND(K389="Media",O389="Moderado"),AND(K389="Alta",O389="Leve"),AND(K389="Alta",O389="Menor")),"Moderado",IF(OR(AND(K389="Muy Baja",O389="Mayor"),AND(K389="Baja",O389="Mayor"),AND(K389="Media",O389="Mayor"),AND(K389="Alta",O389="Moderado"),AND(K389="Alta",O389="Mayor"),AND(K389="Muy Alta",O389="Leve"),AND(K389="Muy Alta",O389="Menor"),AND(K389="Muy Alta",O389="Moderado"),AND(K389="Muy Alta",O389="Mayor")),"Alto",IF(OR(AND(K389="Muy Baja",O389="Catastrófico"),AND(K389="Baja",O389="Catastrófico"),AND(K389="Media",O389="Catastrófico"),AND(K389="Alta",O389="Catastrófico"),AND(K389="Muy Alta",O389="Catastrófico")),"Extremo",""))))</f>
        <v>Moderado</v>
      </c>
      <c r="R389" s="456">
        <v>1</v>
      </c>
      <c r="S389" s="1499" t="s">
        <v>238</v>
      </c>
      <c r="T389" s="458" t="str">
        <f>IF(OR(U389="Preventivo",U389="Detectivo"),"Probabilidad",IF(U389="Correctivo","Impacto",""))</f>
        <v>Probabilidad</v>
      </c>
      <c r="U389" s="459" t="s">
        <v>207</v>
      </c>
      <c r="V389" s="459" t="s">
        <v>201</v>
      </c>
      <c r="W389" s="460" t="str">
        <f>IF(AND(U389="Preventivo",V389="Automático"),"50%",IF(AND(U389="Preventivo",V389="Manual"),"40%",IF(AND(U389="Detectivo",V389="Automático"),"40%",IF(AND(U389="Detectivo",V389="Manual"),"30%",IF(AND(U389="Correctivo",V389="Automático"),"35%",IF(AND(U389="Correctivo",V389="Manual"),"25%",""))))))</f>
        <v>40%</v>
      </c>
      <c r="X389" s="459" t="s">
        <v>208</v>
      </c>
      <c r="Y389" s="459" t="s">
        <v>203</v>
      </c>
      <c r="Z389" s="459" t="s">
        <v>204</v>
      </c>
      <c r="AA389" s="63">
        <f>IFERROR(IF(T389="Probabilidad",(L389-(+L389*W389)),IF(T389="Impacto",L389,"")),"")</f>
        <v>0.24</v>
      </c>
      <c r="AB389" s="461" t="str">
        <f>IFERROR(IF(AA389="","",IF(AA389&lt;=0.2,"Muy Baja",IF(AA389&lt;=0.4,"Baja",IF(AA389&lt;=0.6,"Media",IF(AA389&lt;=0.8,"Alta","Muy Alta"))))),"")</f>
        <v>Baja</v>
      </c>
      <c r="AC389" s="462">
        <f>+AA389</f>
        <v>0.24</v>
      </c>
      <c r="AD389" s="461" t="str">
        <f>IFERROR(IF(AE389="","",IF(AE389&lt;=0.2,"Leve",IF(AE389&lt;=0.4,"Menor",IF(AE389&lt;=0.6,"Moderado",IF(AE389&lt;=0.8,"Mayor","Catastrófico"))))),"")</f>
        <v>Moderado</v>
      </c>
      <c r="AE389" s="462">
        <f>IFERROR(IF(T389="Impacto",(P389-(+P389*W389)),IF(T389="Probabilidad",P389,"")),"")</f>
        <v>0.6</v>
      </c>
      <c r="AF389" s="485" t="str">
        <f>IFERROR(IF(OR(AND(AB389="Muy Baja",AD389="Leve"),AND(AB389="Muy Baja",AD389="Menor"),AND(AB389="Baja",AD389="Leve")),"Bajo",IF(OR(AND(AB389="Muy baja",AD389="Moderado"),AND(AB389="Baja",AD389="Menor"),AND(AB389="Baja",AD389="Moderado"),AND(AB389="Media",AD389="Leve"),AND(AB389="Media",AD389="Menor"),AND(AB389="Media",AD389="Moderado"),AND(AB389="Alta",AD389="Leve"),AND(AB389="Alta",AD389="Menor")),"Moderado",IF(OR(AND(AB389="Muy Baja",AD389="Mayor"),AND(AB389="Baja",AD389="Mayor"),AND(AB389="Media",AD389="Mayor"),AND(AB389="Alta",AD389="Moderado"),AND(AB389="Alta",AD389="Mayor"),AND(AB389="Muy Alta",AD389="Leve"),AND(AB389="Muy Alta",AD389="Menor"),AND(AB389="Muy Alta",AD389="Moderado"),AND(AB389="Muy Alta",AD389="Mayor")),"Alto",IF(OR(AND(AB389="Muy Baja",AD389="Catastrófico"),AND(AB389="Baja",AD389="Catastrófico"),AND(AB389="Media",AD389="Catastrófico"),AND(AB389="Alta",AD389="Catastrófico"),AND(AB389="Muy Alta",AD389="Catastrófico")),"Extremo","")))),"")</f>
        <v>Moderado</v>
      </c>
      <c r="AG389" s="463" t="s">
        <v>205</v>
      </c>
      <c r="AH389" s="490" t="s">
        <v>971</v>
      </c>
      <c r="AI389" s="478" t="s">
        <v>239</v>
      </c>
      <c r="AJ389" s="465" t="s">
        <v>972</v>
      </c>
      <c r="AK389" s="474" t="s">
        <v>956</v>
      </c>
      <c r="AL389" s="491" t="s">
        <v>973</v>
      </c>
      <c r="AM389" s="468" t="s">
        <v>958</v>
      </c>
      <c r="AN389" s="483" t="s">
        <v>974</v>
      </c>
    </row>
    <row r="390" spans="1:40" s="446" customFormat="1" ht="30" customHeight="1" x14ac:dyDescent="0.25">
      <c r="A390" s="1527"/>
      <c r="B390" s="1530"/>
      <c r="C390" s="1530"/>
      <c r="D390" s="1533"/>
      <c r="E390" s="492"/>
      <c r="F390" s="1535"/>
      <c r="G390" s="1503"/>
      <c r="H390" s="1503"/>
      <c r="I390" s="1506"/>
      <c r="J390" s="1509"/>
      <c r="K390" s="1494"/>
      <c r="L390" s="1491"/>
      <c r="M390" s="1512"/>
      <c r="N390" s="1491">
        <f>IF(NOT(ISERROR(MATCH(M390,_xlfn.ANCHORARRAY(F401),0))),L403&amp;"Por favor no seleccionar los criterios de impacto",M390)</f>
        <v>0</v>
      </c>
      <c r="O390" s="1494"/>
      <c r="P390" s="1491"/>
      <c r="Q390" s="1497"/>
      <c r="R390" s="456">
        <v>2</v>
      </c>
      <c r="S390" s="1500"/>
      <c r="T390" s="458" t="str">
        <f>IF(OR(U390="Preventivo",U390="Detectivo"),"Probabilidad",IF(U390="Correctivo","Impacto",""))</f>
        <v/>
      </c>
      <c r="U390" s="459"/>
      <c r="V390" s="459"/>
      <c r="W390" s="460" t="str">
        <f t="shared" ref="W390:W394" si="268">IF(AND(U390="Preventivo",V390="Automático"),"50%",IF(AND(U390="Preventivo",V390="Manual"),"40%",IF(AND(U390="Detectivo",V390="Automático"),"40%",IF(AND(U390="Detectivo",V390="Manual"),"30%",IF(AND(U390="Correctivo",V390="Automático"),"35%",IF(AND(U390="Correctivo",V390="Manual"),"25%",""))))))</f>
        <v/>
      </c>
      <c r="X390" s="459"/>
      <c r="Y390" s="459"/>
      <c r="Z390" s="459"/>
      <c r="AA390" s="63" t="str">
        <f>IFERROR(IF(AND(T389="Probabilidad",T390="Probabilidad"),(AC389-(+AC389*W390)),IF(AND(T389="Impacto",T390="Probabilidad"),(L389-(+L389*W390)),IF(T390="Impacto",AC389,""))),"")</f>
        <v/>
      </c>
      <c r="AB390" s="461" t="str">
        <f t="shared" ref="AB390:AB394" si="269">IFERROR(IF(AA390="","",IF(AA390&lt;=0.2,"Muy Baja",IF(AA390&lt;=0.4,"Baja",IF(AA390&lt;=0.6,"Media",IF(AA390&lt;=0.8,"Alta","Muy Alta"))))),"")</f>
        <v/>
      </c>
      <c r="AC390" s="462" t="str">
        <f>+AA390</f>
        <v/>
      </c>
      <c r="AD390" s="461" t="str">
        <f t="shared" ref="AD390:AD394" si="270">IFERROR(IF(AE390="","",IF(AE390&lt;=0.2,"Leve",IF(AE390&lt;=0.4,"Menor",IF(AE390&lt;=0.6,"Moderado",IF(AE390&lt;=0.8,"Mayor","Catastrófico"))))),"")</f>
        <v/>
      </c>
      <c r="AE390" s="462" t="str">
        <f>IFERROR(IF(AND(T389="Impacto",T390="Impacto"),(AE389-(+AE389*W390)),IF(AND(T389="Probabilidad",T390="Impacto"),(P389-(+P389*W390)),IF(T390="Probabilidad",AE389,""))),"")</f>
        <v/>
      </c>
      <c r="AF390" s="485" t="str">
        <f t="shared" ref="AF390:AF394" si="271">IFERROR(IF(OR(AND(AB390="Muy Baja",AD390="Leve"),AND(AB390="Muy Baja",AD390="Menor"),AND(AB390="Baja",AD390="Leve")),"Bajo",IF(OR(AND(AB390="Muy baja",AD390="Moderado"),AND(AB390="Baja",AD390="Menor"),AND(AB390="Baja",AD390="Moderado"),AND(AB390="Media",AD390="Leve"),AND(AB390="Media",AD390="Menor"),AND(AB390="Media",AD390="Moderado"),AND(AB390="Alta",AD390="Leve"),AND(AB390="Alta",AD390="Menor")),"Moderado",IF(OR(AND(AB390="Muy Baja",AD390="Mayor"),AND(AB390="Baja",AD390="Mayor"),AND(AB390="Media",AD390="Mayor"),AND(AB390="Alta",AD390="Moderado"),AND(AB390="Alta",AD390="Mayor"),AND(AB390="Muy Alta",AD390="Leve"),AND(AB390="Muy Alta",AD390="Menor"),AND(AB390="Muy Alta",AD390="Moderado"),AND(AB390="Muy Alta",AD390="Mayor")),"Alto",IF(OR(AND(AB390="Muy Baja",AD390="Catastrófico"),AND(AB390="Baja",AD390="Catastrófico"),AND(AB390="Media",AD390="Catastrófico"),AND(AB390="Alta",AD390="Catastrófico"),AND(AB390="Muy Alta",AD390="Catastrófico")),"Extremo","")))),"")</f>
        <v/>
      </c>
      <c r="AG390" s="473"/>
      <c r="AH390" s="487"/>
      <c r="AI390" s="488"/>
      <c r="AJ390" s="489"/>
      <c r="AK390" s="489"/>
      <c r="AL390" s="487"/>
      <c r="AM390" s="488"/>
      <c r="AN390" s="445"/>
    </row>
    <row r="391" spans="1:40" s="446" customFormat="1" ht="25.5" customHeight="1" x14ac:dyDescent="0.25">
      <c r="A391" s="1527"/>
      <c r="B391" s="1530"/>
      <c r="C391" s="1530"/>
      <c r="D391" s="1533"/>
      <c r="E391" s="492"/>
      <c r="F391" s="1535"/>
      <c r="G391" s="1503"/>
      <c r="H391" s="1503"/>
      <c r="I391" s="1506"/>
      <c r="J391" s="1509"/>
      <c r="K391" s="1494"/>
      <c r="L391" s="1491"/>
      <c r="M391" s="1512"/>
      <c r="N391" s="1491">
        <f>IF(NOT(ISERROR(MATCH(M391,_xlfn.ANCHORARRAY(F402),0))),L404&amp;"Por favor no seleccionar los criterios de impacto",M391)</f>
        <v>0</v>
      </c>
      <c r="O391" s="1494"/>
      <c r="P391" s="1491"/>
      <c r="Q391" s="1497"/>
      <c r="R391" s="456">
        <v>3</v>
      </c>
      <c r="S391" s="1500"/>
      <c r="T391" s="458" t="str">
        <f t="shared" ref="T391:T394" si="272">IF(OR(U391="Preventivo",U391="Detectivo"),"Probabilidad",IF(U391="Correctivo","Impacto",""))</f>
        <v/>
      </c>
      <c r="U391" s="459"/>
      <c r="V391" s="459"/>
      <c r="W391" s="460" t="str">
        <f t="shared" si="268"/>
        <v/>
      </c>
      <c r="X391" s="459"/>
      <c r="Y391" s="459"/>
      <c r="Z391" s="459"/>
      <c r="AA391" s="63" t="str">
        <f>IFERROR(IF(AND(T390="Probabilidad",T391="Probabilidad"),(AC390-(+AC390*W391)),IF(AND(T390="Impacto",T391="Probabilidad"),(AC389-(+AC389*W391)),IF(T391="Impacto",AC390,""))),"")</f>
        <v/>
      </c>
      <c r="AB391" s="461" t="str">
        <f t="shared" si="269"/>
        <v/>
      </c>
      <c r="AC391" s="462" t="str">
        <f t="shared" ref="AC391:AC394" si="273">+AA391</f>
        <v/>
      </c>
      <c r="AD391" s="461" t="str">
        <f t="shared" si="270"/>
        <v/>
      </c>
      <c r="AE391" s="462" t="str">
        <f t="shared" ref="AE391:AE394" si="274">IFERROR(IF(AND(T390="Impacto",T391="Impacto"),(AE390-(+AE390*W391)),IF(AND(T390="Probabilidad",T391="Impacto"),(AE389-(+AE389*W391)),IF(T391="Probabilidad",AE390,""))),"")</f>
        <v/>
      </c>
      <c r="AF391" s="485" t="str">
        <f t="shared" si="271"/>
        <v/>
      </c>
      <c r="AG391" s="473"/>
      <c r="AH391" s="487"/>
      <c r="AI391" s="488"/>
      <c r="AJ391" s="489"/>
      <c r="AK391" s="489"/>
      <c r="AL391" s="487"/>
      <c r="AM391" s="488"/>
      <c r="AN391" s="445"/>
    </row>
    <row r="392" spans="1:40" s="446" customFormat="1" ht="25.5" customHeight="1" x14ac:dyDescent="0.25">
      <c r="A392" s="1527"/>
      <c r="B392" s="1530"/>
      <c r="C392" s="1530"/>
      <c r="D392" s="1533"/>
      <c r="E392" s="492"/>
      <c r="F392" s="1535"/>
      <c r="G392" s="1503"/>
      <c r="H392" s="1503"/>
      <c r="I392" s="1506"/>
      <c r="J392" s="1509"/>
      <c r="K392" s="1494"/>
      <c r="L392" s="1491"/>
      <c r="M392" s="1512"/>
      <c r="N392" s="1491">
        <f>IF(NOT(ISERROR(MATCH(M392,_xlfn.ANCHORARRAY(F403),0))),L405&amp;"Por favor no seleccionar los criterios de impacto",M392)</f>
        <v>0</v>
      </c>
      <c r="O392" s="1494"/>
      <c r="P392" s="1491"/>
      <c r="Q392" s="1497"/>
      <c r="R392" s="456">
        <v>4</v>
      </c>
      <c r="S392" s="1500"/>
      <c r="T392" s="458" t="str">
        <f t="shared" si="272"/>
        <v/>
      </c>
      <c r="U392" s="459"/>
      <c r="V392" s="459"/>
      <c r="W392" s="460" t="str">
        <f t="shared" si="268"/>
        <v/>
      </c>
      <c r="X392" s="459"/>
      <c r="Y392" s="459"/>
      <c r="Z392" s="459"/>
      <c r="AA392" s="63" t="str">
        <f t="shared" ref="AA392:AA394" si="275">IFERROR(IF(AND(T391="Probabilidad",T392="Probabilidad"),(AC391-(+AC391*W392)),IF(AND(T391="Impacto",T392="Probabilidad"),(AC390-(+AC390*W392)),IF(T392="Impacto",AC391,""))),"")</f>
        <v/>
      </c>
      <c r="AB392" s="461" t="str">
        <f t="shared" si="269"/>
        <v/>
      </c>
      <c r="AC392" s="462" t="str">
        <f t="shared" si="273"/>
        <v/>
      </c>
      <c r="AD392" s="461" t="str">
        <f t="shared" si="270"/>
        <v/>
      </c>
      <c r="AE392" s="462" t="str">
        <f t="shared" si="274"/>
        <v/>
      </c>
      <c r="AF392" s="485" t="str">
        <f t="shared" si="271"/>
        <v/>
      </c>
      <c r="AG392" s="481"/>
      <c r="AH392" s="487"/>
      <c r="AI392" s="488"/>
      <c r="AJ392" s="489"/>
      <c r="AK392" s="489"/>
      <c r="AL392" s="487"/>
      <c r="AM392" s="488"/>
      <c r="AN392" s="445"/>
    </row>
    <row r="393" spans="1:40" s="446" customFormat="1" ht="24" customHeight="1" x14ac:dyDescent="0.25">
      <c r="A393" s="1527"/>
      <c r="B393" s="1530"/>
      <c r="C393" s="1530"/>
      <c r="D393" s="1533"/>
      <c r="E393" s="492"/>
      <c r="F393" s="1535"/>
      <c r="G393" s="1503"/>
      <c r="H393" s="1503"/>
      <c r="I393" s="1506"/>
      <c r="J393" s="1509"/>
      <c r="K393" s="1494"/>
      <c r="L393" s="1491"/>
      <c r="M393" s="1512"/>
      <c r="N393" s="1491">
        <f>IF(NOT(ISERROR(MATCH(M393,_xlfn.ANCHORARRAY(F404),0))),L406&amp;"Por favor no seleccionar los criterios de impacto",M393)</f>
        <v>0</v>
      </c>
      <c r="O393" s="1494"/>
      <c r="P393" s="1491"/>
      <c r="Q393" s="1497"/>
      <c r="R393" s="456">
        <v>5</v>
      </c>
      <c r="S393" s="1500"/>
      <c r="T393" s="458" t="str">
        <f t="shared" si="272"/>
        <v/>
      </c>
      <c r="U393" s="459"/>
      <c r="V393" s="459"/>
      <c r="W393" s="460" t="str">
        <f t="shared" si="268"/>
        <v/>
      </c>
      <c r="X393" s="459"/>
      <c r="Y393" s="459"/>
      <c r="Z393" s="459"/>
      <c r="AA393" s="63" t="str">
        <f t="shared" si="275"/>
        <v/>
      </c>
      <c r="AB393" s="461" t="str">
        <f t="shared" si="269"/>
        <v/>
      </c>
      <c r="AC393" s="462" t="str">
        <f t="shared" si="273"/>
        <v/>
      </c>
      <c r="AD393" s="461" t="str">
        <f t="shared" si="270"/>
        <v/>
      </c>
      <c r="AE393" s="462" t="str">
        <f t="shared" si="274"/>
        <v/>
      </c>
      <c r="AF393" s="485" t="str">
        <f t="shared" si="271"/>
        <v/>
      </c>
      <c r="AG393" s="486"/>
      <c r="AH393" s="487"/>
      <c r="AI393" s="488"/>
      <c r="AJ393" s="489"/>
      <c r="AK393" s="489"/>
      <c r="AL393" s="487"/>
      <c r="AM393" s="488"/>
      <c r="AN393" s="445"/>
    </row>
    <row r="394" spans="1:40" s="446" customFormat="1" ht="25.5" customHeight="1" x14ac:dyDescent="0.25">
      <c r="A394" s="1528"/>
      <c r="B394" s="1531"/>
      <c r="C394" s="1531"/>
      <c r="D394" s="1534"/>
      <c r="E394" s="492"/>
      <c r="F394" s="1535"/>
      <c r="G394" s="1504"/>
      <c r="H394" s="1504"/>
      <c r="I394" s="1507"/>
      <c r="J394" s="1510"/>
      <c r="K394" s="1495"/>
      <c r="L394" s="1492"/>
      <c r="M394" s="1513"/>
      <c r="N394" s="1492">
        <f>IF(NOT(ISERROR(MATCH(M394,_xlfn.ANCHORARRAY(F405),0))),L407&amp;"Por favor no seleccionar los criterios de impacto",M394)</f>
        <v>0</v>
      </c>
      <c r="O394" s="1495"/>
      <c r="P394" s="1492"/>
      <c r="Q394" s="1498"/>
      <c r="R394" s="456">
        <v>6</v>
      </c>
      <c r="S394" s="1501"/>
      <c r="T394" s="458" t="str">
        <f t="shared" si="272"/>
        <v/>
      </c>
      <c r="U394" s="459"/>
      <c r="V394" s="459"/>
      <c r="W394" s="460" t="str">
        <f t="shared" si="268"/>
        <v/>
      </c>
      <c r="X394" s="459"/>
      <c r="Y394" s="459"/>
      <c r="Z394" s="459"/>
      <c r="AA394" s="63" t="str">
        <f t="shared" si="275"/>
        <v/>
      </c>
      <c r="AB394" s="461" t="str">
        <f t="shared" si="269"/>
        <v/>
      </c>
      <c r="AC394" s="462" t="str">
        <f t="shared" si="273"/>
        <v/>
      </c>
      <c r="AD394" s="461" t="str">
        <f t="shared" si="270"/>
        <v/>
      </c>
      <c r="AE394" s="462" t="str">
        <f t="shared" si="274"/>
        <v/>
      </c>
      <c r="AF394" s="485" t="str">
        <f t="shared" si="271"/>
        <v/>
      </c>
      <c r="AG394" s="486"/>
      <c r="AH394" s="487"/>
      <c r="AI394" s="488"/>
      <c r="AJ394" s="489"/>
      <c r="AK394" s="489"/>
      <c r="AL394" s="487"/>
      <c r="AM394" s="488"/>
      <c r="AN394" s="445"/>
    </row>
    <row r="395" spans="1:40" s="494" customFormat="1" ht="16.5" customHeight="1" x14ac:dyDescent="0.3">
      <c r="A395" s="2145" t="s">
        <v>156</v>
      </c>
      <c r="B395" s="2146"/>
      <c r="C395" s="2146"/>
      <c r="D395" s="2146"/>
      <c r="E395" s="2146"/>
      <c r="F395" s="2146"/>
      <c r="G395" s="2146"/>
      <c r="H395" s="2146"/>
      <c r="I395" s="2146"/>
      <c r="J395" s="2146"/>
      <c r="K395" s="2146"/>
      <c r="L395" s="2146"/>
      <c r="M395" s="2146"/>
      <c r="N395" s="2146"/>
      <c r="O395" s="2146"/>
      <c r="P395" s="2146"/>
      <c r="Q395" s="2146"/>
      <c r="R395" s="2146"/>
      <c r="S395" s="2146"/>
      <c r="T395" s="2146"/>
      <c r="U395" s="2146"/>
      <c r="V395" s="2146"/>
      <c r="W395" s="2146"/>
      <c r="X395" s="2146"/>
      <c r="Y395" s="2146"/>
      <c r="Z395" s="2146"/>
      <c r="AA395" s="2146"/>
      <c r="AB395" s="2146"/>
      <c r="AC395" s="2146"/>
      <c r="AD395" s="2146"/>
      <c r="AE395" s="2146"/>
      <c r="AF395" s="2146"/>
      <c r="AG395" s="2146"/>
      <c r="AH395" s="2146"/>
      <c r="AI395" s="2146"/>
      <c r="AJ395" s="2146"/>
      <c r="AK395" s="2146"/>
      <c r="AL395" s="2146"/>
      <c r="AM395" s="2147"/>
      <c r="AN395" s="493"/>
    </row>
    <row r="396" spans="1:40" s="494" customFormat="1" ht="24" customHeight="1" x14ac:dyDescent="0.3">
      <c r="A396" s="2148"/>
      <c r="B396" s="2149"/>
      <c r="C396" s="2149"/>
      <c r="D396" s="2149"/>
      <c r="E396" s="2149"/>
      <c r="F396" s="2149"/>
      <c r="G396" s="2149"/>
      <c r="H396" s="2149"/>
      <c r="I396" s="2149"/>
      <c r="J396" s="2149"/>
      <c r="K396" s="2149"/>
      <c r="L396" s="2149"/>
      <c r="M396" s="2149"/>
      <c r="N396" s="2149"/>
      <c r="O396" s="2149"/>
      <c r="P396" s="2149"/>
      <c r="Q396" s="2149"/>
      <c r="R396" s="2149"/>
      <c r="S396" s="2149"/>
      <c r="T396" s="2149"/>
      <c r="U396" s="2149"/>
      <c r="V396" s="2149"/>
      <c r="W396" s="2149"/>
      <c r="X396" s="2149"/>
      <c r="Y396" s="2149"/>
      <c r="Z396" s="2149"/>
      <c r="AA396" s="2149"/>
      <c r="AB396" s="2149"/>
      <c r="AC396" s="2149"/>
      <c r="AD396" s="2149"/>
      <c r="AE396" s="2149"/>
      <c r="AF396" s="2149"/>
      <c r="AG396" s="2149"/>
      <c r="AH396" s="2149"/>
      <c r="AI396" s="2149"/>
      <c r="AJ396" s="2149"/>
      <c r="AK396" s="2149"/>
      <c r="AL396" s="2149"/>
      <c r="AM396" s="2150"/>
      <c r="AN396" s="493"/>
    </row>
    <row r="397" spans="1:40" s="494" customFormat="1" x14ac:dyDescent="0.3">
      <c r="A397" s="495"/>
      <c r="B397" s="496"/>
      <c r="C397" s="495"/>
      <c r="D397" s="495"/>
      <c r="E397" s="495"/>
      <c r="F397" s="493"/>
      <c r="G397" s="493"/>
      <c r="H397" s="493"/>
      <c r="I397" s="497"/>
      <c r="J397" s="493"/>
      <c r="K397" s="493"/>
      <c r="L397" s="493"/>
      <c r="M397" s="493"/>
      <c r="N397" s="493"/>
      <c r="O397" s="493"/>
      <c r="P397" s="493"/>
      <c r="Q397" s="493"/>
      <c r="R397" s="493"/>
      <c r="S397" s="493"/>
      <c r="T397" s="493"/>
      <c r="U397" s="493"/>
      <c r="V397" s="493"/>
      <c r="W397" s="493"/>
      <c r="X397" s="493"/>
      <c r="Y397" s="493"/>
      <c r="Z397" s="493"/>
      <c r="AA397" s="493"/>
      <c r="AB397" s="493"/>
      <c r="AC397" s="493"/>
      <c r="AD397" s="493"/>
      <c r="AE397" s="493"/>
      <c r="AF397" s="493"/>
      <c r="AG397" s="493"/>
      <c r="AH397" s="493"/>
      <c r="AI397" s="493"/>
      <c r="AJ397" s="493"/>
      <c r="AK397" s="493"/>
      <c r="AL397" s="493"/>
      <c r="AM397" s="493"/>
      <c r="AN397" s="493"/>
    </row>
    <row r="398" spans="1:40" s="494" customFormat="1" ht="26.25" customHeight="1" x14ac:dyDescent="0.3">
      <c r="A398" s="2151" t="s">
        <v>157</v>
      </c>
      <c r="B398" s="2152"/>
      <c r="C398" s="2153" t="s">
        <v>975</v>
      </c>
      <c r="D398" s="2153"/>
      <c r="E398" s="2153"/>
      <c r="F398" s="2153"/>
      <c r="G398" s="2153"/>
      <c r="H398" s="2153"/>
      <c r="I398" s="2153"/>
      <c r="J398" s="2153"/>
      <c r="K398" s="2153"/>
      <c r="L398" s="2153"/>
      <c r="M398" s="2153"/>
      <c r="N398" s="2153"/>
      <c r="O398" s="2153"/>
      <c r="P398" s="2153"/>
      <c r="Q398" s="2153"/>
      <c r="R398" s="2153"/>
      <c r="S398" s="2153"/>
      <c r="T398" s="2153"/>
      <c r="U398" s="2153"/>
      <c r="V398" s="2153"/>
      <c r="W398" s="2153"/>
      <c r="X398" s="2153"/>
      <c r="Y398" s="2153"/>
      <c r="Z398" s="2153"/>
      <c r="AA398" s="2153"/>
      <c r="AB398" s="2153"/>
      <c r="AC398" s="2153"/>
      <c r="AD398" s="2153"/>
      <c r="AE398" s="2153"/>
      <c r="AF398" s="2153"/>
      <c r="AG398" s="2153"/>
      <c r="AH398" s="2153"/>
      <c r="AI398" s="2153"/>
      <c r="AJ398" s="2153"/>
      <c r="AK398" s="2153"/>
      <c r="AL398" s="2153"/>
      <c r="AM398" s="2153"/>
      <c r="AN398" s="493"/>
    </row>
    <row r="399" spans="1:40" s="494" customFormat="1" ht="30" customHeight="1" x14ac:dyDescent="0.3">
      <c r="A399" s="2151" t="s">
        <v>158</v>
      </c>
      <c r="B399" s="2152"/>
      <c r="C399" s="2154" t="s">
        <v>976</v>
      </c>
      <c r="D399" s="2154"/>
      <c r="E399" s="2154"/>
      <c r="F399" s="2154"/>
      <c r="G399" s="2154"/>
      <c r="H399" s="2154"/>
      <c r="I399" s="2154"/>
      <c r="J399" s="2154"/>
      <c r="K399" s="2154"/>
      <c r="L399" s="2154"/>
      <c r="M399" s="2154"/>
      <c r="N399" s="2154"/>
      <c r="O399" s="2154"/>
      <c r="P399" s="2154"/>
      <c r="Q399" s="2154"/>
      <c r="R399" s="2154"/>
      <c r="S399" s="2154"/>
      <c r="T399" s="2154"/>
      <c r="U399" s="2154"/>
      <c r="V399" s="2154"/>
      <c r="W399" s="2154"/>
      <c r="X399" s="2154"/>
      <c r="Y399" s="2154"/>
      <c r="Z399" s="2154"/>
      <c r="AA399" s="2154"/>
      <c r="AB399" s="2154"/>
      <c r="AC399" s="2154"/>
      <c r="AD399" s="2154"/>
      <c r="AE399" s="2154"/>
      <c r="AF399" s="2154"/>
      <c r="AG399" s="2154"/>
      <c r="AH399" s="2154"/>
      <c r="AI399" s="2154"/>
      <c r="AJ399" s="2154"/>
      <c r="AK399" s="2154"/>
      <c r="AL399" s="2154"/>
      <c r="AM399" s="2154"/>
      <c r="AN399" s="493"/>
    </row>
    <row r="400" spans="1:40" s="494" customFormat="1" ht="49.5" customHeight="1" x14ac:dyDescent="0.3">
      <c r="A400" s="2151" t="s">
        <v>159</v>
      </c>
      <c r="B400" s="2152"/>
      <c r="C400" s="2154" t="s">
        <v>977</v>
      </c>
      <c r="D400" s="2154"/>
      <c r="E400" s="2154"/>
      <c r="F400" s="2154"/>
      <c r="G400" s="2154"/>
      <c r="H400" s="2154"/>
      <c r="I400" s="2154"/>
      <c r="J400" s="2154"/>
      <c r="K400" s="2154"/>
      <c r="L400" s="2154"/>
      <c r="M400" s="2154"/>
      <c r="N400" s="2154"/>
      <c r="O400" s="2154"/>
      <c r="P400" s="2154"/>
      <c r="Q400" s="2154"/>
      <c r="R400" s="2154"/>
      <c r="S400" s="2154"/>
      <c r="T400" s="2154"/>
      <c r="U400" s="2154"/>
      <c r="V400" s="2154"/>
      <c r="W400" s="2154"/>
      <c r="X400" s="2154"/>
      <c r="Y400" s="2154"/>
      <c r="Z400" s="2154"/>
      <c r="AA400" s="2154"/>
      <c r="AB400" s="2154"/>
      <c r="AC400" s="2154"/>
      <c r="AD400" s="2154"/>
      <c r="AE400" s="2154"/>
      <c r="AF400" s="2154"/>
      <c r="AG400" s="2154"/>
      <c r="AH400" s="2154"/>
      <c r="AI400" s="2154"/>
      <c r="AJ400" s="2154"/>
      <c r="AK400" s="2154"/>
      <c r="AL400" s="2154"/>
      <c r="AM400" s="2154"/>
      <c r="AN400" s="493"/>
    </row>
    <row r="401" spans="1:39" s="494" customFormat="1" x14ac:dyDescent="0.3">
      <c r="A401" s="2163" t="s">
        <v>160</v>
      </c>
      <c r="B401" s="2164"/>
      <c r="C401" s="2149"/>
      <c r="D401" s="2149"/>
      <c r="E401" s="2149"/>
      <c r="F401" s="2149"/>
      <c r="G401" s="2149"/>
      <c r="H401" s="2149"/>
      <c r="I401" s="2149"/>
      <c r="J401" s="2150"/>
      <c r="K401" s="2148" t="s">
        <v>161</v>
      </c>
      <c r="L401" s="2149"/>
      <c r="M401" s="2149"/>
      <c r="N401" s="2149"/>
      <c r="O401" s="2149"/>
      <c r="P401" s="2149"/>
      <c r="Q401" s="2150"/>
      <c r="R401" s="2148" t="s">
        <v>162</v>
      </c>
      <c r="S401" s="2149"/>
      <c r="T401" s="2149"/>
      <c r="U401" s="2149"/>
      <c r="V401" s="2149"/>
      <c r="W401" s="2149"/>
      <c r="X401" s="2149"/>
      <c r="Y401" s="2149"/>
      <c r="Z401" s="2150"/>
      <c r="AA401" s="2148" t="s">
        <v>163</v>
      </c>
      <c r="AB401" s="2149"/>
      <c r="AC401" s="2149"/>
      <c r="AD401" s="2149"/>
      <c r="AE401" s="2149"/>
      <c r="AF401" s="2149"/>
      <c r="AG401" s="2150"/>
      <c r="AH401" s="2148" t="s">
        <v>164</v>
      </c>
      <c r="AI401" s="2149"/>
      <c r="AJ401" s="2149"/>
      <c r="AK401" s="2149"/>
      <c r="AL401" s="2149"/>
      <c r="AM401" s="2150"/>
    </row>
    <row r="402" spans="1:39" s="494" customFormat="1" ht="16.5" customHeight="1" x14ac:dyDescent="0.3">
      <c r="A402" s="2165" t="s">
        <v>165</v>
      </c>
      <c r="B402" s="2167" t="s">
        <v>142</v>
      </c>
      <c r="C402" s="2168" t="s">
        <v>166</v>
      </c>
      <c r="D402" s="2168" t="s">
        <v>167</v>
      </c>
      <c r="E402" s="2170" t="s">
        <v>168</v>
      </c>
      <c r="F402" s="2172" t="s">
        <v>60</v>
      </c>
      <c r="G402" s="498"/>
      <c r="H402" s="498"/>
      <c r="I402" s="2170" t="s">
        <v>169</v>
      </c>
      <c r="J402" s="2168" t="s">
        <v>170</v>
      </c>
      <c r="K402" s="2171" t="s">
        <v>171</v>
      </c>
      <c r="L402" s="2174" t="s">
        <v>172</v>
      </c>
      <c r="M402" s="2170" t="s">
        <v>173</v>
      </c>
      <c r="N402" s="2170" t="s">
        <v>174</v>
      </c>
      <c r="O402" s="2175" t="s">
        <v>175</v>
      </c>
      <c r="P402" s="2174" t="s">
        <v>172</v>
      </c>
      <c r="Q402" s="2168" t="s">
        <v>176</v>
      </c>
      <c r="R402" s="2176" t="s">
        <v>177</v>
      </c>
      <c r="S402" s="2169" t="s">
        <v>178</v>
      </c>
      <c r="T402" s="2170" t="s">
        <v>179</v>
      </c>
      <c r="U402" s="2169" t="s">
        <v>180</v>
      </c>
      <c r="V402" s="2169"/>
      <c r="W402" s="2169"/>
      <c r="X402" s="2169"/>
      <c r="Y402" s="2169"/>
      <c r="Z402" s="2169"/>
      <c r="AA402" s="2178" t="s">
        <v>181</v>
      </c>
      <c r="AB402" s="2178" t="s">
        <v>182</v>
      </c>
      <c r="AC402" s="2178" t="s">
        <v>172</v>
      </c>
      <c r="AD402" s="2178" t="s">
        <v>183</v>
      </c>
      <c r="AE402" s="2178" t="s">
        <v>172</v>
      </c>
      <c r="AF402" s="2178" t="s">
        <v>184</v>
      </c>
      <c r="AG402" s="2176" t="s">
        <v>185</v>
      </c>
      <c r="AH402" s="2169" t="s">
        <v>164</v>
      </c>
      <c r="AI402" s="2169" t="s">
        <v>143</v>
      </c>
      <c r="AJ402" s="2169" t="s">
        <v>186</v>
      </c>
      <c r="AK402" s="2169" t="s">
        <v>187</v>
      </c>
      <c r="AL402" s="2169" t="s">
        <v>188</v>
      </c>
      <c r="AM402" s="2179" t="s">
        <v>189</v>
      </c>
    </row>
    <row r="403" spans="1:39" s="500" customFormat="1" ht="55.2" customHeight="1" x14ac:dyDescent="0.3">
      <c r="A403" s="2166"/>
      <c r="B403" s="2167"/>
      <c r="C403" s="2169"/>
      <c r="D403" s="2169"/>
      <c r="E403" s="2171"/>
      <c r="F403" s="2173"/>
      <c r="G403" s="498" t="s">
        <v>610</v>
      </c>
      <c r="H403" s="498" t="s">
        <v>190</v>
      </c>
      <c r="I403" s="2168"/>
      <c r="J403" s="2169"/>
      <c r="K403" s="2168"/>
      <c r="L403" s="2148"/>
      <c r="M403" s="2168"/>
      <c r="N403" s="2168"/>
      <c r="O403" s="2148"/>
      <c r="P403" s="2148"/>
      <c r="Q403" s="2169"/>
      <c r="R403" s="2177"/>
      <c r="S403" s="2169"/>
      <c r="T403" s="2168"/>
      <c r="U403" s="499" t="s">
        <v>191</v>
      </c>
      <c r="V403" s="499" t="s">
        <v>192</v>
      </c>
      <c r="W403" s="499" t="s">
        <v>193</v>
      </c>
      <c r="X403" s="499" t="s">
        <v>194</v>
      </c>
      <c r="Y403" s="499" t="s">
        <v>195</v>
      </c>
      <c r="Z403" s="499" t="s">
        <v>196</v>
      </c>
      <c r="AA403" s="2178"/>
      <c r="AB403" s="2178"/>
      <c r="AC403" s="2178"/>
      <c r="AD403" s="2178"/>
      <c r="AE403" s="2178"/>
      <c r="AF403" s="2178"/>
      <c r="AG403" s="2177"/>
      <c r="AH403" s="2169"/>
      <c r="AI403" s="2169"/>
      <c r="AJ403" s="2169"/>
      <c r="AK403" s="2169"/>
      <c r="AL403" s="2169"/>
      <c r="AM403" s="2179"/>
    </row>
    <row r="404" spans="1:39" s="511" customFormat="1" ht="73.5" customHeight="1" x14ac:dyDescent="0.3">
      <c r="A404" s="2180">
        <v>1</v>
      </c>
      <c r="B404" s="2182" t="s">
        <v>197</v>
      </c>
      <c r="C404" s="2182" t="s">
        <v>978</v>
      </c>
      <c r="D404" s="2184" t="s">
        <v>979</v>
      </c>
      <c r="E404" s="501" t="s">
        <v>980</v>
      </c>
      <c r="F404" s="2186" t="s">
        <v>981</v>
      </c>
      <c r="G404" s="1502" t="s">
        <v>512</v>
      </c>
      <c r="H404" s="2186" t="s">
        <v>982</v>
      </c>
      <c r="I404" s="2187" t="s">
        <v>198</v>
      </c>
      <c r="J404" s="2189">
        <v>57</v>
      </c>
      <c r="K404" s="2191" t="str">
        <f>IF(J404&lt;=0,"",IF(J404&lt;=2,"Muy Baja",IF(J404&lt;=24,"Baja",IF(J404&lt;=500,"Media",IF(J404&lt;=5000,"Alta","Muy Alta")))))</f>
        <v>Media</v>
      </c>
      <c r="L404" s="2193">
        <f>IF(K404="","",IF(K404="Muy Baja",0.2,IF(K404="Baja",0.4,IF(K404="Media",0.6,IF(K404="Alta",0.8,IF(K404="Muy Alta",1,))))))</f>
        <v>0.6</v>
      </c>
      <c r="M404" s="2195" t="s">
        <v>199</v>
      </c>
      <c r="N404" s="2197" t="str">
        <f>IF(NOT(ISERROR(MATCH(M404,'[23]Tabla Impacto'!$B$221:$B$223,0))),'[23]Tabla Impacto'!$F$223&amp;"Por favor no seleccionar los criterios de impacto(Afectación Económica o presupuestal y Pérdida Reputacional)",M404)</f>
        <v xml:space="preserve">     El riesgo afecta la imagen de de la entidad con efecto publicitario sostenido a nivel de sector administrativo, nivel departamental o municipal</v>
      </c>
      <c r="O404" s="2191" t="str">
        <f>IF(OR(N404='[23]Tabla Impacto'!$C$11,N404='[23]Tabla Impacto'!$D$11),"Leve",IF(OR(N404='[23]Tabla Impacto'!$C$12,N404='[23]Tabla Impacto'!$D$12),"Menor",IF(OR(N404='[23]Tabla Impacto'!$C$13,N404='[23]Tabla Impacto'!$D$13),"Moderado",IF(OR(N404='[23]Tabla Impacto'!$C$14,N404='[23]Tabla Impacto'!$D$14),"Mayor",IF(OR(N404='[23]Tabla Impacto'!$C$15,N404='[23]Tabla Impacto'!$D$15),"Catastrófico","")))))</f>
        <v>Mayor</v>
      </c>
      <c r="P404" s="2193">
        <f>IF(O404="","",IF(O404="Leve",0.2,IF(O404="Menor",0.4,IF(O404="Moderado",0.6,IF(O404="Mayor",0.8,IF(O404="Catastrófico",1,))))))</f>
        <v>0.8</v>
      </c>
      <c r="Q404" s="2199" t="str">
        <f>IF(OR(AND(K404="Muy Baja",O404="Leve"),AND(K404="Muy Baja",O404="Menor"),AND(K404="Baja",O404="Leve")),"Bajo",IF(OR(AND(K404="Muy baja",O404="Moderado"),AND(K404="Baja",O404="Menor"),AND(K404="Baja",O404="Moderado"),AND(K404="Media",O404="Leve"),AND(K404="Media",O404="Menor"),AND(K404="Media",O404="Moderado"),AND(K404="Alta",O404="Leve"),AND(K404="Alta",O404="Menor")),"Moderado",IF(OR(AND(K404="Muy Baja",O404="Mayor"),AND(K404="Baja",O404="Mayor"),AND(K404="Media",O404="Mayor"),AND(K404="Alta",O404="Moderado"),AND(K404="Alta",O404="Mayor"),AND(K404="Muy Alta",O404="Leve"),AND(K404="Muy Alta",O404="Menor"),AND(K404="Muy Alta",O404="Moderado"),AND(K404="Muy Alta",O404="Mayor")),"Alto",IF(OR(AND(K404="Muy Baja",O404="Catastrófico"),AND(K404="Baja",O404="Catastrófico"),AND(K404="Media",O404="Catastrófico"),AND(K404="Alta",O404="Catastrófico"),AND(K404="Muy Alta",O404="Catastrófico")),"Extremo",""))))</f>
        <v>Alto</v>
      </c>
      <c r="R404" s="502">
        <v>1</v>
      </c>
      <c r="S404" s="503" t="s">
        <v>983</v>
      </c>
      <c r="T404" s="504" t="str">
        <f>IF(OR(U404="Preventivo",U404="Detectivo"),"Probabilidad",IF(U404="Correctivo","Impacto",""))</f>
        <v>Probabilidad</v>
      </c>
      <c r="U404" s="505" t="s">
        <v>200</v>
      </c>
      <c r="V404" s="505" t="s">
        <v>201</v>
      </c>
      <c r="W404" s="506" t="str">
        <f>IF(AND(U404="Preventivo",V404="Automático"),"50%",IF(AND(U404="Preventivo",V404="Manual"),"40%",IF(AND(U404="Detectivo",V404="Automático"),"40%",IF(AND(U404="Detectivo",V404="Manual"),"30%",IF(AND(U404="Correctivo",V404="Automático"),"35%",IF(AND(U404="Correctivo",V404="Manual"),"25%",""))))))</f>
        <v>30%</v>
      </c>
      <c r="X404" s="505" t="s">
        <v>202</v>
      </c>
      <c r="Y404" s="505" t="s">
        <v>203</v>
      </c>
      <c r="Z404" s="505" t="s">
        <v>204</v>
      </c>
      <c r="AA404" s="507">
        <f>IFERROR(IF(T404="Probabilidad",(L404-(+L404*W404)),IF(T404="Impacto",L404,"")),"")</f>
        <v>0.42</v>
      </c>
      <c r="AB404" s="508" t="str">
        <f>IFERROR(IF(AA404="","",IF(AA404&lt;=0.2,"Muy Baja",IF(AA404&lt;=0.4,"Baja",IF(AA404&lt;=0.6,"Media",IF(AA404&lt;=0.8,"Alta","Muy Alta"))))),"")</f>
        <v>Media</v>
      </c>
      <c r="AC404" s="509">
        <f>+AA404</f>
        <v>0.42</v>
      </c>
      <c r="AD404" s="508" t="str">
        <f>IFERROR(IF(AE404="","",IF(AE404&lt;=0.2,"Leve",IF(AE404&lt;=0.4,"Menor",IF(AE404&lt;=0.6,"Moderado",IF(AE404&lt;=0.8,"Mayor","Catastrófico"))))),"")</f>
        <v>Mayor</v>
      </c>
      <c r="AE404" s="509">
        <f>IFERROR(IF(T404="Impacto",(P404-(+P404*W404)),IF(T404="Probabilidad",P404,"")),"")</f>
        <v>0.8</v>
      </c>
      <c r="AF404" s="510" t="str">
        <f>IFERROR(IF(OR(AND(AB404="Muy Baja",AD404="Leve"),AND(AB404="Muy Baja",AD404="Menor"),AND(AB404="Baja",AD404="Leve")),"Bajo",IF(OR(AND(AB404="Muy baja",AD404="Moderado"),AND(AB404="Baja",AD404="Menor"),AND(AB404="Baja",AD404="Moderado"),AND(AB404="Media",AD404="Leve"),AND(AB404="Media",AD404="Menor"),AND(AB404="Media",AD404="Moderado"),AND(AB404="Alta",AD404="Leve"),AND(AB404="Alta",AD404="Menor")),"Moderado",IF(OR(AND(AB404="Muy Baja",AD404="Mayor"),AND(AB404="Baja",AD404="Mayor"),AND(AB404="Media",AD404="Mayor"),AND(AB404="Alta",AD404="Moderado"),AND(AB404="Alta",AD404="Mayor"),AND(AB404="Muy Alta",AD404="Leve"),AND(AB404="Muy Alta",AD404="Menor"),AND(AB404="Muy Alta",AD404="Moderado"),AND(AB404="Muy Alta",AD404="Mayor")),"Alto",IF(OR(AND(AB404="Muy Baja",AD404="Catastrófico"),AND(AB404="Baja",AD404="Catastrófico"),AND(AB404="Media",AD404="Catastrófico"),AND(AB404="Alta",AD404="Catastrófico"),AND(AB404="Muy Alta",AD404="Catastrófico")),"Extremo","")))),"")</f>
        <v>Alto</v>
      </c>
      <c r="AG404" s="2201" t="s">
        <v>205</v>
      </c>
      <c r="AH404" s="2182" t="s">
        <v>984</v>
      </c>
      <c r="AI404" s="2182" t="s">
        <v>985</v>
      </c>
      <c r="AJ404" s="2205" t="s">
        <v>986</v>
      </c>
      <c r="AK404" s="2208" t="s">
        <v>1013</v>
      </c>
      <c r="AL404" s="2182" t="s">
        <v>987</v>
      </c>
      <c r="AM404" s="2211" t="s">
        <v>206</v>
      </c>
    </row>
    <row r="405" spans="1:39" s="494" customFormat="1" ht="69" customHeight="1" x14ac:dyDescent="0.3">
      <c r="A405" s="2181"/>
      <c r="B405" s="2183"/>
      <c r="C405" s="2183"/>
      <c r="D405" s="2185"/>
      <c r="E405" s="501" t="s">
        <v>988</v>
      </c>
      <c r="F405" s="2186"/>
      <c r="G405" s="1503"/>
      <c r="H405" s="2186"/>
      <c r="I405" s="2188"/>
      <c r="J405" s="2190"/>
      <c r="K405" s="2192"/>
      <c r="L405" s="2194"/>
      <c r="M405" s="2196"/>
      <c r="N405" s="2198">
        <f>IF(NOT(ISERROR(MATCH(M405,_xlfn.ANCHORARRAY(#REF!),0))),#REF!&amp;"Por favor no seleccionar los criterios de impacto",M405)</f>
        <v>0</v>
      </c>
      <c r="O405" s="2192"/>
      <c r="P405" s="2194"/>
      <c r="Q405" s="2200"/>
      <c r="R405" s="502">
        <v>2</v>
      </c>
      <c r="S405" s="503" t="s">
        <v>989</v>
      </c>
      <c r="T405" s="504" t="str">
        <f>IF(OR(U405="Preventivo",U405="Detectivo"),"Probabilidad",IF(U405="Correctivo","Impacto",""))</f>
        <v>Probabilidad</v>
      </c>
      <c r="U405" s="505" t="s">
        <v>207</v>
      </c>
      <c r="V405" s="505" t="s">
        <v>201</v>
      </c>
      <c r="W405" s="506" t="str">
        <f t="shared" ref="W405:W408" si="276">IF(AND(U405="Preventivo",V405="Automático"),"50%",IF(AND(U405="Preventivo",V405="Manual"),"40%",IF(AND(U405="Detectivo",V405="Automático"),"40%",IF(AND(U405="Detectivo",V405="Manual"),"30%",IF(AND(U405="Correctivo",V405="Automático"),"35%",IF(AND(U405="Correctivo",V405="Manual"),"25%",""))))))</f>
        <v>40%</v>
      </c>
      <c r="X405" s="505" t="s">
        <v>208</v>
      </c>
      <c r="Y405" s="505" t="s">
        <v>203</v>
      </c>
      <c r="Z405" s="505" t="s">
        <v>204</v>
      </c>
      <c r="AA405" s="507">
        <f>IFERROR(IF(AND(T404="Probabilidad",T405="Probabilidad"),(AC404-(+AC404*W405)),IF(AND(T404="Impacto",T405="Probabilidad"),(L404-(+L404*W405)),IF(T405="Impacto",AC404,""))),"")</f>
        <v>0.252</v>
      </c>
      <c r="AB405" s="508" t="str">
        <f t="shared" ref="AB405:AB408" si="277">IFERROR(IF(AA405="","",IF(AA405&lt;=0.2,"Muy Baja",IF(AA405&lt;=0.4,"Baja",IF(AA405&lt;=0.6,"Media",IF(AA405&lt;=0.8,"Alta","Muy Alta"))))),"")</f>
        <v>Baja</v>
      </c>
      <c r="AC405" s="509">
        <f>+AA405</f>
        <v>0.252</v>
      </c>
      <c r="AD405" s="508" t="str">
        <f t="shared" ref="AD405:AD408" si="278">IFERROR(IF(AE405="","",IF(AE405&lt;=0.2,"Leve",IF(AE405&lt;=0.4,"Menor",IF(AE405&lt;=0.6,"Moderado",IF(AE405&lt;=0.8,"Mayor","Catastrófico"))))),"")</f>
        <v>Mayor</v>
      </c>
      <c r="AE405" s="509">
        <f>IFERROR(IF(AND(T404="Impacto",T405="Impacto"),(AE404-(+AE404*W405)),IF(AND(T404="Probabilidad",T405="Impacto"),(P404-(+P404*W405)),IF(T405="Probabilidad",AE404,""))),"")</f>
        <v>0.8</v>
      </c>
      <c r="AF405" s="510" t="str">
        <f t="shared" ref="AF405:AF408" si="279">IFERROR(IF(OR(AND(AB405="Muy Baja",AD405="Leve"),AND(AB405="Muy Baja",AD405="Menor"),AND(AB405="Baja",AD405="Leve")),"Bajo",IF(OR(AND(AB405="Muy baja",AD405="Moderado"),AND(AB405="Baja",AD405="Menor"),AND(AB405="Baja",AD405="Moderado"),AND(AB405="Media",AD405="Leve"),AND(AB405="Media",AD405="Menor"),AND(AB405="Media",AD405="Moderado"),AND(AB405="Alta",AD405="Leve"),AND(AB405="Alta",AD405="Menor")),"Moderado",IF(OR(AND(AB405="Muy Baja",AD405="Mayor"),AND(AB405="Baja",AD405="Mayor"),AND(AB405="Media",AD405="Mayor"),AND(AB405="Alta",AD405="Moderado"),AND(AB405="Alta",AD405="Mayor"),AND(AB405="Muy Alta",AD405="Leve"),AND(AB405="Muy Alta",AD405="Menor"),AND(AB405="Muy Alta",AD405="Moderado"),AND(AB405="Muy Alta",AD405="Mayor")),"Alto",IF(OR(AND(AB405="Muy Baja",AD405="Catastrófico"),AND(AB405="Baja",AD405="Catastrófico"),AND(AB405="Media",AD405="Catastrófico"),AND(AB405="Alta",AD405="Catastrófico"),AND(AB405="Muy Alta",AD405="Catastrófico")),"Extremo","")))),"")</f>
        <v>Alto</v>
      </c>
      <c r="AG405" s="2202"/>
      <c r="AH405" s="2183"/>
      <c r="AI405" s="2183"/>
      <c r="AJ405" s="2206"/>
      <c r="AK405" s="2209"/>
      <c r="AL405" s="2183"/>
      <c r="AM405" s="2212"/>
    </row>
    <row r="406" spans="1:39" s="494" customFormat="1" ht="96.6" x14ac:dyDescent="0.3">
      <c r="A406" s="2181"/>
      <c r="B406" s="2183"/>
      <c r="C406" s="2183"/>
      <c r="D406" s="2185"/>
      <c r="E406" s="501" t="s">
        <v>990</v>
      </c>
      <c r="F406" s="2186"/>
      <c r="G406" s="1503"/>
      <c r="H406" s="2186"/>
      <c r="I406" s="2188"/>
      <c r="J406" s="2190"/>
      <c r="K406" s="2192"/>
      <c r="L406" s="2194"/>
      <c r="M406" s="2196"/>
      <c r="N406" s="2198">
        <f>IF(NOT(ISERROR(MATCH(M406,_xlfn.ANCHORARRAY(#REF!),0))),#REF!&amp;"Por favor no seleccionar los criterios de impacto",M406)</f>
        <v>0</v>
      </c>
      <c r="O406" s="2192"/>
      <c r="P406" s="2194"/>
      <c r="Q406" s="2200"/>
      <c r="R406" s="502">
        <v>3</v>
      </c>
      <c r="S406" s="512" t="s">
        <v>991</v>
      </c>
      <c r="T406" s="504" t="str">
        <f t="shared" ref="T406:T408" si="280">IF(OR(U406="Preventivo",U406="Detectivo"),"Probabilidad",IF(U406="Correctivo","Impacto",""))</f>
        <v>Probabilidad</v>
      </c>
      <c r="U406" s="505" t="s">
        <v>207</v>
      </c>
      <c r="V406" s="505" t="s">
        <v>201</v>
      </c>
      <c r="W406" s="506" t="str">
        <f t="shared" si="276"/>
        <v>40%</v>
      </c>
      <c r="X406" s="505" t="s">
        <v>208</v>
      </c>
      <c r="Y406" s="505" t="s">
        <v>203</v>
      </c>
      <c r="Z406" s="505" t="s">
        <v>204</v>
      </c>
      <c r="AA406" s="507">
        <f>IFERROR(IF(AND(T405="Probabilidad",T406="Probabilidad"),(AC405-(+AC405*W406)),IF(AND(T405="Impacto",T406="Probabilidad"),(AC404-(+AC404*W406)),IF(T406="Impacto",AC405,""))),"")</f>
        <v>0.1512</v>
      </c>
      <c r="AB406" s="508" t="str">
        <f t="shared" si="277"/>
        <v>Muy Baja</v>
      </c>
      <c r="AC406" s="509">
        <f t="shared" ref="AC406:AC412" si="281">+AA406</f>
        <v>0.1512</v>
      </c>
      <c r="AD406" s="508" t="str">
        <f t="shared" si="278"/>
        <v>Mayor</v>
      </c>
      <c r="AE406" s="509">
        <f t="shared" ref="AE406:AE408" si="282">IFERROR(IF(AND(T405="Impacto",T406="Impacto"),(AE405-(+AE405*W406)),IF(AND(T405="Probabilidad",T406="Impacto"),(AE404-(+AE404*W406)),IF(T406="Probabilidad",AE405,""))),"")</f>
        <v>0.8</v>
      </c>
      <c r="AF406" s="510" t="str">
        <f t="shared" si="279"/>
        <v>Alto</v>
      </c>
      <c r="AG406" s="2202"/>
      <c r="AH406" s="2183"/>
      <c r="AI406" s="2183"/>
      <c r="AJ406" s="2206"/>
      <c r="AK406" s="2209"/>
      <c r="AL406" s="2183"/>
      <c r="AM406" s="2212"/>
    </row>
    <row r="407" spans="1:39" s="494" customFormat="1" ht="58.8" customHeight="1" x14ac:dyDescent="0.3">
      <c r="A407" s="2181"/>
      <c r="B407" s="2183"/>
      <c r="C407" s="2183"/>
      <c r="D407" s="2185"/>
      <c r="E407" s="501" t="s">
        <v>992</v>
      </c>
      <c r="F407" s="2186"/>
      <c r="G407" s="1503"/>
      <c r="H407" s="2186"/>
      <c r="I407" s="2188"/>
      <c r="J407" s="2190"/>
      <c r="K407" s="2192"/>
      <c r="L407" s="2194"/>
      <c r="M407" s="2196"/>
      <c r="N407" s="2198">
        <f>IF(NOT(ISERROR(MATCH(M407,_xlfn.ANCHORARRAY(#REF!),0))),#REF!&amp;"Por favor no seleccionar los criterios de impacto",M407)</f>
        <v>0</v>
      </c>
      <c r="O407" s="2192"/>
      <c r="P407" s="2194"/>
      <c r="Q407" s="2200"/>
      <c r="R407" s="502">
        <v>4</v>
      </c>
      <c r="S407" s="503" t="s">
        <v>993</v>
      </c>
      <c r="T407" s="504" t="str">
        <f t="shared" si="280"/>
        <v>Probabilidad</v>
      </c>
      <c r="U407" s="505" t="s">
        <v>207</v>
      </c>
      <c r="V407" s="505" t="s">
        <v>201</v>
      </c>
      <c r="W407" s="506" t="str">
        <f t="shared" si="276"/>
        <v>40%</v>
      </c>
      <c r="X407" s="505" t="s">
        <v>208</v>
      </c>
      <c r="Y407" s="505" t="s">
        <v>203</v>
      </c>
      <c r="Z407" s="505" t="s">
        <v>204</v>
      </c>
      <c r="AA407" s="507">
        <f t="shared" ref="AA407:AA408" si="283">IFERROR(IF(AND(T406="Probabilidad",T407="Probabilidad"),(AC406-(+AC406*W407)),IF(AND(T406="Impacto",T407="Probabilidad"),(AC405-(+AC405*W407)),IF(T407="Impacto",AC406,""))),"")</f>
        <v>9.0719999999999995E-2</v>
      </c>
      <c r="AB407" s="508" t="str">
        <f t="shared" si="277"/>
        <v>Muy Baja</v>
      </c>
      <c r="AC407" s="509">
        <f t="shared" si="281"/>
        <v>9.0719999999999995E-2</v>
      </c>
      <c r="AD407" s="508" t="str">
        <f t="shared" si="278"/>
        <v>Mayor</v>
      </c>
      <c r="AE407" s="509">
        <f t="shared" si="282"/>
        <v>0.8</v>
      </c>
      <c r="AF407" s="510" t="str">
        <f t="shared" si="279"/>
        <v>Alto</v>
      </c>
      <c r="AG407" s="2202"/>
      <c r="AH407" s="2183"/>
      <c r="AI407" s="2183"/>
      <c r="AJ407" s="2206"/>
      <c r="AK407" s="2209"/>
      <c r="AL407" s="2183"/>
      <c r="AM407" s="2212"/>
    </row>
    <row r="408" spans="1:39" s="494" customFormat="1" ht="58.8" customHeight="1" x14ac:dyDescent="0.3">
      <c r="A408" s="2181"/>
      <c r="B408" s="2183"/>
      <c r="C408" s="2183"/>
      <c r="D408" s="2185"/>
      <c r="E408" s="501" t="s">
        <v>994</v>
      </c>
      <c r="F408" s="2186"/>
      <c r="G408" s="1503"/>
      <c r="H408" s="2186"/>
      <c r="I408" s="2188"/>
      <c r="J408" s="2190"/>
      <c r="K408" s="2192"/>
      <c r="L408" s="2194"/>
      <c r="M408" s="2196"/>
      <c r="N408" s="2198">
        <f>IF(NOT(ISERROR(MATCH(M408,_xlfn.ANCHORARRAY(#REF!),0))),#REF!&amp;"Por favor no seleccionar los criterios de impacto",M408)</f>
        <v>0</v>
      </c>
      <c r="O408" s="2192"/>
      <c r="P408" s="2194"/>
      <c r="Q408" s="2200"/>
      <c r="R408" s="502">
        <v>5</v>
      </c>
      <c r="S408" s="503" t="s">
        <v>995</v>
      </c>
      <c r="T408" s="504" t="str">
        <f t="shared" si="280"/>
        <v>Probabilidad</v>
      </c>
      <c r="U408" s="505" t="s">
        <v>200</v>
      </c>
      <c r="V408" s="505" t="s">
        <v>201</v>
      </c>
      <c r="W408" s="506" t="str">
        <f t="shared" si="276"/>
        <v>30%</v>
      </c>
      <c r="X408" s="505" t="s">
        <v>208</v>
      </c>
      <c r="Y408" s="505" t="s">
        <v>203</v>
      </c>
      <c r="Z408" s="505" t="s">
        <v>204</v>
      </c>
      <c r="AA408" s="507">
        <f t="shared" si="283"/>
        <v>6.3504000000000005E-2</v>
      </c>
      <c r="AB408" s="508" t="str">
        <f t="shared" si="277"/>
        <v>Muy Baja</v>
      </c>
      <c r="AC408" s="509">
        <f t="shared" si="281"/>
        <v>6.3504000000000005E-2</v>
      </c>
      <c r="AD408" s="508" t="str">
        <f t="shared" si="278"/>
        <v>Mayor</v>
      </c>
      <c r="AE408" s="509">
        <f t="shared" si="282"/>
        <v>0.8</v>
      </c>
      <c r="AF408" s="510" t="str">
        <f t="shared" si="279"/>
        <v>Alto</v>
      </c>
      <c r="AG408" s="2203"/>
      <c r="AH408" s="2204"/>
      <c r="AI408" s="2204"/>
      <c r="AJ408" s="2207"/>
      <c r="AK408" s="2210"/>
      <c r="AL408" s="2204"/>
      <c r="AM408" s="2213"/>
    </row>
    <row r="409" spans="1:39" s="494" customFormat="1" ht="91.5" customHeight="1" x14ac:dyDescent="0.3">
      <c r="A409" s="2180">
        <v>2</v>
      </c>
      <c r="B409" s="2182" t="s">
        <v>209</v>
      </c>
      <c r="C409" s="2182" t="s">
        <v>996</v>
      </c>
      <c r="D409" s="2184" t="s">
        <v>997</v>
      </c>
      <c r="E409" s="501" t="s">
        <v>998</v>
      </c>
      <c r="F409" s="2186" t="s">
        <v>999</v>
      </c>
      <c r="G409" s="1503"/>
      <c r="H409" s="2214" t="s">
        <v>1000</v>
      </c>
      <c r="I409" s="2187" t="s">
        <v>198</v>
      </c>
      <c r="J409" s="2189">
        <v>360</v>
      </c>
      <c r="K409" s="2191" t="str">
        <f>IF(J409&lt;=0,"",IF(J409&lt;=2,"Muy Baja",IF(J409&lt;=24,"Baja",IF(J409&lt;=500,"Media",IF(J409&lt;=5000,"Alta","Muy Alta")))))</f>
        <v>Media</v>
      </c>
      <c r="L409" s="2193">
        <f>IF(K409="","",IF(K409="Muy Baja",0.2,IF(K409="Baja",0.4,IF(K409="Media",0.6,IF(K409="Alta",0.8,IF(K409="Muy Alta",1,))))))</f>
        <v>0.6</v>
      </c>
      <c r="M409" s="2195" t="s">
        <v>199</v>
      </c>
      <c r="N409" s="2193" t="str">
        <f>IF(NOT(ISERROR(MATCH(M409,'[23]Tabla Impacto'!$B$221:$B$223,0))),'[23]Tabla Impacto'!$F$223&amp;"Por favor no seleccionar los criterios de impacto(Afectación Económica o presupuestal y Pérdida Reputacional)",M409)</f>
        <v xml:space="preserve">     El riesgo afecta la imagen de de la entidad con efecto publicitario sostenido a nivel de sector administrativo, nivel departamental o municipal</v>
      </c>
      <c r="O409" s="2191" t="str">
        <f>IF(OR(N409='[23]Tabla Impacto'!$C$11,N409='[23]Tabla Impacto'!$D$11),"Leve",IF(OR(N409='[23]Tabla Impacto'!$C$12,N409='[23]Tabla Impacto'!$D$12),"Menor",IF(OR(N409='[23]Tabla Impacto'!$C$13,N409='[23]Tabla Impacto'!$D$13),"Moderado",IF(OR(N409='[23]Tabla Impacto'!$C$14,N409='[23]Tabla Impacto'!$D$14),"Mayor",IF(OR(N409='[23]Tabla Impacto'!$C$15,N409='[23]Tabla Impacto'!$D$15),"Catastrófico","")))))</f>
        <v>Mayor</v>
      </c>
      <c r="P409" s="2193">
        <f>IF(O409="","",IF(O409="Leve",0.2,IF(O409="Menor",0.4,IF(O409="Moderado",0.6,IF(O409="Mayor",0.8,IF(O409="Catastrófico",1,))))))</f>
        <v>0.8</v>
      </c>
      <c r="Q409" s="2199" t="str">
        <f>IF(OR(AND(K409="Muy Baja",O409="Leve"),AND(K409="Muy Baja",O409="Menor"),AND(K409="Baja",O409="Leve")),"Bajo",IF(OR(AND(K409="Muy baja",O409="Moderado"),AND(K409="Baja",O409="Menor"),AND(K409="Baja",O409="Moderado"),AND(K409="Media",O409="Leve"),AND(K409="Media",O409="Menor"),AND(K409="Media",O409="Moderado"),AND(K409="Alta",O409="Leve"),AND(K409="Alta",O409="Menor")),"Moderado",IF(OR(AND(K409="Muy Baja",O409="Mayor"),AND(K409="Baja",O409="Mayor"),AND(K409="Media",O409="Mayor"),AND(K409="Alta",O409="Moderado"),AND(K409="Alta",O409="Mayor"),AND(K409="Muy Alta",O409="Leve"),AND(K409="Muy Alta",O409="Menor"),AND(K409="Muy Alta",O409="Moderado"),AND(K409="Muy Alta",O409="Mayor")),"Alto",IF(OR(AND(K409="Muy Baja",O409="Catastrófico"),AND(K409="Baja",O409="Catastrófico"),AND(K409="Media",O409="Catastrófico"),AND(K409="Alta",O409="Catastrófico"),AND(K409="Muy Alta",O409="Catastrófico")),"Extremo",""))))</f>
        <v>Alto</v>
      </c>
      <c r="R409" s="513">
        <v>1</v>
      </c>
      <c r="S409" s="514" t="s">
        <v>1001</v>
      </c>
      <c r="T409" s="504" t="str">
        <f>IF(OR(U409="Preventivo",U409="Detectivo"),"Probabilidad",IF(U409="Correctivo","Impacto",""))</f>
        <v>Probabilidad</v>
      </c>
      <c r="U409" s="505" t="s">
        <v>207</v>
      </c>
      <c r="V409" s="505" t="s">
        <v>201</v>
      </c>
      <c r="W409" s="506" t="str">
        <f>IF(AND(U409="Preventivo",V409="Automático"),"50%",IF(AND(U409="Preventivo",V409="Manual"),"40%",IF(AND(U409="Detectivo",V409="Automático"),"40%",IF(AND(U409="Detectivo",V409="Manual"),"30%",IF(AND(U409="Correctivo",V409="Automático"),"35%",IF(AND(U409="Correctivo",V409="Manual"),"25%",""))))))</f>
        <v>40%</v>
      </c>
      <c r="X409" s="505" t="s">
        <v>202</v>
      </c>
      <c r="Y409" s="505" t="s">
        <v>203</v>
      </c>
      <c r="Z409" s="505" t="s">
        <v>204</v>
      </c>
      <c r="AA409" s="515">
        <f>IFERROR(IF(T409="Probabilidad",(L409-(+L409*W409)),IF(T409="Impacto",L409,"")),"")</f>
        <v>0.36</v>
      </c>
      <c r="AB409" s="516" t="str">
        <f>IFERROR(IF(AA409="","",IF(AA409&lt;=0.2,"Muy Baja",IF(AA409&lt;=0.4,"Baja",IF(AA409&lt;=0.6,"Media",IF(AA409&lt;=0.8,"Alta","Muy Alta"))))),"")</f>
        <v>Baja</v>
      </c>
      <c r="AC409" s="517">
        <f t="shared" si="281"/>
        <v>0.36</v>
      </c>
      <c r="AD409" s="516" t="str">
        <f>IFERROR(IF(AE409="","",IF(AE409&lt;=0.2,"Leve",IF(AE409&lt;=0.4,"Menor",IF(AE409&lt;=0.6,"Moderado",IF(AE409&lt;=0.8,"Mayor","Catastrófico"))))),"")</f>
        <v>Mayor</v>
      </c>
      <c r="AE409" s="517">
        <f>IFERROR(IF(T409="Impacto",(P409-(+P409*W409)),IF(T409="Probabilidad",P409,"")),"")</f>
        <v>0.8</v>
      </c>
      <c r="AF409" s="518" t="str">
        <f>IFERROR(IF(OR(AND(AB409="Muy Baja",AD409="Leve"),AND(AB409="Muy Baja",AD409="Menor"),AND(AB409="Baja",AD409="Leve")),"Bajo",IF(OR(AND(AB409="Muy baja",AD409="Moderado"),AND(AB409="Baja",AD409="Menor"),AND(AB409="Baja",AD409="Moderado"),AND(AB409="Media",AD409="Leve"),AND(AB409="Media",AD409="Menor"),AND(AB409="Media",AD409="Moderado"),AND(AB409="Alta",AD409="Leve"),AND(AB409="Alta",AD409="Menor")),"Moderado",IF(OR(AND(AB409="Muy Baja",AD409="Mayor"),AND(AB409="Baja",AD409="Mayor"),AND(AB409="Media",AD409="Mayor"),AND(AB409="Alta",AD409="Moderado"),AND(AB409="Alta",AD409="Mayor"),AND(AB409="Muy Alta",AD409="Leve"),AND(AB409="Muy Alta",AD409="Menor"),AND(AB409="Muy Alta",AD409="Moderado"),AND(AB409="Muy Alta",AD409="Mayor")),"Alto",IF(OR(AND(AB409="Muy Baja",AD409="Catastrófico"),AND(AB409="Baja",AD409="Catastrófico"),AND(AB409="Media",AD409="Catastrófico"),AND(AB409="Alta",AD409="Catastrófico"),AND(AB409="Muy Alta",AD409="Catastrófico")),"Extremo","")))),"")</f>
        <v>Alto</v>
      </c>
      <c r="AG409" s="2201" t="s">
        <v>205</v>
      </c>
      <c r="AH409" s="2182" t="s">
        <v>1002</v>
      </c>
      <c r="AI409" s="2182" t="s">
        <v>1003</v>
      </c>
      <c r="AJ409" s="2205" t="s">
        <v>1004</v>
      </c>
      <c r="AK409" s="2208" t="s">
        <v>1013</v>
      </c>
      <c r="AL409" s="2182" t="s">
        <v>1005</v>
      </c>
      <c r="AM409" s="2211" t="s">
        <v>206</v>
      </c>
    </row>
    <row r="410" spans="1:39" s="494" customFormat="1" ht="104.25" customHeight="1" x14ac:dyDescent="0.3">
      <c r="A410" s="2181"/>
      <c r="B410" s="2183"/>
      <c r="C410" s="2183"/>
      <c r="D410" s="2185"/>
      <c r="E410" s="501" t="s">
        <v>1006</v>
      </c>
      <c r="F410" s="2186"/>
      <c r="G410" s="1503"/>
      <c r="H410" s="2215"/>
      <c r="I410" s="2188"/>
      <c r="J410" s="2190"/>
      <c r="K410" s="2192"/>
      <c r="L410" s="2194"/>
      <c r="M410" s="2196"/>
      <c r="N410" s="2194">
        <f>IF(NOT(ISERROR(MATCH(M410,_xlfn.ANCHORARRAY(F409),0))),#REF!&amp;"Por favor no seleccionar los criterios de impacto",M410)</f>
        <v>0</v>
      </c>
      <c r="O410" s="2192"/>
      <c r="P410" s="2194"/>
      <c r="Q410" s="2200"/>
      <c r="R410" s="513">
        <v>2</v>
      </c>
      <c r="S410" s="514" t="s">
        <v>1007</v>
      </c>
      <c r="T410" s="504" t="str">
        <f>IF(OR(U410="Preventivo",U410="Detectivo"),"Probabilidad",IF(U410="Correctivo","Impacto",""))</f>
        <v>Probabilidad</v>
      </c>
      <c r="U410" s="505" t="s">
        <v>207</v>
      </c>
      <c r="V410" s="505" t="s">
        <v>201</v>
      </c>
      <c r="W410" s="506" t="str">
        <f t="shared" ref="W410:W412" si="284">IF(AND(U410="Preventivo",V410="Automático"),"50%",IF(AND(U410="Preventivo",V410="Manual"),"40%",IF(AND(U410="Detectivo",V410="Automático"),"40%",IF(AND(U410="Detectivo",V410="Manual"),"30%",IF(AND(U410="Correctivo",V410="Automático"),"35%",IF(AND(U410="Correctivo",V410="Manual"),"25%",""))))))</f>
        <v>40%</v>
      </c>
      <c r="X410" s="505" t="s">
        <v>202</v>
      </c>
      <c r="Y410" s="505" t="s">
        <v>210</v>
      </c>
      <c r="Z410" s="505" t="s">
        <v>204</v>
      </c>
      <c r="AA410" s="515">
        <f>IFERROR(IF(AND(T409="Probabilidad",T410="Probabilidad"),(AC409-(+AC409*W410)),IF(AND(T409="Impacto",T410="Probabilidad"),(L409-(+L409*W410)),IF(T410="Impacto",AC409,""))),"")</f>
        <v>0.216</v>
      </c>
      <c r="AB410" s="516" t="str">
        <f t="shared" ref="AB410:AB412" si="285">IFERROR(IF(AA410="","",IF(AA410&lt;=0.2,"Muy Baja",IF(AA410&lt;=0.4,"Baja",IF(AA410&lt;=0.6,"Media",IF(AA410&lt;=0.8,"Alta","Muy Alta"))))),"")</f>
        <v>Baja</v>
      </c>
      <c r="AC410" s="517">
        <f t="shared" si="281"/>
        <v>0.216</v>
      </c>
      <c r="AD410" s="516" t="str">
        <f t="shared" ref="AD410:AD412" si="286">IFERROR(IF(AE410="","",IF(AE410&lt;=0.2,"Leve",IF(AE410&lt;=0.4,"Menor",IF(AE410&lt;=0.6,"Moderado",IF(AE410&lt;=0.8,"Mayor","Catastrófico"))))),"")</f>
        <v>Mayor</v>
      </c>
      <c r="AE410" s="517">
        <f>IFERROR(IF(AND(T409="Impacto",T410="Impacto"),(AE409-(+AE409*W410)),IF(AND(T409="Probabilidad",T410="Impacto"),(P409-(+P409*W410)),IF(T410="Probabilidad",AE409,""))),"")</f>
        <v>0.8</v>
      </c>
      <c r="AF410" s="518" t="str">
        <f t="shared" ref="AF410:AF412" si="287">IFERROR(IF(OR(AND(AB410="Muy Baja",AD410="Leve"),AND(AB410="Muy Baja",AD410="Menor"),AND(AB410="Baja",AD410="Leve")),"Bajo",IF(OR(AND(AB410="Muy baja",AD410="Moderado"),AND(AB410="Baja",AD410="Menor"),AND(AB410="Baja",AD410="Moderado"),AND(AB410="Media",AD410="Leve"),AND(AB410="Media",AD410="Menor"),AND(AB410="Media",AD410="Moderado"),AND(AB410="Alta",AD410="Leve"),AND(AB410="Alta",AD410="Menor")),"Moderado",IF(OR(AND(AB410="Muy Baja",AD410="Mayor"),AND(AB410="Baja",AD410="Mayor"),AND(AB410="Media",AD410="Mayor"),AND(AB410="Alta",AD410="Moderado"),AND(AB410="Alta",AD410="Mayor"),AND(AB410="Muy Alta",AD410="Leve"),AND(AB410="Muy Alta",AD410="Menor"),AND(AB410="Muy Alta",AD410="Moderado"),AND(AB410="Muy Alta",AD410="Mayor")),"Alto",IF(OR(AND(AB410="Muy Baja",AD410="Catastrófico"),AND(AB410="Baja",AD410="Catastrófico"),AND(AB410="Media",AD410="Catastrófico"),AND(AB410="Alta",AD410="Catastrófico"),AND(AB410="Muy Alta",AD410="Catastrófico")),"Extremo","")))),"")</f>
        <v>Alto</v>
      </c>
      <c r="AG410" s="2202"/>
      <c r="AH410" s="2183"/>
      <c r="AI410" s="2183"/>
      <c r="AJ410" s="2206"/>
      <c r="AK410" s="2209"/>
      <c r="AL410" s="2183"/>
      <c r="AM410" s="2212"/>
    </row>
    <row r="411" spans="1:39" s="494" customFormat="1" ht="85.5" customHeight="1" x14ac:dyDescent="0.3">
      <c r="A411" s="2181"/>
      <c r="B411" s="2183"/>
      <c r="C411" s="2183"/>
      <c r="D411" s="2185"/>
      <c r="E411" s="501" t="s">
        <v>1008</v>
      </c>
      <c r="F411" s="2186"/>
      <c r="G411" s="1503"/>
      <c r="H411" s="2215"/>
      <c r="I411" s="2188"/>
      <c r="J411" s="2190"/>
      <c r="K411" s="2192"/>
      <c r="L411" s="2194"/>
      <c r="M411" s="2196"/>
      <c r="N411" s="2194"/>
      <c r="O411" s="2192"/>
      <c r="P411" s="2194"/>
      <c r="Q411" s="2200"/>
      <c r="R411" s="513">
        <v>3</v>
      </c>
      <c r="S411" s="519" t="s">
        <v>1009</v>
      </c>
      <c r="T411" s="504" t="str">
        <f t="shared" ref="T411:T412" si="288">IF(OR(U411="Preventivo",U411="Detectivo"),"Probabilidad",IF(U411="Correctivo","Impacto",""))</f>
        <v>Probabilidad</v>
      </c>
      <c r="U411" s="505" t="s">
        <v>200</v>
      </c>
      <c r="V411" s="505" t="s">
        <v>1010</v>
      </c>
      <c r="W411" s="506" t="str">
        <f t="shared" si="284"/>
        <v>40%</v>
      </c>
      <c r="X411" s="505" t="s">
        <v>208</v>
      </c>
      <c r="Y411" s="505" t="s">
        <v>203</v>
      </c>
      <c r="Z411" s="505" t="s">
        <v>204</v>
      </c>
      <c r="AA411" s="515">
        <f>IFERROR(IF(AND(T410="Probabilidad",T411="Probabilidad"),(AC410-(+AC410*W411)),IF(AND(T410="Impacto",T411="Probabilidad"),(L410-(+L410*W411)),IF(T411="Impacto",AC410,""))),"")</f>
        <v>0.12959999999999999</v>
      </c>
      <c r="AB411" s="516" t="str">
        <f t="shared" si="285"/>
        <v>Muy Baja</v>
      </c>
      <c r="AC411" s="517">
        <f t="shared" si="281"/>
        <v>0.12959999999999999</v>
      </c>
      <c r="AD411" s="516" t="str">
        <f t="shared" si="286"/>
        <v>Mayor</v>
      </c>
      <c r="AE411" s="517">
        <f>IFERROR(IF(AND(T410="Impacto",T411="Impacto"),(AE410-(+AE410*W411)),IF(AND(T410="Probabilidad",T411="Impacto"),(P410-(+P410*W411)),IF(T411="Probabilidad",AE410,""))),"")</f>
        <v>0.8</v>
      </c>
      <c r="AF411" s="518" t="str">
        <f t="shared" si="287"/>
        <v>Alto</v>
      </c>
      <c r="AG411" s="2202"/>
      <c r="AH411" s="2183"/>
      <c r="AI411" s="2183"/>
      <c r="AJ411" s="2206"/>
      <c r="AK411" s="2209"/>
      <c r="AL411" s="2183"/>
      <c r="AM411" s="2212"/>
    </row>
    <row r="412" spans="1:39" s="494" customFormat="1" ht="87" customHeight="1" x14ac:dyDescent="0.3">
      <c r="A412" s="2181"/>
      <c r="B412" s="2183"/>
      <c r="C412" s="2183"/>
      <c r="D412" s="2185"/>
      <c r="E412" s="501" t="s">
        <v>1011</v>
      </c>
      <c r="F412" s="2186"/>
      <c r="G412" s="1504"/>
      <c r="H412" s="2215"/>
      <c r="I412" s="2188"/>
      <c r="J412" s="2190"/>
      <c r="K412" s="2192"/>
      <c r="L412" s="2194"/>
      <c r="M412" s="2196"/>
      <c r="N412" s="2194"/>
      <c r="O412" s="2192"/>
      <c r="P412" s="2194"/>
      <c r="Q412" s="2200"/>
      <c r="R412" s="513">
        <v>4</v>
      </c>
      <c r="S412" s="519" t="s">
        <v>1012</v>
      </c>
      <c r="T412" s="504" t="str">
        <f t="shared" si="288"/>
        <v>Probabilidad</v>
      </c>
      <c r="U412" s="505" t="s">
        <v>207</v>
      </c>
      <c r="V412" s="505" t="s">
        <v>201</v>
      </c>
      <c r="W412" s="506" t="str">
        <f t="shared" si="284"/>
        <v>40%</v>
      </c>
      <c r="X412" s="505" t="s">
        <v>202</v>
      </c>
      <c r="Y412" s="505" t="s">
        <v>210</v>
      </c>
      <c r="Z412" s="505" t="s">
        <v>204</v>
      </c>
      <c r="AA412" s="515">
        <f>IFERROR(IF(AND(T411="Probabilidad",T412="Probabilidad"),(AC411-(+AC411*W412)),IF(AND(T411="Impacto",T412="Probabilidad"),(L411-(+L411*W412)),IF(T412="Impacto",AC411,""))),"")</f>
        <v>7.7759999999999996E-2</v>
      </c>
      <c r="AB412" s="516" t="str">
        <f t="shared" si="285"/>
        <v>Muy Baja</v>
      </c>
      <c r="AC412" s="517">
        <f t="shared" si="281"/>
        <v>7.7759999999999996E-2</v>
      </c>
      <c r="AD412" s="516" t="str">
        <f t="shared" si="286"/>
        <v>Mayor</v>
      </c>
      <c r="AE412" s="517">
        <f>IFERROR(IF(AND(T411="Impacto",T412="Impacto"),(AE411-(+AE411*W412)),IF(AND(T411="Probabilidad",T412="Impacto"),(P411-(+P411*W412)),IF(T412="Probabilidad",AE411,""))),"")</f>
        <v>0.8</v>
      </c>
      <c r="AF412" s="518" t="str">
        <f t="shared" si="287"/>
        <v>Alto</v>
      </c>
      <c r="AG412" s="2202"/>
      <c r="AH412" s="2183"/>
      <c r="AI412" s="2183"/>
      <c r="AJ412" s="2207"/>
      <c r="AK412" s="2210"/>
      <c r="AL412" s="2204"/>
      <c r="AM412" s="2213"/>
    </row>
  </sheetData>
  <mergeCells count="1950">
    <mergeCell ref="AK409:AK412"/>
    <mergeCell ref="AL409:AL412"/>
    <mergeCell ref="AM409:AM412"/>
    <mergeCell ref="C409:C412"/>
    <mergeCell ref="D409:D412"/>
    <mergeCell ref="F409:F412"/>
    <mergeCell ref="H409:H412"/>
    <mergeCell ref="I409:I412"/>
    <mergeCell ref="J409:J412"/>
    <mergeCell ref="K409:K412"/>
    <mergeCell ref="L409:L412"/>
    <mergeCell ref="M409:M412"/>
    <mergeCell ref="N409:N412"/>
    <mergeCell ref="O409:O412"/>
    <mergeCell ref="P409:P412"/>
    <mergeCell ref="Q409:Q412"/>
    <mergeCell ref="AG409:AG412"/>
    <mergeCell ref="AH409:AH412"/>
    <mergeCell ref="AI409:AI412"/>
    <mergeCell ref="AJ409:AJ412"/>
    <mergeCell ref="AG402:AG403"/>
    <mergeCell ref="AH402:AH403"/>
    <mergeCell ref="AI402:AI403"/>
    <mergeCell ref="AJ402:AJ403"/>
    <mergeCell ref="AK402:AK403"/>
    <mergeCell ref="AL402:AL403"/>
    <mergeCell ref="AM402:AM403"/>
    <mergeCell ref="A404:A408"/>
    <mergeCell ref="B404:B408"/>
    <mergeCell ref="C404:C408"/>
    <mergeCell ref="D404:D408"/>
    <mergeCell ref="F404:F408"/>
    <mergeCell ref="G404:G412"/>
    <mergeCell ref="H404:H408"/>
    <mergeCell ref="I404:I408"/>
    <mergeCell ref="J404:J408"/>
    <mergeCell ref="K404:K408"/>
    <mergeCell ref="L404:L408"/>
    <mergeCell ref="M404:M408"/>
    <mergeCell ref="N404:N408"/>
    <mergeCell ref="O404:O408"/>
    <mergeCell ref="P404:P408"/>
    <mergeCell ref="Q404:Q408"/>
    <mergeCell ref="AG404:AG408"/>
    <mergeCell ref="AH404:AH408"/>
    <mergeCell ref="AI404:AI408"/>
    <mergeCell ref="AJ404:AJ408"/>
    <mergeCell ref="AK404:AK408"/>
    <mergeCell ref="AL404:AL408"/>
    <mergeCell ref="AM404:AM408"/>
    <mergeCell ref="A409:A412"/>
    <mergeCell ref="B409:B412"/>
    <mergeCell ref="A400:B400"/>
    <mergeCell ref="C400:AM400"/>
    <mergeCell ref="A401:J401"/>
    <mergeCell ref="K401:Q401"/>
    <mergeCell ref="R401:Z401"/>
    <mergeCell ref="AA401:AG401"/>
    <mergeCell ref="AH401:AM401"/>
    <mergeCell ref="A402:A403"/>
    <mergeCell ref="B402:B403"/>
    <mergeCell ref="C402:C403"/>
    <mergeCell ref="D402:D403"/>
    <mergeCell ref="E402:E403"/>
    <mergeCell ref="F402:F403"/>
    <mergeCell ref="I402:I403"/>
    <mergeCell ref="J402:J403"/>
    <mergeCell ref="K402:K403"/>
    <mergeCell ref="L402:L403"/>
    <mergeCell ref="M402:M403"/>
    <mergeCell ref="N402:N403"/>
    <mergeCell ref="O402:O403"/>
    <mergeCell ref="P402:P403"/>
    <mergeCell ref="Q402:Q403"/>
    <mergeCell ref="R402:R403"/>
    <mergeCell ref="S402:S403"/>
    <mergeCell ref="T402:T403"/>
    <mergeCell ref="U402:Z402"/>
    <mergeCell ref="AA402:AA403"/>
    <mergeCell ref="AB402:AB403"/>
    <mergeCell ref="AC402:AC403"/>
    <mergeCell ref="AD402:AD403"/>
    <mergeCell ref="AE402:AE403"/>
    <mergeCell ref="AF402:AF403"/>
    <mergeCell ref="A6:I6"/>
    <mergeCell ref="J6:P6"/>
    <mergeCell ref="Q6:Y6"/>
    <mergeCell ref="Z6:AF6"/>
    <mergeCell ref="A7:A8"/>
    <mergeCell ref="B7:B8"/>
    <mergeCell ref="C7:C8"/>
    <mergeCell ref="D7:D8"/>
    <mergeCell ref="E7:E8"/>
    <mergeCell ref="A3:B3"/>
    <mergeCell ref="A4:B4"/>
    <mergeCell ref="A5:B5"/>
    <mergeCell ref="A395:AM396"/>
    <mergeCell ref="A398:B398"/>
    <mergeCell ref="C398:AM398"/>
    <mergeCell ref="A399:B399"/>
    <mergeCell ref="C399:AM399"/>
    <mergeCell ref="AK7:AK8"/>
    <mergeCell ref="AL7:AL8"/>
    <mergeCell ref="A9:A14"/>
    <mergeCell ref="B9:B14"/>
    <mergeCell ref="C9:C14"/>
    <mergeCell ref="D9:D14"/>
    <mergeCell ref="F9:F14"/>
    <mergeCell ref="G9:G14"/>
    <mergeCell ref="AC7:AC8"/>
    <mergeCell ref="AD7:AD8"/>
    <mergeCell ref="AE7:AE8"/>
    <mergeCell ref="AF7:AF8"/>
    <mergeCell ref="AG7:AG8"/>
    <mergeCell ref="AH7:AH8"/>
    <mergeCell ref="R7:R8"/>
    <mergeCell ref="F7:F8"/>
    <mergeCell ref="I7:I8"/>
    <mergeCell ref="J7:J8"/>
    <mergeCell ref="K7:K8"/>
    <mergeCell ref="N9:N14"/>
    <mergeCell ref="O9:O14"/>
    <mergeCell ref="P9:P14"/>
    <mergeCell ref="A15:A20"/>
    <mergeCell ref="B15:B20"/>
    <mergeCell ref="C15:C20"/>
    <mergeCell ref="D15:D20"/>
    <mergeCell ref="F15:F20"/>
    <mergeCell ref="I15:I20"/>
    <mergeCell ref="H9:H14"/>
    <mergeCell ref="I9:I14"/>
    <mergeCell ref="J9:J14"/>
    <mergeCell ref="K9:K14"/>
    <mergeCell ref="L9:L14"/>
    <mergeCell ref="M9:M14"/>
    <mergeCell ref="AI7:AI8"/>
    <mergeCell ref="AJ7:AJ8"/>
    <mergeCell ref="R28:R29"/>
    <mergeCell ref="S28:S29"/>
    <mergeCell ref="I28:I29"/>
    <mergeCell ref="J28:J29"/>
    <mergeCell ref="K28:K29"/>
    <mergeCell ref="L28:L29"/>
    <mergeCell ref="M28:M29"/>
    <mergeCell ref="A28:A29"/>
    <mergeCell ref="B28:B29"/>
    <mergeCell ref="C28:C29"/>
    <mergeCell ref="D28:D29"/>
    <mergeCell ref="E28:E29"/>
    <mergeCell ref="F28:F29"/>
    <mergeCell ref="A26:B26"/>
    <mergeCell ref="P15:P20"/>
    <mergeCell ref="J15:J20"/>
    <mergeCell ref="K15:K20"/>
    <mergeCell ref="L15:L20"/>
    <mergeCell ref="M15:M20"/>
    <mergeCell ref="N15:N20"/>
    <mergeCell ref="O15:O20"/>
    <mergeCell ref="S7:S8"/>
    <mergeCell ref="AA7:AA8"/>
    <mergeCell ref="AB7:AB8"/>
    <mergeCell ref="L7:L8"/>
    <mergeCell ref="M7:M8"/>
    <mergeCell ref="N7:N8"/>
    <mergeCell ref="O7:O8"/>
    <mergeCell ref="P7:P8"/>
    <mergeCell ref="Q7:Q8"/>
    <mergeCell ref="AQ28:AQ29"/>
    <mergeCell ref="AR28:AR29"/>
    <mergeCell ref="A30:A35"/>
    <mergeCell ref="B30:B35"/>
    <mergeCell ref="C30:C35"/>
    <mergeCell ref="D30:D35"/>
    <mergeCell ref="F30:F35"/>
    <mergeCell ref="G30:G35"/>
    <mergeCell ref="H30:H35"/>
    <mergeCell ref="I30:I35"/>
    <mergeCell ref="AK28:AK29"/>
    <mergeCell ref="AL28:AL29"/>
    <mergeCell ref="AM28:AM29"/>
    <mergeCell ref="AN28:AN29"/>
    <mergeCell ref="AO28:AO29"/>
    <mergeCell ref="AP28:AP29"/>
    <mergeCell ref="AE28:AE29"/>
    <mergeCell ref="AF28:AF29"/>
    <mergeCell ref="AG28:AG29"/>
    <mergeCell ref="AH28:AH29"/>
    <mergeCell ref="AI28:AI29"/>
    <mergeCell ref="AJ28:AJ29"/>
    <mergeCell ref="AA28:AA29"/>
    <mergeCell ref="AB28:AB29"/>
    <mergeCell ref="AC28:AC29"/>
    <mergeCell ref="AD28:AD29"/>
    <mergeCell ref="T28:T29"/>
    <mergeCell ref="U28:Z28"/>
    <mergeCell ref="N28:N29"/>
    <mergeCell ref="O28:O29"/>
    <mergeCell ref="P28:P29"/>
    <mergeCell ref="Q28:Q29"/>
    <mergeCell ref="P30:P35"/>
    <mergeCell ref="AG30:AG31"/>
    <mergeCell ref="AH30:AH31"/>
    <mergeCell ref="AI30:AI31"/>
    <mergeCell ref="AJ30:AJ31"/>
    <mergeCell ref="J30:J35"/>
    <mergeCell ref="K30:K35"/>
    <mergeCell ref="L30:L35"/>
    <mergeCell ref="M30:M35"/>
    <mergeCell ref="N30:N35"/>
    <mergeCell ref="O30:O35"/>
    <mergeCell ref="AM36:AM37"/>
    <mergeCell ref="AN36:AN37"/>
    <mergeCell ref="AO36:AO37"/>
    <mergeCell ref="AP36:AP37"/>
    <mergeCell ref="P36:P41"/>
    <mergeCell ref="AG36:AG37"/>
    <mergeCell ref="AH36:AH37"/>
    <mergeCell ref="AQ30:AQ31"/>
    <mergeCell ref="AR30:AR31"/>
    <mergeCell ref="AB57:AB58"/>
    <mergeCell ref="AC57:AC58"/>
    <mergeCell ref="AD57:AD58"/>
    <mergeCell ref="AE57:AE58"/>
    <mergeCell ref="AD52:AD53"/>
    <mergeCell ref="AE52:AE53"/>
    <mergeCell ref="AF52:AF53"/>
    <mergeCell ref="AG52:AG53"/>
    <mergeCell ref="AA52:AA53"/>
    <mergeCell ref="AB52:AB53"/>
    <mergeCell ref="AC52:AC53"/>
    <mergeCell ref="AH52:AH53"/>
    <mergeCell ref="AI52:AI53"/>
    <mergeCell ref="AJ52:AJ53"/>
    <mergeCell ref="AK52:AK53"/>
    <mergeCell ref="AF57:AF58"/>
    <mergeCell ref="AG57:AG58"/>
    <mergeCell ref="AK30:AK31"/>
    <mergeCell ref="AL30:AL31"/>
    <mergeCell ref="AM30:AM31"/>
    <mergeCell ref="AN30:AN31"/>
    <mergeCell ref="AO30:AO31"/>
    <mergeCell ref="AP30:AP31"/>
    <mergeCell ref="AG42:AG43"/>
    <mergeCell ref="AH42:AH43"/>
    <mergeCell ref="AA57:AA58"/>
    <mergeCell ref="H42:H47"/>
    <mergeCell ref="I42:I47"/>
    <mergeCell ref="J42:J47"/>
    <mergeCell ref="A48:B48"/>
    <mergeCell ref="A49:B49"/>
    <mergeCell ref="C48:AL48"/>
    <mergeCell ref="C49:AL49"/>
    <mergeCell ref="C50:AL50"/>
    <mergeCell ref="AI36:AI37"/>
    <mergeCell ref="AJ36:AJ37"/>
    <mergeCell ref="J36:J41"/>
    <mergeCell ref="K36:K41"/>
    <mergeCell ref="L36:L41"/>
    <mergeCell ref="M36:M41"/>
    <mergeCell ref="N36:N41"/>
    <mergeCell ref="O36:O41"/>
    <mergeCell ref="A36:A41"/>
    <mergeCell ref="B36:B41"/>
    <mergeCell ref="C36:C41"/>
    <mergeCell ref="D36:D41"/>
    <mergeCell ref="F36:F41"/>
    <mergeCell ref="G36:G41"/>
    <mergeCell ref="H36:H41"/>
    <mergeCell ref="I36:I41"/>
    <mergeCell ref="U68:U69"/>
    <mergeCell ref="V68:V69"/>
    <mergeCell ref="W68:W69"/>
    <mergeCell ref="N66:N67"/>
    <mergeCell ref="O66:O67"/>
    <mergeCell ref="P66:P67"/>
    <mergeCell ref="Q66:Q67"/>
    <mergeCell ref="J68:J69"/>
    <mergeCell ref="K68:K69"/>
    <mergeCell ref="L68:L69"/>
    <mergeCell ref="A63:B63"/>
    <mergeCell ref="C63:AM63"/>
    <mergeCell ref="A64:B64"/>
    <mergeCell ref="C64:AM64"/>
    <mergeCell ref="A65:J65"/>
    <mergeCell ref="K65:Q65"/>
    <mergeCell ref="R65:Z65"/>
    <mergeCell ref="AA65:AG65"/>
    <mergeCell ref="A66:A67"/>
    <mergeCell ref="B66:B67"/>
    <mergeCell ref="A1:AM2"/>
    <mergeCell ref="AG6:AM6"/>
    <mergeCell ref="A21:AL22"/>
    <mergeCell ref="C3:AM3"/>
    <mergeCell ref="C4:AM4"/>
    <mergeCell ref="C5:AM5"/>
    <mergeCell ref="T7:T8"/>
    <mergeCell ref="U7:Z7"/>
    <mergeCell ref="AM7:AM8"/>
    <mergeCell ref="I284:I289"/>
    <mergeCell ref="J284:J289"/>
    <mergeCell ref="K284:K289"/>
    <mergeCell ref="N284:N289"/>
    <mergeCell ref="O284:O289"/>
    <mergeCell ref="P284:P289"/>
    <mergeCell ref="Q284:Q289"/>
    <mergeCell ref="L284:L289"/>
    <mergeCell ref="M284:M289"/>
    <mergeCell ref="K278:Q278"/>
    <mergeCell ref="R278:Z278"/>
    <mergeCell ref="AA278:AG278"/>
    <mergeCell ref="AH278:AM278"/>
    <mergeCell ref="A278:J278"/>
    <mergeCell ref="A279:A280"/>
    <mergeCell ref="B279:B280"/>
    <mergeCell ref="C279:C280"/>
    <mergeCell ref="D279:D280"/>
    <mergeCell ref="E279:E280"/>
    <mergeCell ref="F279:F280"/>
    <mergeCell ref="A24:B24"/>
    <mergeCell ref="C24:AL24"/>
    <mergeCell ref="A25:B25"/>
    <mergeCell ref="C25:AL25"/>
    <mergeCell ref="C26:AL26"/>
    <mergeCell ref="A27:J27"/>
    <mergeCell ref="K27:Q27"/>
    <mergeCell ref="R27:Z27"/>
    <mergeCell ref="AA27:AG27"/>
    <mergeCell ref="AH27:AL27"/>
    <mergeCell ref="Q9:Q14"/>
    <mergeCell ref="G15:G20"/>
    <mergeCell ref="Q15:Q20"/>
    <mergeCell ref="K42:K47"/>
    <mergeCell ref="L42:L47"/>
    <mergeCell ref="M42:M47"/>
    <mergeCell ref="AQ36:AQ37"/>
    <mergeCell ref="AR36:AR37"/>
    <mergeCell ref="E37:E41"/>
    <mergeCell ref="A42:A47"/>
    <mergeCell ref="B42:B47"/>
    <mergeCell ref="C42:C47"/>
    <mergeCell ref="D42:D47"/>
    <mergeCell ref="E42:E43"/>
    <mergeCell ref="F42:F47"/>
    <mergeCell ref="G42:G47"/>
    <mergeCell ref="AK36:AK37"/>
    <mergeCell ref="AL36:AL37"/>
    <mergeCell ref="AO42:AO43"/>
    <mergeCell ref="AP42:AP43"/>
    <mergeCell ref="AQ42:AQ43"/>
    <mergeCell ref="AR42:AR43"/>
    <mergeCell ref="E44:E47"/>
    <mergeCell ref="AI42:AI43"/>
    <mergeCell ref="AJ42:AJ43"/>
    <mergeCell ref="D52:D53"/>
    <mergeCell ref="F52:F53"/>
    <mergeCell ref="I52:I53"/>
    <mergeCell ref="J52:J53"/>
    <mergeCell ref="A51:J51"/>
    <mergeCell ref="K51:Q51"/>
    <mergeCell ref="A52:A53"/>
    <mergeCell ref="E55:E56"/>
    <mergeCell ref="G54:G56"/>
    <mergeCell ref="L52:L53"/>
    <mergeCell ref="M52:M53"/>
    <mergeCell ref="N52:N53"/>
    <mergeCell ref="O52:O53"/>
    <mergeCell ref="P52:P53"/>
    <mergeCell ref="Q52:Q53"/>
    <mergeCell ref="B52:B53"/>
    <mergeCell ref="AS28:AS29"/>
    <mergeCell ref="Q30:Q35"/>
    <mergeCell ref="AS30:AS31"/>
    <mergeCell ref="Q36:Q41"/>
    <mergeCell ref="AS36:AS37"/>
    <mergeCell ref="Q42:Q47"/>
    <mergeCell ref="AS42:AS43"/>
    <mergeCell ref="A50:B50"/>
    <mergeCell ref="R51:Z51"/>
    <mergeCell ref="AK42:AK43"/>
    <mergeCell ref="AL42:AL43"/>
    <mergeCell ref="AM42:AM43"/>
    <mergeCell ref="AN42:AN43"/>
    <mergeCell ref="N42:N47"/>
    <mergeCell ref="O42:O47"/>
    <mergeCell ref="P42:P47"/>
    <mergeCell ref="O57:O58"/>
    <mergeCell ref="P57:P58"/>
    <mergeCell ref="Q57:Q58"/>
    <mergeCell ref="L57:L58"/>
    <mergeCell ref="M57:M58"/>
    <mergeCell ref="N57:N58"/>
    <mergeCell ref="H54:H56"/>
    <mergeCell ref="AG54:AG56"/>
    <mergeCell ref="AI54:AI56"/>
    <mergeCell ref="AJ54:AJ56"/>
    <mergeCell ref="AK54:AK56"/>
    <mergeCell ref="K52:K53"/>
    <mergeCell ref="AA51:AG51"/>
    <mergeCell ref="AH51:AK51"/>
    <mergeCell ref="AL51:AL53"/>
    <mergeCell ref="E52:E53"/>
    <mergeCell ref="G52:G53"/>
    <mergeCell ref="H52:H53"/>
    <mergeCell ref="R52:R53"/>
    <mergeCell ref="S52:S53"/>
    <mergeCell ref="T52:T53"/>
    <mergeCell ref="U52:Z52"/>
    <mergeCell ref="A59:AM60"/>
    <mergeCell ref="A62:B62"/>
    <mergeCell ref="C62:AM62"/>
    <mergeCell ref="O54:O56"/>
    <mergeCell ref="P54:P56"/>
    <mergeCell ref="Q54:Q56"/>
    <mergeCell ref="A57:A58"/>
    <mergeCell ref="B57:B58"/>
    <mergeCell ref="D57:D58"/>
    <mergeCell ref="F57:F58"/>
    <mergeCell ref="I57:I58"/>
    <mergeCell ref="J57:J58"/>
    <mergeCell ref="K57:K58"/>
    <mergeCell ref="A54:A56"/>
    <mergeCell ref="B54:B56"/>
    <mergeCell ref="D54:D56"/>
    <mergeCell ref="F54:F56"/>
    <mergeCell ref="I54:I56"/>
    <mergeCell ref="J54:J56"/>
    <mergeCell ref="H57:H58"/>
    <mergeCell ref="S57:S58"/>
    <mergeCell ref="T57:T58"/>
    <mergeCell ref="U57:U58"/>
    <mergeCell ref="V57:V58"/>
    <mergeCell ref="K54:K56"/>
    <mergeCell ref="L54:L56"/>
    <mergeCell ref="M54:M56"/>
    <mergeCell ref="N54:N56"/>
    <mergeCell ref="W57:W58"/>
    <mergeCell ref="X57:X58"/>
    <mergeCell ref="Y57:Y58"/>
    <mergeCell ref="Z57:Z58"/>
    <mergeCell ref="C52:C53"/>
    <mergeCell ref="D68:D69"/>
    <mergeCell ref="F68:F69"/>
    <mergeCell ref="G68:G69"/>
    <mergeCell ref="AH66:AH67"/>
    <mergeCell ref="AI66:AI67"/>
    <mergeCell ref="AJ66:AJ67"/>
    <mergeCell ref="AK66:AK67"/>
    <mergeCell ref="AL66:AL67"/>
    <mergeCell ref="AM66:AM67"/>
    <mergeCell ref="R66:R67"/>
    <mergeCell ref="S66:S67"/>
    <mergeCell ref="T66:T67"/>
    <mergeCell ref="U66:Z66"/>
    <mergeCell ref="AA66:AA67"/>
    <mergeCell ref="AB66:AB67"/>
    <mergeCell ref="AH65:AM65"/>
    <mergeCell ref="C66:C67"/>
    <mergeCell ref="D66:D67"/>
    <mergeCell ref="E66:E67"/>
    <mergeCell ref="F66:F67"/>
    <mergeCell ref="I66:I67"/>
    <mergeCell ref="J66:J67"/>
    <mergeCell ref="K66:K67"/>
    <mergeCell ref="L66:L67"/>
    <mergeCell ref="M66:M67"/>
    <mergeCell ref="AD66:AD67"/>
    <mergeCell ref="AE66:AE67"/>
    <mergeCell ref="AF66:AF67"/>
    <mergeCell ref="AG66:AG67"/>
    <mergeCell ref="AC66:AC67"/>
    <mergeCell ref="G57:G58"/>
    <mergeCell ref="W70:W71"/>
    <mergeCell ref="X70:X71"/>
    <mergeCell ref="Y70:Y71"/>
    <mergeCell ref="Z70:Z71"/>
    <mergeCell ref="AH70:AH71"/>
    <mergeCell ref="AI70:AI71"/>
    <mergeCell ref="L70:L71"/>
    <mergeCell ref="M70:M71"/>
    <mergeCell ref="O70:O71"/>
    <mergeCell ref="T70:T71"/>
    <mergeCell ref="U70:U71"/>
    <mergeCell ref="V70:V71"/>
    <mergeCell ref="AD68:AD69"/>
    <mergeCell ref="AE68:AE69"/>
    <mergeCell ref="AF68:AF69"/>
    <mergeCell ref="AG68:AG69"/>
    <mergeCell ref="F70:F71"/>
    <mergeCell ref="G70:G71"/>
    <mergeCell ref="H70:H71"/>
    <mergeCell ref="I70:I71"/>
    <mergeCell ref="J70:J71"/>
    <mergeCell ref="K70:K71"/>
    <mergeCell ref="X68:X69"/>
    <mergeCell ref="Y68:Y69"/>
    <mergeCell ref="Z68:Z69"/>
    <mergeCell ref="AA68:AA69"/>
    <mergeCell ref="AB68:AB69"/>
    <mergeCell ref="AC68:AC69"/>
    <mergeCell ref="M68:M69"/>
    <mergeCell ref="N68:N73"/>
    <mergeCell ref="O68:O69"/>
    <mergeCell ref="P68:P69"/>
    <mergeCell ref="A84:B84"/>
    <mergeCell ref="C84:AM84"/>
    <mergeCell ref="A85:B85"/>
    <mergeCell ref="C85:AM85"/>
    <mergeCell ref="A86:J86"/>
    <mergeCell ref="K86:Q86"/>
    <mergeCell ref="R86:Z86"/>
    <mergeCell ref="AA86:AG86"/>
    <mergeCell ref="AH86:AM86"/>
    <mergeCell ref="A74:A79"/>
    <mergeCell ref="N74:N79"/>
    <mergeCell ref="C76:E76"/>
    <mergeCell ref="A80:AM81"/>
    <mergeCell ref="A83:B83"/>
    <mergeCell ref="C83:AM83"/>
    <mergeCell ref="I72:I74"/>
    <mergeCell ref="J72:J74"/>
    <mergeCell ref="K72:K74"/>
    <mergeCell ref="L72:L74"/>
    <mergeCell ref="M72:M74"/>
    <mergeCell ref="O72:O74"/>
    <mergeCell ref="B72:B74"/>
    <mergeCell ref="C72:C74"/>
    <mergeCell ref="D72:D74"/>
    <mergeCell ref="F72:F74"/>
    <mergeCell ref="G72:G74"/>
    <mergeCell ref="H72:H74"/>
    <mergeCell ref="Q68:Q73"/>
    <mergeCell ref="T68:T69"/>
    <mergeCell ref="A68:A69"/>
    <mergeCell ref="B68:B69"/>
    <mergeCell ref="C68:C69"/>
    <mergeCell ref="AM87:AM88"/>
    <mergeCell ref="A89:A91"/>
    <mergeCell ref="B89:B91"/>
    <mergeCell ref="C89:C91"/>
    <mergeCell ref="D89:D91"/>
    <mergeCell ref="E89:E90"/>
    <mergeCell ref="F89:F91"/>
    <mergeCell ref="G89:G91"/>
    <mergeCell ref="H89:H91"/>
    <mergeCell ref="AF87:AF88"/>
    <mergeCell ref="AG87:AG88"/>
    <mergeCell ref="AH87:AH88"/>
    <mergeCell ref="AI87:AI88"/>
    <mergeCell ref="AJ87:AJ88"/>
    <mergeCell ref="AK87:AK88"/>
    <mergeCell ref="U87:Z87"/>
    <mergeCell ref="AA87:AA88"/>
    <mergeCell ref="AB87:AB88"/>
    <mergeCell ref="AC87:AC88"/>
    <mergeCell ref="AD87:AD88"/>
    <mergeCell ref="AE87:AE88"/>
    <mergeCell ref="O87:O88"/>
    <mergeCell ref="P87:P88"/>
    <mergeCell ref="Q87:Q88"/>
    <mergeCell ref="R87:R88"/>
    <mergeCell ref="S87:S88"/>
    <mergeCell ref="T87:T88"/>
    <mergeCell ref="I87:I88"/>
    <mergeCell ref="J87:J88"/>
    <mergeCell ref="K87:K88"/>
    <mergeCell ref="L87:L88"/>
    <mergeCell ref="M87:M88"/>
    <mergeCell ref="O89:O91"/>
    <mergeCell ref="P89:P91"/>
    <mergeCell ref="Q89:Q91"/>
    <mergeCell ref="AG89:AG91"/>
    <mergeCell ref="A92:A93"/>
    <mergeCell ref="B92:B93"/>
    <mergeCell ref="C92:C93"/>
    <mergeCell ref="D92:D93"/>
    <mergeCell ref="F92:F93"/>
    <mergeCell ref="G92:G93"/>
    <mergeCell ref="I89:I91"/>
    <mergeCell ref="J89:J91"/>
    <mergeCell ref="K89:K91"/>
    <mergeCell ref="L89:L91"/>
    <mergeCell ref="M89:M91"/>
    <mergeCell ref="N89:N91"/>
    <mergeCell ref="AL87:AL88"/>
    <mergeCell ref="N87:N88"/>
    <mergeCell ref="A87:A88"/>
    <mergeCell ref="B87:B88"/>
    <mergeCell ref="C87:C88"/>
    <mergeCell ref="D87:D88"/>
    <mergeCell ref="E87:E88"/>
    <mergeCell ref="F87:F88"/>
    <mergeCell ref="M94:M95"/>
    <mergeCell ref="N94:N95"/>
    <mergeCell ref="O94:O95"/>
    <mergeCell ref="P94:P95"/>
    <mergeCell ref="Q94:Q95"/>
    <mergeCell ref="G94:G95"/>
    <mergeCell ref="H94:H95"/>
    <mergeCell ref="I94:I95"/>
    <mergeCell ref="J94:J95"/>
    <mergeCell ref="K94:K95"/>
    <mergeCell ref="L94:L95"/>
    <mergeCell ref="N92:N93"/>
    <mergeCell ref="O92:O93"/>
    <mergeCell ref="P92:P93"/>
    <mergeCell ref="Q92:Q93"/>
    <mergeCell ref="AG92:AG93"/>
    <mergeCell ref="A94:A95"/>
    <mergeCell ref="B94:B95"/>
    <mergeCell ref="C94:C95"/>
    <mergeCell ref="D94:D95"/>
    <mergeCell ref="F94:F95"/>
    <mergeCell ref="H92:H93"/>
    <mergeCell ref="I92:I93"/>
    <mergeCell ref="J92:J93"/>
    <mergeCell ref="K92:K93"/>
    <mergeCell ref="L92:L93"/>
    <mergeCell ref="M92:M93"/>
    <mergeCell ref="AH102:AM102"/>
    <mergeCell ref="A103:A104"/>
    <mergeCell ref="B103:B104"/>
    <mergeCell ref="C103:C104"/>
    <mergeCell ref="D103:D104"/>
    <mergeCell ref="F103:F104"/>
    <mergeCell ref="G103:G104"/>
    <mergeCell ref="H103:H104"/>
    <mergeCell ref="J103:J104"/>
    <mergeCell ref="K103:K104"/>
    <mergeCell ref="A101:B101"/>
    <mergeCell ref="A102:J102"/>
    <mergeCell ref="K102:Q102"/>
    <mergeCell ref="R102:Z102"/>
    <mergeCell ref="AA102:AG102"/>
    <mergeCell ref="A96:AM97"/>
    <mergeCell ref="A99:B99"/>
    <mergeCell ref="A100:B100"/>
    <mergeCell ref="AM103:AM104"/>
    <mergeCell ref="A105:A110"/>
    <mergeCell ref="B105:B110"/>
    <mergeCell ref="C105:C110"/>
    <mergeCell ref="D105:D110"/>
    <mergeCell ref="E105:E106"/>
    <mergeCell ref="AC103:AC104"/>
    <mergeCell ref="AD103:AD104"/>
    <mergeCell ref="AE103:AE104"/>
    <mergeCell ref="AF103:AF104"/>
    <mergeCell ref="AG103:AG104"/>
    <mergeCell ref="AH103:AH104"/>
    <mergeCell ref="R103:R104"/>
    <mergeCell ref="S103:S104"/>
    <mergeCell ref="T103:T104"/>
    <mergeCell ref="U103:Z103"/>
    <mergeCell ref="AA103:AA104"/>
    <mergeCell ref="AB103:AB104"/>
    <mergeCell ref="L103:L104"/>
    <mergeCell ref="M103:M104"/>
    <mergeCell ref="N103:N104"/>
    <mergeCell ref="O103:O104"/>
    <mergeCell ref="P103:P104"/>
    <mergeCell ref="Q103:Q104"/>
    <mergeCell ref="A115:B115"/>
    <mergeCell ref="C115:AM115"/>
    <mergeCell ref="A116:B116"/>
    <mergeCell ref="C116:AM116"/>
    <mergeCell ref="A117:J117"/>
    <mergeCell ref="K117:Q117"/>
    <mergeCell ref="R117:Z117"/>
    <mergeCell ref="AA117:AG117"/>
    <mergeCell ref="AH117:AM117"/>
    <mergeCell ref="AI105:AI108"/>
    <mergeCell ref="C99:AM99"/>
    <mergeCell ref="C100:AM100"/>
    <mergeCell ref="C101:AM101"/>
    <mergeCell ref="A111:AM112"/>
    <mergeCell ref="A114:B114"/>
    <mergeCell ref="C114:AM114"/>
    <mergeCell ref="N105:N110"/>
    <mergeCell ref="O105:O110"/>
    <mergeCell ref="P105:P110"/>
    <mergeCell ref="Q105:Q110"/>
    <mergeCell ref="AG105:AG107"/>
    <mergeCell ref="AH105:AH110"/>
    <mergeCell ref="F105:F110"/>
    <mergeCell ref="H105:H110"/>
    <mergeCell ref="J105:J110"/>
    <mergeCell ref="K105:K110"/>
    <mergeCell ref="L105:L110"/>
    <mergeCell ref="M105:M110"/>
    <mergeCell ref="AI103:AI104"/>
    <mergeCell ref="AJ103:AJ104"/>
    <mergeCell ref="AK103:AK104"/>
    <mergeCell ref="AL103:AL104"/>
    <mergeCell ref="AD118:AD119"/>
    <mergeCell ref="AE118:AE119"/>
    <mergeCell ref="O118:O119"/>
    <mergeCell ref="P118:P119"/>
    <mergeCell ref="Q118:Q119"/>
    <mergeCell ref="R118:R119"/>
    <mergeCell ref="S118:S119"/>
    <mergeCell ref="T118:T119"/>
    <mergeCell ref="I118:I119"/>
    <mergeCell ref="J118:J119"/>
    <mergeCell ref="K118:K119"/>
    <mergeCell ref="L118:L119"/>
    <mergeCell ref="M118:M119"/>
    <mergeCell ref="N118:N119"/>
    <mergeCell ref="A118:A119"/>
    <mergeCell ref="B118:B119"/>
    <mergeCell ref="C118:C119"/>
    <mergeCell ref="D118:D119"/>
    <mergeCell ref="E118:E119"/>
    <mergeCell ref="F118:F119"/>
    <mergeCell ref="P120:P125"/>
    <mergeCell ref="Q120:Q125"/>
    <mergeCell ref="AH120:AH122"/>
    <mergeCell ref="AI120:AI122"/>
    <mergeCell ref="AJ120:AJ122"/>
    <mergeCell ref="AK120:AK122"/>
    <mergeCell ref="J120:J125"/>
    <mergeCell ref="K120:K125"/>
    <mergeCell ref="L120:L125"/>
    <mergeCell ref="M120:M125"/>
    <mergeCell ref="N120:N125"/>
    <mergeCell ref="O120:O125"/>
    <mergeCell ref="AL118:AL119"/>
    <mergeCell ref="AM118:AM119"/>
    <mergeCell ref="A120:A125"/>
    <mergeCell ref="B120:B125"/>
    <mergeCell ref="C120:C125"/>
    <mergeCell ref="D120:D125"/>
    <mergeCell ref="E120:E121"/>
    <mergeCell ref="F120:F125"/>
    <mergeCell ref="H120:H125"/>
    <mergeCell ref="I120:I125"/>
    <mergeCell ref="AF118:AF119"/>
    <mergeCell ref="AG118:AG119"/>
    <mergeCell ref="AH118:AH119"/>
    <mergeCell ref="AI118:AI119"/>
    <mergeCell ref="AJ118:AJ119"/>
    <mergeCell ref="AK118:AK119"/>
    <mergeCell ref="U118:Z118"/>
    <mergeCell ref="AA118:AA119"/>
    <mergeCell ref="AB118:AB119"/>
    <mergeCell ref="AC118:AC119"/>
    <mergeCell ref="J133:J134"/>
    <mergeCell ref="K133:K134"/>
    <mergeCell ref="L133:L134"/>
    <mergeCell ref="M133:M134"/>
    <mergeCell ref="A132:J132"/>
    <mergeCell ref="K132:Q132"/>
    <mergeCell ref="R132:Z132"/>
    <mergeCell ref="AA132:AG132"/>
    <mergeCell ref="AH132:AM132"/>
    <mergeCell ref="A133:A134"/>
    <mergeCell ref="B133:B134"/>
    <mergeCell ref="C133:C134"/>
    <mergeCell ref="D133:D134"/>
    <mergeCell ref="E133:E134"/>
    <mergeCell ref="A126:AM127"/>
    <mergeCell ref="A129:B129"/>
    <mergeCell ref="C129:AM129"/>
    <mergeCell ref="A130:B130"/>
    <mergeCell ref="C130:AM130"/>
    <mergeCell ref="A131:B131"/>
    <mergeCell ref="C131:AM131"/>
    <mergeCell ref="L135:L136"/>
    <mergeCell ref="M135:M136"/>
    <mergeCell ref="AK133:AK134"/>
    <mergeCell ref="AL133:AL134"/>
    <mergeCell ref="AM133:AM134"/>
    <mergeCell ref="AN133:AO134"/>
    <mergeCell ref="A135:A136"/>
    <mergeCell ref="B135:B136"/>
    <mergeCell ref="C135:C136"/>
    <mergeCell ref="D135:D136"/>
    <mergeCell ref="F135:F136"/>
    <mergeCell ref="G135:G136"/>
    <mergeCell ref="AE133:AE134"/>
    <mergeCell ref="AF133:AF134"/>
    <mergeCell ref="AG133:AG134"/>
    <mergeCell ref="AH133:AH134"/>
    <mergeCell ref="AI133:AI134"/>
    <mergeCell ref="AJ133:AJ134"/>
    <mergeCell ref="T133:T134"/>
    <mergeCell ref="U133:Z133"/>
    <mergeCell ref="AA133:AA134"/>
    <mergeCell ref="AB133:AB134"/>
    <mergeCell ref="AC133:AC134"/>
    <mergeCell ref="AD133:AD134"/>
    <mergeCell ref="N133:N134"/>
    <mergeCell ref="O133:O134"/>
    <mergeCell ref="P133:P134"/>
    <mergeCell ref="Q133:Q134"/>
    <mergeCell ref="R133:R134"/>
    <mergeCell ref="S133:S134"/>
    <mergeCell ref="F133:F134"/>
    <mergeCell ref="I133:I134"/>
    <mergeCell ref="Q137:Q142"/>
    <mergeCell ref="S137:S145"/>
    <mergeCell ref="N143:N148"/>
    <mergeCell ref="O143:O148"/>
    <mergeCell ref="P143:P148"/>
    <mergeCell ref="Q143:Q148"/>
    <mergeCell ref="G137:G154"/>
    <mergeCell ref="H137:H154"/>
    <mergeCell ref="I137:I142"/>
    <mergeCell ref="J137:J142"/>
    <mergeCell ref="K137:K142"/>
    <mergeCell ref="L137:L142"/>
    <mergeCell ref="AK135:AK136"/>
    <mergeCell ref="AL135:AL136"/>
    <mergeCell ref="AM135:AM136"/>
    <mergeCell ref="AN135:AO136"/>
    <mergeCell ref="A137:A154"/>
    <mergeCell ref="B137:B154"/>
    <mergeCell ref="C137:C142"/>
    <mergeCell ref="D137:D154"/>
    <mergeCell ref="E137:E141"/>
    <mergeCell ref="F137:F154"/>
    <mergeCell ref="N135:N136"/>
    <mergeCell ref="O135:O136"/>
    <mergeCell ref="P135:P136"/>
    <mergeCell ref="Q135:Q136"/>
    <mergeCell ref="AI135:AI136"/>
    <mergeCell ref="AJ135:AJ136"/>
    <mergeCell ref="H135:H136"/>
    <mergeCell ref="I135:I136"/>
    <mergeCell ref="J135:J136"/>
    <mergeCell ref="K135:K136"/>
    <mergeCell ref="AL137:AL145"/>
    <mergeCell ref="AM137:AM145"/>
    <mergeCell ref="AN137:AO145"/>
    <mergeCell ref="E142:E148"/>
    <mergeCell ref="C143:C148"/>
    <mergeCell ref="I143:I148"/>
    <mergeCell ref="J143:J148"/>
    <mergeCell ref="K143:K148"/>
    <mergeCell ref="L143:L148"/>
    <mergeCell ref="M143:M148"/>
    <mergeCell ref="AF137:AF145"/>
    <mergeCell ref="AG137:AG145"/>
    <mergeCell ref="AH137:AH145"/>
    <mergeCell ref="AI137:AI145"/>
    <mergeCell ref="AJ137:AJ145"/>
    <mergeCell ref="AK137:AK145"/>
    <mergeCell ref="Z137:Z145"/>
    <mergeCell ref="AA137:AA145"/>
    <mergeCell ref="AB137:AB145"/>
    <mergeCell ref="AC137:AC145"/>
    <mergeCell ref="AD137:AD145"/>
    <mergeCell ref="AE137:AE145"/>
    <mergeCell ref="T137:T145"/>
    <mergeCell ref="U137:U145"/>
    <mergeCell ref="V137:V145"/>
    <mergeCell ref="W137:W145"/>
    <mergeCell ref="X137:X145"/>
    <mergeCell ref="Y137:Y145"/>
    <mergeCell ref="M137:M142"/>
    <mergeCell ref="N137:N142"/>
    <mergeCell ref="O137:O142"/>
    <mergeCell ref="P137:P142"/>
    <mergeCell ref="AL146:AL154"/>
    <mergeCell ref="AM146:AM154"/>
    <mergeCell ref="AN146:AO154"/>
    <mergeCell ref="C149:C154"/>
    <mergeCell ref="E149:E154"/>
    <mergeCell ref="I149:I154"/>
    <mergeCell ref="J149:J154"/>
    <mergeCell ref="K149:K154"/>
    <mergeCell ref="L149:L154"/>
    <mergeCell ref="AE146:AE154"/>
    <mergeCell ref="AF146:AF154"/>
    <mergeCell ref="AG146:AG154"/>
    <mergeCell ref="AH146:AH154"/>
    <mergeCell ref="AI146:AI154"/>
    <mergeCell ref="AJ146:AJ154"/>
    <mergeCell ref="Y146:Y154"/>
    <mergeCell ref="Z146:Z154"/>
    <mergeCell ref="AA146:AA154"/>
    <mergeCell ref="AB146:AB154"/>
    <mergeCell ref="AC146:AC154"/>
    <mergeCell ref="AD146:AD154"/>
    <mergeCell ref="S146:S154"/>
    <mergeCell ref="T146:T154"/>
    <mergeCell ref="U146:U154"/>
    <mergeCell ref="V146:V154"/>
    <mergeCell ref="W146:W154"/>
    <mergeCell ref="X146:X154"/>
    <mergeCell ref="A161:J161"/>
    <mergeCell ref="K161:Q161"/>
    <mergeCell ref="R161:Z161"/>
    <mergeCell ref="AA161:AG161"/>
    <mergeCell ref="AH161:AK161"/>
    <mergeCell ref="A162:A163"/>
    <mergeCell ref="B162:B163"/>
    <mergeCell ref="C162:C163"/>
    <mergeCell ref="D162:D163"/>
    <mergeCell ref="E162:E163"/>
    <mergeCell ref="A158:B158"/>
    <mergeCell ref="A159:B159"/>
    <mergeCell ref="A160:B160"/>
    <mergeCell ref="M149:M154"/>
    <mergeCell ref="N149:N154"/>
    <mergeCell ref="O149:O154"/>
    <mergeCell ref="P149:P154"/>
    <mergeCell ref="Q149:Q154"/>
    <mergeCell ref="A155:AK156"/>
    <mergeCell ref="AK146:AK154"/>
    <mergeCell ref="AG162:AG163"/>
    <mergeCell ref="AH162:AH163"/>
    <mergeCell ref="AI162:AI163"/>
    <mergeCell ref="AJ162:AJ163"/>
    <mergeCell ref="T162:T163"/>
    <mergeCell ref="U162:Z162"/>
    <mergeCell ref="AA162:AA163"/>
    <mergeCell ref="AB162:AB163"/>
    <mergeCell ref="AC162:AC163"/>
    <mergeCell ref="AD162:AD163"/>
    <mergeCell ref="N162:N163"/>
    <mergeCell ref="O162:O163"/>
    <mergeCell ref="P162:P163"/>
    <mergeCell ref="Q162:Q163"/>
    <mergeCell ref="R162:R163"/>
    <mergeCell ref="S162:S163"/>
    <mergeCell ref="F162:F163"/>
    <mergeCell ref="I162:I163"/>
    <mergeCell ref="J162:J163"/>
    <mergeCell ref="K162:K163"/>
    <mergeCell ref="L162:L163"/>
    <mergeCell ref="M162:M163"/>
    <mergeCell ref="A166:A167"/>
    <mergeCell ref="B166:B167"/>
    <mergeCell ref="C166:C167"/>
    <mergeCell ref="D166:D167"/>
    <mergeCell ref="F166:F167"/>
    <mergeCell ref="G166:G167"/>
    <mergeCell ref="H166:H167"/>
    <mergeCell ref="A164:A165"/>
    <mergeCell ref="B164:B165"/>
    <mergeCell ref="C164:C165"/>
    <mergeCell ref="D164:D165"/>
    <mergeCell ref="F164:F165"/>
    <mergeCell ref="G164:G165"/>
    <mergeCell ref="H164:H165"/>
    <mergeCell ref="AK164:AK165"/>
    <mergeCell ref="AL164:AL165"/>
    <mergeCell ref="AM164:AM165"/>
    <mergeCell ref="AN164:AN165"/>
    <mergeCell ref="AO164:AO165"/>
    <mergeCell ref="AP164:AP165"/>
    <mergeCell ref="O164:O165"/>
    <mergeCell ref="P164:P165"/>
    <mergeCell ref="Q164:Q165"/>
    <mergeCell ref="AH164:AH165"/>
    <mergeCell ref="AI164:AI165"/>
    <mergeCell ref="AJ164:AJ165"/>
    <mergeCell ref="I164:I165"/>
    <mergeCell ref="J164:J165"/>
    <mergeCell ref="K164:K165"/>
    <mergeCell ref="L164:L165"/>
    <mergeCell ref="M164:M165"/>
    <mergeCell ref="N164:N165"/>
    <mergeCell ref="AM166:AM167"/>
    <mergeCell ref="AP166:AP167"/>
    <mergeCell ref="AS166:AS167"/>
    <mergeCell ref="C158:AO158"/>
    <mergeCell ref="C159:AO159"/>
    <mergeCell ref="C160:AO160"/>
    <mergeCell ref="O166:O167"/>
    <mergeCell ref="P166:P167"/>
    <mergeCell ref="Q166:Q167"/>
    <mergeCell ref="AH166:AH167"/>
    <mergeCell ref="AI166:AI167"/>
    <mergeCell ref="AJ166:AJ167"/>
    <mergeCell ref="I166:I167"/>
    <mergeCell ref="J166:J167"/>
    <mergeCell ref="K166:K167"/>
    <mergeCell ref="L166:L167"/>
    <mergeCell ref="M166:M167"/>
    <mergeCell ref="N166:N167"/>
    <mergeCell ref="AQ164:AQ165"/>
    <mergeCell ref="AR164:AR165"/>
    <mergeCell ref="AS164:AS165"/>
    <mergeCell ref="AQ162:AQ163"/>
    <mergeCell ref="AR162:AR163"/>
    <mergeCell ref="AS162:AS163"/>
    <mergeCell ref="AK162:AK163"/>
    <mergeCell ref="AL162:AL163"/>
    <mergeCell ref="AM162:AM163"/>
    <mergeCell ref="AN162:AN163"/>
    <mergeCell ref="AO162:AO163"/>
    <mergeCell ref="AP162:AP163"/>
    <mergeCell ref="AE162:AE163"/>
    <mergeCell ref="AF162:AF163"/>
    <mergeCell ref="A175:A176"/>
    <mergeCell ref="B175:B176"/>
    <mergeCell ref="C175:C176"/>
    <mergeCell ref="D175:D176"/>
    <mergeCell ref="E175:E176"/>
    <mergeCell ref="F175:F176"/>
    <mergeCell ref="A173:B173"/>
    <mergeCell ref="C173:AM173"/>
    <mergeCell ref="A174:J174"/>
    <mergeCell ref="K174:Q174"/>
    <mergeCell ref="R174:Z174"/>
    <mergeCell ref="AA174:AG174"/>
    <mergeCell ref="AH174:AM174"/>
    <mergeCell ref="A168:AM169"/>
    <mergeCell ref="A171:B171"/>
    <mergeCell ref="C171:AM171"/>
    <mergeCell ref="A172:B172"/>
    <mergeCell ref="C172:AM172"/>
    <mergeCell ref="AL175:AL176"/>
    <mergeCell ref="AM175:AM176"/>
    <mergeCell ref="I177:I182"/>
    <mergeCell ref="J177:J182"/>
    <mergeCell ref="K177:K182"/>
    <mergeCell ref="AF175:AF176"/>
    <mergeCell ref="AG175:AG176"/>
    <mergeCell ref="AH175:AH176"/>
    <mergeCell ref="AI175:AI176"/>
    <mergeCell ref="AJ175:AJ176"/>
    <mergeCell ref="AK175:AK176"/>
    <mergeCell ref="U175:Z175"/>
    <mergeCell ref="AA175:AA176"/>
    <mergeCell ref="AB175:AB176"/>
    <mergeCell ref="AC175:AC176"/>
    <mergeCell ref="AD175:AD176"/>
    <mergeCell ref="AE175:AE176"/>
    <mergeCell ref="O175:O176"/>
    <mergeCell ref="P175:P176"/>
    <mergeCell ref="Q175:Q176"/>
    <mergeCell ref="R175:R176"/>
    <mergeCell ref="S175:S176"/>
    <mergeCell ref="T175:T176"/>
    <mergeCell ref="I175:I176"/>
    <mergeCell ref="J175:J176"/>
    <mergeCell ref="K175:K176"/>
    <mergeCell ref="L175:L176"/>
    <mergeCell ref="M175:M176"/>
    <mergeCell ref="N175:N176"/>
    <mergeCell ref="A190:A191"/>
    <mergeCell ref="B190:B191"/>
    <mergeCell ref="C190:C191"/>
    <mergeCell ref="D190:D191"/>
    <mergeCell ref="E190:E191"/>
    <mergeCell ref="F190:F191"/>
    <mergeCell ref="A188:B188"/>
    <mergeCell ref="C188:AM188"/>
    <mergeCell ref="A189:J189"/>
    <mergeCell ref="K189:Q189"/>
    <mergeCell ref="R189:Z189"/>
    <mergeCell ref="AA189:AG189"/>
    <mergeCell ref="AH189:AM189"/>
    <mergeCell ref="AG177:AG179"/>
    <mergeCell ref="A183:AM184"/>
    <mergeCell ref="A186:B186"/>
    <mergeCell ref="C186:AM186"/>
    <mergeCell ref="A187:B187"/>
    <mergeCell ref="C187:AM187"/>
    <mergeCell ref="L177:L182"/>
    <mergeCell ref="M177:M182"/>
    <mergeCell ref="N177:N182"/>
    <mergeCell ref="O177:O182"/>
    <mergeCell ref="P177:P182"/>
    <mergeCell ref="Q177:Q182"/>
    <mergeCell ref="AL190:AL191"/>
    <mergeCell ref="AM190:AM191"/>
    <mergeCell ref="A177:A182"/>
    <mergeCell ref="B177:B182"/>
    <mergeCell ref="F177:F182"/>
    <mergeCell ref="G177:G182"/>
    <mergeCell ref="H177:H182"/>
    <mergeCell ref="H192:H196"/>
    <mergeCell ref="I192:I196"/>
    <mergeCell ref="J192:J196"/>
    <mergeCell ref="AF190:AF191"/>
    <mergeCell ref="AG190:AG191"/>
    <mergeCell ref="AH190:AH191"/>
    <mergeCell ref="AI190:AI191"/>
    <mergeCell ref="AJ190:AJ191"/>
    <mergeCell ref="AK190:AK191"/>
    <mergeCell ref="U190:Z190"/>
    <mergeCell ref="AA190:AA191"/>
    <mergeCell ref="AB190:AB191"/>
    <mergeCell ref="AC190:AC191"/>
    <mergeCell ref="AD190:AD191"/>
    <mergeCell ref="AE190:AE191"/>
    <mergeCell ref="O190:O191"/>
    <mergeCell ref="P190:P191"/>
    <mergeCell ref="Q190:Q191"/>
    <mergeCell ref="R190:R191"/>
    <mergeCell ref="S190:S191"/>
    <mergeCell ref="T190:T191"/>
    <mergeCell ref="I190:I191"/>
    <mergeCell ref="J190:J191"/>
    <mergeCell ref="K190:K191"/>
    <mergeCell ref="L190:L191"/>
    <mergeCell ref="M190:M191"/>
    <mergeCell ref="N190:N191"/>
    <mergeCell ref="A202:B202"/>
    <mergeCell ref="C202:AL202"/>
    <mergeCell ref="A204:A205"/>
    <mergeCell ref="B204:B205"/>
    <mergeCell ref="C204:C205"/>
    <mergeCell ref="D204:D205"/>
    <mergeCell ref="E204:E205"/>
    <mergeCell ref="F204:F205"/>
    <mergeCell ref="I204:I205"/>
    <mergeCell ref="J204:J205"/>
    <mergeCell ref="Q192:Q196"/>
    <mergeCell ref="A197:AL198"/>
    <mergeCell ref="A200:B200"/>
    <mergeCell ref="C200:AL200"/>
    <mergeCell ref="A201:B201"/>
    <mergeCell ref="C201:AL201"/>
    <mergeCell ref="K192:K196"/>
    <mergeCell ref="L192:L196"/>
    <mergeCell ref="M192:M196"/>
    <mergeCell ref="N192:N196"/>
    <mergeCell ref="O192:O196"/>
    <mergeCell ref="P192:P196"/>
    <mergeCell ref="AH204:AH205"/>
    <mergeCell ref="AI204:AI205"/>
    <mergeCell ref="AJ204:AJ205"/>
    <mergeCell ref="AK204:AK205"/>
    <mergeCell ref="AL204:AL205"/>
    <mergeCell ref="A192:A196"/>
    <mergeCell ref="B192:B196"/>
    <mergeCell ref="C192:C196"/>
    <mergeCell ref="D192:D196"/>
    <mergeCell ref="F192:F196"/>
    <mergeCell ref="A206:A210"/>
    <mergeCell ref="B206:B210"/>
    <mergeCell ref="C206:C210"/>
    <mergeCell ref="D206:D210"/>
    <mergeCell ref="F206:F210"/>
    <mergeCell ref="AB204:AB205"/>
    <mergeCell ref="AC204:AC205"/>
    <mergeCell ref="AD204:AD205"/>
    <mergeCell ref="AE204:AE205"/>
    <mergeCell ref="AF204:AF205"/>
    <mergeCell ref="AG204:AG205"/>
    <mergeCell ref="Q204:Q205"/>
    <mergeCell ref="R204:R205"/>
    <mergeCell ref="S204:S205"/>
    <mergeCell ref="T204:T205"/>
    <mergeCell ref="U204:Z204"/>
    <mergeCell ref="AA204:AA205"/>
    <mergeCell ref="K204:K205"/>
    <mergeCell ref="L204:L205"/>
    <mergeCell ref="M204:M205"/>
    <mergeCell ref="N204:N205"/>
    <mergeCell ref="O204:O205"/>
    <mergeCell ref="P204:P205"/>
    <mergeCell ref="S207:S208"/>
    <mergeCell ref="T207:T208"/>
    <mergeCell ref="U207:U208"/>
    <mergeCell ref="V207:V208"/>
    <mergeCell ref="W207:W208"/>
    <mergeCell ref="X207:X208"/>
    <mergeCell ref="N206:N210"/>
    <mergeCell ref="O206:O210"/>
    <mergeCell ref="P206:P210"/>
    <mergeCell ref="Q206:Q210"/>
    <mergeCell ref="E207:E208"/>
    <mergeCell ref="R207:R208"/>
    <mergeCell ref="H206:H210"/>
    <mergeCell ref="I206:I210"/>
    <mergeCell ref="J206:J210"/>
    <mergeCell ref="K206:K210"/>
    <mergeCell ref="L206:L210"/>
    <mergeCell ref="M206:M210"/>
    <mergeCell ref="AK208:AK209"/>
    <mergeCell ref="AL208:AL209"/>
    <mergeCell ref="AM208:AM209"/>
    <mergeCell ref="AN208:AN209"/>
    <mergeCell ref="AO208:AO209"/>
    <mergeCell ref="AE207:AE208"/>
    <mergeCell ref="AF207:AF208"/>
    <mergeCell ref="AG207:AG208"/>
    <mergeCell ref="AH208:AH209"/>
    <mergeCell ref="AI208:AI209"/>
    <mergeCell ref="AJ208:AJ209"/>
    <mergeCell ref="Y207:Y208"/>
    <mergeCell ref="Z207:Z208"/>
    <mergeCell ref="AA207:AA208"/>
    <mergeCell ref="AB207:AB208"/>
    <mergeCell ref="AC207:AC208"/>
    <mergeCell ref="AD207:AD208"/>
    <mergeCell ref="A217:AM218"/>
    <mergeCell ref="A220:B220"/>
    <mergeCell ref="C220:AM220"/>
    <mergeCell ref="A221:B221"/>
    <mergeCell ref="A222:B222"/>
    <mergeCell ref="C222:AM222"/>
    <mergeCell ref="L211:L216"/>
    <mergeCell ref="M211:M216"/>
    <mergeCell ref="N211:N216"/>
    <mergeCell ref="O211:O216"/>
    <mergeCell ref="P211:P216"/>
    <mergeCell ref="Q211:Q216"/>
    <mergeCell ref="A211:A216"/>
    <mergeCell ref="B211:B216"/>
    <mergeCell ref="C211:C216"/>
    <mergeCell ref="D211:D216"/>
    <mergeCell ref="F211:F216"/>
    <mergeCell ref="H211:H216"/>
    <mergeCell ref="I211:I216"/>
    <mergeCell ref="J211:J216"/>
    <mergeCell ref="K211:K216"/>
    <mergeCell ref="A223:J223"/>
    <mergeCell ref="K223:Q223"/>
    <mergeCell ref="R223:Z223"/>
    <mergeCell ref="AA223:AG223"/>
    <mergeCell ref="C233:C238"/>
    <mergeCell ref="D233:D238"/>
    <mergeCell ref="E233:E238"/>
    <mergeCell ref="F233:F238"/>
    <mergeCell ref="I233:I238"/>
    <mergeCell ref="K226:K231"/>
    <mergeCell ref="L226:L231"/>
    <mergeCell ref="M226:M231"/>
    <mergeCell ref="N226:N231"/>
    <mergeCell ref="O226:O231"/>
    <mergeCell ref="P226:P231"/>
    <mergeCell ref="AH223:AM223"/>
    <mergeCell ref="A224:A225"/>
    <mergeCell ref="B224:B225"/>
    <mergeCell ref="C224:C225"/>
    <mergeCell ref="D224:D225"/>
    <mergeCell ref="E224:E225"/>
    <mergeCell ref="AD224:AD225"/>
    <mergeCell ref="N224:N225"/>
    <mergeCell ref="O224:O225"/>
    <mergeCell ref="P224:P225"/>
    <mergeCell ref="Q224:Q225"/>
    <mergeCell ref="AK224:AK225"/>
    <mergeCell ref="AL224:AL225"/>
    <mergeCell ref="AM224:AM225"/>
    <mergeCell ref="A226:A231"/>
    <mergeCell ref="B226:B231"/>
    <mergeCell ref="C226:C231"/>
    <mergeCell ref="D226:D231"/>
    <mergeCell ref="F226:F231"/>
    <mergeCell ref="H226:H227"/>
    <mergeCell ref="J226:J227"/>
    <mergeCell ref="AE224:AE225"/>
    <mergeCell ref="AF224:AF225"/>
    <mergeCell ref="AG224:AG225"/>
    <mergeCell ref="AH224:AH225"/>
    <mergeCell ref="AI224:AI225"/>
    <mergeCell ref="AJ224:AJ225"/>
    <mergeCell ref="T224:T225"/>
    <mergeCell ref="U224:Z224"/>
    <mergeCell ref="AA224:AA225"/>
    <mergeCell ref="AB224:AB225"/>
    <mergeCell ref="AC224:AC225"/>
    <mergeCell ref="R224:R225"/>
    <mergeCell ref="S224:S225"/>
    <mergeCell ref="F224:F225"/>
    <mergeCell ref="I224:I225"/>
    <mergeCell ref="J224:J225"/>
    <mergeCell ref="K224:K225"/>
    <mergeCell ref="L224:L225"/>
    <mergeCell ref="M224:M225"/>
    <mergeCell ref="Q239:Q244"/>
    <mergeCell ref="C221:AM221"/>
    <mergeCell ref="A245:AM246"/>
    <mergeCell ref="A248:B248"/>
    <mergeCell ref="C248:AM248"/>
    <mergeCell ref="K239:K244"/>
    <mergeCell ref="L239:L244"/>
    <mergeCell ref="M239:M244"/>
    <mergeCell ref="N239:N244"/>
    <mergeCell ref="O239:O244"/>
    <mergeCell ref="P239:P244"/>
    <mergeCell ref="P233:P238"/>
    <mergeCell ref="Q233:Q238"/>
    <mergeCell ref="A239:A244"/>
    <mergeCell ref="B239:B244"/>
    <mergeCell ref="C239:C244"/>
    <mergeCell ref="D239:D244"/>
    <mergeCell ref="E239:E244"/>
    <mergeCell ref="F239:F244"/>
    <mergeCell ref="I239:I244"/>
    <mergeCell ref="J239:J244"/>
    <mergeCell ref="J233:J238"/>
    <mergeCell ref="K233:K238"/>
    <mergeCell ref="L233:L238"/>
    <mergeCell ref="M233:M238"/>
    <mergeCell ref="N233:N238"/>
    <mergeCell ref="O233:O238"/>
    <mergeCell ref="Q226:Q231"/>
    <mergeCell ref="AH226:AH228"/>
    <mergeCell ref="E227:E231"/>
    <mergeCell ref="A233:A238"/>
    <mergeCell ref="B233:B238"/>
    <mergeCell ref="A252:A253"/>
    <mergeCell ref="B252:B253"/>
    <mergeCell ref="C252:C253"/>
    <mergeCell ref="D252:D253"/>
    <mergeCell ref="E252:E253"/>
    <mergeCell ref="F252:F253"/>
    <mergeCell ref="A249:B249"/>
    <mergeCell ref="C249:AM249"/>
    <mergeCell ref="A250:B250"/>
    <mergeCell ref="C250:AM250"/>
    <mergeCell ref="A251:J251"/>
    <mergeCell ref="K251:Q251"/>
    <mergeCell ref="R251:Z251"/>
    <mergeCell ref="AA251:AG251"/>
    <mergeCell ref="AH251:AM251"/>
    <mergeCell ref="AL252:AL253"/>
    <mergeCell ref="AM252:AM253"/>
    <mergeCell ref="H254:H259"/>
    <mergeCell ref="I254:I259"/>
    <mergeCell ref="AF252:AF253"/>
    <mergeCell ref="AG252:AG253"/>
    <mergeCell ref="AH252:AH253"/>
    <mergeCell ref="AI252:AI253"/>
    <mergeCell ref="AJ252:AJ253"/>
    <mergeCell ref="AK252:AK253"/>
    <mergeCell ref="U252:Z252"/>
    <mergeCell ref="AA252:AA253"/>
    <mergeCell ref="AB252:AB253"/>
    <mergeCell ref="AC252:AC253"/>
    <mergeCell ref="AD252:AD253"/>
    <mergeCell ref="AE252:AE253"/>
    <mergeCell ref="O252:O253"/>
    <mergeCell ref="P252:P253"/>
    <mergeCell ref="Q252:Q253"/>
    <mergeCell ref="R252:R253"/>
    <mergeCell ref="S252:S253"/>
    <mergeCell ref="T252:T253"/>
    <mergeCell ref="I252:I253"/>
    <mergeCell ref="J252:J253"/>
    <mergeCell ref="K252:K253"/>
    <mergeCell ref="L252:L253"/>
    <mergeCell ref="M252:M253"/>
    <mergeCell ref="N252:N253"/>
    <mergeCell ref="A265:B265"/>
    <mergeCell ref="C265:AM265"/>
    <mergeCell ref="A266:J266"/>
    <mergeCell ref="K266:Q266"/>
    <mergeCell ref="R266:Z266"/>
    <mergeCell ref="AA266:AG266"/>
    <mergeCell ref="AH266:AM266"/>
    <mergeCell ref="AL254:AL255"/>
    <mergeCell ref="AM254:AM255"/>
    <mergeCell ref="A260:AM261"/>
    <mergeCell ref="A263:B263"/>
    <mergeCell ref="C263:AM263"/>
    <mergeCell ref="A264:B264"/>
    <mergeCell ref="C264:AM264"/>
    <mergeCell ref="P254:P259"/>
    <mergeCell ref="Q254:Q259"/>
    <mergeCell ref="AH254:AH255"/>
    <mergeCell ref="AI254:AI255"/>
    <mergeCell ref="AJ254:AJ255"/>
    <mergeCell ref="AK254:AK255"/>
    <mergeCell ref="J254:J259"/>
    <mergeCell ref="K254:K259"/>
    <mergeCell ref="L254:L259"/>
    <mergeCell ref="M254:M259"/>
    <mergeCell ref="N254:N259"/>
    <mergeCell ref="O254:O259"/>
    <mergeCell ref="A254:A259"/>
    <mergeCell ref="B254:B259"/>
    <mergeCell ref="C254:C259"/>
    <mergeCell ref="D254:D259"/>
    <mergeCell ref="F254:F259"/>
    <mergeCell ref="G254:G259"/>
    <mergeCell ref="AE267:AE268"/>
    <mergeCell ref="O267:O268"/>
    <mergeCell ref="P267:P268"/>
    <mergeCell ref="Q267:Q268"/>
    <mergeCell ref="R267:R268"/>
    <mergeCell ref="S267:S268"/>
    <mergeCell ref="T267:T268"/>
    <mergeCell ref="I267:I268"/>
    <mergeCell ref="J267:J268"/>
    <mergeCell ref="K267:K268"/>
    <mergeCell ref="L267:L268"/>
    <mergeCell ref="M267:M268"/>
    <mergeCell ref="N267:N268"/>
    <mergeCell ref="A267:A268"/>
    <mergeCell ref="B267:B268"/>
    <mergeCell ref="C267:C268"/>
    <mergeCell ref="D267:D268"/>
    <mergeCell ref="E267:E268"/>
    <mergeCell ref="F267:F268"/>
    <mergeCell ref="N269:N271"/>
    <mergeCell ref="O269:O271"/>
    <mergeCell ref="P269:P271"/>
    <mergeCell ref="Q269:Q271"/>
    <mergeCell ref="A272:AM273"/>
    <mergeCell ref="H269:H271"/>
    <mergeCell ref="I269:I271"/>
    <mergeCell ref="J269:J271"/>
    <mergeCell ref="K269:K271"/>
    <mergeCell ref="L269:L271"/>
    <mergeCell ref="M269:M271"/>
    <mergeCell ref="AL267:AL268"/>
    <mergeCell ref="AM267:AM268"/>
    <mergeCell ref="AN267:AN268"/>
    <mergeCell ref="AO267:AO268"/>
    <mergeCell ref="AP267:AP268"/>
    <mergeCell ref="A269:A271"/>
    <mergeCell ref="B269:B271"/>
    <mergeCell ref="C269:C271"/>
    <mergeCell ref="D269:D271"/>
    <mergeCell ref="F269:F271"/>
    <mergeCell ref="AF267:AF268"/>
    <mergeCell ref="AG267:AG268"/>
    <mergeCell ref="AH267:AH268"/>
    <mergeCell ref="AI267:AI268"/>
    <mergeCell ref="AJ267:AJ268"/>
    <mergeCell ref="AK267:AK268"/>
    <mergeCell ref="U267:Z267"/>
    <mergeCell ref="AA267:AA268"/>
    <mergeCell ref="AB267:AB268"/>
    <mergeCell ref="AC267:AC268"/>
    <mergeCell ref="AD267:AD268"/>
    <mergeCell ref="AB279:AB280"/>
    <mergeCell ref="AC279:AC280"/>
    <mergeCell ref="AD279:AD280"/>
    <mergeCell ref="AE279:AE280"/>
    <mergeCell ref="O279:O280"/>
    <mergeCell ref="P279:P280"/>
    <mergeCell ref="Q279:Q280"/>
    <mergeCell ref="R279:R280"/>
    <mergeCell ref="S279:S280"/>
    <mergeCell ref="T279:T280"/>
    <mergeCell ref="I279:I280"/>
    <mergeCell ref="J279:J280"/>
    <mergeCell ref="K279:K280"/>
    <mergeCell ref="L279:L280"/>
    <mergeCell ref="M279:M280"/>
    <mergeCell ref="N279:N280"/>
    <mergeCell ref="A275:B275"/>
    <mergeCell ref="C275:AM275"/>
    <mergeCell ref="A276:B276"/>
    <mergeCell ref="C276:AM276"/>
    <mergeCell ref="A277:B277"/>
    <mergeCell ref="C277:AM277"/>
    <mergeCell ref="AB284:AB289"/>
    <mergeCell ref="AC284:AC289"/>
    <mergeCell ref="R284:R289"/>
    <mergeCell ref="S284:S289"/>
    <mergeCell ref="T284:T289"/>
    <mergeCell ref="U284:U289"/>
    <mergeCell ref="V284:V289"/>
    <mergeCell ref="W284:W289"/>
    <mergeCell ref="AR279:AR280"/>
    <mergeCell ref="AS279:AS280"/>
    <mergeCell ref="AT279:AT280"/>
    <mergeCell ref="A284:A289"/>
    <mergeCell ref="B284:B289"/>
    <mergeCell ref="C284:C289"/>
    <mergeCell ref="D284:D289"/>
    <mergeCell ref="E284:E289"/>
    <mergeCell ref="F284:F289"/>
    <mergeCell ref="H284:H289"/>
    <mergeCell ref="AL279:AL280"/>
    <mergeCell ref="AM279:AM280"/>
    <mergeCell ref="AN279:AN280"/>
    <mergeCell ref="AO279:AO280"/>
    <mergeCell ref="AP279:AP280"/>
    <mergeCell ref="AQ279:AQ280"/>
    <mergeCell ref="AF279:AF280"/>
    <mergeCell ref="AG279:AG280"/>
    <mergeCell ref="AH279:AH280"/>
    <mergeCell ref="AI279:AI280"/>
    <mergeCell ref="AJ279:AJ280"/>
    <mergeCell ref="AK279:AK280"/>
    <mergeCell ref="U279:Z279"/>
    <mergeCell ref="AA279:AA280"/>
    <mergeCell ref="H290:H295"/>
    <mergeCell ref="I290:I295"/>
    <mergeCell ref="J290:J295"/>
    <mergeCell ref="K290:K295"/>
    <mergeCell ref="L290:L295"/>
    <mergeCell ref="M290:M295"/>
    <mergeCell ref="AQ284:AQ289"/>
    <mergeCell ref="AR284:AR289"/>
    <mergeCell ref="AS284:AS289"/>
    <mergeCell ref="AT284:AT289"/>
    <mergeCell ref="A290:A295"/>
    <mergeCell ref="B290:B295"/>
    <mergeCell ref="C290:C295"/>
    <mergeCell ref="D290:D295"/>
    <mergeCell ref="E290:E295"/>
    <mergeCell ref="F290:F295"/>
    <mergeCell ref="AJ284:AJ289"/>
    <mergeCell ref="AL284:AL289"/>
    <mergeCell ref="AM284:AM289"/>
    <mergeCell ref="AN284:AN289"/>
    <mergeCell ref="AO284:AO289"/>
    <mergeCell ref="AP284:AP289"/>
    <mergeCell ref="AD284:AD289"/>
    <mergeCell ref="AE284:AE289"/>
    <mergeCell ref="AF284:AF289"/>
    <mergeCell ref="AG284:AG289"/>
    <mergeCell ref="AH284:AH289"/>
    <mergeCell ref="AI284:AI289"/>
    <mergeCell ref="X284:X289"/>
    <mergeCell ref="Y284:Y289"/>
    <mergeCell ref="Z284:Z289"/>
    <mergeCell ref="AA284:AA289"/>
    <mergeCell ref="Z290:Z295"/>
    <mergeCell ref="AA290:AA295"/>
    <mergeCell ref="AB290:AB295"/>
    <mergeCell ref="AC290:AC295"/>
    <mergeCell ref="AD290:AD295"/>
    <mergeCell ref="AE290:AE295"/>
    <mergeCell ref="T290:T295"/>
    <mergeCell ref="U290:U295"/>
    <mergeCell ref="V290:V295"/>
    <mergeCell ref="W290:W295"/>
    <mergeCell ref="X290:X295"/>
    <mergeCell ref="Y290:Y295"/>
    <mergeCell ref="N290:N295"/>
    <mergeCell ref="O290:O295"/>
    <mergeCell ref="P290:P295"/>
    <mergeCell ref="Q290:Q295"/>
    <mergeCell ref="R290:R295"/>
    <mergeCell ref="S290:S295"/>
    <mergeCell ref="A303:A304"/>
    <mergeCell ref="B303:B304"/>
    <mergeCell ref="C303:C304"/>
    <mergeCell ref="D303:D304"/>
    <mergeCell ref="E303:E304"/>
    <mergeCell ref="F303:F304"/>
    <mergeCell ref="A301:B301"/>
    <mergeCell ref="C301:AM301"/>
    <mergeCell ref="A302:J302"/>
    <mergeCell ref="K302:Q302"/>
    <mergeCell ref="R302:Z302"/>
    <mergeCell ref="AA302:AG302"/>
    <mergeCell ref="AH302:AM302"/>
    <mergeCell ref="AS290:AS295"/>
    <mergeCell ref="AT290:AT295"/>
    <mergeCell ref="A296:AM297"/>
    <mergeCell ref="A299:B299"/>
    <mergeCell ref="C299:AM299"/>
    <mergeCell ref="A300:B300"/>
    <mergeCell ref="C300:AM300"/>
    <mergeCell ref="AM290:AM295"/>
    <mergeCell ref="AN290:AN295"/>
    <mergeCell ref="AO290:AO295"/>
    <mergeCell ref="AP290:AP295"/>
    <mergeCell ref="AQ290:AQ295"/>
    <mergeCell ref="AR290:AR295"/>
    <mergeCell ref="AF290:AF295"/>
    <mergeCell ref="AG290:AG295"/>
    <mergeCell ref="AH290:AH295"/>
    <mergeCell ref="AI290:AI295"/>
    <mergeCell ref="AJ290:AJ295"/>
    <mergeCell ref="AL290:AL295"/>
    <mergeCell ref="AA303:AA304"/>
    <mergeCell ref="AB303:AB304"/>
    <mergeCell ref="AC303:AC304"/>
    <mergeCell ref="AD303:AD304"/>
    <mergeCell ref="AE303:AE304"/>
    <mergeCell ref="O303:O304"/>
    <mergeCell ref="P303:P304"/>
    <mergeCell ref="Q303:Q304"/>
    <mergeCell ref="R303:R304"/>
    <mergeCell ref="S303:S304"/>
    <mergeCell ref="T303:T304"/>
    <mergeCell ref="I303:I304"/>
    <mergeCell ref="J303:J304"/>
    <mergeCell ref="K303:K304"/>
    <mergeCell ref="L303:L304"/>
    <mergeCell ref="M303:M304"/>
    <mergeCell ref="N303:N304"/>
    <mergeCell ref="A316:B316"/>
    <mergeCell ref="C316:AM316"/>
    <mergeCell ref="A317:J317"/>
    <mergeCell ref="K317:Q317"/>
    <mergeCell ref="R317:Z317"/>
    <mergeCell ref="AA317:AG317"/>
    <mergeCell ref="AH317:AM317"/>
    <mergeCell ref="P305:P310"/>
    <mergeCell ref="Q305:Q310"/>
    <mergeCell ref="J305:J310"/>
    <mergeCell ref="K305:K310"/>
    <mergeCell ref="L305:L310"/>
    <mergeCell ref="M305:M310"/>
    <mergeCell ref="N305:N310"/>
    <mergeCell ref="O305:O310"/>
    <mergeCell ref="AL303:AL304"/>
    <mergeCell ref="AM303:AM304"/>
    <mergeCell ref="A305:A310"/>
    <mergeCell ref="B305:B310"/>
    <mergeCell ref="C305:C310"/>
    <mergeCell ref="D305:D310"/>
    <mergeCell ref="F305:F310"/>
    <mergeCell ref="G305:G310"/>
    <mergeCell ref="H305:H310"/>
    <mergeCell ref="I305:I310"/>
    <mergeCell ref="AF303:AF304"/>
    <mergeCell ref="AG303:AG304"/>
    <mergeCell ref="AH303:AH304"/>
    <mergeCell ref="AI303:AI304"/>
    <mergeCell ref="AJ303:AJ304"/>
    <mergeCell ref="AK303:AK304"/>
    <mergeCell ref="U303:Z303"/>
    <mergeCell ref="AF318:AF319"/>
    <mergeCell ref="P318:P319"/>
    <mergeCell ref="Q318:Q319"/>
    <mergeCell ref="R318:R319"/>
    <mergeCell ref="S318:S319"/>
    <mergeCell ref="T318:T319"/>
    <mergeCell ref="U318:Z318"/>
    <mergeCell ref="J318:J319"/>
    <mergeCell ref="K318:K319"/>
    <mergeCell ref="L318:L319"/>
    <mergeCell ref="M318:M319"/>
    <mergeCell ref="N318:N319"/>
    <mergeCell ref="O318:O319"/>
    <mergeCell ref="AN317:AN319"/>
    <mergeCell ref="AO317:AO319"/>
    <mergeCell ref="AP317:AP319"/>
    <mergeCell ref="A318:A319"/>
    <mergeCell ref="B318:B319"/>
    <mergeCell ref="C318:C319"/>
    <mergeCell ref="D318:D319"/>
    <mergeCell ref="E318:E319"/>
    <mergeCell ref="F318:F319"/>
    <mergeCell ref="I318:I319"/>
    <mergeCell ref="D324:D327"/>
    <mergeCell ref="F324:F327"/>
    <mergeCell ref="G324:G327"/>
    <mergeCell ref="I324:I327"/>
    <mergeCell ref="J324:J327"/>
    <mergeCell ref="K320:K323"/>
    <mergeCell ref="L320:L323"/>
    <mergeCell ref="M320:M323"/>
    <mergeCell ref="N320:N323"/>
    <mergeCell ref="O320:O323"/>
    <mergeCell ref="P320:P323"/>
    <mergeCell ref="AM318:AM319"/>
    <mergeCell ref="A320:A323"/>
    <mergeCell ref="B320:B323"/>
    <mergeCell ref="C320:C323"/>
    <mergeCell ref="D320:D323"/>
    <mergeCell ref="F320:F323"/>
    <mergeCell ref="G320:G323"/>
    <mergeCell ref="H320:H323"/>
    <mergeCell ref="I320:I323"/>
    <mergeCell ref="J320:J323"/>
    <mergeCell ref="AG318:AG319"/>
    <mergeCell ref="AH318:AH319"/>
    <mergeCell ref="AI318:AI319"/>
    <mergeCell ref="AJ318:AJ319"/>
    <mergeCell ref="AK318:AK319"/>
    <mergeCell ref="AL318:AL319"/>
    <mergeCell ref="AA318:AA319"/>
    <mergeCell ref="AB318:AB319"/>
    <mergeCell ref="AC318:AC319"/>
    <mergeCell ref="AD318:AD319"/>
    <mergeCell ref="AE318:AE319"/>
    <mergeCell ref="A311:AM312"/>
    <mergeCell ref="A314:B314"/>
    <mergeCell ref="C314:AM314"/>
    <mergeCell ref="A315:B315"/>
    <mergeCell ref="C315:AM315"/>
    <mergeCell ref="M328:M330"/>
    <mergeCell ref="N328:N330"/>
    <mergeCell ref="O328:O330"/>
    <mergeCell ref="P328:P330"/>
    <mergeCell ref="Q328:Q330"/>
    <mergeCell ref="H331:H333"/>
    <mergeCell ref="Q324:Q327"/>
    <mergeCell ref="AH324:AH325"/>
    <mergeCell ref="AI324:AI325"/>
    <mergeCell ref="A328:A330"/>
    <mergeCell ref="B328:B330"/>
    <mergeCell ref="C328:C330"/>
    <mergeCell ref="D328:D330"/>
    <mergeCell ref="F328:F330"/>
    <mergeCell ref="G328:G330"/>
    <mergeCell ref="H328:H330"/>
    <mergeCell ref="K324:K327"/>
    <mergeCell ref="L324:L327"/>
    <mergeCell ref="M324:M327"/>
    <mergeCell ref="N324:N327"/>
    <mergeCell ref="O324:O327"/>
    <mergeCell ref="P324:P327"/>
    <mergeCell ref="Q320:Q323"/>
    <mergeCell ref="E322:E323"/>
    <mergeCell ref="A324:A327"/>
    <mergeCell ref="B324:B327"/>
    <mergeCell ref="C324:C327"/>
    <mergeCell ref="O331:O333"/>
    <mergeCell ref="P331:P333"/>
    <mergeCell ref="Q331:Q333"/>
    <mergeCell ref="A334:AM335"/>
    <mergeCell ref="A337:B337"/>
    <mergeCell ref="C337:AM337"/>
    <mergeCell ref="I331:I333"/>
    <mergeCell ref="J331:J333"/>
    <mergeCell ref="K331:K333"/>
    <mergeCell ref="L331:L333"/>
    <mergeCell ref="M331:M333"/>
    <mergeCell ref="N331:N333"/>
    <mergeCell ref="I328:I330"/>
    <mergeCell ref="J328:J330"/>
    <mergeCell ref="K328:K330"/>
    <mergeCell ref="L328:L330"/>
    <mergeCell ref="A331:A333"/>
    <mergeCell ref="B331:B333"/>
    <mergeCell ref="C331:C333"/>
    <mergeCell ref="D331:D333"/>
    <mergeCell ref="F331:F333"/>
    <mergeCell ref="G331:G333"/>
    <mergeCell ref="I341:I342"/>
    <mergeCell ref="J341:J342"/>
    <mergeCell ref="K341:K342"/>
    <mergeCell ref="L341:L342"/>
    <mergeCell ref="M341:M342"/>
    <mergeCell ref="N341:N342"/>
    <mergeCell ref="A341:A342"/>
    <mergeCell ref="B341:B342"/>
    <mergeCell ref="C341:C342"/>
    <mergeCell ref="D341:D342"/>
    <mergeCell ref="E341:E342"/>
    <mergeCell ref="F341:F342"/>
    <mergeCell ref="A338:B338"/>
    <mergeCell ref="C338:AM338"/>
    <mergeCell ref="A339:B339"/>
    <mergeCell ref="C339:AM339"/>
    <mergeCell ref="A340:J340"/>
    <mergeCell ref="K340:Q340"/>
    <mergeCell ref="R340:Z340"/>
    <mergeCell ref="AA340:AG340"/>
    <mergeCell ref="AH340:AM340"/>
    <mergeCell ref="AL341:AL342"/>
    <mergeCell ref="AM341:AM342"/>
    <mergeCell ref="AF341:AF342"/>
    <mergeCell ref="AG341:AG342"/>
    <mergeCell ref="AH341:AH342"/>
    <mergeCell ref="AI341:AI342"/>
    <mergeCell ref="AJ341:AJ342"/>
    <mergeCell ref="AK341:AK342"/>
    <mergeCell ref="U341:Z341"/>
    <mergeCell ref="AA341:AA342"/>
    <mergeCell ref="AB341:AB342"/>
    <mergeCell ref="AC341:AC342"/>
    <mergeCell ref="AD341:AD342"/>
    <mergeCell ref="AE341:AE342"/>
    <mergeCell ref="O341:O342"/>
    <mergeCell ref="P341:P342"/>
    <mergeCell ref="Q341:Q342"/>
    <mergeCell ref="R341:R342"/>
    <mergeCell ref="S341:S342"/>
    <mergeCell ref="T341:T342"/>
    <mergeCell ref="A352:B352"/>
    <mergeCell ref="C352:AM352"/>
    <mergeCell ref="A353:J353"/>
    <mergeCell ref="K353:Q353"/>
    <mergeCell ref="R353:Z353"/>
    <mergeCell ref="AA353:AG353"/>
    <mergeCell ref="AH353:AM353"/>
    <mergeCell ref="Q343:Q346"/>
    <mergeCell ref="A347:AM348"/>
    <mergeCell ref="A350:B350"/>
    <mergeCell ref="C350:AM350"/>
    <mergeCell ref="A351:B351"/>
    <mergeCell ref="C351:AM351"/>
    <mergeCell ref="K343:K346"/>
    <mergeCell ref="L343:L346"/>
    <mergeCell ref="M343:M346"/>
    <mergeCell ref="N343:N345"/>
    <mergeCell ref="O343:O346"/>
    <mergeCell ref="P343:P345"/>
    <mergeCell ref="A343:A345"/>
    <mergeCell ref="B343:B345"/>
    <mergeCell ref="C343:C345"/>
    <mergeCell ref="D343:D345"/>
    <mergeCell ref="F343:F345"/>
    <mergeCell ref="H343:H346"/>
    <mergeCell ref="I343:I345"/>
    <mergeCell ref="J343:J346"/>
    <mergeCell ref="AM354:AM355"/>
    <mergeCell ref="A356:A361"/>
    <mergeCell ref="B356:B361"/>
    <mergeCell ref="C356:C361"/>
    <mergeCell ref="D356:D361"/>
    <mergeCell ref="F356:F361"/>
    <mergeCell ref="G356:G361"/>
    <mergeCell ref="H356:H361"/>
    <mergeCell ref="I356:I361"/>
    <mergeCell ref="AF354:AF355"/>
    <mergeCell ref="AG354:AG355"/>
    <mergeCell ref="AH354:AH355"/>
    <mergeCell ref="AI354:AI355"/>
    <mergeCell ref="AJ354:AJ355"/>
    <mergeCell ref="AK354:AK355"/>
    <mergeCell ref="U354:Z354"/>
    <mergeCell ref="AA354:AA355"/>
    <mergeCell ref="AB354:AB355"/>
    <mergeCell ref="AC354:AC355"/>
    <mergeCell ref="AD354:AD355"/>
    <mergeCell ref="AE354:AE355"/>
    <mergeCell ref="O354:O355"/>
    <mergeCell ref="P354:P355"/>
    <mergeCell ref="Q354:Q355"/>
    <mergeCell ref="R354:R355"/>
    <mergeCell ref="S354:S355"/>
    <mergeCell ref="T354:T355"/>
    <mergeCell ref="I354:I355"/>
    <mergeCell ref="J354:J355"/>
    <mergeCell ref="K354:K355"/>
    <mergeCell ref="L354:L355"/>
    <mergeCell ref="M354:M355"/>
    <mergeCell ref="P356:P361"/>
    <mergeCell ref="Q356:Q361"/>
    <mergeCell ref="AL356:AL357"/>
    <mergeCell ref="A362:A367"/>
    <mergeCell ref="B362:B367"/>
    <mergeCell ref="C362:C367"/>
    <mergeCell ref="D362:D367"/>
    <mergeCell ref="F362:F367"/>
    <mergeCell ref="G362:G367"/>
    <mergeCell ref="H362:H363"/>
    <mergeCell ref="J356:J361"/>
    <mergeCell ref="K356:K361"/>
    <mergeCell ref="L356:L361"/>
    <mergeCell ref="M356:M361"/>
    <mergeCell ref="N356:N361"/>
    <mergeCell ref="O356:O361"/>
    <mergeCell ref="AL354:AL355"/>
    <mergeCell ref="N354:N355"/>
    <mergeCell ref="A354:A355"/>
    <mergeCell ref="B354:B355"/>
    <mergeCell ref="C354:C355"/>
    <mergeCell ref="D354:D355"/>
    <mergeCell ref="E354:E355"/>
    <mergeCell ref="F354:F355"/>
    <mergeCell ref="L368:L373"/>
    <mergeCell ref="O362:O367"/>
    <mergeCell ref="P362:P367"/>
    <mergeCell ref="Q362:Q367"/>
    <mergeCell ref="AH362:AH363"/>
    <mergeCell ref="AL362:AL363"/>
    <mergeCell ref="A368:A373"/>
    <mergeCell ref="B368:B373"/>
    <mergeCell ref="C368:C373"/>
    <mergeCell ref="D368:D373"/>
    <mergeCell ref="F368:F373"/>
    <mergeCell ref="I362:I367"/>
    <mergeCell ref="J362:J367"/>
    <mergeCell ref="K362:K367"/>
    <mergeCell ref="L362:L367"/>
    <mergeCell ref="M362:M367"/>
    <mergeCell ref="N362:N367"/>
    <mergeCell ref="M381:M382"/>
    <mergeCell ref="N381:N382"/>
    <mergeCell ref="A381:A382"/>
    <mergeCell ref="B381:B382"/>
    <mergeCell ref="C381:C382"/>
    <mergeCell ref="D381:D382"/>
    <mergeCell ref="E381:E382"/>
    <mergeCell ref="F381:F382"/>
    <mergeCell ref="A379:B379"/>
    <mergeCell ref="C379:AM379"/>
    <mergeCell ref="A380:J380"/>
    <mergeCell ref="K380:Q380"/>
    <mergeCell ref="R380:Z380"/>
    <mergeCell ref="AA380:AG380"/>
    <mergeCell ref="AH380:AM380"/>
    <mergeCell ref="AL368:AL369"/>
    <mergeCell ref="A374:AM375"/>
    <mergeCell ref="A377:B377"/>
    <mergeCell ref="C377:AM377"/>
    <mergeCell ref="A378:B378"/>
    <mergeCell ref="C378:AM378"/>
    <mergeCell ref="M368:M373"/>
    <mergeCell ref="N368:N373"/>
    <mergeCell ref="O368:O373"/>
    <mergeCell ref="P368:P373"/>
    <mergeCell ref="Q368:Q373"/>
    <mergeCell ref="AH368:AH369"/>
    <mergeCell ref="G368:G373"/>
    <mergeCell ref="H368:H369"/>
    <mergeCell ref="I368:I373"/>
    <mergeCell ref="J368:J373"/>
    <mergeCell ref="K368:K373"/>
    <mergeCell ref="AL381:AL382"/>
    <mergeCell ref="AM381:AM382"/>
    <mergeCell ref="A383:A388"/>
    <mergeCell ref="B383:B388"/>
    <mergeCell ref="C383:C388"/>
    <mergeCell ref="D383:D388"/>
    <mergeCell ref="F383:F388"/>
    <mergeCell ref="G383:G386"/>
    <mergeCell ref="H383:H388"/>
    <mergeCell ref="I383:I388"/>
    <mergeCell ref="AF381:AF382"/>
    <mergeCell ref="AG381:AG382"/>
    <mergeCell ref="AH381:AH382"/>
    <mergeCell ref="AI381:AI382"/>
    <mergeCell ref="AJ381:AJ382"/>
    <mergeCell ref="AK381:AK382"/>
    <mergeCell ref="U381:Z381"/>
    <mergeCell ref="AA381:AA382"/>
    <mergeCell ref="AB381:AB382"/>
    <mergeCell ref="AC381:AC382"/>
    <mergeCell ref="AD381:AD382"/>
    <mergeCell ref="AE381:AE382"/>
    <mergeCell ref="O381:O382"/>
    <mergeCell ref="P381:P382"/>
    <mergeCell ref="Q381:Q382"/>
    <mergeCell ref="R381:R382"/>
    <mergeCell ref="S381:S382"/>
    <mergeCell ref="T381:T382"/>
    <mergeCell ref="I381:I382"/>
    <mergeCell ref="J381:J382"/>
    <mergeCell ref="K381:K382"/>
    <mergeCell ref="L381:L382"/>
    <mergeCell ref="N389:N394"/>
    <mergeCell ref="O389:O394"/>
    <mergeCell ref="P389:P394"/>
    <mergeCell ref="Q389:Q394"/>
    <mergeCell ref="S389:S394"/>
    <mergeCell ref="H389:H394"/>
    <mergeCell ref="I389:I394"/>
    <mergeCell ref="J389:J394"/>
    <mergeCell ref="K389:K394"/>
    <mergeCell ref="L389:L394"/>
    <mergeCell ref="M389:M394"/>
    <mergeCell ref="P383:P388"/>
    <mergeCell ref="Q383:Q388"/>
    <mergeCell ref="AF383:AF386"/>
    <mergeCell ref="AG383:AG386"/>
    <mergeCell ref="A389:A394"/>
    <mergeCell ref="B389:B394"/>
    <mergeCell ref="C389:C394"/>
    <mergeCell ref="D389:D394"/>
    <mergeCell ref="F389:F394"/>
    <mergeCell ref="G389:G394"/>
    <mergeCell ref="J383:J388"/>
    <mergeCell ref="K383:K388"/>
    <mergeCell ref="L383:L388"/>
    <mergeCell ref="M383:M388"/>
    <mergeCell ref="N383:N388"/>
    <mergeCell ref="O383:O388"/>
  </mergeCells>
  <conditionalFormatting sqref="K9 K15">
    <cfRule type="cellIs" dxfId="2278" priority="597" operator="equal">
      <formula>"Baja"</formula>
    </cfRule>
    <cfRule type="cellIs" dxfId="2277" priority="598" operator="equal">
      <formula>"Muy Baja"</formula>
    </cfRule>
    <cfRule type="cellIs" dxfId="2276" priority="596" operator="equal">
      <formula>"Media"</formula>
    </cfRule>
    <cfRule type="cellIs" dxfId="2275" priority="595" operator="equal">
      <formula>"Alta"</formula>
    </cfRule>
    <cfRule type="cellIs" dxfId="2274" priority="594" operator="equal">
      <formula>"Muy Alta"</formula>
    </cfRule>
  </conditionalFormatting>
  <conditionalFormatting sqref="K30 K36 K42">
    <cfRule type="cellIs" dxfId="2273" priority="535" operator="equal">
      <formula>"Media"</formula>
    </cfRule>
    <cfRule type="cellIs" dxfId="2272" priority="536" operator="equal">
      <formula>"Baja"</formula>
    </cfRule>
    <cfRule type="cellIs" dxfId="2271" priority="533" operator="equal">
      <formula>"Muy Alta"</formula>
    </cfRule>
    <cfRule type="cellIs" dxfId="2270" priority="534" operator="equal">
      <formula>"Alta"</formula>
    </cfRule>
    <cfRule type="cellIs" dxfId="2269" priority="537" operator="equal">
      <formula>"Muy Baja"</formula>
    </cfRule>
  </conditionalFormatting>
  <conditionalFormatting sqref="K54 AB54:AB57 K57">
    <cfRule type="cellIs" dxfId="2268" priority="516" operator="equal">
      <formula>"Media"</formula>
    </cfRule>
    <cfRule type="cellIs" dxfId="2267" priority="515" operator="equal">
      <formula>"Alta"</formula>
    </cfRule>
    <cfRule type="cellIs" dxfId="2266" priority="514" operator="equal">
      <formula>"Muy Alta"</formula>
    </cfRule>
    <cfRule type="cellIs" dxfId="2265" priority="518" operator="equal">
      <formula>"Muy Baja"</formula>
    </cfRule>
    <cfRule type="cellIs" dxfId="2264" priority="517" operator="equal">
      <formula>"Baja"</formula>
    </cfRule>
  </conditionalFormatting>
  <conditionalFormatting sqref="K68">
    <cfRule type="cellIs" dxfId="2263" priority="471" operator="equal">
      <formula>"Muy Alta"</formula>
    </cfRule>
    <cfRule type="cellIs" dxfId="2262" priority="472" operator="equal">
      <formula>"Alta"</formula>
    </cfRule>
    <cfRule type="cellIs" dxfId="2261" priority="473" operator="equal">
      <formula>"Media"</formula>
    </cfRule>
    <cfRule type="cellIs" dxfId="2260" priority="474" operator="equal">
      <formula>"Baja"</formula>
    </cfRule>
    <cfRule type="cellIs" dxfId="2259" priority="475" operator="equal">
      <formula>"Muy Baja"</formula>
    </cfRule>
  </conditionalFormatting>
  <conditionalFormatting sqref="K70">
    <cfRule type="cellIs" dxfId="2258" priority="506" operator="equal">
      <formula>"Media"</formula>
    </cfRule>
    <cfRule type="cellIs" dxfId="2257" priority="504" operator="equal">
      <formula>"Muy Alta"</formula>
    </cfRule>
    <cfRule type="cellIs" dxfId="2256" priority="505" operator="equal">
      <formula>"Alta"</formula>
    </cfRule>
    <cfRule type="cellIs" dxfId="2255" priority="507" operator="equal">
      <formula>"Baja"</formula>
    </cfRule>
    <cfRule type="cellIs" dxfId="2254" priority="508" operator="equal">
      <formula>"Muy Baja"</formula>
    </cfRule>
  </conditionalFormatting>
  <conditionalFormatting sqref="K72">
    <cfRule type="cellIs" dxfId="2253" priority="511" operator="equal">
      <formula>"Media"</formula>
    </cfRule>
    <cfRule type="cellIs" dxfId="2252" priority="509" operator="equal">
      <formula>"Muy Alta"</formula>
    </cfRule>
    <cfRule type="cellIs" dxfId="2251" priority="510" operator="equal">
      <formula>"Alta"</formula>
    </cfRule>
    <cfRule type="cellIs" dxfId="2250" priority="513" operator="equal">
      <formula>"Muy Baja"</formula>
    </cfRule>
    <cfRule type="cellIs" dxfId="2249" priority="512" operator="equal">
      <formula>"Baja"</formula>
    </cfRule>
  </conditionalFormatting>
  <conditionalFormatting sqref="K89 AB89:AB95 K92 K94">
    <cfRule type="cellIs" dxfId="2248" priority="467" operator="equal">
      <formula>"Alta"</formula>
    </cfRule>
    <cfRule type="cellIs" dxfId="2247" priority="470" operator="equal">
      <formula>"Muy Baja"</formula>
    </cfRule>
    <cfRule type="cellIs" dxfId="2246" priority="466" operator="equal">
      <formula>"Muy Alta"</formula>
    </cfRule>
    <cfRule type="cellIs" dxfId="2245" priority="469" operator="equal">
      <formula>"Baja"</formula>
    </cfRule>
    <cfRule type="cellIs" dxfId="2244" priority="468" operator="equal">
      <formula>"Media"</formula>
    </cfRule>
  </conditionalFormatting>
  <conditionalFormatting sqref="K105">
    <cfRule type="cellIs" dxfId="2243" priority="444" operator="equal">
      <formula>"Alta"</formula>
    </cfRule>
    <cfRule type="cellIs" dxfId="2242" priority="445" operator="equal">
      <formula>"Media"</formula>
    </cfRule>
    <cfRule type="cellIs" dxfId="2241" priority="446" operator="equal">
      <formula>"Baja"</formula>
    </cfRule>
    <cfRule type="cellIs" dxfId="2240" priority="443" operator="equal">
      <formula>"Muy Alta"</formula>
    </cfRule>
    <cfRule type="cellIs" dxfId="2239" priority="447" operator="equal">
      <formula>"Muy Baja"</formula>
    </cfRule>
  </conditionalFormatting>
  <conditionalFormatting sqref="K120">
    <cfRule type="cellIs" dxfId="2238" priority="415" operator="equal">
      <formula>"Alta"</formula>
    </cfRule>
    <cfRule type="cellIs" dxfId="2237" priority="414" operator="equal">
      <formula>"Muy Alta"</formula>
    </cfRule>
    <cfRule type="cellIs" dxfId="2236" priority="416" operator="equal">
      <formula>"Media"</formula>
    </cfRule>
    <cfRule type="cellIs" dxfId="2235" priority="417" operator="equal">
      <formula>"Baja"</formula>
    </cfRule>
    <cfRule type="cellIs" dxfId="2234" priority="418" operator="equal">
      <formula>"Muy Baja"</formula>
    </cfRule>
  </conditionalFormatting>
  <conditionalFormatting sqref="K135 AB135:AB137 K137 K143 K149">
    <cfRule type="cellIs" dxfId="2233" priority="388" operator="equal">
      <formula>"Baja"</formula>
    </cfRule>
    <cfRule type="cellIs" dxfId="2232" priority="387" operator="equal">
      <formula>"Media"</formula>
    </cfRule>
    <cfRule type="cellIs" dxfId="2231" priority="389" operator="equal">
      <formula>"Muy Baja"</formula>
    </cfRule>
    <cfRule type="cellIs" dxfId="2230" priority="385" operator="equal">
      <formula>"Muy Alta"</formula>
    </cfRule>
    <cfRule type="cellIs" dxfId="2229" priority="386" operator="equal">
      <formula>"Alta"</formula>
    </cfRule>
  </conditionalFormatting>
  <conditionalFormatting sqref="K164 AB164:AB167 K166">
    <cfRule type="cellIs" dxfId="2228" priority="360" operator="equal">
      <formula>"Muy Baja"</formula>
    </cfRule>
    <cfRule type="cellIs" dxfId="2227" priority="359" operator="equal">
      <formula>"Baja"</formula>
    </cfRule>
    <cfRule type="cellIs" dxfId="2226" priority="358" operator="equal">
      <formula>"Media"</formula>
    </cfRule>
    <cfRule type="cellIs" dxfId="2225" priority="357" operator="equal">
      <formula>"Alta"</formula>
    </cfRule>
    <cfRule type="cellIs" dxfId="2224" priority="356" operator="equal">
      <formula>"Muy Alta"</formula>
    </cfRule>
  </conditionalFormatting>
  <conditionalFormatting sqref="K177 AB177:AB182">
    <cfRule type="cellIs" dxfId="2223" priority="342" operator="equal">
      <formula>"Alta"</formula>
    </cfRule>
    <cfRule type="cellIs" dxfId="2222" priority="341" operator="equal">
      <formula>"Muy Alta"</formula>
    </cfRule>
    <cfRule type="cellIs" dxfId="2221" priority="343" operator="equal">
      <formula>"Media"</formula>
    </cfRule>
    <cfRule type="cellIs" dxfId="2220" priority="344" operator="equal">
      <formula>"Baja"</formula>
    </cfRule>
    <cfRule type="cellIs" dxfId="2219" priority="345" operator="equal">
      <formula>"Muy Baja"</formula>
    </cfRule>
  </conditionalFormatting>
  <conditionalFormatting sqref="K192 AB192:AB196">
    <cfRule type="cellIs" dxfId="2218" priority="329" operator="equal">
      <formula>"Baja"</formula>
    </cfRule>
    <cfRule type="cellIs" dxfId="2217" priority="328" operator="equal">
      <formula>"Media"</formula>
    </cfRule>
    <cfRule type="cellIs" dxfId="2216" priority="330" operator="equal">
      <formula>"Muy Baja"</formula>
    </cfRule>
    <cfRule type="cellIs" dxfId="2215" priority="327" operator="equal">
      <formula>"Alta"</formula>
    </cfRule>
    <cfRule type="cellIs" dxfId="2214" priority="326" operator="equal">
      <formula>"Muy Alta"</formula>
    </cfRule>
  </conditionalFormatting>
  <conditionalFormatting sqref="K206:K207 K211">
    <cfRule type="cellIs" dxfId="2213" priority="312" operator="equal">
      <formula>"Alta"</formula>
    </cfRule>
    <cfRule type="cellIs" dxfId="2212" priority="315" operator="equal">
      <formula>"Muy Baja"</formula>
    </cfRule>
    <cfRule type="cellIs" dxfId="2211" priority="313" operator="equal">
      <formula>"Media"</formula>
    </cfRule>
    <cfRule type="cellIs" dxfId="2210" priority="314" operator="equal">
      <formula>"Baja"</formula>
    </cfRule>
    <cfRule type="cellIs" dxfId="2209" priority="311" operator="equal">
      <formula>"Muy Alta"</formula>
    </cfRule>
  </conditionalFormatting>
  <conditionalFormatting sqref="K226 AB226:AB244 K232:K233 K239">
    <cfRule type="cellIs" dxfId="2208" priority="265" operator="equal">
      <formula>"Alta"</formula>
    </cfRule>
    <cfRule type="cellIs" dxfId="2207" priority="268" operator="equal">
      <formula>"Muy Baja"</formula>
    </cfRule>
    <cfRule type="cellIs" dxfId="2206" priority="264" operator="equal">
      <formula>"Muy Alta"</formula>
    </cfRule>
    <cfRule type="cellIs" dxfId="2205" priority="266" operator="equal">
      <formula>"Media"</formula>
    </cfRule>
    <cfRule type="cellIs" dxfId="2204" priority="267" operator="equal">
      <formula>"Baja"</formula>
    </cfRule>
  </conditionalFormatting>
  <conditionalFormatting sqref="K254">
    <cfRule type="cellIs" dxfId="2203" priority="249" operator="equal">
      <formula>"Muy Baja"</formula>
    </cfRule>
    <cfRule type="cellIs" dxfId="2202" priority="247" operator="equal">
      <formula>"Media"</formula>
    </cfRule>
    <cfRule type="cellIs" dxfId="2201" priority="248" operator="equal">
      <formula>"Baja"</formula>
    </cfRule>
    <cfRule type="cellIs" dxfId="2200" priority="246" operator="equal">
      <formula>"Alta"</formula>
    </cfRule>
    <cfRule type="cellIs" dxfId="2199" priority="245" operator="equal">
      <formula>"Muy Alta"</formula>
    </cfRule>
  </conditionalFormatting>
  <conditionalFormatting sqref="K269">
    <cfRule type="cellIs" dxfId="2198" priority="216" operator="equal">
      <formula>"Muy Alta"</formula>
    </cfRule>
    <cfRule type="cellIs" dxfId="2197" priority="220" operator="equal">
      <formula>"Muy Baja"</formula>
    </cfRule>
    <cfRule type="cellIs" dxfId="2196" priority="219" operator="equal">
      <formula>"Baja"</formula>
    </cfRule>
    <cfRule type="cellIs" dxfId="2195" priority="218" operator="equal">
      <formula>"Media"</formula>
    </cfRule>
    <cfRule type="cellIs" dxfId="2194" priority="217" operator="equal">
      <formula>"Alta"</formula>
    </cfRule>
  </conditionalFormatting>
  <conditionalFormatting sqref="K281:K284 K290">
    <cfRule type="cellIs" dxfId="2193" priority="191" operator="equal">
      <formula>"Muy Baja"</formula>
    </cfRule>
    <cfRule type="cellIs" dxfId="2192" priority="190" operator="equal">
      <formula>"Baja"</formula>
    </cfRule>
    <cfRule type="cellIs" dxfId="2191" priority="189" operator="equal">
      <formula>"Media"</formula>
    </cfRule>
    <cfRule type="cellIs" dxfId="2190" priority="188" operator="equal">
      <formula>"Alta"</formula>
    </cfRule>
    <cfRule type="cellIs" dxfId="2189" priority="187" operator="equal">
      <formula>"Muy Alta"</formula>
    </cfRule>
  </conditionalFormatting>
  <conditionalFormatting sqref="K305">
    <cfRule type="cellIs" dxfId="2188" priority="184" operator="equal">
      <formula>"Baja"</formula>
    </cfRule>
    <cfRule type="cellIs" dxfId="2187" priority="183" operator="equal">
      <formula>"Media"</formula>
    </cfRule>
    <cfRule type="cellIs" dxfId="2186" priority="182" operator="equal">
      <formula>"Alta"</formula>
    </cfRule>
    <cfRule type="cellIs" dxfId="2185" priority="181" operator="equal">
      <formula>"Muy Alta"</formula>
    </cfRule>
    <cfRule type="cellIs" dxfId="2184" priority="185" operator="equal">
      <formula>"Muy Baja"</formula>
    </cfRule>
  </conditionalFormatting>
  <conditionalFormatting sqref="K320 AB320:AB333 K324 K328 K331">
    <cfRule type="cellIs" dxfId="2183" priority="133" operator="equal">
      <formula>"Muy Alta"</formula>
    </cfRule>
    <cfRule type="cellIs" dxfId="2182" priority="135" operator="equal">
      <formula>"Media"</formula>
    </cfRule>
    <cfRule type="cellIs" dxfId="2181" priority="136" operator="equal">
      <formula>"Baja"</formula>
    </cfRule>
    <cfRule type="cellIs" dxfId="2180" priority="134" operator="equal">
      <formula>"Alta"</formula>
    </cfRule>
    <cfRule type="cellIs" dxfId="2179" priority="137" operator="equal">
      <formula>"Muy Baja"</formula>
    </cfRule>
  </conditionalFormatting>
  <conditionalFormatting sqref="K343">
    <cfRule type="cellIs" dxfId="2178" priority="118" operator="equal">
      <formula>"Muy Baja"</formula>
    </cfRule>
    <cfRule type="cellIs" dxfId="2177" priority="115" operator="equal">
      <formula>"Alta"</formula>
    </cfRule>
    <cfRule type="cellIs" dxfId="2176" priority="114" operator="equal">
      <formula>"Muy Alta"</formula>
    </cfRule>
    <cfRule type="cellIs" dxfId="2175" priority="116" operator="equal">
      <formula>"Media"</formula>
    </cfRule>
    <cfRule type="cellIs" dxfId="2174" priority="117" operator="equal">
      <formula>"Baja"</formula>
    </cfRule>
  </conditionalFormatting>
  <conditionalFormatting sqref="K356 K362 K368">
    <cfRule type="cellIs" dxfId="2173" priority="86" operator="equal">
      <formula>"Alta"</formula>
    </cfRule>
    <cfRule type="cellIs" dxfId="2172" priority="88" operator="equal">
      <formula>"Baja"</formula>
    </cfRule>
    <cfRule type="cellIs" dxfId="2171" priority="89" operator="equal">
      <formula>"Muy Baja"</formula>
    </cfRule>
    <cfRule type="cellIs" dxfId="2170" priority="87" operator="equal">
      <formula>"Media"</formula>
    </cfRule>
    <cfRule type="cellIs" dxfId="2169" priority="85" operator="equal">
      <formula>"Muy Alta"</formula>
    </cfRule>
  </conditionalFormatting>
  <conditionalFormatting sqref="K383 K389">
    <cfRule type="cellIs" dxfId="2168" priority="55" operator="equal">
      <formula>"Baja"</formula>
    </cfRule>
    <cfRule type="cellIs" dxfId="2167" priority="56" operator="equal">
      <formula>"Muy Baja"</formula>
    </cfRule>
    <cfRule type="cellIs" dxfId="2166" priority="54" operator="equal">
      <formula>"Media"</formula>
    </cfRule>
    <cfRule type="cellIs" dxfId="2165" priority="53" operator="equal">
      <formula>"Alta"</formula>
    </cfRule>
    <cfRule type="cellIs" dxfId="2164" priority="52" operator="equal">
      <formula>"Muy Alta"</formula>
    </cfRule>
  </conditionalFormatting>
  <conditionalFormatting sqref="K404 AB404:AB412 K409">
    <cfRule type="cellIs" dxfId="2163" priority="16" operator="equal">
      <formula>"Alta"</formula>
    </cfRule>
    <cfRule type="cellIs" dxfId="2162" priority="15" operator="equal">
      <formula>"Muy Alta"</formula>
    </cfRule>
    <cfRule type="cellIs" dxfId="2161" priority="18" operator="equal">
      <formula>"Baja"</formula>
    </cfRule>
    <cfRule type="cellIs" dxfId="2160" priority="17" operator="equal">
      <formula>"Media"</formula>
    </cfRule>
    <cfRule type="cellIs" dxfId="2159" priority="19" operator="equal">
      <formula>"Muy Baja"</formula>
    </cfRule>
  </conditionalFormatting>
  <conditionalFormatting sqref="M413:M1287">
    <cfRule type="containsText" dxfId="2158" priority="1567" operator="containsText" text="❌">
      <formula>NOT(ISERROR(SEARCH("❌",M413)))</formula>
    </cfRule>
  </conditionalFormatting>
  <conditionalFormatting sqref="N9:N20">
    <cfRule type="containsText" dxfId="2157" priority="580" operator="containsText" text="❌">
      <formula>NOT(ISERROR(SEARCH("❌",N9)))</formula>
    </cfRule>
  </conditionalFormatting>
  <conditionalFormatting sqref="N30:N47">
    <cfRule type="containsText" dxfId="2156" priority="565" operator="containsText" text="❌">
      <formula>NOT(ISERROR(SEARCH("❌",N30)))</formula>
    </cfRule>
  </conditionalFormatting>
  <conditionalFormatting sqref="N54:N58">
    <cfRule type="containsText" dxfId="2155" priority="519" operator="containsText" text="❌">
      <formula>NOT(ISERROR(SEARCH(("❌"),(N54))))</formula>
    </cfRule>
  </conditionalFormatting>
  <conditionalFormatting sqref="N68:N79">
    <cfRule type="containsText" dxfId="2154" priority="476" operator="containsText" text="❌">
      <formula>NOT(ISERROR(SEARCH(("❌"),(N68))))</formula>
    </cfRule>
  </conditionalFormatting>
  <conditionalFormatting sqref="N89:N95">
    <cfRule type="containsText" dxfId="2153" priority="452" operator="containsText" text="❌">
      <formula>NOT(ISERROR(SEARCH("❌",N89)))</formula>
    </cfRule>
  </conditionalFormatting>
  <conditionalFormatting sqref="N105:N110">
    <cfRule type="containsText" dxfId="2152" priority="419" operator="containsText" text="❌">
      <formula>NOT(ISERROR(SEARCH("❌",N105)))</formula>
    </cfRule>
  </conditionalFormatting>
  <conditionalFormatting sqref="N120:N125">
    <cfRule type="containsText" dxfId="2151" priority="404" operator="containsText" text="❌">
      <formula>NOT(ISERROR(SEARCH("❌",N120)))</formula>
    </cfRule>
  </conditionalFormatting>
  <conditionalFormatting sqref="N135:N154">
    <cfRule type="containsText" dxfId="2150" priority="371" operator="containsText" text="❌">
      <formula>NOT(ISERROR(SEARCH("❌",N135)))</formula>
    </cfRule>
  </conditionalFormatting>
  <conditionalFormatting sqref="N164:N167">
    <cfRule type="containsText" dxfId="2149" priority="346" operator="containsText" text="❌">
      <formula>NOT(ISERROR(SEARCH("❌",N164)))</formula>
    </cfRule>
  </conditionalFormatting>
  <conditionalFormatting sqref="N177:N182">
    <cfRule type="containsText" dxfId="2148" priority="331" operator="containsText" text="❌">
      <formula>NOT(ISERROR(SEARCH("❌",N177)))</formula>
    </cfRule>
  </conditionalFormatting>
  <conditionalFormatting sqref="N192:N196">
    <cfRule type="containsText" dxfId="2147" priority="316" operator="containsText" text="❌">
      <formula>NOT(ISERROR(SEARCH("❌",N192)))</formula>
    </cfRule>
  </conditionalFormatting>
  <conditionalFormatting sqref="N206:N216">
    <cfRule type="containsText" dxfId="2146" priority="283" operator="containsText" text="❌">
      <formula>NOT(ISERROR(SEARCH("❌",N206)))</formula>
    </cfRule>
  </conditionalFormatting>
  <conditionalFormatting sqref="N226:N244">
    <cfRule type="containsText" dxfId="2145" priority="250" operator="containsText" text="❌">
      <formula>NOT(ISERROR(SEARCH("❌",N226)))</formula>
    </cfRule>
  </conditionalFormatting>
  <conditionalFormatting sqref="N254:N259">
    <cfRule type="containsText" dxfId="2144" priority="235" operator="containsText" text="❌">
      <formula>NOT(ISERROR(SEARCH("❌",N254)))</formula>
    </cfRule>
  </conditionalFormatting>
  <conditionalFormatting sqref="N269:N271">
    <cfRule type="containsText" dxfId="2143" priority="206" operator="containsText" text="❌">
      <formula>NOT(ISERROR(SEARCH("❌",N269)))</formula>
    </cfRule>
  </conditionalFormatting>
  <conditionalFormatting sqref="N281:N295">
    <cfRule type="containsText" dxfId="2142" priority="186" operator="containsText" text="❌">
      <formula>NOT(ISERROR(SEARCH("❌",N281)))</formula>
    </cfRule>
  </conditionalFormatting>
  <conditionalFormatting sqref="N305:N310">
    <cfRule type="containsText" dxfId="2141" priority="171" operator="containsText" text="❌">
      <formula>NOT(ISERROR(SEARCH("❌",N305)))</formula>
    </cfRule>
  </conditionalFormatting>
  <conditionalFormatting sqref="N320:N333">
    <cfRule type="containsText" dxfId="2140" priority="119" operator="containsText" text="❌">
      <formula>NOT(ISERROR(SEARCH("❌",N320)))</formula>
    </cfRule>
  </conditionalFormatting>
  <conditionalFormatting sqref="N343:N346">
    <cfRule type="containsText" dxfId="2139" priority="104" operator="containsText" text="❌">
      <formula>NOT(ISERROR(SEARCH("❌",N343)))</formula>
    </cfRule>
  </conditionalFormatting>
  <conditionalFormatting sqref="N356:N373">
    <cfRule type="containsText" dxfId="2138" priority="71" operator="containsText" text="❌">
      <formula>NOT(ISERROR(SEARCH("❌",N356)))</formula>
    </cfRule>
  </conditionalFormatting>
  <conditionalFormatting sqref="N383:N394">
    <cfRule type="containsText" dxfId="2137" priority="34" operator="containsText" text="❌">
      <formula>NOT(ISERROR(SEARCH("❌",N383)))</formula>
    </cfRule>
  </conditionalFormatting>
  <conditionalFormatting sqref="N404:N412">
    <cfRule type="containsText" dxfId="2136" priority="1" operator="containsText" text="❌">
      <formula>NOT(ISERROR(SEARCH("❌",N404)))</formula>
    </cfRule>
  </conditionalFormatting>
  <conditionalFormatting sqref="O9 O15">
    <cfRule type="cellIs" dxfId="2135" priority="590" operator="equal">
      <formula>"Mayor"</formula>
    </cfRule>
    <cfRule type="cellIs" dxfId="2134" priority="591" operator="equal">
      <formula>"Moderado"</formula>
    </cfRule>
    <cfRule type="cellIs" dxfId="2133" priority="589" operator="equal">
      <formula>"Catastrófico"</formula>
    </cfRule>
    <cfRule type="cellIs" dxfId="2132" priority="593" operator="equal">
      <formula>"Leve"</formula>
    </cfRule>
    <cfRule type="cellIs" dxfId="2131" priority="592" operator="equal">
      <formula>"Menor"</formula>
    </cfRule>
  </conditionalFormatting>
  <conditionalFormatting sqref="O30 O36 O42">
    <cfRule type="cellIs" dxfId="2130" priority="539" operator="equal">
      <formula>"Mayor"</formula>
    </cfRule>
    <cfRule type="cellIs" dxfId="2129" priority="538" operator="equal">
      <formula>"Catastrófico"</formula>
    </cfRule>
    <cfRule type="cellIs" dxfId="2128" priority="540" operator="equal">
      <formula>"Moderado"</formula>
    </cfRule>
    <cfRule type="cellIs" dxfId="2127" priority="541" operator="equal">
      <formula>"Menor"</formula>
    </cfRule>
    <cfRule type="cellIs" dxfId="2126" priority="542" operator="equal">
      <formula>"Leve"</formula>
    </cfRule>
  </conditionalFormatting>
  <conditionalFormatting sqref="O54 AD54:AD57 O57">
    <cfRule type="cellIs" dxfId="2125" priority="524" operator="equal">
      <formula>"Leve"</formula>
    </cfRule>
    <cfRule type="cellIs" dxfId="2124" priority="523" operator="equal">
      <formula>"Menor"</formula>
    </cfRule>
    <cfRule type="cellIs" dxfId="2123" priority="522" operator="equal">
      <formula>"Moderado"</formula>
    </cfRule>
    <cfRule type="cellIs" dxfId="2122" priority="521" operator="equal">
      <formula>"Mayor"</formula>
    </cfRule>
    <cfRule type="cellIs" dxfId="2121" priority="520" operator="equal">
      <formula>"Catastrófico"</formula>
    </cfRule>
  </conditionalFormatting>
  <conditionalFormatting sqref="O68 O72">
    <cfRule type="cellIs" dxfId="2120" priority="478" operator="equal">
      <formula>"Mayor"</formula>
    </cfRule>
    <cfRule type="cellIs" dxfId="2119" priority="477" operator="equal">
      <formula>"Catastrófico"</formula>
    </cfRule>
    <cfRule type="cellIs" dxfId="2118" priority="481" operator="equal">
      <formula>"Leve"</formula>
    </cfRule>
    <cfRule type="cellIs" dxfId="2117" priority="480" operator="equal">
      <formula>"Menor"</formula>
    </cfRule>
    <cfRule type="cellIs" dxfId="2116" priority="479" operator="equal">
      <formula>"Moderado"</formula>
    </cfRule>
  </conditionalFormatting>
  <conditionalFormatting sqref="O89 AD89:AD95 O92 O94">
    <cfRule type="cellIs" dxfId="2115" priority="462" operator="equal">
      <formula>"Mayor"</formula>
    </cfRule>
    <cfRule type="cellIs" dxfId="2114" priority="463" operator="equal">
      <formula>"Moderado"</formula>
    </cfRule>
    <cfRule type="cellIs" dxfId="2113" priority="465" operator="equal">
      <formula>"Leve"</formula>
    </cfRule>
    <cfRule type="cellIs" dxfId="2112" priority="464" operator="equal">
      <formula>"Menor"</formula>
    </cfRule>
    <cfRule type="cellIs" dxfId="2111" priority="461" operator="equal">
      <formula>"Catastrófico"</formula>
    </cfRule>
  </conditionalFormatting>
  <conditionalFormatting sqref="O105">
    <cfRule type="cellIs" dxfId="2110" priority="439" operator="equal">
      <formula>"Mayor"</formula>
    </cfRule>
    <cfRule type="cellIs" dxfId="2109" priority="440" operator="equal">
      <formula>"Moderado"</formula>
    </cfRule>
    <cfRule type="cellIs" dxfId="2108" priority="441" operator="equal">
      <formula>"Menor"</formula>
    </cfRule>
    <cfRule type="cellIs" dxfId="2107" priority="442" operator="equal">
      <formula>"Leve"</formula>
    </cfRule>
    <cfRule type="cellIs" dxfId="2106" priority="438" operator="equal">
      <formula>"Catastrófico"</formula>
    </cfRule>
  </conditionalFormatting>
  <conditionalFormatting sqref="O120">
    <cfRule type="cellIs" dxfId="2105" priority="409" operator="equal">
      <formula>"Catastrófico"</formula>
    </cfRule>
    <cfRule type="cellIs" dxfId="2104" priority="413" operator="equal">
      <formula>"Leve"</formula>
    </cfRule>
    <cfRule type="cellIs" dxfId="2103" priority="412" operator="equal">
      <formula>"Menor"</formula>
    </cfRule>
    <cfRule type="cellIs" dxfId="2102" priority="411" operator="equal">
      <formula>"Moderado"</formula>
    </cfRule>
    <cfRule type="cellIs" dxfId="2101" priority="410" operator="equal">
      <formula>"Mayor"</formula>
    </cfRule>
  </conditionalFormatting>
  <conditionalFormatting sqref="O135 AD135:AD137 O137 O143 O149">
    <cfRule type="cellIs" dxfId="2100" priority="382" operator="equal">
      <formula>"Moderado"</formula>
    </cfRule>
    <cfRule type="cellIs" dxfId="2099" priority="383" operator="equal">
      <formula>"Menor"</formula>
    </cfRule>
    <cfRule type="cellIs" dxfId="2098" priority="380" operator="equal">
      <formula>"Catastrófico"</formula>
    </cfRule>
    <cfRule type="cellIs" dxfId="2097" priority="381" operator="equal">
      <formula>"Mayor"</formula>
    </cfRule>
    <cfRule type="cellIs" dxfId="2096" priority="384" operator="equal">
      <formula>"Leve"</formula>
    </cfRule>
  </conditionalFormatting>
  <conditionalFormatting sqref="O164 AD164:AD167 O166">
    <cfRule type="cellIs" dxfId="2095" priority="355" operator="equal">
      <formula>"Leve"</formula>
    </cfRule>
    <cfRule type="cellIs" dxfId="2094" priority="354" operator="equal">
      <formula>"Menor"</formula>
    </cfRule>
    <cfRule type="cellIs" dxfId="2093" priority="351" operator="equal">
      <formula>"Catastrófico"</formula>
    </cfRule>
    <cfRule type="cellIs" dxfId="2092" priority="352" operator="equal">
      <formula>"Mayor"</formula>
    </cfRule>
    <cfRule type="cellIs" dxfId="2091" priority="353" operator="equal">
      <formula>"Moderado"</formula>
    </cfRule>
  </conditionalFormatting>
  <conditionalFormatting sqref="O177 AD177:AD182">
    <cfRule type="cellIs" dxfId="2090" priority="337" operator="equal">
      <formula>"Mayor"</formula>
    </cfRule>
    <cfRule type="cellIs" dxfId="2089" priority="336" operator="equal">
      <formula>"Catastrófico"</formula>
    </cfRule>
    <cfRule type="cellIs" dxfId="2088" priority="338" operator="equal">
      <formula>"Moderado"</formula>
    </cfRule>
    <cfRule type="cellIs" dxfId="2087" priority="339" operator="equal">
      <formula>"Menor"</formula>
    </cfRule>
    <cfRule type="cellIs" dxfId="2086" priority="340" operator="equal">
      <formula>"Leve"</formula>
    </cfRule>
  </conditionalFormatting>
  <conditionalFormatting sqref="O192 AD192:AD196">
    <cfRule type="cellIs" dxfId="2085" priority="323" operator="equal">
      <formula>"Moderado"</formula>
    </cfRule>
    <cfRule type="cellIs" dxfId="2084" priority="324" operator="equal">
      <formula>"Menor"</formula>
    </cfRule>
    <cfRule type="cellIs" dxfId="2083" priority="325" operator="equal">
      <formula>"Leve"</formula>
    </cfRule>
    <cfRule type="cellIs" dxfId="2082" priority="322" operator="equal">
      <formula>"Mayor"</formula>
    </cfRule>
    <cfRule type="cellIs" dxfId="2081" priority="321" operator="equal">
      <formula>"Catastrófico"</formula>
    </cfRule>
  </conditionalFormatting>
  <conditionalFormatting sqref="O206:O207 O211">
    <cfRule type="cellIs" dxfId="2080" priority="310" operator="equal">
      <formula>"Leve"</formula>
    </cfRule>
    <cfRule type="cellIs" dxfId="2079" priority="306" operator="equal">
      <formula>"Catastrófico"</formula>
    </cfRule>
    <cfRule type="cellIs" dxfId="2078" priority="307" operator="equal">
      <formula>"Mayor"</formula>
    </cfRule>
    <cfRule type="cellIs" dxfId="2077" priority="308" operator="equal">
      <formula>"Moderado"</formula>
    </cfRule>
    <cfRule type="cellIs" dxfId="2076" priority="309" operator="equal">
      <formula>"Menor"</formula>
    </cfRule>
  </conditionalFormatting>
  <conditionalFormatting sqref="O226 AD226:AD244 O232:O233 O239">
    <cfRule type="cellIs" dxfId="2075" priority="259" operator="equal">
      <formula>"Catastrófico"</formula>
    </cfRule>
    <cfRule type="cellIs" dxfId="2074" priority="260" operator="equal">
      <formula>"Mayor"</formula>
    </cfRule>
    <cfRule type="cellIs" dxfId="2073" priority="261" operator="equal">
      <formula>"Moderado"</formula>
    </cfRule>
    <cfRule type="cellIs" dxfId="2072" priority="263" operator="equal">
      <formula>"Leve"</formula>
    </cfRule>
    <cfRule type="cellIs" dxfId="2071" priority="262" operator="equal">
      <formula>"Menor"</formula>
    </cfRule>
  </conditionalFormatting>
  <conditionalFormatting sqref="O254">
    <cfRule type="cellIs" dxfId="2070" priority="243" operator="equal">
      <formula>"Menor"</formula>
    </cfRule>
    <cfRule type="cellIs" dxfId="2069" priority="242" operator="equal">
      <formula>"Moderado"</formula>
    </cfRule>
    <cfRule type="cellIs" dxfId="2068" priority="244" operator="equal">
      <formula>"Leve"</formula>
    </cfRule>
    <cfRule type="cellIs" dxfId="2067" priority="240" operator="equal">
      <formula>"Catastrófico"</formula>
    </cfRule>
    <cfRule type="cellIs" dxfId="2066" priority="241" operator="equal">
      <formula>"Mayor"</formula>
    </cfRule>
  </conditionalFormatting>
  <conditionalFormatting sqref="O269">
    <cfRule type="cellIs" dxfId="2065" priority="212" operator="equal">
      <formula>"Mayor"</formula>
    </cfRule>
    <cfRule type="cellIs" dxfId="2064" priority="215" operator="equal">
      <formula>"Leve"</formula>
    </cfRule>
    <cfRule type="cellIs" dxfId="2063" priority="214" operator="equal">
      <formula>"Menor"</formula>
    </cfRule>
    <cfRule type="cellIs" dxfId="2062" priority="211" operator="equal">
      <formula>"Catastrófico"</formula>
    </cfRule>
    <cfRule type="cellIs" dxfId="2061" priority="213" operator="equal">
      <formula>"Moderado"</formula>
    </cfRule>
  </conditionalFormatting>
  <conditionalFormatting sqref="O305">
    <cfRule type="cellIs" dxfId="2060" priority="176" operator="equal">
      <formula>"Catastrófico"</formula>
    </cfRule>
    <cfRule type="cellIs" dxfId="2059" priority="177" operator="equal">
      <formula>"Mayor"</formula>
    </cfRule>
    <cfRule type="cellIs" dxfId="2058" priority="180" operator="equal">
      <formula>"Leve"</formula>
    </cfRule>
    <cfRule type="cellIs" dxfId="2057" priority="178" operator="equal">
      <formula>"Moderado"</formula>
    </cfRule>
    <cfRule type="cellIs" dxfId="2056" priority="179" operator="equal">
      <formula>"Menor"</formula>
    </cfRule>
  </conditionalFormatting>
  <conditionalFormatting sqref="O320 AD320:AD333 O324 O328 O331">
    <cfRule type="cellIs" dxfId="2055" priority="129" operator="equal">
      <formula>"Mayor"</formula>
    </cfRule>
    <cfRule type="cellIs" dxfId="2054" priority="130" operator="equal">
      <formula>"Moderado"</formula>
    </cfRule>
    <cfRule type="cellIs" dxfId="2053" priority="128" operator="equal">
      <formula>"Catastrófico"</formula>
    </cfRule>
    <cfRule type="cellIs" dxfId="2052" priority="132" operator="equal">
      <formula>"Leve"</formula>
    </cfRule>
    <cfRule type="cellIs" dxfId="2051" priority="131" operator="equal">
      <formula>"Menor"</formula>
    </cfRule>
  </conditionalFormatting>
  <conditionalFormatting sqref="O343">
    <cfRule type="cellIs" dxfId="2050" priority="111" operator="equal">
      <formula>"Moderado"</formula>
    </cfRule>
    <cfRule type="cellIs" dxfId="2049" priority="112" operator="equal">
      <formula>"Menor"</formula>
    </cfRule>
    <cfRule type="cellIs" dxfId="2048" priority="113" operator="equal">
      <formula>"Leve"</formula>
    </cfRule>
    <cfRule type="cellIs" dxfId="2047" priority="110" operator="equal">
      <formula>"Mayor"</formula>
    </cfRule>
    <cfRule type="cellIs" dxfId="2046" priority="109" operator="equal">
      <formula>"Catastrófico"</formula>
    </cfRule>
  </conditionalFormatting>
  <conditionalFormatting sqref="O356 O362 O368">
    <cfRule type="cellIs" dxfId="2045" priority="80" operator="equal">
      <formula>"Catastrófico"</formula>
    </cfRule>
    <cfRule type="cellIs" dxfId="2044" priority="81" operator="equal">
      <formula>"Mayor"</formula>
    </cfRule>
    <cfRule type="cellIs" dxfId="2043" priority="83" operator="equal">
      <formula>"Menor"</formula>
    </cfRule>
    <cfRule type="cellIs" dxfId="2042" priority="82" operator="equal">
      <formula>"Moderado"</formula>
    </cfRule>
    <cfRule type="cellIs" dxfId="2041" priority="84" operator="equal">
      <formula>"Leve"</formula>
    </cfRule>
  </conditionalFormatting>
  <conditionalFormatting sqref="O383 O389">
    <cfRule type="cellIs" dxfId="2040" priority="49" operator="equal">
      <formula>"Moderado"</formula>
    </cfRule>
    <cfRule type="cellIs" dxfId="2039" priority="47" operator="equal">
      <formula>"Catastrófico"</formula>
    </cfRule>
    <cfRule type="cellIs" dxfId="2038" priority="48" operator="equal">
      <formula>"Mayor"</formula>
    </cfRule>
    <cfRule type="cellIs" dxfId="2037" priority="51" operator="equal">
      <formula>"Leve"</formula>
    </cfRule>
    <cfRule type="cellIs" dxfId="2036" priority="50" operator="equal">
      <formula>"Menor"</formula>
    </cfRule>
  </conditionalFormatting>
  <conditionalFormatting sqref="O404 AD404:AD412 O409">
    <cfRule type="cellIs" dxfId="2035" priority="14" operator="equal">
      <formula>"Leve"</formula>
    </cfRule>
    <cfRule type="cellIs" dxfId="2034" priority="13" operator="equal">
      <formula>"Menor"</formula>
    </cfRule>
    <cfRule type="cellIs" dxfId="2033" priority="12" operator="equal">
      <formula>"Moderado"</formula>
    </cfRule>
    <cfRule type="cellIs" dxfId="2032" priority="11" operator="equal">
      <formula>"Mayor"</formula>
    </cfRule>
    <cfRule type="cellIs" dxfId="2031" priority="10" operator="equal">
      <formula>"Catastrófico"</formula>
    </cfRule>
  </conditionalFormatting>
  <conditionalFormatting sqref="Q9">
    <cfRule type="cellIs" dxfId="2030" priority="585" operator="equal">
      <formula>"Extremo"</formula>
    </cfRule>
    <cfRule type="cellIs" dxfId="2029" priority="586" operator="equal">
      <formula>"Alto"</formula>
    </cfRule>
    <cfRule type="cellIs" dxfId="2028" priority="587" operator="equal">
      <formula>"Moderado"</formula>
    </cfRule>
    <cfRule type="cellIs" dxfId="2027" priority="588" operator="equal">
      <formula>"Bajo"</formula>
    </cfRule>
  </conditionalFormatting>
  <conditionalFormatting sqref="Q15">
    <cfRule type="cellIs" dxfId="2026" priority="581" operator="equal">
      <formula>"Extremo"</formula>
    </cfRule>
    <cfRule type="cellIs" dxfId="2025" priority="582" operator="equal">
      <formula>"Alto"</formula>
    </cfRule>
    <cfRule type="cellIs" dxfId="2024" priority="583" operator="equal">
      <formula>"Moderado"</formula>
    </cfRule>
    <cfRule type="cellIs" dxfId="2023" priority="584" operator="equal">
      <formula>"Bajo"</formula>
    </cfRule>
  </conditionalFormatting>
  <conditionalFormatting sqref="Q30">
    <cfRule type="cellIs" dxfId="2022" priority="543" operator="equal">
      <formula>"Extremo"</formula>
    </cfRule>
    <cfRule type="cellIs" dxfId="2021" priority="544" operator="equal">
      <formula>"Alto"</formula>
    </cfRule>
    <cfRule type="cellIs" dxfId="2020" priority="545" operator="equal">
      <formula>"Moderado"</formula>
    </cfRule>
    <cfRule type="cellIs" dxfId="2019" priority="546" operator="equal">
      <formula>"Bajo"</formula>
    </cfRule>
  </conditionalFormatting>
  <conditionalFormatting sqref="Q36 Q42">
    <cfRule type="cellIs" dxfId="2018" priority="564" operator="equal">
      <formula>"Bajo"</formula>
    </cfRule>
    <cfRule type="cellIs" dxfId="2017" priority="561" operator="equal">
      <formula>"Extremo"</formula>
    </cfRule>
    <cfRule type="cellIs" dxfId="2016" priority="562" operator="equal">
      <formula>"Alto"</formula>
    </cfRule>
    <cfRule type="cellIs" dxfId="2015" priority="563" operator="equal">
      <formula>"Moderado"</formula>
    </cfRule>
  </conditionalFormatting>
  <conditionalFormatting sqref="Q54 AF54:AF57">
    <cfRule type="cellIs" dxfId="2014" priority="528" operator="equal">
      <formula>"Bajo"</formula>
    </cfRule>
    <cfRule type="cellIs" dxfId="2013" priority="525" operator="equal">
      <formula>"Extremo"</formula>
    </cfRule>
    <cfRule type="cellIs" dxfId="2012" priority="526" operator="equal">
      <formula>"Alto"</formula>
    </cfRule>
    <cfRule type="cellIs" dxfId="2011" priority="527" operator="equal">
      <formula>"Moderado"</formula>
    </cfRule>
  </conditionalFormatting>
  <conditionalFormatting sqref="Q57">
    <cfRule type="cellIs" dxfId="2010" priority="529" operator="equal">
      <formula>"Extremo"</formula>
    </cfRule>
    <cfRule type="cellIs" dxfId="2009" priority="532" operator="equal">
      <formula>"Bajo"</formula>
    </cfRule>
    <cfRule type="cellIs" dxfId="2008" priority="531" operator="equal">
      <formula>"Moderado"</formula>
    </cfRule>
    <cfRule type="cellIs" dxfId="2007" priority="530" operator="equal">
      <formula>"Alto"</formula>
    </cfRule>
  </conditionalFormatting>
  <conditionalFormatting sqref="Q68">
    <cfRule type="cellIs" dxfId="2006" priority="485" operator="equal">
      <formula>"Bajo"</formula>
    </cfRule>
    <cfRule type="cellIs" dxfId="2005" priority="484" operator="equal">
      <formula>"Moderado"</formula>
    </cfRule>
    <cfRule type="cellIs" dxfId="2004" priority="483" operator="equal">
      <formula>"Alto"</formula>
    </cfRule>
    <cfRule type="cellIs" dxfId="2003" priority="482" operator="equal">
      <formula>"Extremo"</formula>
    </cfRule>
  </conditionalFormatting>
  <conditionalFormatting sqref="Q74">
    <cfRule type="cellIs" dxfId="2002" priority="486" operator="equal">
      <formula>"Extremo"</formula>
    </cfRule>
    <cfRule type="cellIs" dxfId="2001" priority="487" operator="equal">
      <formula>"Alto"</formula>
    </cfRule>
    <cfRule type="cellIs" dxfId="2000" priority="488" operator="equal">
      <formula>"Moderado"</formula>
    </cfRule>
    <cfRule type="cellIs" dxfId="1999" priority="489" operator="equal">
      <formula>"Bajo"</formula>
    </cfRule>
  </conditionalFormatting>
  <conditionalFormatting sqref="Q89 AF89:AF95">
    <cfRule type="cellIs" dxfId="1998" priority="460" operator="equal">
      <formula>"Bajo"</formula>
    </cfRule>
    <cfRule type="cellIs" dxfId="1997" priority="459" operator="equal">
      <formula>"Moderado"</formula>
    </cfRule>
    <cfRule type="cellIs" dxfId="1996" priority="458" operator="equal">
      <formula>"Alto"</formula>
    </cfRule>
    <cfRule type="cellIs" dxfId="1995" priority="457" operator="equal">
      <formula>"Extremo"</formula>
    </cfRule>
  </conditionalFormatting>
  <conditionalFormatting sqref="Q92">
    <cfRule type="cellIs" dxfId="1994" priority="451" operator="equal">
      <formula>"Bajo"</formula>
    </cfRule>
    <cfRule type="cellIs" dxfId="1993" priority="450" operator="equal">
      <formula>"Moderado"</formula>
    </cfRule>
    <cfRule type="cellIs" dxfId="1992" priority="449" operator="equal">
      <formula>"Alto"</formula>
    </cfRule>
    <cfRule type="cellIs" dxfId="1991" priority="448" operator="equal">
      <formula>"Extremo"</formula>
    </cfRule>
  </conditionalFormatting>
  <conditionalFormatting sqref="Q94">
    <cfRule type="cellIs" dxfId="1990" priority="453" operator="equal">
      <formula>"Extremo"</formula>
    </cfRule>
    <cfRule type="cellIs" dxfId="1989" priority="456" operator="equal">
      <formula>"Bajo"</formula>
    </cfRule>
    <cfRule type="cellIs" dxfId="1988" priority="455" operator="equal">
      <formula>"Moderado"</formula>
    </cfRule>
    <cfRule type="cellIs" dxfId="1987" priority="454" operator="equal">
      <formula>"Alto"</formula>
    </cfRule>
  </conditionalFormatting>
  <conditionalFormatting sqref="Q105">
    <cfRule type="cellIs" dxfId="1986" priority="434" operator="equal">
      <formula>"Extremo"</formula>
    </cfRule>
    <cfRule type="cellIs" dxfId="1985" priority="435" operator="equal">
      <formula>"Alto"</formula>
    </cfRule>
    <cfRule type="cellIs" dxfId="1984" priority="436" operator="equal">
      <formula>"Moderado"</formula>
    </cfRule>
    <cfRule type="cellIs" dxfId="1983" priority="437" operator="equal">
      <formula>"Bajo"</formula>
    </cfRule>
  </conditionalFormatting>
  <conditionalFormatting sqref="Q120">
    <cfRule type="cellIs" dxfId="1982" priority="407" operator="equal">
      <formula>"Moderado"</formula>
    </cfRule>
    <cfRule type="cellIs" dxfId="1981" priority="406" operator="equal">
      <formula>"Alto"</formula>
    </cfRule>
    <cfRule type="cellIs" dxfId="1980" priority="405" operator="equal">
      <formula>"Extremo"</formula>
    </cfRule>
    <cfRule type="cellIs" dxfId="1979" priority="408" operator="equal">
      <formula>"Bajo"</formula>
    </cfRule>
  </conditionalFormatting>
  <conditionalFormatting sqref="Q135 AF135:AF137 AF146">
    <cfRule type="cellIs" dxfId="1978" priority="377" operator="equal">
      <formula>"Alto"</formula>
    </cfRule>
    <cfRule type="cellIs" dxfId="1977" priority="378" operator="equal">
      <formula>"Moderado"</formula>
    </cfRule>
    <cfRule type="cellIs" dxfId="1976" priority="376" operator="equal">
      <formula>"Extremo"</formula>
    </cfRule>
    <cfRule type="cellIs" dxfId="1975" priority="379" operator="equal">
      <formula>"Bajo"</formula>
    </cfRule>
  </conditionalFormatting>
  <conditionalFormatting sqref="Q137 Q143 Q149">
    <cfRule type="cellIs" dxfId="1974" priority="375" operator="equal">
      <formula>"Bajo"</formula>
    </cfRule>
    <cfRule type="cellIs" dxfId="1973" priority="374" operator="equal">
      <formula>"Moderado"</formula>
    </cfRule>
    <cfRule type="cellIs" dxfId="1972" priority="373" operator="equal">
      <formula>"Alto"</formula>
    </cfRule>
    <cfRule type="cellIs" dxfId="1971" priority="372" operator="equal">
      <formula>"Extremo"</formula>
    </cfRule>
  </conditionalFormatting>
  <conditionalFormatting sqref="Q164 AF164:AF167 Q166">
    <cfRule type="cellIs" dxfId="1970" priority="350" operator="equal">
      <formula>"Bajo"</formula>
    </cfRule>
    <cfRule type="cellIs" dxfId="1969" priority="349" operator="equal">
      <formula>"Moderado"</formula>
    </cfRule>
    <cfRule type="cellIs" dxfId="1968" priority="347" operator="equal">
      <formula>"Extremo"</formula>
    </cfRule>
    <cfRule type="cellIs" dxfId="1967" priority="348" operator="equal">
      <formula>"Alto"</formula>
    </cfRule>
  </conditionalFormatting>
  <conditionalFormatting sqref="Q177 AF177:AF182">
    <cfRule type="cellIs" dxfId="1966" priority="334" operator="equal">
      <formula>"Moderado"</formula>
    </cfRule>
    <cfRule type="cellIs" dxfId="1965" priority="335" operator="equal">
      <formula>"Bajo"</formula>
    </cfRule>
    <cfRule type="cellIs" dxfId="1964" priority="332" operator="equal">
      <formula>"Extremo"</formula>
    </cfRule>
    <cfRule type="cellIs" dxfId="1963" priority="333" operator="equal">
      <formula>"Alto"</formula>
    </cfRule>
  </conditionalFormatting>
  <conditionalFormatting sqref="Q192 AF192:AF196">
    <cfRule type="cellIs" dxfId="1962" priority="320" operator="equal">
      <formula>"Bajo"</formula>
    </cfRule>
    <cfRule type="cellIs" dxfId="1961" priority="317" operator="equal">
      <formula>"Extremo"</formula>
    </cfRule>
    <cfRule type="cellIs" dxfId="1960" priority="318" operator="equal">
      <formula>"Alto"</formula>
    </cfRule>
    <cfRule type="cellIs" dxfId="1959" priority="319" operator="equal">
      <formula>"Moderado"</formula>
    </cfRule>
  </conditionalFormatting>
  <conditionalFormatting sqref="Q206:Q207">
    <cfRule type="cellIs" dxfId="1958" priority="302" operator="equal">
      <formula>"Extremo"</formula>
    </cfRule>
    <cfRule type="cellIs" dxfId="1957" priority="305" operator="equal">
      <formula>"Bajo"</formula>
    </cfRule>
    <cfRule type="cellIs" dxfId="1956" priority="304" operator="equal">
      <formula>"Moderado"</formula>
    </cfRule>
    <cfRule type="cellIs" dxfId="1955" priority="303" operator="equal">
      <formula>"Alto"</formula>
    </cfRule>
  </conditionalFormatting>
  <conditionalFormatting sqref="Q211">
    <cfRule type="cellIs" dxfId="1954" priority="286" operator="equal">
      <formula>"Moderado"</formula>
    </cfRule>
    <cfRule type="cellIs" dxfId="1953" priority="285" operator="equal">
      <formula>"Alto"</formula>
    </cfRule>
    <cfRule type="cellIs" dxfId="1952" priority="284" operator="equal">
      <formula>"Extremo"</formula>
    </cfRule>
    <cfRule type="cellIs" dxfId="1951" priority="287" operator="equal">
      <formula>"Bajo"</formula>
    </cfRule>
  </conditionalFormatting>
  <conditionalFormatting sqref="Q226 AF226:AF244">
    <cfRule type="cellIs" dxfId="1950" priority="255" operator="equal">
      <formula>"Extremo"</formula>
    </cfRule>
    <cfRule type="cellIs" dxfId="1949" priority="258" operator="equal">
      <formula>"Bajo"</formula>
    </cfRule>
    <cfRule type="cellIs" dxfId="1948" priority="257" operator="equal">
      <formula>"Moderado"</formula>
    </cfRule>
    <cfRule type="cellIs" dxfId="1947" priority="256" operator="equal">
      <formula>"Alto"</formula>
    </cfRule>
  </conditionalFormatting>
  <conditionalFormatting sqref="Q232:Q233 Q239">
    <cfRule type="cellIs" dxfId="1946" priority="251" operator="equal">
      <formula>"Extremo"</formula>
    </cfRule>
    <cfRule type="cellIs" dxfId="1945" priority="253" operator="equal">
      <formula>"Moderado"</formula>
    </cfRule>
    <cfRule type="cellIs" dxfId="1944" priority="252" operator="equal">
      <formula>"Alto"</formula>
    </cfRule>
    <cfRule type="cellIs" dxfId="1943" priority="254" operator="equal">
      <formula>"Bajo"</formula>
    </cfRule>
  </conditionalFormatting>
  <conditionalFormatting sqref="Q254">
    <cfRule type="cellIs" dxfId="1942" priority="236" operator="equal">
      <formula>"Extremo"</formula>
    </cfRule>
    <cfRule type="cellIs" dxfId="1941" priority="237" operator="equal">
      <formula>"Alto"</formula>
    </cfRule>
    <cfRule type="cellIs" dxfId="1940" priority="238" operator="equal">
      <formula>"Moderado"</formula>
    </cfRule>
    <cfRule type="cellIs" dxfId="1939" priority="239" operator="equal">
      <formula>"Bajo"</formula>
    </cfRule>
  </conditionalFormatting>
  <conditionalFormatting sqref="Q269">
    <cfRule type="cellIs" dxfId="1938" priority="210" operator="equal">
      <formula>"Bajo"</formula>
    </cfRule>
    <cfRule type="cellIs" dxfId="1937" priority="209" operator="equal">
      <formula>"Moderado"</formula>
    </cfRule>
    <cfRule type="cellIs" dxfId="1936" priority="208" operator="equal">
      <formula>"Alto"</formula>
    </cfRule>
    <cfRule type="cellIs" dxfId="1935" priority="207" operator="equal">
      <formula>"Extremo"</formula>
    </cfRule>
  </conditionalFormatting>
  <conditionalFormatting sqref="Q305">
    <cfRule type="cellIs" dxfId="1934" priority="175" operator="equal">
      <formula>"Bajo"</formula>
    </cfRule>
    <cfRule type="cellIs" dxfId="1933" priority="174" operator="equal">
      <formula>"Moderado"</formula>
    </cfRule>
    <cfRule type="cellIs" dxfId="1932" priority="173" operator="equal">
      <formula>"Alto"</formula>
    </cfRule>
    <cfRule type="cellIs" dxfId="1931" priority="172" operator="equal">
      <formula>"Extremo"</formula>
    </cfRule>
  </conditionalFormatting>
  <conditionalFormatting sqref="Q320 AF320:AF333">
    <cfRule type="cellIs" dxfId="1930" priority="127" operator="equal">
      <formula>"Bajo"</formula>
    </cfRule>
    <cfRule type="cellIs" dxfId="1929" priority="126" operator="equal">
      <formula>"Moderado"</formula>
    </cfRule>
    <cfRule type="cellIs" dxfId="1928" priority="125" operator="equal">
      <formula>"Alto"</formula>
    </cfRule>
    <cfRule type="cellIs" dxfId="1927" priority="124" operator="equal">
      <formula>"Extremo"</formula>
    </cfRule>
  </conditionalFormatting>
  <conditionalFormatting sqref="Q324 Q328 Q331">
    <cfRule type="cellIs" dxfId="1926" priority="121" operator="equal">
      <formula>"Alto"</formula>
    </cfRule>
    <cfRule type="cellIs" dxfId="1925" priority="120" operator="equal">
      <formula>"Extremo"</formula>
    </cfRule>
    <cfRule type="cellIs" dxfId="1924" priority="122" operator="equal">
      <formula>"Moderado"</formula>
    </cfRule>
    <cfRule type="cellIs" dxfId="1923" priority="123" operator="equal">
      <formula>"Bajo"</formula>
    </cfRule>
  </conditionalFormatting>
  <conditionalFormatting sqref="Q343">
    <cfRule type="cellIs" dxfId="1922" priority="107" operator="equal">
      <formula>"Moderado"</formula>
    </cfRule>
    <cfRule type="cellIs" dxfId="1921" priority="108" operator="equal">
      <formula>"Bajo"</formula>
    </cfRule>
    <cfRule type="cellIs" dxfId="1920" priority="106" operator="equal">
      <formula>"Alto"</formula>
    </cfRule>
    <cfRule type="cellIs" dxfId="1919" priority="105" operator="equal">
      <formula>"Extremo"</formula>
    </cfRule>
  </conditionalFormatting>
  <conditionalFormatting sqref="Q356">
    <cfRule type="cellIs" dxfId="1918" priority="77" operator="equal">
      <formula>"Alto"</formula>
    </cfRule>
    <cfRule type="cellIs" dxfId="1917" priority="78" operator="equal">
      <formula>"Moderado"</formula>
    </cfRule>
    <cfRule type="cellIs" dxfId="1916" priority="79" operator="equal">
      <formula>"Bajo"</formula>
    </cfRule>
    <cfRule type="cellIs" dxfId="1915" priority="76" operator="equal">
      <formula>"Extremo"</formula>
    </cfRule>
  </conditionalFormatting>
  <conditionalFormatting sqref="Q362 Q368">
    <cfRule type="cellIs" dxfId="1914" priority="74" operator="equal">
      <formula>"Moderado"</formula>
    </cfRule>
    <cfRule type="cellIs" dxfId="1913" priority="73" operator="equal">
      <formula>"Alto"</formula>
    </cfRule>
    <cfRule type="cellIs" dxfId="1912" priority="72" operator="equal">
      <formula>"Extremo"</formula>
    </cfRule>
    <cfRule type="cellIs" dxfId="1911" priority="75" operator="equal">
      <formula>"Bajo"</formula>
    </cfRule>
  </conditionalFormatting>
  <conditionalFormatting sqref="Q383">
    <cfRule type="cellIs" dxfId="1910" priority="43" operator="equal">
      <formula>"Extremo"</formula>
    </cfRule>
    <cfRule type="cellIs" dxfId="1909" priority="46" operator="equal">
      <formula>"Bajo"</formula>
    </cfRule>
    <cfRule type="cellIs" dxfId="1908" priority="45" operator="equal">
      <formula>"Moderado"</formula>
    </cfRule>
    <cfRule type="cellIs" dxfId="1907" priority="44" operator="equal">
      <formula>"Alto"</formula>
    </cfRule>
  </conditionalFormatting>
  <conditionalFormatting sqref="Q389">
    <cfRule type="cellIs" dxfId="1906" priority="38" operator="equal">
      <formula>"Bajo"</formula>
    </cfRule>
    <cfRule type="cellIs" dxfId="1905" priority="37" operator="equal">
      <formula>"Moderado"</formula>
    </cfRule>
    <cfRule type="cellIs" dxfId="1904" priority="35" operator="equal">
      <formula>"Extremo"</formula>
    </cfRule>
    <cfRule type="cellIs" dxfId="1903" priority="36" operator="equal">
      <formula>"Alto"</formula>
    </cfRule>
  </conditionalFormatting>
  <conditionalFormatting sqref="Q404 AF404:AF412">
    <cfRule type="cellIs" dxfId="1902" priority="6" operator="equal">
      <formula>"Extremo"</formula>
    </cfRule>
    <cfRule type="cellIs" dxfId="1901" priority="7" operator="equal">
      <formula>"Alto"</formula>
    </cfRule>
    <cfRule type="cellIs" dxfId="1900" priority="8" operator="equal">
      <formula>"Moderado"</formula>
    </cfRule>
    <cfRule type="cellIs" dxfId="1899" priority="9" operator="equal">
      <formula>"Bajo"</formula>
    </cfRule>
  </conditionalFormatting>
  <conditionalFormatting sqref="Q409">
    <cfRule type="cellIs" dxfId="1898" priority="2" operator="equal">
      <formula>"Extremo"</formula>
    </cfRule>
    <cfRule type="cellIs" dxfId="1897" priority="3" operator="equal">
      <formula>"Alto"</formula>
    </cfRule>
    <cfRule type="cellIs" dxfId="1896" priority="4" operator="equal">
      <formula>"Moderado"</formula>
    </cfRule>
    <cfRule type="cellIs" dxfId="1895" priority="5" operator="equal">
      <formula>"Bajo"</formula>
    </cfRule>
  </conditionalFormatting>
  <conditionalFormatting sqref="AA413:AA1287">
    <cfRule type="cellIs" dxfId="1894" priority="1582" operator="equal">
      <formula>"Muy Alta"</formula>
    </cfRule>
    <cfRule type="cellIs" dxfId="1893" priority="1583" operator="equal">
      <formula>"Muy Baja"</formula>
    </cfRule>
    <cfRule type="cellIs" dxfId="1892" priority="1584" operator="equal">
      <formula>"Baja"</formula>
    </cfRule>
    <cfRule type="cellIs" dxfId="1891" priority="1585" operator="equal">
      <formula>"Media"</formula>
    </cfRule>
    <cfRule type="cellIs" dxfId="1890" priority="1581" operator="equal">
      <formula>"Alta"</formula>
    </cfRule>
  </conditionalFormatting>
  <conditionalFormatting sqref="AB9:AB20">
    <cfRule type="cellIs" dxfId="1889" priority="578" operator="equal">
      <formula>"Baja"</formula>
    </cfRule>
    <cfRule type="cellIs" dxfId="1888" priority="577" operator="equal">
      <formula>"Media"</formula>
    </cfRule>
    <cfRule type="cellIs" dxfId="1887" priority="576" operator="equal">
      <formula>"Alta"</formula>
    </cfRule>
    <cfRule type="cellIs" dxfId="1886" priority="575" operator="equal">
      <formula>"Muy Alta"</formula>
    </cfRule>
    <cfRule type="cellIs" dxfId="1885" priority="579" operator="equal">
      <formula>"Muy Baja"</formula>
    </cfRule>
  </conditionalFormatting>
  <conditionalFormatting sqref="AB30:AB47">
    <cfRule type="cellIs" dxfId="1884" priority="547" operator="equal">
      <formula>"Muy Alta"</formula>
    </cfRule>
    <cfRule type="cellIs" dxfId="1883" priority="548" operator="equal">
      <formula>"Alta"</formula>
    </cfRule>
    <cfRule type="cellIs" dxfId="1882" priority="549" operator="equal">
      <formula>"Media"</formula>
    </cfRule>
    <cfRule type="cellIs" dxfId="1881" priority="551" operator="equal">
      <formula>"Muy Baja"</formula>
    </cfRule>
    <cfRule type="cellIs" dxfId="1880" priority="550" operator="equal">
      <formula>"Baja"</formula>
    </cfRule>
  </conditionalFormatting>
  <conditionalFormatting sqref="AB68 AB70:AB79">
    <cfRule type="cellIs" dxfId="1879" priority="490" operator="equal">
      <formula>"Muy Alta"</formula>
    </cfRule>
    <cfRule type="cellIs" dxfId="1878" priority="491" operator="equal">
      <formula>"Alta"</formula>
    </cfRule>
    <cfRule type="cellIs" dxfId="1877" priority="492" operator="equal">
      <formula>"Media"</formula>
    </cfRule>
    <cfRule type="cellIs" dxfId="1876" priority="493" operator="equal">
      <formula>"Baja"</formula>
    </cfRule>
    <cfRule type="cellIs" dxfId="1875" priority="494" operator="equal">
      <formula>"Muy Baja"</formula>
    </cfRule>
  </conditionalFormatting>
  <conditionalFormatting sqref="AB105:AB110">
    <cfRule type="cellIs" dxfId="1874" priority="429" operator="equal">
      <formula>"Muy Alta"</formula>
    </cfRule>
    <cfRule type="cellIs" dxfId="1873" priority="430" operator="equal">
      <formula>"Alta"</formula>
    </cfRule>
    <cfRule type="cellIs" dxfId="1872" priority="431" operator="equal">
      <formula>"Media"</formula>
    </cfRule>
    <cfRule type="cellIs" dxfId="1871" priority="432" operator="equal">
      <formula>"Baja"</formula>
    </cfRule>
    <cfRule type="cellIs" dxfId="1870" priority="433" operator="equal">
      <formula>"Muy Baja"</formula>
    </cfRule>
  </conditionalFormatting>
  <conditionalFormatting sqref="AB120:AB125">
    <cfRule type="cellIs" dxfId="1869" priority="399" operator="equal">
      <formula>"Muy Alta"</formula>
    </cfRule>
    <cfRule type="cellIs" dxfId="1868" priority="400" operator="equal">
      <formula>"Alta"</formula>
    </cfRule>
    <cfRule type="cellIs" dxfId="1867" priority="401" operator="equal">
      <formula>"Media"</formula>
    </cfRule>
    <cfRule type="cellIs" dxfId="1866" priority="402" operator="equal">
      <formula>"Baja"</formula>
    </cfRule>
    <cfRule type="cellIs" dxfId="1865" priority="403" operator="equal">
      <formula>"Muy Baja"</formula>
    </cfRule>
  </conditionalFormatting>
  <conditionalFormatting sqref="AB146">
    <cfRule type="cellIs" dxfId="1864" priority="367" operator="equal">
      <formula>"Alta"</formula>
    </cfRule>
    <cfRule type="cellIs" dxfId="1863" priority="368" operator="equal">
      <formula>"Media"</formula>
    </cfRule>
    <cfRule type="cellIs" dxfId="1862" priority="369" operator="equal">
      <formula>"Baja"</formula>
    </cfRule>
    <cfRule type="cellIs" dxfId="1861" priority="370" operator="equal">
      <formula>"Muy Baja"</formula>
    </cfRule>
    <cfRule type="cellIs" dxfId="1860" priority="366" operator="equal">
      <formula>"Muy Alta"</formula>
    </cfRule>
  </conditionalFormatting>
  <conditionalFormatting sqref="AB206:AB207">
    <cfRule type="cellIs" dxfId="1859" priority="298" operator="equal">
      <formula>"Alta"</formula>
    </cfRule>
    <cfRule type="cellIs" dxfId="1858" priority="297" operator="equal">
      <formula>"Muy Alta"</formula>
    </cfRule>
    <cfRule type="cellIs" dxfId="1857" priority="299" operator="equal">
      <formula>"Media"</formula>
    </cfRule>
    <cfRule type="cellIs" dxfId="1856" priority="300" operator="equal">
      <formula>"Baja"</formula>
    </cfRule>
    <cfRule type="cellIs" dxfId="1855" priority="301" operator="equal">
      <formula>"Muy Baja"</formula>
    </cfRule>
  </conditionalFormatting>
  <conditionalFormatting sqref="AB209:AB216">
    <cfRule type="cellIs" dxfId="1854" priority="279" operator="equal">
      <formula>"Alta"</formula>
    </cfRule>
    <cfRule type="cellIs" dxfId="1853" priority="280" operator="equal">
      <formula>"Media"</formula>
    </cfRule>
    <cfRule type="cellIs" dxfId="1852" priority="281" operator="equal">
      <formula>"Baja"</formula>
    </cfRule>
    <cfRule type="cellIs" dxfId="1851" priority="278" operator="equal">
      <formula>"Muy Alta"</formula>
    </cfRule>
    <cfRule type="cellIs" dxfId="1850" priority="282" operator="equal">
      <formula>"Muy Baja"</formula>
    </cfRule>
  </conditionalFormatting>
  <conditionalFormatting sqref="AB254:AB259">
    <cfRule type="cellIs" dxfId="1849" priority="232" operator="equal">
      <formula>"Media"</formula>
    </cfRule>
    <cfRule type="cellIs" dxfId="1848" priority="231" operator="equal">
      <formula>"Alta"</formula>
    </cfRule>
    <cfRule type="cellIs" dxfId="1847" priority="230" operator="equal">
      <formula>"Muy Alta"</formula>
    </cfRule>
    <cfRule type="cellIs" dxfId="1846" priority="233" operator="equal">
      <formula>"Baja"</formula>
    </cfRule>
    <cfRule type="cellIs" dxfId="1845" priority="234" operator="equal">
      <formula>"Muy Baja"</formula>
    </cfRule>
  </conditionalFormatting>
  <conditionalFormatting sqref="AB269:AB271">
    <cfRule type="cellIs" dxfId="1844" priority="202" operator="equal">
      <formula>"Alta"</formula>
    </cfRule>
    <cfRule type="cellIs" dxfId="1843" priority="201" operator="equal">
      <formula>"Muy Alta"</formula>
    </cfRule>
    <cfRule type="cellIs" dxfId="1842" priority="203" operator="equal">
      <formula>"Media"</formula>
    </cfRule>
    <cfRule type="cellIs" dxfId="1841" priority="205" operator="equal">
      <formula>"Muy Baja"</formula>
    </cfRule>
    <cfRule type="cellIs" dxfId="1840" priority="204" operator="equal">
      <formula>"Baja"</formula>
    </cfRule>
  </conditionalFormatting>
  <conditionalFormatting sqref="AB305:AB310">
    <cfRule type="cellIs" dxfId="1839" priority="170" operator="equal">
      <formula>"Muy Baja"</formula>
    </cfRule>
    <cfRule type="cellIs" dxfId="1838" priority="168" operator="equal">
      <formula>"Media"</formula>
    </cfRule>
    <cfRule type="cellIs" dxfId="1837" priority="167" operator="equal">
      <formula>"Alta"</formula>
    </cfRule>
    <cfRule type="cellIs" dxfId="1836" priority="166" operator="equal">
      <formula>"Muy Alta"</formula>
    </cfRule>
    <cfRule type="cellIs" dxfId="1835" priority="169" operator="equal">
      <formula>"Baja"</formula>
    </cfRule>
  </conditionalFormatting>
  <conditionalFormatting sqref="AB343:AB346">
    <cfRule type="cellIs" dxfId="1834" priority="100" operator="equal">
      <formula>"Alta"</formula>
    </cfRule>
    <cfRule type="cellIs" dxfId="1833" priority="101" operator="equal">
      <formula>"Media"</formula>
    </cfRule>
    <cfRule type="cellIs" dxfId="1832" priority="102" operator="equal">
      <formula>"Baja"</formula>
    </cfRule>
    <cfRule type="cellIs" dxfId="1831" priority="103" operator="equal">
      <formula>"Muy Baja"</formula>
    </cfRule>
    <cfRule type="cellIs" dxfId="1830" priority="99" operator="equal">
      <formula>"Muy Alta"</formula>
    </cfRule>
  </conditionalFormatting>
  <conditionalFormatting sqref="AB356:AB373">
    <cfRule type="cellIs" dxfId="1829" priority="69" operator="equal">
      <formula>"Baja"</formula>
    </cfRule>
    <cfRule type="cellIs" dxfId="1828" priority="68" operator="equal">
      <formula>"Media"</formula>
    </cfRule>
    <cfRule type="cellIs" dxfId="1827" priority="67" operator="equal">
      <formula>"Alta"</formula>
    </cfRule>
    <cfRule type="cellIs" dxfId="1826" priority="66" operator="equal">
      <formula>"Muy Alta"</formula>
    </cfRule>
    <cfRule type="cellIs" dxfId="1825" priority="70" operator="equal">
      <formula>"Muy Baja"</formula>
    </cfRule>
  </conditionalFormatting>
  <conditionalFormatting sqref="AB383:AB394">
    <cfRule type="cellIs" dxfId="1824" priority="33" operator="equal">
      <formula>"Muy Baja"</formula>
    </cfRule>
    <cfRule type="cellIs" dxfId="1823" priority="32" operator="equal">
      <formula>"Baja"</formula>
    </cfRule>
    <cfRule type="cellIs" dxfId="1822" priority="31" operator="equal">
      <formula>"Media"</formula>
    </cfRule>
    <cfRule type="cellIs" dxfId="1821" priority="30" operator="equal">
      <formula>"Alta"</formula>
    </cfRule>
    <cfRule type="cellIs" dxfId="1820" priority="29" operator="equal">
      <formula>"Muy Alta"</formula>
    </cfRule>
  </conditionalFormatting>
  <conditionalFormatting sqref="AC413:AC1287">
    <cfRule type="cellIs" dxfId="1819" priority="1580" operator="equal">
      <formula>"Leve"</formula>
    </cfRule>
    <cfRule type="cellIs" dxfId="1818" priority="1577" operator="equal">
      <formula>"Moderado"</formula>
    </cfRule>
    <cfRule type="cellIs" dxfId="1817" priority="1576" operator="equal">
      <formula>"Menor"</formula>
    </cfRule>
    <cfRule type="cellIs" dxfId="1816" priority="1578" operator="equal">
      <formula>"Mayor"</formula>
    </cfRule>
    <cfRule type="cellIs" dxfId="1815" priority="1579" operator="equal">
      <formula>"Catastrófico"</formula>
    </cfRule>
  </conditionalFormatting>
  <conditionalFormatting sqref="AD9:AD20">
    <cfRule type="cellIs" dxfId="1814" priority="571" operator="equal">
      <formula>"Mayor"</formula>
    </cfRule>
    <cfRule type="cellIs" dxfId="1813" priority="570" operator="equal">
      <formula>"Catastrófico"</formula>
    </cfRule>
    <cfRule type="cellIs" dxfId="1812" priority="573" operator="equal">
      <formula>"Menor"</formula>
    </cfRule>
    <cfRule type="cellIs" dxfId="1811" priority="574" operator="equal">
      <formula>"Leve"</formula>
    </cfRule>
    <cfRule type="cellIs" dxfId="1810" priority="572" operator="equal">
      <formula>"Moderado"</formula>
    </cfRule>
  </conditionalFormatting>
  <conditionalFormatting sqref="AD30:AD47">
    <cfRule type="cellIs" dxfId="1809" priority="554" operator="equal">
      <formula>"Moderado"</formula>
    </cfRule>
    <cfRule type="cellIs" dxfId="1808" priority="552" operator="equal">
      <formula>"Catastrófico"</formula>
    </cfRule>
    <cfRule type="cellIs" dxfId="1807" priority="553" operator="equal">
      <formula>"Mayor"</formula>
    </cfRule>
    <cfRule type="cellIs" dxfId="1806" priority="555" operator="equal">
      <formula>"Menor"</formula>
    </cfRule>
    <cfRule type="cellIs" dxfId="1805" priority="556" operator="equal">
      <formula>"Leve"</formula>
    </cfRule>
  </conditionalFormatting>
  <conditionalFormatting sqref="AD68 AD70:AD79">
    <cfRule type="cellIs" dxfId="1804" priority="496" operator="equal">
      <formula>"Mayor"</formula>
    </cfRule>
    <cfRule type="cellIs" dxfId="1803" priority="497" operator="equal">
      <formula>"Moderado"</formula>
    </cfRule>
    <cfRule type="cellIs" dxfId="1802" priority="498" operator="equal">
      <formula>"Menor"</formula>
    </cfRule>
    <cfRule type="cellIs" dxfId="1801" priority="499" operator="equal">
      <formula>"Leve"</formula>
    </cfRule>
    <cfRule type="cellIs" dxfId="1800" priority="495" operator="equal">
      <formula>"Catastrófico"</formula>
    </cfRule>
  </conditionalFormatting>
  <conditionalFormatting sqref="AD105:AD110">
    <cfRule type="cellIs" dxfId="1799" priority="427" operator="equal">
      <formula>"Menor"</formula>
    </cfRule>
    <cfRule type="cellIs" dxfId="1798" priority="426" operator="equal">
      <formula>"Moderado"</formula>
    </cfRule>
    <cfRule type="cellIs" dxfId="1797" priority="425" operator="equal">
      <formula>"Mayor"</formula>
    </cfRule>
    <cfRule type="cellIs" dxfId="1796" priority="424" operator="equal">
      <formula>"Catastrófico"</formula>
    </cfRule>
    <cfRule type="cellIs" dxfId="1795" priority="428" operator="equal">
      <formula>"Leve"</formula>
    </cfRule>
  </conditionalFormatting>
  <conditionalFormatting sqref="AD120:AD125">
    <cfRule type="cellIs" dxfId="1794" priority="390" operator="equal">
      <formula>"Catastrófico"</formula>
    </cfRule>
    <cfRule type="cellIs" dxfId="1793" priority="394" operator="equal">
      <formula>"Leve"</formula>
    </cfRule>
    <cfRule type="cellIs" dxfId="1792" priority="393" operator="equal">
      <formula>"Menor"</formula>
    </cfRule>
    <cfRule type="cellIs" dxfId="1791" priority="392" operator="equal">
      <formula>"Moderado"</formula>
    </cfRule>
    <cfRule type="cellIs" dxfId="1790" priority="391" operator="equal">
      <formula>"Mayor"</formula>
    </cfRule>
  </conditionalFormatting>
  <conditionalFormatting sqref="AD146">
    <cfRule type="cellIs" dxfId="1789" priority="361" operator="equal">
      <formula>"Catastrófico"</formula>
    </cfRule>
    <cfRule type="cellIs" dxfId="1788" priority="362" operator="equal">
      <formula>"Mayor"</formula>
    </cfRule>
    <cfRule type="cellIs" dxfId="1787" priority="363" operator="equal">
      <formula>"Moderado"</formula>
    </cfRule>
    <cfRule type="cellIs" dxfId="1786" priority="364" operator="equal">
      <formula>"Menor"</formula>
    </cfRule>
    <cfRule type="cellIs" dxfId="1785" priority="365" operator="equal">
      <formula>"Leve"</formula>
    </cfRule>
  </conditionalFormatting>
  <conditionalFormatting sqref="AD206:AD207">
    <cfRule type="cellIs" dxfId="1784" priority="296" operator="equal">
      <formula>"Leve"</formula>
    </cfRule>
    <cfRule type="cellIs" dxfId="1783" priority="292" operator="equal">
      <formula>"Catastrófico"</formula>
    </cfRule>
    <cfRule type="cellIs" dxfId="1782" priority="294" operator="equal">
      <formula>"Moderado"</formula>
    </cfRule>
    <cfRule type="cellIs" dxfId="1781" priority="293" operator="equal">
      <formula>"Mayor"</formula>
    </cfRule>
    <cfRule type="cellIs" dxfId="1780" priority="295" operator="equal">
      <formula>"Menor"</formula>
    </cfRule>
  </conditionalFormatting>
  <conditionalFormatting sqref="AD209:AD216">
    <cfRule type="cellIs" dxfId="1779" priority="275" operator="equal">
      <formula>"Moderado"</formula>
    </cfRule>
    <cfRule type="cellIs" dxfId="1778" priority="276" operator="equal">
      <formula>"Menor"</formula>
    </cfRule>
    <cfRule type="cellIs" dxfId="1777" priority="277" operator="equal">
      <formula>"Leve"</formula>
    </cfRule>
    <cfRule type="cellIs" dxfId="1776" priority="273" operator="equal">
      <formula>"Catastrófico"</formula>
    </cfRule>
    <cfRule type="cellIs" dxfId="1775" priority="274" operator="equal">
      <formula>"Mayor"</formula>
    </cfRule>
  </conditionalFormatting>
  <conditionalFormatting sqref="AD254:AD259">
    <cfRule type="cellIs" dxfId="1774" priority="225" operator="equal">
      <formula>"Catastrófico"</formula>
    </cfRule>
    <cfRule type="cellIs" dxfId="1773" priority="227" operator="equal">
      <formula>"Moderado"</formula>
    </cfRule>
    <cfRule type="cellIs" dxfId="1772" priority="228" operator="equal">
      <formula>"Menor"</formula>
    </cfRule>
    <cfRule type="cellIs" dxfId="1771" priority="229" operator="equal">
      <formula>"Leve"</formula>
    </cfRule>
    <cfRule type="cellIs" dxfId="1770" priority="226" operator="equal">
      <formula>"Mayor"</formula>
    </cfRule>
  </conditionalFormatting>
  <conditionalFormatting sqref="AD269:AD271">
    <cfRule type="cellIs" dxfId="1769" priority="197" operator="equal">
      <formula>"Mayor"</formula>
    </cfRule>
    <cfRule type="cellIs" dxfId="1768" priority="196" operator="equal">
      <formula>"Catastrófico"</formula>
    </cfRule>
    <cfRule type="cellIs" dxfId="1767" priority="200" operator="equal">
      <formula>"Leve"</formula>
    </cfRule>
    <cfRule type="cellIs" dxfId="1766" priority="199" operator="equal">
      <formula>"Menor"</formula>
    </cfRule>
    <cfRule type="cellIs" dxfId="1765" priority="198" operator="equal">
      <formula>"Moderado"</formula>
    </cfRule>
  </conditionalFormatting>
  <conditionalFormatting sqref="AD305:AD310">
    <cfRule type="cellIs" dxfId="1764" priority="161" operator="equal">
      <formula>"Catastrófico"</formula>
    </cfRule>
    <cfRule type="cellIs" dxfId="1763" priority="162" operator="equal">
      <formula>"Mayor"</formula>
    </cfRule>
    <cfRule type="cellIs" dxfId="1762" priority="165" operator="equal">
      <formula>"Leve"</formula>
    </cfRule>
    <cfRule type="cellIs" dxfId="1761" priority="163" operator="equal">
      <formula>"Moderado"</formula>
    </cfRule>
    <cfRule type="cellIs" dxfId="1760" priority="164" operator="equal">
      <formula>"Menor"</formula>
    </cfRule>
  </conditionalFormatting>
  <conditionalFormatting sqref="AD343:AD346">
    <cfRule type="cellIs" dxfId="1759" priority="94" operator="equal">
      <formula>"Catastrófico"</formula>
    </cfRule>
    <cfRule type="cellIs" dxfId="1758" priority="95" operator="equal">
      <formula>"Mayor"</formula>
    </cfRule>
    <cfRule type="cellIs" dxfId="1757" priority="96" operator="equal">
      <formula>"Moderado"</formula>
    </cfRule>
    <cfRule type="cellIs" dxfId="1756" priority="97" operator="equal">
      <formula>"Menor"</formula>
    </cfRule>
    <cfRule type="cellIs" dxfId="1755" priority="98" operator="equal">
      <formula>"Leve"</formula>
    </cfRule>
  </conditionalFormatting>
  <conditionalFormatting sqref="AD356:AD373">
    <cfRule type="cellIs" dxfId="1754" priority="64" operator="equal">
      <formula>"Menor"</formula>
    </cfRule>
    <cfRule type="cellIs" dxfId="1753" priority="63" operator="equal">
      <formula>"Moderado"</formula>
    </cfRule>
    <cfRule type="cellIs" dxfId="1752" priority="65" operator="equal">
      <formula>"Leve"</formula>
    </cfRule>
    <cfRule type="cellIs" dxfId="1751" priority="61" operator="equal">
      <formula>"Catastrófico"</formula>
    </cfRule>
    <cfRule type="cellIs" dxfId="1750" priority="62" operator="equal">
      <formula>"Mayor"</formula>
    </cfRule>
  </conditionalFormatting>
  <conditionalFormatting sqref="AD383:AD394">
    <cfRule type="cellIs" dxfId="1749" priority="28" operator="equal">
      <formula>"Leve"</formula>
    </cfRule>
    <cfRule type="cellIs" dxfId="1748" priority="27" operator="equal">
      <formula>"Menor"</formula>
    </cfRule>
    <cfRule type="cellIs" dxfId="1747" priority="24" operator="equal">
      <formula>"Catastrófico"</formula>
    </cfRule>
    <cfRule type="cellIs" dxfId="1746" priority="26" operator="equal">
      <formula>"Moderado"</formula>
    </cfRule>
    <cfRule type="cellIs" dxfId="1745" priority="25" operator="equal">
      <formula>"Mayor"</formula>
    </cfRule>
  </conditionalFormatting>
  <conditionalFormatting sqref="AE413:AE1287">
    <cfRule type="cellIs" dxfId="1744" priority="1575" operator="equal">
      <formula>"Extremo"</formula>
    </cfRule>
    <cfRule type="cellIs" dxfId="1743" priority="1572" operator="equal">
      <formula>"Bajo"</formula>
    </cfRule>
    <cfRule type="cellIs" dxfId="1742" priority="1573" operator="equal">
      <formula>"Moderado"</formula>
    </cfRule>
    <cfRule type="cellIs" dxfId="1741" priority="1574" operator="equal">
      <formula>"Alto"</formula>
    </cfRule>
  </conditionalFormatting>
  <conditionalFormatting sqref="AF9:AF20">
    <cfRule type="cellIs" dxfId="1740" priority="566" operator="equal">
      <formula>"Extremo"</formula>
    </cfRule>
    <cfRule type="cellIs" dxfId="1739" priority="567" operator="equal">
      <formula>"Alto"</formula>
    </cfRule>
    <cfRule type="cellIs" dxfId="1738" priority="568" operator="equal">
      <formula>"Moderado"</formula>
    </cfRule>
    <cfRule type="cellIs" dxfId="1737" priority="569" operator="equal">
      <formula>"Bajo"</formula>
    </cfRule>
  </conditionalFormatting>
  <conditionalFormatting sqref="AF30:AF47">
    <cfRule type="cellIs" dxfId="1736" priority="557" operator="equal">
      <formula>"Extremo"</formula>
    </cfRule>
    <cfRule type="cellIs" dxfId="1735" priority="558" operator="equal">
      <formula>"Alto"</formula>
    </cfRule>
    <cfRule type="cellIs" dxfId="1734" priority="559" operator="equal">
      <formula>"Moderado"</formula>
    </cfRule>
    <cfRule type="cellIs" dxfId="1733" priority="560" operator="equal">
      <formula>"Bajo"</formula>
    </cfRule>
  </conditionalFormatting>
  <conditionalFormatting sqref="AF68 AF70:AF79">
    <cfRule type="cellIs" dxfId="1732" priority="500" operator="equal">
      <formula>"Extremo"</formula>
    </cfRule>
    <cfRule type="cellIs" dxfId="1731" priority="501" operator="equal">
      <formula>"Alto"</formula>
    </cfRule>
    <cfRule type="cellIs" dxfId="1730" priority="502" operator="equal">
      <formula>"Moderado"</formula>
    </cfRule>
    <cfRule type="cellIs" dxfId="1729" priority="503" operator="equal">
      <formula>"Bajo"</formula>
    </cfRule>
  </conditionalFormatting>
  <conditionalFormatting sqref="AF105:AF110">
    <cfRule type="cellIs" dxfId="1728" priority="423" operator="equal">
      <formula>"Bajo"</formula>
    </cfRule>
    <cfRule type="cellIs" dxfId="1727" priority="422" operator="equal">
      <formula>"Moderado"</formula>
    </cfRule>
    <cfRule type="cellIs" dxfId="1726" priority="421" operator="equal">
      <formula>"Alto"</formula>
    </cfRule>
    <cfRule type="cellIs" dxfId="1725" priority="420" operator="equal">
      <formula>"Extremo"</formula>
    </cfRule>
  </conditionalFormatting>
  <conditionalFormatting sqref="AF120:AF125">
    <cfRule type="cellIs" dxfId="1724" priority="397" operator="equal">
      <formula>"Moderado"</formula>
    </cfRule>
    <cfRule type="cellIs" dxfId="1723" priority="398" operator="equal">
      <formula>"Bajo"</formula>
    </cfRule>
    <cfRule type="cellIs" dxfId="1722" priority="396" operator="equal">
      <formula>"Alto"</formula>
    </cfRule>
    <cfRule type="cellIs" dxfId="1721" priority="395" operator="equal">
      <formula>"Extremo"</formula>
    </cfRule>
  </conditionalFormatting>
  <conditionalFormatting sqref="AF206:AF207">
    <cfRule type="cellIs" dxfId="1720" priority="291" operator="equal">
      <formula>"Bajo"</formula>
    </cfRule>
    <cfRule type="cellIs" dxfId="1719" priority="290" operator="equal">
      <formula>"Moderado"</formula>
    </cfRule>
    <cfRule type="cellIs" dxfId="1718" priority="289" operator="equal">
      <formula>"Alto"</formula>
    </cfRule>
    <cfRule type="cellIs" dxfId="1717" priority="288" operator="equal">
      <formula>"Extremo"</formula>
    </cfRule>
  </conditionalFormatting>
  <conditionalFormatting sqref="AF209:AF216">
    <cfRule type="cellIs" dxfId="1716" priority="271" operator="equal">
      <formula>"Moderado"</formula>
    </cfRule>
    <cfRule type="cellIs" dxfId="1715" priority="272" operator="equal">
      <formula>"Bajo"</formula>
    </cfRule>
    <cfRule type="cellIs" dxfId="1714" priority="269" operator="equal">
      <formula>"Extremo"</formula>
    </cfRule>
    <cfRule type="cellIs" dxfId="1713" priority="270" operator="equal">
      <formula>"Alto"</formula>
    </cfRule>
  </conditionalFormatting>
  <conditionalFormatting sqref="AF254:AF259">
    <cfRule type="cellIs" dxfId="1712" priority="222" operator="equal">
      <formula>"Alto"</formula>
    </cfRule>
    <cfRule type="cellIs" dxfId="1711" priority="224" operator="equal">
      <formula>"Bajo"</formula>
    </cfRule>
    <cfRule type="cellIs" dxfId="1710" priority="223" operator="equal">
      <formula>"Moderado"</formula>
    </cfRule>
    <cfRule type="cellIs" dxfId="1709" priority="221" operator="equal">
      <formula>"Extremo"</formula>
    </cfRule>
  </conditionalFormatting>
  <conditionalFormatting sqref="AF269:AF271">
    <cfRule type="cellIs" dxfId="1708" priority="193" operator="equal">
      <formula>"Alto"</formula>
    </cfRule>
    <cfRule type="cellIs" dxfId="1707" priority="194" operator="equal">
      <formula>"Moderado"</formula>
    </cfRule>
    <cfRule type="cellIs" dxfId="1706" priority="195" operator="equal">
      <formula>"Bajo"</formula>
    </cfRule>
    <cfRule type="cellIs" dxfId="1705" priority="192" operator="equal">
      <formula>"Extremo"</formula>
    </cfRule>
  </conditionalFormatting>
  <conditionalFormatting sqref="AF305:AF310">
    <cfRule type="cellIs" dxfId="1704" priority="157" operator="equal">
      <formula>"Extremo"</formula>
    </cfRule>
    <cfRule type="cellIs" dxfId="1703" priority="158" operator="equal">
      <formula>"Alto"</formula>
    </cfRule>
    <cfRule type="cellIs" dxfId="1702" priority="159" operator="equal">
      <formula>"Moderado"</formula>
    </cfRule>
    <cfRule type="cellIs" dxfId="1701" priority="160" operator="equal">
      <formula>"Bajo"</formula>
    </cfRule>
  </conditionalFormatting>
  <conditionalFormatting sqref="AF343:AF346">
    <cfRule type="cellIs" dxfId="1700" priority="90" operator="equal">
      <formula>"Extremo"</formula>
    </cfRule>
    <cfRule type="cellIs" dxfId="1699" priority="93" operator="equal">
      <formula>"Bajo"</formula>
    </cfRule>
    <cfRule type="cellIs" dxfId="1698" priority="92" operator="equal">
      <formula>"Moderado"</formula>
    </cfRule>
    <cfRule type="cellIs" dxfId="1697" priority="91" operator="equal">
      <formula>"Alto"</formula>
    </cfRule>
  </conditionalFormatting>
  <conditionalFormatting sqref="AF356:AF373">
    <cfRule type="cellIs" dxfId="1696" priority="59" operator="equal">
      <formula>"Moderado"</formula>
    </cfRule>
    <cfRule type="cellIs" dxfId="1695" priority="57" operator="equal">
      <formula>"Extremo"</formula>
    </cfRule>
    <cfRule type="cellIs" dxfId="1694" priority="58" operator="equal">
      <formula>"Alto"</formula>
    </cfRule>
    <cfRule type="cellIs" dxfId="1693" priority="60" operator="equal">
      <formula>"Bajo"</formula>
    </cfRule>
  </conditionalFormatting>
  <conditionalFormatting sqref="AF383">
    <cfRule type="cellIs" dxfId="1692" priority="42" operator="equal">
      <formula>"Bajo"</formula>
    </cfRule>
    <cfRule type="cellIs" dxfId="1691" priority="41" operator="equal">
      <formula>"Moderado"</formula>
    </cfRule>
    <cfRule type="cellIs" dxfId="1690" priority="40" operator="equal">
      <formula>"Alto"</formula>
    </cfRule>
    <cfRule type="cellIs" dxfId="1689" priority="39" operator="equal">
      <formula>"Extremo"</formula>
    </cfRule>
  </conditionalFormatting>
  <conditionalFormatting sqref="AF387:AF394">
    <cfRule type="cellIs" dxfId="1688" priority="22" operator="equal">
      <formula>"Moderado"</formula>
    </cfRule>
    <cfRule type="cellIs" dxfId="1687" priority="23" operator="equal">
      <formula>"Bajo"</formula>
    </cfRule>
    <cfRule type="cellIs" dxfId="1686" priority="20" operator="equal">
      <formula>"Extremo"</formula>
    </cfRule>
    <cfRule type="cellIs" dxfId="1685" priority="21" operator="equal">
      <formula>"Alto"</formula>
    </cfRule>
  </conditionalFormatting>
  <dataValidations count="3">
    <dataValidation type="list" allowBlank="1" showInputMessage="1" showErrorMessage="1" sqref="G9:G20 G30:G47 G57 G89:G98 G102:G125 G135:G137 G177:G182 G192:G197 G206 G254:G259 G269:G274 G305:G310 G320:G333 G343:G346 G356:G373" xr:uid="{C099AA32-CE96-4AEE-AADF-030323807F68}">
      <formula1>"Gestión, FISCAL,"</formula1>
    </dataValidation>
    <dataValidation type="list" allowBlank="1" showErrorMessage="1" sqref="G68 G70 G72 G75:G79" xr:uid="{85474286-2915-4A54-B5B4-383D9FBFFBD7}">
      <formula1>"Gestión,FISCAL"</formula1>
    </dataValidation>
    <dataValidation type="list" allowBlank="1" showInputMessage="1" showErrorMessage="1" sqref="G383 G389 G404" xr:uid="{0DFA1C49-1F0A-451A-94A4-187CBF8CE082}">
      <formula1>"Gestión,FISCAL"</formula1>
    </dataValidation>
  </dataValidations>
  <hyperlinks>
    <hyperlink ref="AL384" r:id="rId1" display="mailto:sigami@ibague.gov.co" xr:uid="{BFF81045-291E-4302-8657-2408AF46C708}"/>
  </hyperlinks>
  <pageMargins left="0.7" right="0.7" top="0.75" bottom="0.75" header="0.3" footer="0.3"/>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715E4-1947-4615-9135-D696C850488E}">
  <dimension ref="A1:AY437"/>
  <sheetViews>
    <sheetView zoomScale="40" zoomScaleNormal="40" workbookViewId="0">
      <selection activeCell="J10" sqref="J10:J11"/>
    </sheetView>
  </sheetViews>
  <sheetFormatPr baseColWidth="10" defaultColWidth="11.44140625" defaultRowHeight="13.8" x14ac:dyDescent="0.3"/>
  <cols>
    <col min="1" max="1" width="4" style="239" bestFit="1" customWidth="1"/>
    <col min="2" max="2" width="15.5546875" style="239" customWidth="1"/>
    <col min="3" max="3" width="31.109375" style="239" customWidth="1"/>
    <col min="4" max="4" width="38.109375" style="239" customWidth="1"/>
    <col min="5" max="5" width="57.33203125" style="239" customWidth="1"/>
    <col min="6" max="6" width="61.6640625" style="35" customWidth="1"/>
    <col min="7" max="7" width="19.5546875" style="35" bestFit="1" customWidth="1"/>
    <col min="8" max="8" width="31.6640625" style="240" customWidth="1"/>
    <col min="9" max="9" width="32.21875" style="35" customWidth="1"/>
    <col min="10" max="10" width="33.6640625" style="35" bestFit="1" customWidth="1"/>
    <col min="11" max="11" width="17.109375" style="35" customWidth="1"/>
    <col min="12" max="12" width="24.77734375" style="35" customWidth="1"/>
    <col min="13" max="13" width="28.33203125" style="35" customWidth="1"/>
    <col min="14" max="14" width="31.6640625" style="35" customWidth="1"/>
    <col min="15" max="15" width="13.21875" style="35" customWidth="1"/>
    <col min="16" max="16" width="16" style="35" customWidth="1"/>
    <col min="17" max="17" width="14.33203125" style="35" customWidth="1"/>
    <col min="18" max="18" width="14.44140625" style="35" customWidth="1"/>
    <col min="19" max="19" width="73.44140625" style="35" customWidth="1"/>
    <col min="20" max="20" width="20.44140625" style="35" customWidth="1"/>
    <col min="21" max="21" width="5" style="35" customWidth="1"/>
    <col min="22" max="22" width="13.5546875" style="35" customWidth="1"/>
    <col min="23" max="23" width="11.5546875" style="35" customWidth="1"/>
    <col min="24" max="24" width="6.6640625" style="35" customWidth="1"/>
    <col min="25" max="25" width="4.6640625" style="35" customWidth="1"/>
    <col min="26" max="26" width="20.77734375" style="35" customWidth="1"/>
    <col min="27" max="27" width="8.6640625" style="35" customWidth="1"/>
    <col min="28" max="28" width="10.44140625" style="35" customWidth="1"/>
    <col min="29" max="29" width="9.33203125" style="35" customWidth="1"/>
    <col min="30" max="30" width="9.109375" style="35" customWidth="1"/>
    <col min="31" max="31" width="8.44140625" style="35" customWidth="1"/>
    <col min="32" max="32" width="10" style="35" customWidth="1"/>
    <col min="33" max="33" width="28.6640625" style="35" customWidth="1"/>
    <col min="34" max="34" width="61.77734375" style="35" customWidth="1"/>
    <col min="35" max="35" width="19.6640625" style="35" customWidth="1"/>
    <col min="36" max="36" width="17.88671875" style="35" customWidth="1"/>
    <col min="37" max="37" width="49" style="35" customWidth="1"/>
    <col min="38" max="38" width="80.6640625" style="35" customWidth="1"/>
    <col min="39" max="39" width="25.88671875" style="35" customWidth="1"/>
    <col min="40" max="40" width="31.21875" style="35" customWidth="1"/>
    <col min="41" max="41" width="52.5546875" style="35" customWidth="1"/>
    <col min="42" max="42" width="44.33203125" style="35" customWidth="1"/>
    <col min="43" max="43" width="66.109375" style="35" customWidth="1"/>
    <col min="44" max="44" width="48.6640625" style="35" bestFit="1" customWidth="1"/>
    <col min="45" max="45" width="32.5546875" style="35" customWidth="1"/>
    <col min="46" max="46" width="19.5546875" style="35" customWidth="1"/>
    <col min="47" max="47" width="57.6640625" style="35" customWidth="1"/>
    <col min="48" max="48" width="17.5546875" style="35" customWidth="1"/>
    <col min="49" max="16384" width="11.44140625" style="35"/>
  </cols>
  <sheetData>
    <row r="1" spans="1:39" s="523" customFormat="1" ht="16.5" customHeight="1" x14ac:dyDescent="0.25">
      <c r="A1" s="2504" t="s">
        <v>156</v>
      </c>
      <c r="B1" s="2505"/>
      <c r="C1" s="2505"/>
      <c r="D1" s="2505"/>
      <c r="E1" s="2505"/>
      <c r="F1" s="2505"/>
      <c r="G1" s="2505"/>
      <c r="H1" s="2505"/>
      <c r="I1" s="2505"/>
      <c r="J1" s="2505"/>
      <c r="K1" s="2505"/>
      <c r="L1" s="2505"/>
      <c r="M1" s="2505"/>
      <c r="N1" s="2505"/>
      <c r="O1" s="2505"/>
      <c r="P1" s="2505"/>
      <c r="Q1" s="2505"/>
      <c r="R1" s="2505"/>
      <c r="S1" s="2505"/>
      <c r="T1" s="2505"/>
      <c r="U1" s="2505"/>
      <c r="V1" s="2505"/>
      <c r="W1" s="2505"/>
      <c r="X1" s="2505"/>
      <c r="Y1" s="2505"/>
      <c r="Z1" s="2505"/>
      <c r="AA1" s="2505"/>
      <c r="AB1" s="2505"/>
      <c r="AC1" s="2505"/>
      <c r="AD1" s="2505"/>
      <c r="AE1" s="2505"/>
      <c r="AF1" s="2505"/>
      <c r="AG1" s="2505"/>
      <c r="AH1" s="2505"/>
      <c r="AI1" s="2505"/>
      <c r="AJ1" s="2505"/>
      <c r="AK1" s="2505"/>
      <c r="AL1" s="2505"/>
      <c r="AM1" s="2506"/>
    </row>
    <row r="2" spans="1:39" s="523" customFormat="1" ht="24" customHeight="1" x14ac:dyDescent="0.25">
      <c r="A2" s="2507"/>
      <c r="B2" s="2508"/>
      <c r="C2" s="2508"/>
      <c r="D2" s="2508"/>
      <c r="E2" s="2508"/>
      <c r="F2" s="2508"/>
      <c r="G2" s="2508"/>
      <c r="H2" s="2508"/>
      <c r="I2" s="2508"/>
      <c r="J2" s="2508"/>
      <c r="K2" s="2508"/>
      <c r="L2" s="2508"/>
      <c r="M2" s="2508"/>
      <c r="N2" s="2508"/>
      <c r="O2" s="2508"/>
      <c r="P2" s="2508"/>
      <c r="Q2" s="2508"/>
      <c r="R2" s="2508"/>
      <c r="S2" s="2508"/>
      <c r="T2" s="2508"/>
      <c r="U2" s="2508"/>
      <c r="V2" s="2508"/>
      <c r="W2" s="2508"/>
      <c r="X2" s="2508"/>
      <c r="Y2" s="2508"/>
      <c r="Z2" s="2508"/>
      <c r="AA2" s="2508"/>
      <c r="AB2" s="2508"/>
      <c r="AC2" s="2508"/>
      <c r="AD2" s="2508"/>
      <c r="AE2" s="2508"/>
      <c r="AF2" s="2508"/>
      <c r="AG2" s="2508"/>
      <c r="AH2" s="2508"/>
      <c r="AI2" s="2508"/>
      <c r="AJ2" s="2508"/>
      <c r="AK2" s="2508"/>
      <c r="AL2" s="2508"/>
      <c r="AM2" s="2509"/>
    </row>
    <row r="3" spans="1:39" s="523" customFormat="1" x14ac:dyDescent="0.25">
      <c r="A3" s="524"/>
      <c r="B3" s="525"/>
      <c r="C3" s="524"/>
      <c r="D3" s="524"/>
      <c r="E3" s="524"/>
      <c r="F3" s="522"/>
      <c r="G3" s="522"/>
      <c r="H3" s="522"/>
      <c r="I3" s="526"/>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row>
    <row r="4" spans="1:39" s="523" customFormat="1" ht="36" customHeight="1" x14ac:dyDescent="0.25">
      <c r="A4" s="2510" t="s">
        <v>157</v>
      </c>
      <c r="B4" s="2511"/>
      <c r="C4" s="2599" t="s">
        <v>1014</v>
      </c>
      <c r="D4" s="2600"/>
      <c r="E4" s="2600"/>
      <c r="F4" s="2600"/>
      <c r="G4" s="2600"/>
      <c r="H4" s="2600"/>
      <c r="I4" s="2600"/>
      <c r="J4" s="2600"/>
      <c r="K4" s="2600"/>
      <c r="L4" s="2600"/>
      <c r="M4" s="2600"/>
      <c r="N4" s="2600"/>
      <c r="O4" s="2600"/>
      <c r="P4" s="2600"/>
      <c r="Q4" s="2600"/>
      <c r="R4" s="2600"/>
      <c r="S4" s="2600"/>
      <c r="T4" s="2600"/>
      <c r="U4" s="2600"/>
      <c r="V4" s="2600"/>
      <c r="W4" s="2600"/>
      <c r="X4" s="2600"/>
      <c r="Y4" s="2600"/>
      <c r="Z4" s="2600"/>
      <c r="AA4" s="2600"/>
      <c r="AB4" s="2600"/>
      <c r="AC4" s="2600"/>
      <c r="AD4" s="2600"/>
      <c r="AE4" s="2600"/>
      <c r="AF4" s="2600"/>
      <c r="AG4" s="2600"/>
      <c r="AH4" s="2600"/>
      <c r="AI4" s="2600"/>
      <c r="AJ4" s="2600"/>
      <c r="AK4" s="2600"/>
      <c r="AL4" s="2600"/>
      <c r="AM4" s="2601"/>
    </row>
    <row r="5" spans="1:39" s="523" customFormat="1" ht="41.4" customHeight="1" x14ac:dyDescent="0.25">
      <c r="A5" s="2510" t="s">
        <v>158</v>
      </c>
      <c r="B5" s="2511"/>
      <c r="C5" s="2602" t="s">
        <v>1015</v>
      </c>
      <c r="D5" s="2603"/>
      <c r="E5" s="2603"/>
      <c r="F5" s="2603"/>
      <c r="G5" s="2603"/>
      <c r="H5" s="2603"/>
      <c r="I5" s="2603"/>
      <c r="J5" s="2603"/>
      <c r="K5" s="2603"/>
      <c r="L5" s="2603"/>
      <c r="M5" s="2603"/>
      <c r="N5" s="2603"/>
      <c r="O5" s="2603"/>
      <c r="P5" s="2603"/>
      <c r="Q5" s="2603"/>
      <c r="R5" s="2603"/>
      <c r="S5" s="2603"/>
      <c r="T5" s="2603"/>
      <c r="U5" s="2603"/>
      <c r="V5" s="2603"/>
      <c r="W5" s="2603"/>
      <c r="X5" s="2603"/>
      <c r="Y5" s="2603"/>
      <c r="Z5" s="2603"/>
      <c r="AA5" s="2603"/>
      <c r="AB5" s="2603"/>
      <c r="AC5" s="2603"/>
      <c r="AD5" s="2603"/>
      <c r="AE5" s="2603"/>
      <c r="AF5" s="2603"/>
      <c r="AG5" s="2603"/>
      <c r="AH5" s="2603"/>
      <c r="AI5" s="2603"/>
      <c r="AJ5" s="2603"/>
      <c r="AK5" s="2603"/>
      <c r="AL5" s="2603"/>
      <c r="AM5" s="2604"/>
    </row>
    <row r="6" spans="1:39" s="523" customFormat="1" ht="49.5" customHeight="1" x14ac:dyDescent="0.25">
      <c r="A6" s="2510" t="s">
        <v>159</v>
      </c>
      <c r="B6" s="2511"/>
      <c r="C6" s="2602" t="s">
        <v>1016</v>
      </c>
      <c r="D6" s="2603"/>
      <c r="E6" s="2603"/>
      <c r="F6" s="2603"/>
      <c r="G6" s="2603"/>
      <c r="H6" s="2603"/>
      <c r="I6" s="2603"/>
      <c r="J6" s="2603"/>
      <c r="K6" s="2603"/>
      <c r="L6" s="2603"/>
      <c r="M6" s="2603"/>
      <c r="N6" s="2603"/>
      <c r="O6" s="2603"/>
      <c r="P6" s="2603"/>
      <c r="Q6" s="2603"/>
      <c r="R6" s="2603"/>
      <c r="S6" s="2603"/>
      <c r="T6" s="2603"/>
      <c r="U6" s="2603"/>
      <c r="V6" s="2603"/>
      <c r="W6" s="2603"/>
      <c r="X6" s="2603"/>
      <c r="Y6" s="2603"/>
      <c r="Z6" s="2603"/>
      <c r="AA6" s="2603"/>
      <c r="AB6" s="2603"/>
      <c r="AC6" s="2603"/>
      <c r="AD6" s="2603"/>
      <c r="AE6" s="2603"/>
      <c r="AF6" s="2603"/>
      <c r="AG6" s="2603"/>
      <c r="AH6" s="2603"/>
      <c r="AI6" s="2603"/>
      <c r="AJ6" s="2603"/>
      <c r="AK6" s="2603"/>
      <c r="AL6" s="2603"/>
      <c r="AM6" s="2604"/>
    </row>
    <row r="7" spans="1:39" s="523" customFormat="1" x14ac:dyDescent="0.25">
      <c r="A7" s="2524" t="s">
        <v>160</v>
      </c>
      <c r="B7" s="2525"/>
      <c r="C7" s="2526"/>
      <c r="D7" s="2526"/>
      <c r="E7" s="2526"/>
      <c r="F7" s="2526"/>
      <c r="G7" s="2526"/>
      <c r="H7" s="2526"/>
      <c r="I7" s="2526"/>
      <c r="J7" s="2527"/>
      <c r="K7" s="2496" t="s">
        <v>161</v>
      </c>
      <c r="L7" s="2526"/>
      <c r="M7" s="2526"/>
      <c r="N7" s="2526"/>
      <c r="O7" s="2526"/>
      <c r="P7" s="2526"/>
      <c r="Q7" s="2527"/>
      <c r="R7" s="2496" t="s">
        <v>162</v>
      </c>
      <c r="S7" s="2526"/>
      <c r="T7" s="2526"/>
      <c r="U7" s="2526"/>
      <c r="V7" s="2526"/>
      <c r="W7" s="2526"/>
      <c r="X7" s="2526"/>
      <c r="Y7" s="2526"/>
      <c r="Z7" s="2527"/>
      <c r="AA7" s="2496" t="s">
        <v>163</v>
      </c>
      <c r="AB7" s="2526"/>
      <c r="AC7" s="2526"/>
      <c r="AD7" s="2526"/>
      <c r="AE7" s="2526"/>
      <c r="AF7" s="2526"/>
      <c r="AG7" s="2527"/>
      <c r="AH7" s="2496" t="s">
        <v>164</v>
      </c>
      <c r="AI7" s="2526"/>
      <c r="AJ7" s="2526"/>
      <c r="AK7" s="2526"/>
      <c r="AL7" s="2526"/>
      <c r="AM7" s="2527"/>
    </row>
    <row r="8" spans="1:39" s="523" customFormat="1" ht="16.5" customHeight="1" x14ac:dyDescent="0.25">
      <c r="A8" s="2501" t="s">
        <v>165</v>
      </c>
      <c r="B8" s="2503" t="s">
        <v>142</v>
      </c>
      <c r="C8" s="2494" t="s">
        <v>166</v>
      </c>
      <c r="D8" s="2494" t="s">
        <v>167</v>
      </c>
      <c r="E8" s="2493" t="s">
        <v>168</v>
      </c>
      <c r="F8" s="2522" t="s">
        <v>60</v>
      </c>
      <c r="G8" s="527"/>
      <c r="H8" s="527"/>
      <c r="I8" s="2493" t="s">
        <v>169</v>
      </c>
      <c r="J8" s="2494" t="s">
        <v>170</v>
      </c>
      <c r="K8" s="2500" t="s">
        <v>171</v>
      </c>
      <c r="L8" s="2497" t="s">
        <v>172</v>
      </c>
      <c r="M8" s="2493" t="s">
        <v>173</v>
      </c>
      <c r="N8" s="2493" t="s">
        <v>174</v>
      </c>
      <c r="O8" s="2495" t="s">
        <v>175</v>
      </c>
      <c r="P8" s="2497" t="s">
        <v>172</v>
      </c>
      <c r="Q8" s="2494" t="s">
        <v>176</v>
      </c>
      <c r="R8" s="2494" t="s">
        <v>177</v>
      </c>
      <c r="S8" s="2492" t="s">
        <v>178</v>
      </c>
      <c r="T8" s="2493" t="s">
        <v>179</v>
      </c>
      <c r="U8" s="2492" t="s">
        <v>180</v>
      </c>
      <c r="V8" s="2492"/>
      <c r="W8" s="2492"/>
      <c r="X8" s="2492"/>
      <c r="Y8" s="2492"/>
      <c r="Z8" s="2492"/>
      <c r="AA8" s="2491" t="s">
        <v>181</v>
      </c>
      <c r="AB8" s="2491" t="s">
        <v>182</v>
      </c>
      <c r="AC8" s="2491" t="s">
        <v>172</v>
      </c>
      <c r="AD8" s="2491" t="s">
        <v>183</v>
      </c>
      <c r="AE8" s="2491" t="s">
        <v>172</v>
      </c>
      <c r="AF8" s="2491" t="s">
        <v>184</v>
      </c>
      <c r="AG8" s="2498" t="s">
        <v>185</v>
      </c>
      <c r="AH8" s="2492" t="s">
        <v>164</v>
      </c>
      <c r="AI8" s="2492" t="s">
        <v>143</v>
      </c>
      <c r="AJ8" s="2492" t="s">
        <v>186</v>
      </c>
      <c r="AK8" s="2492" t="s">
        <v>187</v>
      </c>
      <c r="AL8" s="2492" t="s">
        <v>188</v>
      </c>
      <c r="AM8" s="2492" t="s">
        <v>189</v>
      </c>
    </row>
    <row r="9" spans="1:39" s="529" customFormat="1" ht="94.5" customHeight="1" x14ac:dyDescent="0.3">
      <c r="A9" s="2502"/>
      <c r="B9" s="2503"/>
      <c r="C9" s="2492"/>
      <c r="D9" s="2492"/>
      <c r="E9" s="2500"/>
      <c r="F9" s="2450"/>
      <c r="G9" s="527" t="s">
        <v>511</v>
      </c>
      <c r="H9" s="527" t="s">
        <v>190</v>
      </c>
      <c r="I9" s="2494"/>
      <c r="J9" s="2492"/>
      <c r="K9" s="2494"/>
      <c r="L9" s="2496"/>
      <c r="M9" s="2494"/>
      <c r="N9" s="2494"/>
      <c r="O9" s="2496"/>
      <c r="P9" s="2496"/>
      <c r="Q9" s="2492"/>
      <c r="R9" s="2492"/>
      <c r="S9" s="2492"/>
      <c r="T9" s="2494"/>
      <c r="U9" s="528" t="s">
        <v>191</v>
      </c>
      <c r="V9" s="528" t="s">
        <v>192</v>
      </c>
      <c r="W9" s="528" t="s">
        <v>193</v>
      </c>
      <c r="X9" s="528" t="s">
        <v>194</v>
      </c>
      <c r="Y9" s="528" t="s">
        <v>195</v>
      </c>
      <c r="Z9" s="528" t="s">
        <v>196</v>
      </c>
      <c r="AA9" s="2491"/>
      <c r="AB9" s="2491"/>
      <c r="AC9" s="2491"/>
      <c r="AD9" s="2491"/>
      <c r="AE9" s="2491"/>
      <c r="AF9" s="2491"/>
      <c r="AG9" s="2499"/>
      <c r="AH9" s="2492"/>
      <c r="AI9" s="2492"/>
      <c r="AJ9" s="2492"/>
      <c r="AK9" s="2492"/>
      <c r="AL9" s="2492"/>
      <c r="AM9" s="2492"/>
    </row>
    <row r="10" spans="1:39" s="539" customFormat="1" ht="139.19999999999999" customHeight="1" x14ac:dyDescent="0.3">
      <c r="A10" s="2575">
        <v>1</v>
      </c>
      <c r="B10" s="2575" t="s">
        <v>197</v>
      </c>
      <c r="C10" s="2575" t="s">
        <v>1017</v>
      </c>
      <c r="D10" s="2576" t="s">
        <v>1018</v>
      </c>
      <c r="E10" s="530" t="s">
        <v>1019</v>
      </c>
      <c r="F10" s="2578" t="s">
        <v>1020</v>
      </c>
      <c r="G10" s="2572" t="s">
        <v>512</v>
      </c>
      <c r="H10" s="2570" t="s">
        <v>1021</v>
      </c>
      <c r="I10" s="2571" t="s">
        <v>198</v>
      </c>
      <c r="J10" s="2571">
        <v>365</v>
      </c>
      <c r="K10" s="2571" t="s">
        <v>1027</v>
      </c>
      <c r="L10" s="2573">
        <v>0.6</v>
      </c>
      <c r="M10" s="2575" t="s">
        <v>199</v>
      </c>
      <c r="N10" s="2575" t="s">
        <v>199</v>
      </c>
      <c r="O10" s="2575" t="s">
        <v>64</v>
      </c>
      <c r="P10" s="2595">
        <v>0.8</v>
      </c>
      <c r="Q10" s="2597" t="s">
        <v>462</v>
      </c>
      <c r="R10" s="540">
        <v>1</v>
      </c>
      <c r="S10" s="531" t="str">
        <f>+[24]DOFA!E35</f>
        <v>D14,O5 El jefe de la Oficina de Comunicaciones, regularmente de manera semanal realiza el seguimiento de las actividades programadas por las dependencias de la Administración Municipal, definiendo responsabilidades  comunicacionales a cada uno de los periodistas de la Oficina de Comunicaciones, dejando como evidencia el informe mensual de actividades por equipos de trabajo en una matriz que deben diligenciar mensualmenete. Si se presenta desviación de la actividad el jefe de oficina toma los correctivos necesarios</v>
      </c>
      <c r="T10" s="532" t="str">
        <f>IF(OR(U10="Preventivo",U10="Detectivo"),"Probabilidad",IF(U10="Correctivo","Impacto",""))</f>
        <v>Probabilidad</v>
      </c>
      <c r="U10" s="533" t="s">
        <v>207</v>
      </c>
      <c r="V10" s="533" t="s">
        <v>201</v>
      </c>
      <c r="W10" s="534" t="str">
        <f>IF(AND(U10="Preventivo",V10="Automático"),"50%",IF(AND(U10="Preventivo",V10="Manual"),"40%",IF(AND(U10="Detectivo",V10="Automático"),"40%",IF(AND(U10="Detectivo",V10="Manual"),"30%",IF(AND(U10="Correctivo",V10="Automático"),"35%",IF(AND(U10="Correctivo",V10="Manual"),"25%",""))))))</f>
        <v>40%</v>
      </c>
      <c r="X10" s="533" t="s">
        <v>202</v>
      </c>
      <c r="Y10" s="533" t="s">
        <v>203</v>
      </c>
      <c r="Z10" s="533" t="s">
        <v>204</v>
      </c>
      <c r="AA10" s="535">
        <f>IFERROR(IF(T10="Probabilidad",(L10-(+L10*W10)),IF(T10="Impacto",L10,"")),"")</f>
        <v>0.36</v>
      </c>
      <c r="AB10" s="536" t="str">
        <f>IFERROR(IF(AA10="","",IF(AA10&lt;=0.2,"Muy Baja",IF(AA10&lt;=0.4,"Baja",IF(AA10&lt;=0.6,"Media",IF(AA10&lt;=0.8,"Alta","Muy Alta"))))),"")</f>
        <v>Baja</v>
      </c>
      <c r="AC10" s="537">
        <f>+AA10</f>
        <v>0.36</v>
      </c>
      <c r="AD10" s="536" t="str">
        <f>IFERROR(IF(AE10="","",IF(AE10&lt;=0.2,"Leve",IF(AE10&lt;=0.4,"Menor",IF(AE10&lt;=0.6,"Moderado",IF(AE10&lt;=0.8,"Mayor","Catastrófico"))))),"")</f>
        <v>Mayor</v>
      </c>
      <c r="AE10" s="537">
        <f>IFERROR(IF(T10="Impacto",(P10-(+P10*W10)),IF(T10="Probabilidad",P10,"")),"")</f>
        <v>0.8</v>
      </c>
      <c r="AF10" s="538"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Alto</v>
      </c>
      <c r="AG10" s="2587" t="s">
        <v>205</v>
      </c>
      <c r="AH10" s="2589" t="s">
        <v>1022</v>
      </c>
      <c r="AI10" s="2589" t="s">
        <v>1023</v>
      </c>
      <c r="AJ10" s="2591">
        <v>45535</v>
      </c>
      <c r="AK10" s="2591">
        <v>45538</v>
      </c>
      <c r="AL10" s="2589" t="s">
        <v>1024</v>
      </c>
      <c r="AM10" s="2593" t="s">
        <v>295</v>
      </c>
    </row>
    <row r="11" spans="1:39" s="523" customFormat="1" ht="166.8" customHeight="1" x14ac:dyDescent="0.25">
      <c r="A11" s="2570"/>
      <c r="B11" s="2570"/>
      <c r="C11" s="2570"/>
      <c r="D11" s="2577"/>
      <c r="E11" s="530" t="s">
        <v>1025</v>
      </c>
      <c r="F11" s="2578"/>
      <c r="G11" s="2572"/>
      <c r="H11" s="2570"/>
      <c r="I11" s="2572"/>
      <c r="J11" s="2572"/>
      <c r="K11" s="2572"/>
      <c r="L11" s="2574"/>
      <c r="M11" s="2570"/>
      <c r="N11" s="2570"/>
      <c r="O11" s="2570"/>
      <c r="P11" s="2596"/>
      <c r="Q11" s="2598"/>
      <c r="R11" s="540">
        <v>2</v>
      </c>
      <c r="S11" s="531" t="str">
        <f>+[24]DOFA!E36</f>
        <v>D18,O5 El editor de la oficina de comunicaciones o quien haga sus veces, cada vez que se requiera reliza la revisión y corrección de estilo de los comunicados elaborados, copys, textos para piezas gráficas, subtitulos para videos, textos para cuñas, y demás articulos periodistocos. Dejando como evidencia la directriz en las actas de que nada podrá ser publicado sin la debida revisión y corrección y adicional la publicación en el portal web y perfiles institucionales de las  redes sociales de la Alcaldía de Ibagué. si los textos requieren ser corregidos se devulven a su redactor.</v>
      </c>
      <c r="T11" s="532" t="str">
        <f>IF(OR(U11="Preventivo",U11="Detectivo"),"Probabilidad",IF(U11="Correctivo","Impacto",""))</f>
        <v>Probabilidad</v>
      </c>
      <c r="U11" s="533" t="s">
        <v>207</v>
      </c>
      <c r="V11" s="533" t="s">
        <v>201</v>
      </c>
      <c r="W11" s="534" t="str">
        <f t="shared" ref="W11" si="0">IF(AND(U11="Preventivo",V11="Automático"),"50%",IF(AND(U11="Preventivo",V11="Manual"),"40%",IF(AND(U11="Detectivo",V11="Automático"),"40%",IF(AND(U11="Detectivo",V11="Manual"),"30%",IF(AND(U11="Correctivo",V11="Automático"),"35%",IF(AND(U11="Correctivo",V11="Manual"),"25%",""))))))</f>
        <v>40%</v>
      </c>
      <c r="X11" s="533" t="s">
        <v>202</v>
      </c>
      <c r="Y11" s="533" t="s">
        <v>203</v>
      </c>
      <c r="Z11" s="533" t="s">
        <v>204</v>
      </c>
      <c r="AA11" s="535">
        <f>IFERROR(IF(AND(T10="Probabilidad",T11="Probabilidad"),(AC10-(+AC10*W11)),IF(AND(T10="Impacto",T11="Probabilidad"),(L10-(+L10*W11)),IF(T11="Impacto",AC10,""))),"")</f>
        <v>0.216</v>
      </c>
      <c r="AB11" s="536" t="str">
        <f t="shared" ref="AB11" si="1">IFERROR(IF(AA11="","",IF(AA11&lt;=0.2,"Muy Baja",IF(AA11&lt;=0.4,"Baja",IF(AA11&lt;=0.6,"Media",IF(AA11&lt;=0.8,"Alta","Muy Alta"))))),"")</f>
        <v>Baja</v>
      </c>
      <c r="AC11" s="537">
        <f>+AA11</f>
        <v>0.216</v>
      </c>
      <c r="AD11" s="536" t="str">
        <f t="shared" ref="AD11" si="2">IFERROR(IF(AE11="","",IF(AE11&lt;=0.2,"Leve",IF(AE11&lt;=0.4,"Menor",IF(AE11&lt;=0.6,"Moderado",IF(AE11&lt;=0.8,"Mayor","Catastrófico"))))),"")</f>
        <v>Mayor</v>
      </c>
      <c r="AE11" s="537">
        <f>IFERROR(IF(AND(T10="Impacto",T11="Impacto"),(AE10-(+AE10*W11)),IF(AND(T10="Probabilidad",T11="Impacto"),(P10-(+P10*W11)),IF(T11="Probabilidad",AE10,""))),"")</f>
        <v>0.8</v>
      </c>
      <c r="AF11" s="538" t="str">
        <f t="shared" ref="AF1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Alto</v>
      </c>
      <c r="AG11" s="2588"/>
      <c r="AH11" s="2590"/>
      <c r="AI11" s="2590"/>
      <c r="AJ11" s="2592"/>
      <c r="AK11" s="2592"/>
      <c r="AL11" s="2590"/>
      <c r="AM11" s="2594"/>
    </row>
    <row r="13" spans="1:39" x14ac:dyDescent="0.3">
      <c r="A13" s="2561" t="s">
        <v>156</v>
      </c>
      <c r="B13" s="2562"/>
      <c r="C13" s="2562"/>
      <c r="D13" s="2562"/>
      <c r="E13" s="2562"/>
      <c r="F13" s="2562"/>
      <c r="G13" s="2562"/>
      <c r="H13" s="2562"/>
      <c r="I13" s="2562"/>
      <c r="J13" s="2562"/>
      <c r="K13" s="2562"/>
      <c r="L13" s="2562"/>
      <c r="M13" s="2562"/>
      <c r="N13" s="2562"/>
      <c r="O13" s="2562"/>
      <c r="P13" s="2562"/>
      <c r="Q13" s="2562"/>
      <c r="R13" s="2562"/>
      <c r="S13" s="2562"/>
      <c r="T13" s="2562"/>
      <c r="U13" s="2562"/>
      <c r="V13" s="2562"/>
      <c r="W13" s="2562"/>
      <c r="X13" s="2562"/>
      <c r="Y13" s="2562"/>
      <c r="Z13" s="2562"/>
      <c r="AA13" s="2562"/>
      <c r="AB13" s="2562"/>
      <c r="AC13" s="2562"/>
      <c r="AD13" s="2562"/>
      <c r="AE13" s="2562"/>
      <c r="AF13" s="2562"/>
      <c r="AG13" s="2562"/>
      <c r="AH13" s="2562"/>
      <c r="AI13" s="2562"/>
      <c r="AJ13" s="2562"/>
      <c r="AK13" s="2562"/>
      <c r="AL13" s="2562"/>
      <c r="AM13" s="2563"/>
    </row>
    <row r="14" spans="1:39" x14ac:dyDescent="0.3">
      <c r="A14" s="2549"/>
      <c r="B14" s="2564"/>
      <c r="C14" s="2564"/>
      <c r="D14" s="2564"/>
      <c r="E14" s="2564"/>
      <c r="F14" s="2564"/>
      <c r="G14" s="2564"/>
      <c r="H14" s="2564"/>
      <c r="I14" s="2564"/>
      <c r="J14" s="2564"/>
      <c r="K14" s="2564"/>
      <c r="L14" s="2564"/>
      <c r="M14" s="2564"/>
      <c r="N14" s="2564"/>
      <c r="O14" s="2564"/>
      <c r="P14" s="2564"/>
      <c r="Q14" s="2564"/>
      <c r="R14" s="2564"/>
      <c r="S14" s="2564"/>
      <c r="T14" s="2564"/>
      <c r="U14" s="2564"/>
      <c r="V14" s="2564"/>
      <c r="W14" s="2564"/>
      <c r="X14" s="2564"/>
      <c r="Y14" s="2564"/>
      <c r="Z14" s="2564"/>
      <c r="AA14" s="2564"/>
      <c r="AB14" s="2564"/>
      <c r="AC14" s="2564"/>
      <c r="AD14" s="2564"/>
      <c r="AE14" s="2564"/>
      <c r="AF14" s="2564"/>
      <c r="AG14" s="2564"/>
      <c r="AH14" s="2564"/>
      <c r="AI14" s="2564"/>
      <c r="AJ14" s="2564"/>
      <c r="AK14" s="2564"/>
      <c r="AL14" s="2564"/>
      <c r="AM14" s="2553"/>
    </row>
    <row r="15" spans="1:39" ht="14.4" x14ac:dyDescent="0.3">
      <c r="A15" s="542"/>
      <c r="B15" s="543"/>
      <c r="C15" s="542"/>
      <c r="D15" s="542"/>
      <c r="E15" s="542"/>
      <c r="F15" s="541"/>
      <c r="G15" s="541"/>
      <c r="H15" s="541"/>
      <c r="I15" s="544"/>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row>
    <row r="16" spans="1:39" ht="23.4" x14ac:dyDescent="0.3">
      <c r="A16" s="2565" t="s">
        <v>157</v>
      </c>
      <c r="B16" s="2566"/>
      <c r="C16" s="2567" t="s">
        <v>320</v>
      </c>
      <c r="D16" s="2568"/>
      <c r="E16" s="2568"/>
      <c r="F16" s="2568"/>
      <c r="G16" s="2568"/>
      <c r="H16" s="2568"/>
      <c r="I16" s="2568"/>
      <c r="J16" s="2568"/>
      <c r="K16" s="2568"/>
      <c r="L16" s="2568"/>
      <c r="M16" s="2568"/>
      <c r="N16" s="2568"/>
      <c r="O16" s="2568"/>
      <c r="P16" s="2568"/>
      <c r="Q16" s="2568"/>
      <c r="R16" s="2568"/>
      <c r="S16" s="2568"/>
      <c r="T16" s="2568"/>
      <c r="U16" s="2568"/>
      <c r="V16" s="2568"/>
      <c r="W16" s="2568"/>
      <c r="X16" s="2568"/>
      <c r="Y16" s="2568"/>
      <c r="Z16" s="2568"/>
      <c r="AA16" s="2568"/>
      <c r="AB16" s="2568"/>
      <c r="AC16" s="2568"/>
      <c r="AD16" s="2568"/>
      <c r="AE16" s="2568"/>
      <c r="AF16" s="2568"/>
      <c r="AG16" s="2568"/>
      <c r="AH16" s="2568"/>
      <c r="AI16" s="2568"/>
      <c r="AJ16" s="2568"/>
      <c r="AK16" s="2568"/>
      <c r="AL16" s="2568"/>
      <c r="AM16" s="2569"/>
    </row>
    <row r="17" spans="1:39" ht="23.4" x14ac:dyDescent="0.3">
      <c r="A17" s="2565" t="s">
        <v>158</v>
      </c>
      <c r="B17" s="2566"/>
      <c r="C17" s="2584" t="s">
        <v>321</v>
      </c>
      <c r="D17" s="2568"/>
      <c r="E17" s="2568"/>
      <c r="F17" s="2568"/>
      <c r="G17" s="2568"/>
      <c r="H17" s="2568"/>
      <c r="I17" s="2568"/>
      <c r="J17" s="2568"/>
      <c r="K17" s="2568"/>
      <c r="L17" s="2568"/>
      <c r="M17" s="2568"/>
      <c r="N17" s="2568"/>
      <c r="O17" s="2568"/>
      <c r="P17" s="2568"/>
      <c r="Q17" s="2568"/>
      <c r="R17" s="2568"/>
      <c r="S17" s="2568"/>
      <c r="T17" s="2568"/>
      <c r="U17" s="2568"/>
      <c r="V17" s="2568"/>
      <c r="W17" s="2568"/>
      <c r="X17" s="2568"/>
      <c r="Y17" s="2568"/>
      <c r="Z17" s="2568"/>
      <c r="AA17" s="2568"/>
      <c r="AB17" s="2568"/>
      <c r="AC17" s="2568"/>
      <c r="AD17" s="2568"/>
      <c r="AE17" s="2568"/>
      <c r="AF17" s="2568"/>
      <c r="AG17" s="2568"/>
      <c r="AH17" s="2568"/>
      <c r="AI17" s="2568"/>
      <c r="AJ17" s="2568"/>
      <c r="AK17" s="2568"/>
      <c r="AL17" s="2568"/>
      <c r="AM17" s="2569"/>
    </row>
    <row r="18" spans="1:39" ht="23.4" x14ac:dyDescent="0.3">
      <c r="A18" s="2565" t="s">
        <v>159</v>
      </c>
      <c r="B18" s="2566"/>
      <c r="C18" s="2584" t="s">
        <v>322</v>
      </c>
      <c r="D18" s="2568"/>
      <c r="E18" s="2568"/>
      <c r="F18" s="2568"/>
      <c r="G18" s="2568"/>
      <c r="H18" s="2568"/>
      <c r="I18" s="2568"/>
      <c r="J18" s="2568"/>
      <c r="K18" s="2568"/>
      <c r="L18" s="2568"/>
      <c r="M18" s="2568"/>
      <c r="N18" s="2568"/>
      <c r="O18" s="2568"/>
      <c r="P18" s="2568"/>
      <c r="Q18" s="2568"/>
      <c r="R18" s="2568"/>
      <c r="S18" s="2568"/>
      <c r="T18" s="2568"/>
      <c r="U18" s="2568"/>
      <c r="V18" s="2568"/>
      <c r="W18" s="2568"/>
      <c r="X18" s="2568"/>
      <c r="Y18" s="2568"/>
      <c r="Z18" s="2568"/>
      <c r="AA18" s="2568"/>
      <c r="AB18" s="2568"/>
      <c r="AC18" s="2568"/>
      <c r="AD18" s="2568"/>
      <c r="AE18" s="2568"/>
      <c r="AF18" s="2568"/>
      <c r="AG18" s="2568"/>
      <c r="AH18" s="2568"/>
      <c r="AI18" s="2568"/>
      <c r="AJ18" s="2568"/>
      <c r="AK18" s="2568"/>
      <c r="AL18" s="2568"/>
      <c r="AM18" s="2569"/>
    </row>
    <row r="19" spans="1:39" ht="14.4" x14ac:dyDescent="0.3">
      <c r="A19" s="2585" t="s">
        <v>160</v>
      </c>
      <c r="B19" s="2566"/>
      <c r="C19" s="2566"/>
      <c r="D19" s="2566"/>
      <c r="E19" s="2566"/>
      <c r="F19" s="2566"/>
      <c r="G19" s="2566"/>
      <c r="H19" s="2566"/>
      <c r="I19" s="2566"/>
      <c r="J19" s="2583"/>
      <c r="K19" s="2586" t="s">
        <v>161</v>
      </c>
      <c r="L19" s="2564"/>
      <c r="M19" s="2564"/>
      <c r="N19" s="2564"/>
      <c r="O19" s="2564"/>
      <c r="P19" s="2564"/>
      <c r="Q19" s="2553"/>
      <c r="R19" s="2586" t="s">
        <v>162</v>
      </c>
      <c r="S19" s="2564"/>
      <c r="T19" s="2564"/>
      <c r="U19" s="2564"/>
      <c r="V19" s="2564"/>
      <c r="W19" s="2564"/>
      <c r="X19" s="2564"/>
      <c r="Y19" s="2564"/>
      <c r="Z19" s="2553"/>
      <c r="AA19" s="2586" t="s">
        <v>163</v>
      </c>
      <c r="AB19" s="2564"/>
      <c r="AC19" s="2564"/>
      <c r="AD19" s="2564"/>
      <c r="AE19" s="2564"/>
      <c r="AF19" s="2564"/>
      <c r="AG19" s="2553"/>
      <c r="AH19" s="2586" t="s">
        <v>164</v>
      </c>
      <c r="AI19" s="2564"/>
      <c r="AJ19" s="2564"/>
      <c r="AK19" s="2564"/>
      <c r="AL19" s="2564"/>
      <c r="AM19" s="2553"/>
    </row>
    <row r="20" spans="1:39" ht="14.4" x14ac:dyDescent="0.3">
      <c r="A20" s="2538" t="s">
        <v>165</v>
      </c>
      <c r="B20" s="2539" t="s">
        <v>142</v>
      </c>
      <c r="C20" s="2540" t="s">
        <v>166</v>
      </c>
      <c r="D20" s="2540" t="s">
        <v>167</v>
      </c>
      <c r="E20" s="2537" t="s">
        <v>168</v>
      </c>
      <c r="F20" s="2541" t="s">
        <v>60</v>
      </c>
      <c r="G20" s="545"/>
      <c r="H20" s="545"/>
      <c r="I20" s="2537" t="s">
        <v>169</v>
      </c>
      <c r="J20" s="2540" t="s">
        <v>170</v>
      </c>
      <c r="K20" s="2540" t="s">
        <v>171</v>
      </c>
      <c r="L20" s="2556" t="s">
        <v>172</v>
      </c>
      <c r="M20" s="2537" t="s">
        <v>173</v>
      </c>
      <c r="N20" s="2537" t="s">
        <v>174</v>
      </c>
      <c r="O20" s="2555" t="s">
        <v>175</v>
      </c>
      <c r="P20" s="2556" t="s">
        <v>172</v>
      </c>
      <c r="Q20" s="2540" t="s">
        <v>176</v>
      </c>
      <c r="R20" s="2554" t="s">
        <v>177</v>
      </c>
      <c r="S20" s="2537" t="s">
        <v>178</v>
      </c>
      <c r="T20" s="2537" t="s">
        <v>179</v>
      </c>
      <c r="U20" s="2582" t="s">
        <v>180</v>
      </c>
      <c r="V20" s="2566"/>
      <c r="W20" s="2566"/>
      <c r="X20" s="2566"/>
      <c r="Y20" s="2566"/>
      <c r="Z20" s="2583"/>
      <c r="AA20" s="2554" t="s">
        <v>181</v>
      </c>
      <c r="AB20" s="2554" t="s">
        <v>182</v>
      </c>
      <c r="AC20" s="2554" t="s">
        <v>172</v>
      </c>
      <c r="AD20" s="2554" t="s">
        <v>183</v>
      </c>
      <c r="AE20" s="2554" t="s">
        <v>172</v>
      </c>
      <c r="AF20" s="2554" t="s">
        <v>184</v>
      </c>
      <c r="AG20" s="2554" t="s">
        <v>185</v>
      </c>
      <c r="AH20" s="2537" t="s">
        <v>164</v>
      </c>
      <c r="AI20" s="2537" t="s">
        <v>143</v>
      </c>
      <c r="AJ20" s="2537" t="s">
        <v>186</v>
      </c>
      <c r="AK20" s="2537" t="s">
        <v>187</v>
      </c>
      <c r="AL20" s="2537" t="s">
        <v>188</v>
      </c>
      <c r="AM20" s="2537" t="s">
        <v>189</v>
      </c>
    </row>
    <row r="21" spans="1:39" ht="71.400000000000006" x14ac:dyDescent="0.3">
      <c r="A21" s="2533"/>
      <c r="B21" s="2533"/>
      <c r="C21" s="2533"/>
      <c r="D21" s="2533"/>
      <c r="E21" s="2532"/>
      <c r="F21" s="2532"/>
      <c r="G21" s="545" t="s">
        <v>511</v>
      </c>
      <c r="H21" s="545" t="s">
        <v>190</v>
      </c>
      <c r="I21" s="2533"/>
      <c r="J21" s="2533"/>
      <c r="K21" s="2533"/>
      <c r="L21" s="2549"/>
      <c r="M21" s="2533"/>
      <c r="N21" s="2533"/>
      <c r="O21" s="2549"/>
      <c r="P21" s="2549"/>
      <c r="Q21" s="2533"/>
      <c r="R21" s="2533"/>
      <c r="S21" s="2533"/>
      <c r="T21" s="2533"/>
      <c r="U21" s="546" t="s">
        <v>191</v>
      </c>
      <c r="V21" s="546" t="s">
        <v>192</v>
      </c>
      <c r="W21" s="546" t="s">
        <v>193</v>
      </c>
      <c r="X21" s="546" t="s">
        <v>194</v>
      </c>
      <c r="Y21" s="546" t="s">
        <v>195</v>
      </c>
      <c r="Z21" s="546" t="s">
        <v>196</v>
      </c>
      <c r="AA21" s="2533"/>
      <c r="AB21" s="2533"/>
      <c r="AC21" s="2533"/>
      <c r="AD21" s="2533"/>
      <c r="AE21" s="2533"/>
      <c r="AF21" s="2533"/>
      <c r="AG21" s="2533"/>
      <c r="AH21" s="2533"/>
      <c r="AI21" s="2533"/>
      <c r="AJ21" s="2533"/>
      <c r="AK21" s="2533"/>
      <c r="AL21" s="2533"/>
      <c r="AM21" s="2533"/>
    </row>
    <row r="22" spans="1:39" ht="124.8" x14ac:dyDescent="0.3">
      <c r="A22" s="2542">
        <v>1</v>
      </c>
      <c r="B22" s="2579" t="s">
        <v>197</v>
      </c>
      <c r="C22" s="2550" t="s">
        <v>323</v>
      </c>
      <c r="D22" s="2580" t="s">
        <v>324</v>
      </c>
      <c r="E22" s="547" t="s">
        <v>325</v>
      </c>
      <c r="F22" s="2550" t="s">
        <v>326</v>
      </c>
      <c r="G22" s="2550" t="s">
        <v>512</v>
      </c>
      <c r="H22" s="2550" t="s">
        <v>327</v>
      </c>
      <c r="I22" s="2581" t="s">
        <v>198</v>
      </c>
      <c r="J22" s="2557">
        <v>365</v>
      </c>
      <c r="K22" s="2560" t="str">
        <f>IF(J22&lt;=0,"",IF(J22&lt;=2,"Muy Baja",IF(J22&lt;=24,"Baja",IF(J22&lt;=500,"Media",IF(J22&lt;=5000,"Alta","Muy Alta")))))</f>
        <v>Media</v>
      </c>
      <c r="L22" s="2558">
        <f>IF(K22="","",IF(K22="Muy Baja",0.2,IF(K22="Baja",0.4,IF(K22="Media",0.6,IF(K22="Alta",0.8,IF(K22="Muy Alta",1,))))))</f>
        <v>0.6</v>
      </c>
      <c r="M22" s="2558" t="s">
        <v>225</v>
      </c>
      <c r="N22" s="2558" t="str">
        <f>IF(NOT(ISERROR(MATCH(M22,'[25]Tabla Impacto'!$B$221:$B$223,0))),'[25]Tabla Impacto'!$F$223&amp;"Por favor no seleccionar los criterios de impacto(Afectación Económica o presupuestal y Pérdida Reputacional)",M22)</f>
        <v xml:space="preserve">     El riesgo afecta la imagen de la entidad con algunos usuarios de relevancia frente al logro de los objetivos</v>
      </c>
      <c r="O22" s="2560" t="str">
        <f>IF(OR(N22='[25]Tabla Impacto'!$C$11,N22='[25]Tabla Impacto'!$D$11),"Leve",IF(OR(N22='[25]Tabla Impacto'!$C$12,N22='[25]Tabla Impacto'!$D$12),"Menor",IF(OR(N22='[25]Tabla Impacto'!$C$13,N22='[25]Tabla Impacto'!$D$13),"Moderado",IF(OR(N22='[25]Tabla Impacto'!$C$14,N22='[25]Tabla Impacto'!$D$14),"Mayor",IF(OR(N22='[25]Tabla Impacto'!$C$15,N22='[25]Tabla Impacto'!$D$15),"Catastrófico","")))))</f>
        <v>Moderado</v>
      </c>
      <c r="P22" s="2558">
        <f>IF(O22="","",IF(O22="Leve",0.2,IF(O22="Menor",0.4,IF(O22="Moderado",0.6,IF(O22="Mayor",0.8,IF(O22="Catastrófico",1,))))))</f>
        <v>0.6</v>
      </c>
      <c r="Q22" s="2559"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548">
        <v>1</v>
      </c>
      <c r="S22" s="549" t="s">
        <v>513</v>
      </c>
      <c r="T22" s="548" t="str">
        <f t="shared" ref="T22:T33" si="4">IF(OR(U22="Preventivo",U22="Detectivo"),"Probabilidad",IF(U22="Correctivo","Impacto",""))</f>
        <v>Probabilidad</v>
      </c>
      <c r="U22" s="550" t="s">
        <v>207</v>
      </c>
      <c r="V22" s="550" t="s">
        <v>201</v>
      </c>
      <c r="W22" s="551" t="str">
        <f t="shared" ref="W22:W33" si="5">IF(AND(U22="Preventivo",V22="Automático"),"50%",IF(AND(U22="Preventivo",V22="Manual"),"40%",IF(AND(U22="Detectivo",V22="Automático"),"40%",IF(AND(U22="Detectivo",V22="Manual"),"30%",IF(AND(U22="Correctivo",V22="Automático"),"35%",IF(AND(U22="Correctivo",V22="Manual"),"25%",""))))))</f>
        <v>40%</v>
      </c>
      <c r="X22" s="550" t="s">
        <v>202</v>
      </c>
      <c r="Y22" s="550" t="s">
        <v>203</v>
      </c>
      <c r="Z22" s="550" t="s">
        <v>298</v>
      </c>
      <c r="AA22" s="552">
        <f>IFERROR(IF(T22="Probabilidad",(L22-(+L22*W22)),IF(T22="Impacto",L22,"")),"")</f>
        <v>0.36</v>
      </c>
      <c r="AB22" s="553" t="str">
        <f t="shared" ref="AB22:AB33" si="6">IFERROR(IF(AA22="","",IF(AA22&lt;=0.2,"Muy Baja",IF(AA22&lt;=0.4,"Baja",IF(AA22&lt;=0.6,"Media",IF(AA22&lt;=0.8,"Alta","Muy Alta"))))),"")</f>
        <v>Baja</v>
      </c>
      <c r="AC22" s="554">
        <f t="shared" ref="AC22:AC33" si="7">+AA22</f>
        <v>0.36</v>
      </c>
      <c r="AD22" s="553" t="str">
        <f t="shared" ref="AD22:AD33" si="8">IFERROR(IF(AE22="","",IF(AE22&lt;=0.2,"Leve",IF(AE22&lt;=0.4,"Menor",IF(AE22&lt;=0.6,"Moderado",IF(AE22&lt;=0.8,"Mayor","Catastrófico"))))),"")</f>
        <v>Moderado</v>
      </c>
      <c r="AE22" s="554">
        <f>IFERROR(IF(T22="Impacto",(P22-(+P22*W22)),IF(T22="Probabilidad",P22,"")),"")</f>
        <v>0.6</v>
      </c>
      <c r="AF22" s="555" t="str">
        <f t="shared" ref="AF22:AF33" si="9">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Moderado</v>
      </c>
      <c r="AG22" s="556" t="s">
        <v>205</v>
      </c>
      <c r="AH22" s="557" t="s">
        <v>328</v>
      </c>
      <c r="AI22" s="557" t="s">
        <v>329</v>
      </c>
      <c r="AJ22" s="558">
        <v>45292</v>
      </c>
      <c r="AK22" s="558">
        <v>45534</v>
      </c>
      <c r="AL22" s="557" t="s">
        <v>1028</v>
      </c>
      <c r="AM22" s="559" t="s">
        <v>206</v>
      </c>
    </row>
    <row r="23" spans="1:39" ht="82.8" x14ac:dyDescent="0.3">
      <c r="A23" s="2532"/>
      <c r="B23" s="2544"/>
      <c r="C23" s="2532"/>
      <c r="D23" s="2548"/>
      <c r="E23" s="547" t="s">
        <v>330</v>
      </c>
      <c r="F23" s="2532"/>
      <c r="G23" s="2532"/>
      <c r="H23" s="2532"/>
      <c r="I23" s="2552"/>
      <c r="J23" s="2532"/>
      <c r="K23" s="2532"/>
      <c r="L23" s="2532"/>
      <c r="M23" s="2532"/>
      <c r="N23" s="2532"/>
      <c r="O23" s="2532"/>
      <c r="P23" s="2532"/>
      <c r="Q23" s="2532"/>
      <c r="R23" s="548">
        <v>2</v>
      </c>
      <c r="S23" s="549" t="s">
        <v>515</v>
      </c>
      <c r="T23" s="548" t="str">
        <f t="shared" si="4"/>
        <v>Probabilidad</v>
      </c>
      <c r="U23" s="550" t="s">
        <v>207</v>
      </c>
      <c r="V23" s="550" t="s">
        <v>201</v>
      </c>
      <c r="W23" s="551" t="str">
        <f t="shared" si="5"/>
        <v>40%</v>
      </c>
      <c r="X23" s="550" t="s">
        <v>202</v>
      </c>
      <c r="Y23" s="550" t="s">
        <v>203</v>
      </c>
      <c r="Z23" s="550" t="s">
        <v>298</v>
      </c>
      <c r="AA23" s="552">
        <f>IFERROR(IF(AND(T22="Probabilidad",T23="Probabilidad"),(AC22-(+AC22*W23)),IF(AND(T22="Impacto",T23="Probabilidad"),(L22-(+L22*W23)),IF(T23="Impacto",AC22,""))),"")</f>
        <v>0.216</v>
      </c>
      <c r="AB23" s="553" t="str">
        <f t="shared" si="6"/>
        <v>Baja</v>
      </c>
      <c r="AC23" s="554">
        <f t="shared" si="7"/>
        <v>0.216</v>
      </c>
      <c r="AD23" s="553" t="str">
        <f t="shared" si="8"/>
        <v>Moderado</v>
      </c>
      <c r="AE23" s="554">
        <f>IFERROR(IF(AND(T22="Impacto",T23="Impacto"),(AE22-(+AE22*W23)),IF(AND(T22="Probabilidad",T23="Impacto"),(P22-(+P22*W23)),IF(T23="Probabilidad",AE22,""))),"")</f>
        <v>0.6</v>
      </c>
      <c r="AF23" s="555" t="str">
        <f t="shared" si="9"/>
        <v>Moderado</v>
      </c>
      <c r="AG23" s="560" t="s">
        <v>205</v>
      </c>
      <c r="AH23" s="561" t="s">
        <v>331</v>
      </c>
      <c r="AI23" s="561" t="s">
        <v>329</v>
      </c>
      <c r="AJ23" s="558">
        <v>45292</v>
      </c>
      <c r="AK23" s="558">
        <v>45534</v>
      </c>
      <c r="AL23" s="561" t="s">
        <v>1029</v>
      </c>
      <c r="AM23" s="548" t="s">
        <v>206</v>
      </c>
    </row>
    <row r="24" spans="1:39" ht="78.599999999999994" x14ac:dyDescent="0.3">
      <c r="A24" s="2532"/>
      <c r="B24" s="2544"/>
      <c r="C24" s="2532"/>
      <c r="D24" s="2548"/>
      <c r="E24" s="557" t="s">
        <v>332</v>
      </c>
      <c r="F24" s="2532"/>
      <c r="G24" s="2532"/>
      <c r="H24" s="2532"/>
      <c r="I24" s="2552"/>
      <c r="J24" s="2532"/>
      <c r="K24" s="2532"/>
      <c r="L24" s="2532"/>
      <c r="M24" s="2532"/>
      <c r="N24" s="2532"/>
      <c r="O24" s="2532"/>
      <c r="P24" s="2532"/>
      <c r="Q24" s="2532"/>
      <c r="R24" s="548">
        <v>3</v>
      </c>
      <c r="S24" s="562" t="s">
        <v>517</v>
      </c>
      <c r="T24" s="548" t="str">
        <f t="shared" si="4"/>
        <v>Probabilidad</v>
      </c>
      <c r="U24" s="550" t="s">
        <v>207</v>
      </c>
      <c r="V24" s="550" t="s">
        <v>201</v>
      </c>
      <c r="W24" s="551" t="str">
        <f t="shared" si="5"/>
        <v>40%</v>
      </c>
      <c r="X24" s="550" t="s">
        <v>202</v>
      </c>
      <c r="Y24" s="550" t="s">
        <v>203</v>
      </c>
      <c r="Z24" s="550" t="s">
        <v>298</v>
      </c>
      <c r="AA24" s="552">
        <f t="shared" ref="AA24:AA27" si="10">IFERROR(IF(AND(T23="Probabilidad",T24="Probabilidad"),(AC23-(+AC23*W24)),IF(AND(T23="Impacto",T24="Probabilidad"),(AC22-(+AC22*W24)),IF(T24="Impacto",AC23,""))),"")</f>
        <v>0.12959999999999999</v>
      </c>
      <c r="AB24" s="553" t="str">
        <f t="shared" si="6"/>
        <v>Muy Baja</v>
      </c>
      <c r="AC24" s="554">
        <f t="shared" si="7"/>
        <v>0.12959999999999999</v>
      </c>
      <c r="AD24" s="553" t="str">
        <f t="shared" si="8"/>
        <v>Moderado</v>
      </c>
      <c r="AE24" s="554">
        <f t="shared" ref="AE24:AE27" si="11">IFERROR(IF(AND(T23="Impacto",T24="Impacto"),(AE23-(+AE23*W24)),IF(AND(T23="Probabilidad",T24="Impacto"),(AE22-(+AE22*W24)),IF(T24="Probabilidad",AE23,""))),"")</f>
        <v>0.6</v>
      </c>
      <c r="AF24" s="555" t="str">
        <f t="shared" si="9"/>
        <v>Moderado</v>
      </c>
      <c r="AG24" s="560" t="s">
        <v>205</v>
      </c>
      <c r="AH24" s="561" t="s">
        <v>518</v>
      </c>
      <c r="AI24" s="563" t="s">
        <v>329</v>
      </c>
      <c r="AJ24" s="564">
        <v>45292</v>
      </c>
      <c r="AK24" s="558">
        <v>45534</v>
      </c>
      <c r="AL24" s="561" t="s">
        <v>519</v>
      </c>
      <c r="AM24" s="548" t="s">
        <v>206</v>
      </c>
    </row>
    <row r="25" spans="1:39" ht="15.6" x14ac:dyDescent="0.3">
      <c r="A25" s="2532"/>
      <c r="B25" s="2544"/>
      <c r="C25" s="2532"/>
      <c r="D25" s="2548"/>
      <c r="E25" s="557"/>
      <c r="F25" s="2532"/>
      <c r="G25" s="2532"/>
      <c r="H25" s="2532"/>
      <c r="I25" s="2552"/>
      <c r="J25" s="2532"/>
      <c r="K25" s="2532"/>
      <c r="L25" s="2532"/>
      <c r="M25" s="2532"/>
      <c r="N25" s="2532"/>
      <c r="O25" s="2532"/>
      <c r="P25" s="2532"/>
      <c r="Q25" s="2532"/>
      <c r="R25" s="548">
        <v>4</v>
      </c>
      <c r="S25" s="565"/>
      <c r="T25" s="548" t="str">
        <f t="shared" si="4"/>
        <v/>
      </c>
      <c r="U25" s="550"/>
      <c r="V25" s="550"/>
      <c r="W25" s="551" t="str">
        <f t="shared" si="5"/>
        <v/>
      </c>
      <c r="X25" s="550"/>
      <c r="Y25" s="550"/>
      <c r="Z25" s="550"/>
      <c r="AA25" s="552" t="str">
        <f t="shared" si="10"/>
        <v/>
      </c>
      <c r="AB25" s="553" t="str">
        <f t="shared" si="6"/>
        <v/>
      </c>
      <c r="AC25" s="554" t="str">
        <f t="shared" si="7"/>
        <v/>
      </c>
      <c r="AD25" s="553" t="str">
        <f t="shared" si="8"/>
        <v/>
      </c>
      <c r="AE25" s="554" t="str">
        <f t="shared" si="11"/>
        <v/>
      </c>
      <c r="AF25" s="555" t="str">
        <f t="shared" si="9"/>
        <v/>
      </c>
      <c r="AG25" s="556"/>
      <c r="AH25" s="561"/>
      <c r="AI25" s="548"/>
      <c r="AJ25" s="566"/>
      <c r="AK25" s="566"/>
      <c r="AL25" s="561"/>
      <c r="AM25" s="548"/>
    </row>
    <row r="26" spans="1:39" ht="15.6" x14ac:dyDescent="0.3">
      <c r="A26" s="2532"/>
      <c r="B26" s="2544"/>
      <c r="C26" s="2532"/>
      <c r="D26" s="2548"/>
      <c r="E26" s="557"/>
      <c r="F26" s="2532"/>
      <c r="G26" s="2532"/>
      <c r="H26" s="2532"/>
      <c r="I26" s="2552"/>
      <c r="J26" s="2532"/>
      <c r="K26" s="2532"/>
      <c r="L26" s="2532"/>
      <c r="M26" s="2532"/>
      <c r="N26" s="2532"/>
      <c r="O26" s="2532"/>
      <c r="P26" s="2532"/>
      <c r="Q26" s="2532"/>
      <c r="R26" s="548">
        <v>5</v>
      </c>
      <c r="S26" s="565"/>
      <c r="T26" s="548" t="str">
        <f t="shared" si="4"/>
        <v/>
      </c>
      <c r="U26" s="550"/>
      <c r="V26" s="550"/>
      <c r="W26" s="551" t="str">
        <f t="shared" si="5"/>
        <v/>
      </c>
      <c r="X26" s="550"/>
      <c r="Y26" s="550"/>
      <c r="Z26" s="550"/>
      <c r="AA26" s="552" t="str">
        <f t="shared" si="10"/>
        <v/>
      </c>
      <c r="AB26" s="553" t="str">
        <f t="shared" si="6"/>
        <v/>
      </c>
      <c r="AC26" s="554" t="str">
        <f t="shared" si="7"/>
        <v/>
      </c>
      <c r="AD26" s="553" t="str">
        <f t="shared" si="8"/>
        <v/>
      </c>
      <c r="AE26" s="554" t="str">
        <f t="shared" si="11"/>
        <v/>
      </c>
      <c r="AF26" s="555" t="str">
        <f t="shared" si="9"/>
        <v/>
      </c>
      <c r="AG26" s="556"/>
      <c r="AH26" s="561"/>
      <c r="AI26" s="548"/>
      <c r="AJ26" s="566"/>
      <c r="AK26" s="566"/>
      <c r="AL26" s="561"/>
      <c r="AM26" s="548"/>
    </row>
    <row r="27" spans="1:39" ht="15.6" x14ac:dyDescent="0.3">
      <c r="A27" s="2533"/>
      <c r="B27" s="2545"/>
      <c r="C27" s="2533"/>
      <c r="D27" s="2549"/>
      <c r="E27" s="557"/>
      <c r="F27" s="2533"/>
      <c r="G27" s="2533"/>
      <c r="H27" s="2533"/>
      <c r="I27" s="2553"/>
      <c r="J27" s="2533"/>
      <c r="K27" s="2533"/>
      <c r="L27" s="2533"/>
      <c r="M27" s="2533"/>
      <c r="N27" s="2533"/>
      <c r="O27" s="2533"/>
      <c r="P27" s="2533"/>
      <c r="Q27" s="2533"/>
      <c r="R27" s="548">
        <v>6</v>
      </c>
      <c r="S27" s="565"/>
      <c r="T27" s="548" t="str">
        <f t="shared" si="4"/>
        <v/>
      </c>
      <c r="U27" s="550"/>
      <c r="V27" s="550"/>
      <c r="W27" s="551" t="str">
        <f t="shared" si="5"/>
        <v/>
      </c>
      <c r="X27" s="550"/>
      <c r="Y27" s="550"/>
      <c r="Z27" s="550"/>
      <c r="AA27" s="552" t="str">
        <f t="shared" si="10"/>
        <v/>
      </c>
      <c r="AB27" s="553" t="str">
        <f t="shared" si="6"/>
        <v/>
      </c>
      <c r="AC27" s="554" t="str">
        <f t="shared" si="7"/>
        <v/>
      </c>
      <c r="AD27" s="553" t="str">
        <f t="shared" si="8"/>
        <v/>
      </c>
      <c r="AE27" s="554" t="str">
        <f t="shared" si="11"/>
        <v/>
      </c>
      <c r="AF27" s="555" t="str">
        <f t="shared" si="9"/>
        <v/>
      </c>
      <c r="AG27" s="556"/>
      <c r="AH27" s="561"/>
      <c r="AI27" s="548"/>
      <c r="AJ27" s="566"/>
      <c r="AK27" s="566"/>
      <c r="AL27" s="561"/>
      <c r="AM27" s="548"/>
    </row>
    <row r="28" spans="1:39" ht="78.599999999999994" x14ac:dyDescent="0.3">
      <c r="A28" s="2542">
        <v>2</v>
      </c>
      <c r="B28" s="2543" t="s">
        <v>197</v>
      </c>
      <c r="C28" s="2546" t="s">
        <v>520</v>
      </c>
      <c r="D28" s="2547" t="s">
        <v>333</v>
      </c>
      <c r="E28" s="561" t="s">
        <v>334</v>
      </c>
      <c r="F28" s="2546" t="s">
        <v>335</v>
      </c>
      <c r="G28" s="2550" t="s">
        <v>512</v>
      </c>
      <c r="H28" s="561" t="s">
        <v>336</v>
      </c>
      <c r="I28" s="2551" t="s">
        <v>337</v>
      </c>
      <c r="J28" s="2531">
        <v>365</v>
      </c>
      <c r="K28" s="2535" t="str">
        <f>IF(J28&lt;=0,"",IF(J28&lt;=2,"Muy Baja",IF(J28&lt;=24,"Baja",IF(J28&lt;=500,"Media",IF(J28&lt;=5000,"Alta","Muy Alta")))))</f>
        <v>Media</v>
      </c>
      <c r="L28" s="2536">
        <f>IF(K28="","",IF(K28="Muy Baja",0.2,IF(K28="Baja",0.4,IF(K28="Media",0.6,IF(K28="Alta",0.8,IF(K28="Muy Alta",1,))))))</f>
        <v>0.6</v>
      </c>
      <c r="M28" s="2536" t="s">
        <v>216</v>
      </c>
      <c r="N28" s="2536" t="str">
        <f>IF(NOT(ISERROR(MATCH(M28,'[25]Tabla Impacto'!$B$221:$B$223,0))),'[25]Tabla Impacto'!$F$223&amp;"Por favor no seleccionar los criterios de impacto(Afectación Económica o presupuestal y Pérdida Reputacional)",M28)</f>
        <v xml:space="preserve">     El riesgo afecta la imagen de alguna área de la organización</v>
      </c>
      <c r="O28" s="2535" t="str">
        <f>IF(OR(N28='[25]Tabla Impacto'!$C$11,N28='[25]Tabla Impacto'!$D$11),"Leve",IF(OR(N28='[25]Tabla Impacto'!$C$12,N28='[25]Tabla Impacto'!$D$12),"Menor",IF(OR(N28='[25]Tabla Impacto'!$C$13,N28='[25]Tabla Impacto'!$D$13),"Moderado",IF(OR(N28='[25]Tabla Impacto'!$C$14,N28='[25]Tabla Impacto'!$D$14),"Mayor",IF(OR(N28='[25]Tabla Impacto'!$C$15,N28='[25]Tabla Impacto'!$D$15),"Catastrófico","")))))</f>
        <v>Leve</v>
      </c>
      <c r="P28" s="2536">
        <f>IF(O28="","",IF(O28="Leve",0.2,IF(O28="Menor",0.4,IF(O28="Moderado",0.6,IF(O28="Mayor",0.8,IF(O28="Catastrófico",1,))))))</f>
        <v>0.2</v>
      </c>
      <c r="Q28" s="2534"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Moderado</v>
      </c>
      <c r="R28" s="548">
        <v>1</v>
      </c>
      <c r="S28" s="549" t="s">
        <v>521</v>
      </c>
      <c r="T28" s="548" t="str">
        <f t="shared" si="4"/>
        <v>Probabilidad</v>
      </c>
      <c r="U28" s="550" t="s">
        <v>207</v>
      </c>
      <c r="V28" s="550" t="s">
        <v>201</v>
      </c>
      <c r="W28" s="551" t="str">
        <f t="shared" si="5"/>
        <v>40%</v>
      </c>
      <c r="X28" s="550" t="s">
        <v>202</v>
      </c>
      <c r="Y28" s="550" t="s">
        <v>203</v>
      </c>
      <c r="Z28" s="550" t="s">
        <v>298</v>
      </c>
      <c r="AA28" s="552">
        <f>IFERROR(IF(T28="Probabilidad",(L28-(+L28*W28)),IF(T28="Impacto",L28,"")),"")</f>
        <v>0.36</v>
      </c>
      <c r="AB28" s="553" t="str">
        <f t="shared" si="6"/>
        <v>Baja</v>
      </c>
      <c r="AC28" s="554">
        <f t="shared" si="7"/>
        <v>0.36</v>
      </c>
      <c r="AD28" s="553" t="str">
        <f t="shared" si="8"/>
        <v>Leve</v>
      </c>
      <c r="AE28" s="554">
        <f>IFERROR(IF(T28="Impacto",(P28-(+P28*W28)),IF(T28="Probabilidad",P28,"")),"")</f>
        <v>0.2</v>
      </c>
      <c r="AF28" s="555" t="str">
        <f t="shared" si="9"/>
        <v>Bajo</v>
      </c>
      <c r="AG28" s="556" t="s">
        <v>205</v>
      </c>
      <c r="AH28" s="561" t="s">
        <v>338</v>
      </c>
      <c r="AI28" s="563" t="s">
        <v>329</v>
      </c>
      <c r="AJ28" s="564">
        <v>45292</v>
      </c>
      <c r="AK28" s="558">
        <v>45534</v>
      </c>
      <c r="AL28" s="561" t="s">
        <v>522</v>
      </c>
      <c r="AM28" s="548" t="s">
        <v>206</v>
      </c>
    </row>
    <row r="29" spans="1:39" ht="78.599999999999994" x14ac:dyDescent="0.3">
      <c r="A29" s="2532"/>
      <c r="B29" s="2544"/>
      <c r="C29" s="2532"/>
      <c r="D29" s="2548"/>
      <c r="E29" s="561" t="s">
        <v>339</v>
      </c>
      <c r="F29" s="2532"/>
      <c r="G29" s="2532"/>
      <c r="H29" s="561" t="s">
        <v>340</v>
      </c>
      <c r="I29" s="2552"/>
      <c r="J29" s="2532"/>
      <c r="K29" s="2532"/>
      <c r="L29" s="2532"/>
      <c r="M29" s="2532"/>
      <c r="N29" s="2532"/>
      <c r="O29" s="2532"/>
      <c r="P29" s="2532"/>
      <c r="Q29" s="2532"/>
      <c r="R29" s="548">
        <v>2</v>
      </c>
      <c r="S29" s="549" t="s">
        <v>523</v>
      </c>
      <c r="T29" s="548" t="str">
        <f t="shared" si="4"/>
        <v>Probabilidad</v>
      </c>
      <c r="U29" s="550" t="s">
        <v>207</v>
      </c>
      <c r="V29" s="550" t="s">
        <v>201</v>
      </c>
      <c r="W29" s="551" t="str">
        <f t="shared" si="5"/>
        <v>40%</v>
      </c>
      <c r="X29" s="550" t="s">
        <v>202</v>
      </c>
      <c r="Y29" s="550" t="s">
        <v>203</v>
      </c>
      <c r="Z29" s="550" t="s">
        <v>298</v>
      </c>
      <c r="AA29" s="552">
        <f>IFERROR(IF(AND(T28="Probabilidad",T29="Probabilidad"),(AC28-(+AC28*W29)),IF(AND(T28="Impacto",T29="Probabilidad"),(L28-(+L28*W29)),IF(T29="Impacto",AC28,""))),"")</f>
        <v>0.216</v>
      </c>
      <c r="AB29" s="553" t="str">
        <f t="shared" si="6"/>
        <v>Baja</v>
      </c>
      <c r="AC29" s="554">
        <f t="shared" si="7"/>
        <v>0.216</v>
      </c>
      <c r="AD29" s="553" t="str">
        <f t="shared" si="8"/>
        <v>Leve</v>
      </c>
      <c r="AE29" s="554">
        <f>IFERROR(IF(AND(T28="Impacto",T29="Impacto"),(AE28-(+AE28*W29)),IF(AND(T28="Probabilidad",T29="Impacto"),(P28-(+P28*W29)),IF(T29="Probabilidad",AE28,""))),"")</f>
        <v>0.2</v>
      </c>
      <c r="AF29" s="555" t="str">
        <f t="shared" si="9"/>
        <v>Bajo</v>
      </c>
      <c r="AG29" s="556" t="s">
        <v>205</v>
      </c>
      <c r="AH29" s="561" t="s">
        <v>341</v>
      </c>
      <c r="AI29" s="563" t="s">
        <v>329</v>
      </c>
      <c r="AJ29" s="564">
        <v>45292</v>
      </c>
      <c r="AK29" s="558">
        <v>45534</v>
      </c>
      <c r="AL29" s="561" t="s">
        <v>522</v>
      </c>
      <c r="AM29" s="548" t="s">
        <v>206</v>
      </c>
    </row>
    <row r="30" spans="1:39" ht="27.6" x14ac:dyDescent="0.3">
      <c r="A30" s="2532"/>
      <c r="B30" s="2544"/>
      <c r="C30" s="2532"/>
      <c r="D30" s="2548"/>
      <c r="E30" s="561" t="s">
        <v>342</v>
      </c>
      <c r="F30" s="2532"/>
      <c r="G30" s="2532"/>
      <c r="H30" s="561" t="s">
        <v>343</v>
      </c>
      <c r="I30" s="2552"/>
      <c r="J30" s="2532"/>
      <c r="K30" s="2532"/>
      <c r="L30" s="2532"/>
      <c r="M30" s="2532"/>
      <c r="N30" s="2532"/>
      <c r="O30" s="2532"/>
      <c r="P30" s="2532"/>
      <c r="Q30" s="2532"/>
      <c r="R30" s="548">
        <v>3</v>
      </c>
      <c r="S30" s="562"/>
      <c r="T30" s="548" t="str">
        <f t="shared" si="4"/>
        <v/>
      </c>
      <c r="U30" s="550"/>
      <c r="V30" s="550"/>
      <c r="W30" s="551" t="str">
        <f t="shared" si="5"/>
        <v/>
      </c>
      <c r="X30" s="550"/>
      <c r="Y30" s="550"/>
      <c r="Z30" s="550"/>
      <c r="AA30" s="552" t="str">
        <f t="shared" ref="AA30:AA33" si="12">IFERROR(IF(AND(T29="Probabilidad",T30="Probabilidad"),(AC29-(+AC29*W30)),IF(AND(T29="Impacto",T30="Probabilidad"),(AC28-(+AC28*W30)),IF(T30="Impacto",AC29,""))),"")</f>
        <v/>
      </c>
      <c r="AB30" s="553" t="str">
        <f t="shared" si="6"/>
        <v/>
      </c>
      <c r="AC30" s="554" t="str">
        <f t="shared" si="7"/>
        <v/>
      </c>
      <c r="AD30" s="553" t="str">
        <f t="shared" si="8"/>
        <v/>
      </c>
      <c r="AE30" s="554" t="str">
        <f t="shared" ref="AE30:AE33" si="13">IFERROR(IF(AND(T29="Impacto",T30="Impacto"),(AE29-(+AE29*W30)),IF(AND(T29="Probabilidad",T30="Impacto"),(AE28-(+AE28*W30)),IF(T30="Probabilidad",AE29,""))),"")</f>
        <v/>
      </c>
      <c r="AF30" s="555" t="str">
        <f t="shared" si="9"/>
        <v/>
      </c>
      <c r="AG30" s="556"/>
      <c r="AH30" s="561"/>
      <c r="AI30" s="548"/>
      <c r="AJ30" s="566"/>
      <c r="AK30" s="566"/>
      <c r="AL30" s="561"/>
      <c r="AM30" s="548"/>
    </row>
    <row r="31" spans="1:39" ht="15.6" x14ac:dyDescent="0.3">
      <c r="A31" s="2532"/>
      <c r="B31" s="2544"/>
      <c r="C31" s="2532"/>
      <c r="D31" s="2548"/>
      <c r="E31" s="561"/>
      <c r="F31" s="2532"/>
      <c r="G31" s="2532"/>
      <c r="H31" s="561"/>
      <c r="I31" s="2552"/>
      <c r="J31" s="2532"/>
      <c r="K31" s="2532"/>
      <c r="L31" s="2532"/>
      <c r="M31" s="2532"/>
      <c r="N31" s="2532"/>
      <c r="O31" s="2532"/>
      <c r="P31" s="2532"/>
      <c r="Q31" s="2532"/>
      <c r="R31" s="548">
        <v>4</v>
      </c>
      <c r="S31" s="565"/>
      <c r="T31" s="548" t="str">
        <f t="shared" si="4"/>
        <v/>
      </c>
      <c r="U31" s="550"/>
      <c r="V31" s="550"/>
      <c r="W31" s="551" t="str">
        <f t="shared" si="5"/>
        <v/>
      </c>
      <c r="X31" s="550"/>
      <c r="Y31" s="550"/>
      <c r="Z31" s="550"/>
      <c r="AA31" s="552" t="str">
        <f t="shared" si="12"/>
        <v/>
      </c>
      <c r="AB31" s="553" t="str">
        <f t="shared" si="6"/>
        <v/>
      </c>
      <c r="AC31" s="554" t="str">
        <f t="shared" si="7"/>
        <v/>
      </c>
      <c r="AD31" s="553" t="str">
        <f t="shared" si="8"/>
        <v/>
      </c>
      <c r="AE31" s="554" t="str">
        <f t="shared" si="13"/>
        <v/>
      </c>
      <c r="AF31" s="555" t="str">
        <f t="shared" si="9"/>
        <v/>
      </c>
      <c r="AG31" s="556"/>
      <c r="AH31" s="561"/>
      <c r="AI31" s="548"/>
      <c r="AJ31" s="566"/>
      <c r="AK31" s="566"/>
      <c r="AL31" s="561"/>
      <c r="AM31" s="548"/>
    </row>
    <row r="32" spans="1:39" ht="15.6" x14ac:dyDescent="0.3">
      <c r="A32" s="2532"/>
      <c r="B32" s="2544"/>
      <c r="C32" s="2532"/>
      <c r="D32" s="2548"/>
      <c r="E32" s="561"/>
      <c r="F32" s="2532"/>
      <c r="G32" s="2532"/>
      <c r="H32" s="561"/>
      <c r="I32" s="2552"/>
      <c r="J32" s="2532"/>
      <c r="K32" s="2532"/>
      <c r="L32" s="2532"/>
      <c r="M32" s="2532"/>
      <c r="N32" s="2532"/>
      <c r="O32" s="2532"/>
      <c r="P32" s="2532"/>
      <c r="Q32" s="2532"/>
      <c r="R32" s="548">
        <v>5</v>
      </c>
      <c r="S32" s="565"/>
      <c r="T32" s="548" t="str">
        <f t="shared" si="4"/>
        <v/>
      </c>
      <c r="U32" s="550"/>
      <c r="V32" s="550"/>
      <c r="W32" s="551" t="str">
        <f t="shared" si="5"/>
        <v/>
      </c>
      <c r="X32" s="550"/>
      <c r="Y32" s="550"/>
      <c r="Z32" s="550"/>
      <c r="AA32" s="552" t="str">
        <f t="shared" si="12"/>
        <v/>
      </c>
      <c r="AB32" s="553" t="str">
        <f t="shared" si="6"/>
        <v/>
      </c>
      <c r="AC32" s="554" t="str">
        <f t="shared" si="7"/>
        <v/>
      </c>
      <c r="AD32" s="553" t="str">
        <f t="shared" si="8"/>
        <v/>
      </c>
      <c r="AE32" s="554" t="str">
        <f t="shared" si="13"/>
        <v/>
      </c>
      <c r="AF32" s="555" t="str">
        <f t="shared" si="9"/>
        <v/>
      </c>
      <c r="AG32" s="556"/>
      <c r="AH32" s="561"/>
      <c r="AI32" s="548"/>
      <c r="AJ32" s="566"/>
      <c r="AK32" s="566"/>
      <c r="AL32" s="561"/>
      <c r="AM32" s="548"/>
    </row>
    <row r="33" spans="1:51" ht="15.6" x14ac:dyDescent="0.3">
      <c r="A33" s="2533"/>
      <c r="B33" s="2545"/>
      <c r="C33" s="2533"/>
      <c r="D33" s="2549"/>
      <c r="E33" s="561"/>
      <c r="F33" s="2533"/>
      <c r="G33" s="2533"/>
      <c r="H33" s="561"/>
      <c r="I33" s="2553"/>
      <c r="J33" s="2533"/>
      <c r="K33" s="2533"/>
      <c r="L33" s="2533"/>
      <c r="M33" s="2533"/>
      <c r="N33" s="2533"/>
      <c r="O33" s="2533"/>
      <c r="P33" s="2533"/>
      <c r="Q33" s="2533"/>
      <c r="R33" s="548">
        <v>6</v>
      </c>
      <c r="S33" s="565"/>
      <c r="T33" s="548" t="str">
        <f t="shared" si="4"/>
        <v/>
      </c>
      <c r="U33" s="550"/>
      <c r="V33" s="550"/>
      <c r="W33" s="551" t="str">
        <f t="shared" si="5"/>
        <v/>
      </c>
      <c r="X33" s="550"/>
      <c r="Y33" s="550"/>
      <c r="Z33" s="550"/>
      <c r="AA33" s="552" t="str">
        <f t="shared" si="12"/>
        <v/>
      </c>
      <c r="AB33" s="553" t="str">
        <f t="shared" si="6"/>
        <v/>
      </c>
      <c r="AC33" s="554" t="str">
        <f t="shared" si="7"/>
        <v/>
      </c>
      <c r="AD33" s="553" t="str">
        <f t="shared" si="8"/>
        <v/>
      </c>
      <c r="AE33" s="554" t="str">
        <f t="shared" si="13"/>
        <v/>
      </c>
      <c r="AF33" s="555" t="str">
        <f t="shared" si="9"/>
        <v/>
      </c>
      <c r="AG33" s="556"/>
      <c r="AH33" s="561"/>
      <c r="AI33" s="548"/>
      <c r="AJ33" s="566"/>
      <c r="AK33" s="566"/>
      <c r="AL33" s="561"/>
      <c r="AM33" s="548"/>
    </row>
    <row r="35" spans="1:51" s="521" customFormat="1" ht="16.5" customHeight="1" x14ac:dyDescent="0.25">
      <c r="A35" s="2038" t="s">
        <v>156</v>
      </c>
      <c r="B35" s="2038"/>
      <c r="C35" s="2038"/>
      <c r="D35" s="2038"/>
      <c r="E35" s="2038"/>
      <c r="F35" s="2038"/>
      <c r="G35" s="2038"/>
      <c r="H35" s="2038"/>
      <c r="I35" s="2038"/>
      <c r="J35" s="2038"/>
      <c r="K35" s="2038"/>
      <c r="L35" s="2038"/>
      <c r="M35" s="2038"/>
      <c r="N35" s="2038"/>
      <c r="O35" s="2038"/>
      <c r="P35" s="2038"/>
      <c r="Q35" s="2038"/>
      <c r="R35" s="2038"/>
      <c r="S35" s="2038"/>
      <c r="T35" s="2038"/>
      <c r="U35" s="2038"/>
      <c r="V35" s="2038"/>
      <c r="W35" s="2038"/>
      <c r="X35" s="2038"/>
      <c r="Y35" s="2038"/>
      <c r="Z35" s="2038"/>
      <c r="AA35" s="2038"/>
      <c r="AB35" s="2038"/>
      <c r="AC35" s="2038"/>
      <c r="AD35" s="2038"/>
      <c r="AE35" s="2038"/>
      <c r="AF35" s="2038"/>
      <c r="AG35" s="2038"/>
      <c r="AH35" s="2038"/>
      <c r="AI35" s="2038"/>
      <c r="AJ35" s="2038"/>
      <c r="AK35" s="2038"/>
      <c r="AL35" s="245"/>
      <c r="AM35" s="245"/>
      <c r="AN35" s="245"/>
      <c r="AO35" s="245"/>
      <c r="AP35" s="245"/>
      <c r="AQ35" s="245"/>
      <c r="AR35" s="245"/>
      <c r="AS35" s="245"/>
      <c r="AT35" s="245"/>
      <c r="AU35" s="245"/>
      <c r="AV35" s="245"/>
      <c r="AW35" s="245"/>
      <c r="AX35" s="245"/>
      <c r="AY35" s="245"/>
    </row>
    <row r="36" spans="1:51" s="521" customFormat="1" ht="13.8" customHeight="1" x14ac:dyDescent="0.25">
      <c r="A36" s="2038"/>
      <c r="B36" s="2038"/>
      <c r="C36" s="2038"/>
      <c r="D36" s="2038"/>
      <c r="E36" s="2038"/>
      <c r="F36" s="2038"/>
      <c r="G36" s="2038"/>
      <c r="H36" s="2038"/>
      <c r="I36" s="2038"/>
      <c r="J36" s="2038"/>
      <c r="K36" s="2038"/>
      <c r="L36" s="2038"/>
      <c r="M36" s="2038"/>
      <c r="N36" s="2038"/>
      <c r="O36" s="2038"/>
      <c r="P36" s="2038"/>
      <c r="Q36" s="2038"/>
      <c r="R36" s="2038"/>
      <c r="S36" s="2038"/>
      <c r="T36" s="2038"/>
      <c r="U36" s="2038"/>
      <c r="V36" s="2038"/>
      <c r="W36" s="2038"/>
      <c r="X36" s="2038"/>
      <c r="Y36" s="2038"/>
      <c r="Z36" s="2038"/>
      <c r="AA36" s="2038"/>
      <c r="AB36" s="2038"/>
      <c r="AC36" s="2038"/>
      <c r="AD36" s="2038"/>
      <c r="AE36" s="2038"/>
      <c r="AF36" s="2038"/>
      <c r="AG36" s="2038"/>
      <c r="AH36" s="2038"/>
      <c r="AI36" s="2038"/>
      <c r="AJ36" s="2038"/>
      <c r="AK36" s="2038"/>
      <c r="AL36" s="245"/>
      <c r="AM36" s="245"/>
      <c r="AN36" s="245"/>
      <c r="AO36" s="245"/>
      <c r="AP36" s="245"/>
      <c r="AQ36" s="245"/>
      <c r="AR36" s="245"/>
      <c r="AS36" s="245"/>
      <c r="AT36" s="245"/>
      <c r="AU36" s="245"/>
      <c r="AV36" s="245"/>
      <c r="AW36" s="245"/>
      <c r="AX36" s="245"/>
      <c r="AY36" s="245"/>
    </row>
    <row r="37" spans="1:51" s="521" customFormat="1" x14ac:dyDescent="0.25">
      <c r="A37" s="246"/>
      <c r="B37" s="247"/>
      <c r="C37" s="246"/>
      <c r="D37" s="246"/>
      <c r="E37" s="246"/>
      <c r="F37" s="245"/>
      <c r="G37" s="245"/>
      <c r="H37" s="248"/>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row>
    <row r="38" spans="1:51" ht="23.4" x14ac:dyDescent="0.3">
      <c r="A38" s="2048" t="s">
        <v>157</v>
      </c>
      <c r="B38" s="2048"/>
      <c r="C38" s="2049" t="s">
        <v>466</v>
      </c>
      <c r="D38" s="2049"/>
      <c r="E38" s="2049"/>
      <c r="F38" s="2049"/>
      <c r="G38" s="2049"/>
      <c r="H38" s="2049"/>
      <c r="I38" s="2049"/>
      <c r="J38" s="2049"/>
      <c r="K38" s="2049"/>
      <c r="L38" s="2049"/>
      <c r="M38" s="2049"/>
      <c r="N38" s="2049"/>
      <c r="O38" s="2049"/>
      <c r="P38" s="2049"/>
      <c r="Q38" s="2049"/>
      <c r="R38" s="2049"/>
      <c r="S38" s="2049"/>
      <c r="T38" s="2049"/>
      <c r="U38" s="2049"/>
      <c r="V38" s="2049"/>
      <c r="W38" s="2049"/>
      <c r="X38" s="2049"/>
      <c r="Y38" s="2049"/>
      <c r="Z38" s="2049"/>
      <c r="AA38" s="2049"/>
      <c r="AB38" s="2049"/>
      <c r="AC38" s="2049"/>
      <c r="AD38" s="2049"/>
      <c r="AE38" s="2049"/>
      <c r="AF38" s="2049"/>
      <c r="AG38" s="2049"/>
      <c r="AH38" s="2049"/>
      <c r="AI38" s="2049"/>
      <c r="AJ38" s="2049"/>
      <c r="AK38" s="2049"/>
    </row>
    <row r="39" spans="1:51" ht="23.4" x14ac:dyDescent="0.3">
      <c r="A39" s="2048" t="s">
        <v>158</v>
      </c>
      <c r="B39" s="2048"/>
      <c r="C39" s="2011" t="s">
        <v>467</v>
      </c>
      <c r="D39" s="2011"/>
      <c r="E39" s="2011"/>
      <c r="F39" s="2011"/>
      <c r="G39" s="2011"/>
      <c r="H39" s="2011"/>
      <c r="I39" s="2011"/>
      <c r="J39" s="2011"/>
      <c r="K39" s="2011"/>
      <c r="L39" s="2011"/>
      <c r="M39" s="2011"/>
      <c r="N39" s="2011"/>
      <c r="O39" s="2011"/>
      <c r="P39" s="2011"/>
      <c r="Q39" s="2011"/>
      <c r="R39" s="2011"/>
      <c r="S39" s="2011"/>
      <c r="T39" s="2011"/>
      <c r="U39" s="2011"/>
      <c r="V39" s="2011"/>
      <c r="W39" s="2011"/>
      <c r="X39" s="2011"/>
      <c r="Y39" s="2011"/>
      <c r="Z39" s="2011"/>
      <c r="AA39" s="2011"/>
      <c r="AB39" s="2011"/>
      <c r="AC39" s="2011"/>
      <c r="AD39" s="2011"/>
      <c r="AE39" s="2011"/>
      <c r="AF39" s="2011"/>
      <c r="AG39" s="2011"/>
      <c r="AH39" s="2011"/>
      <c r="AI39" s="2011"/>
      <c r="AJ39" s="2011"/>
      <c r="AK39" s="2011"/>
    </row>
    <row r="40" spans="1:51" ht="23.4" x14ac:dyDescent="0.3">
      <c r="A40" s="2048" t="s">
        <v>159</v>
      </c>
      <c r="B40" s="2048"/>
      <c r="C40" s="2011" t="s">
        <v>468</v>
      </c>
      <c r="D40" s="2011"/>
      <c r="E40" s="2011"/>
      <c r="F40" s="2011"/>
      <c r="G40" s="2011"/>
      <c r="H40" s="2011"/>
      <c r="I40" s="2011"/>
      <c r="J40" s="2011"/>
      <c r="K40" s="2011"/>
      <c r="L40" s="2011"/>
      <c r="M40" s="2011"/>
      <c r="N40" s="2011"/>
      <c r="O40" s="2011"/>
      <c r="P40" s="2011"/>
      <c r="Q40" s="2011"/>
      <c r="R40" s="2011"/>
      <c r="S40" s="2011"/>
      <c r="T40" s="2011"/>
      <c r="U40" s="2011"/>
      <c r="V40" s="2011"/>
      <c r="W40" s="2011"/>
      <c r="X40" s="2011"/>
      <c r="Y40" s="2011"/>
      <c r="Z40" s="2011"/>
      <c r="AA40" s="2011"/>
      <c r="AB40" s="2011"/>
      <c r="AC40" s="2011"/>
      <c r="AD40" s="2011"/>
      <c r="AE40" s="2011"/>
      <c r="AF40" s="2011"/>
      <c r="AG40" s="2011"/>
      <c r="AH40" s="2011"/>
      <c r="AI40" s="2011"/>
      <c r="AJ40" s="2011"/>
      <c r="AK40" s="2011"/>
    </row>
    <row r="41" spans="1:51" x14ac:dyDescent="0.3">
      <c r="A41" s="2012" t="s">
        <v>160</v>
      </c>
      <c r="B41" s="2012"/>
      <c r="C41" s="2012"/>
      <c r="D41" s="2012"/>
      <c r="E41" s="2012"/>
      <c r="F41" s="2012"/>
      <c r="G41" s="2012"/>
      <c r="H41" s="2012"/>
      <c r="I41" s="2012"/>
      <c r="J41" s="2013" t="s">
        <v>161</v>
      </c>
      <c r="K41" s="2013"/>
      <c r="L41" s="2013"/>
      <c r="M41" s="2013"/>
      <c r="N41" s="2013"/>
      <c r="O41" s="2013"/>
      <c r="P41" s="2013"/>
      <c r="Q41" s="2013" t="s">
        <v>162</v>
      </c>
      <c r="R41" s="2013"/>
      <c r="S41" s="2013"/>
      <c r="T41" s="2013"/>
      <c r="U41" s="2013"/>
      <c r="V41" s="2013"/>
      <c r="W41" s="2013"/>
      <c r="X41" s="2013"/>
      <c r="Y41" s="2013"/>
      <c r="Z41" s="2013" t="s">
        <v>163</v>
      </c>
      <c r="AA41" s="2013"/>
      <c r="AB41" s="2013"/>
      <c r="AC41" s="2013"/>
      <c r="AD41" s="2013"/>
      <c r="AE41" s="2013"/>
      <c r="AF41" s="2013"/>
      <c r="AG41" s="2013" t="s">
        <v>164</v>
      </c>
      <c r="AH41" s="2013"/>
      <c r="AI41" s="2013"/>
      <c r="AJ41" s="2013"/>
      <c r="AK41" s="2013"/>
    </row>
    <row r="42" spans="1:51" x14ac:dyDescent="0.3">
      <c r="A42" s="2084" t="s">
        <v>165</v>
      </c>
      <c r="B42" s="2012" t="s">
        <v>142</v>
      </c>
      <c r="C42" s="2083" t="s">
        <v>166</v>
      </c>
      <c r="D42" s="2083" t="s">
        <v>167</v>
      </c>
      <c r="E42" s="2085" t="s">
        <v>168</v>
      </c>
      <c r="F42" s="2086" t="s">
        <v>60</v>
      </c>
      <c r="G42" s="2529" t="s">
        <v>511</v>
      </c>
      <c r="H42" s="249"/>
      <c r="I42" s="1997" t="s">
        <v>169</v>
      </c>
      <c r="J42" s="2083" t="s">
        <v>170</v>
      </c>
      <c r="K42" s="2083" t="s">
        <v>171</v>
      </c>
      <c r="L42" s="2082" t="s">
        <v>172</v>
      </c>
      <c r="M42" s="1997" t="s">
        <v>173</v>
      </c>
      <c r="N42" s="1997" t="s">
        <v>174</v>
      </c>
      <c r="O42" s="2081" t="s">
        <v>175</v>
      </c>
      <c r="P42" s="2082" t="s">
        <v>172</v>
      </c>
      <c r="Q42" s="2083" t="s">
        <v>176</v>
      </c>
      <c r="R42" s="2080" t="s">
        <v>177</v>
      </c>
      <c r="S42" s="1997" t="s">
        <v>178</v>
      </c>
      <c r="T42" s="1997" t="s">
        <v>179</v>
      </c>
      <c r="U42" s="1997" t="s">
        <v>180</v>
      </c>
      <c r="V42" s="1997"/>
      <c r="W42" s="1997"/>
      <c r="X42" s="1997"/>
      <c r="Y42" s="1997"/>
      <c r="Z42" s="1997"/>
      <c r="AA42" s="2080" t="s">
        <v>181</v>
      </c>
      <c r="AB42" s="2080" t="s">
        <v>182</v>
      </c>
      <c r="AC42" s="2080" t="s">
        <v>172</v>
      </c>
      <c r="AD42" s="2080" t="s">
        <v>183</v>
      </c>
      <c r="AE42" s="2080" t="s">
        <v>172</v>
      </c>
      <c r="AF42" s="2080" t="s">
        <v>184</v>
      </c>
      <c r="AG42" s="2080" t="s">
        <v>185</v>
      </c>
      <c r="AH42" s="1997" t="s">
        <v>164</v>
      </c>
      <c r="AI42" s="1997" t="s">
        <v>143</v>
      </c>
      <c r="AJ42" s="1997" t="s">
        <v>187</v>
      </c>
      <c r="AK42" s="1997" t="s">
        <v>188</v>
      </c>
      <c r="AL42" s="1997" t="s">
        <v>186</v>
      </c>
      <c r="AM42" s="1997" t="s">
        <v>187</v>
      </c>
      <c r="AN42" s="1997" t="s">
        <v>188</v>
      </c>
      <c r="AO42" s="1997" t="s">
        <v>186</v>
      </c>
      <c r="AP42" s="1997" t="s">
        <v>187</v>
      </c>
      <c r="AQ42" s="1997" t="s">
        <v>188</v>
      </c>
      <c r="AR42" s="1997" t="s">
        <v>186</v>
      </c>
      <c r="AS42" s="1997" t="s">
        <v>187</v>
      </c>
      <c r="AT42" s="1997" t="s">
        <v>188</v>
      </c>
      <c r="AU42" s="1997" t="s">
        <v>186</v>
      </c>
      <c r="AV42" s="1997" t="s">
        <v>187</v>
      </c>
      <c r="AW42" s="1997" t="s">
        <v>188</v>
      </c>
      <c r="AX42" s="1997" t="s">
        <v>186</v>
      </c>
      <c r="AY42" s="1997" t="s">
        <v>188</v>
      </c>
    </row>
    <row r="43" spans="1:51" ht="13.8" customHeight="1" x14ac:dyDescent="0.3">
      <c r="A43" s="2084"/>
      <c r="B43" s="2012"/>
      <c r="C43" s="2083"/>
      <c r="D43" s="2083"/>
      <c r="E43" s="2085"/>
      <c r="F43" s="2086"/>
      <c r="G43" s="2530"/>
      <c r="H43" s="249" t="s">
        <v>190</v>
      </c>
      <c r="I43" s="1997"/>
      <c r="J43" s="2083"/>
      <c r="K43" s="2083"/>
      <c r="L43" s="2082"/>
      <c r="M43" s="1997"/>
      <c r="N43" s="1997"/>
      <c r="O43" s="2081"/>
      <c r="P43" s="2081"/>
      <c r="Q43" s="2083"/>
      <c r="R43" s="2080"/>
      <c r="S43" s="1997"/>
      <c r="T43" s="1997"/>
      <c r="U43" s="250" t="s">
        <v>191</v>
      </c>
      <c r="V43" s="250" t="s">
        <v>192</v>
      </c>
      <c r="W43" s="250" t="s">
        <v>193</v>
      </c>
      <c r="X43" s="250" t="s">
        <v>194</v>
      </c>
      <c r="Y43" s="250" t="s">
        <v>195</v>
      </c>
      <c r="Z43" s="250" t="s">
        <v>196</v>
      </c>
      <c r="AA43" s="2080"/>
      <c r="AB43" s="2080"/>
      <c r="AC43" s="2080"/>
      <c r="AD43" s="2080"/>
      <c r="AE43" s="2080"/>
      <c r="AF43" s="2080"/>
      <c r="AG43" s="2080"/>
      <c r="AH43" s="1997"/>
      <c r="AI43" s="1997"/>
      <c r="AJ43" s="1997"/>
      <c r="AK43" s="1997"/>
      <c r="AL43" s="1997"/>
      <c r="AM43" s="1997"/>
      <c r="AN43" s="1997"/>
      <c r="AO43" s="1997"/>
      <c r="AP43" s="1997"/>
      <c r="AQ43" s="1997"/>
      <c r="AR43" s="1997"/>
      <c r="AS43" s="1997"/>
      <c r="AT43" s="1997"/>
      <c r="AU43" s="1997"/>
      <c r="AV43" s="1997"/>
      <c r="AW43" s="1997"/>
      <c r="AX43" s="1997"/>
      <c r="AY43" s="1997"/>
    </row>
    <row r="44" spans="1:51" ht="96.6" x14ac:dyDescent="0.3">
      <c r="A44" s="2027">
        <v>1</v>
      </c>
      <c r="B44" s="2076" t="s">
        <v>197</v>
      </c>
      <c r="C44" s="2076" t="s">
        <v>469</v>
      </c>
      <c r="D44" s="2076" t="s">
        <v>1030</v>
      </c>
      <c r="E44" s="251" t="s">
        <v>471</v>
      </c>
      <c r="F44" s="2077" t="s">
        <v>1031</v>
      </c>
      <c r="G44" s="2520" t="s">
        <v>512</v>
      </c>
      <c r="H44" s="2078" t="s">
        <v>1032</v>
      </c>
      <c r="I44" s="2058" t="s">
        <v>198</v>
      </c>
      <c r="J44" s="2071">
        <v>240</v>
      </c>
      <c r="K44" s="2021" t="str">
        <f>IF(J44&lt;=0,"",IF(J44&lt;=2,"Muy Baja",IF(J44&lt;=24,"Baja",IF(J44&lt;=500,"Media",IF(J44&lt;=5000,"Alta","Muy Alta")))))</f>
        <v>Media</v>
      </c>
      <c r="L44" s="2022">
        <f>IF(K44="","",IF(K44="Muy Baja",0.2,IF(K44="Baja",0.4,IF(K44="Media",0.6,IF(K44="Alta",0.8,IF(K44="Muy Alta",1,))))))</f>
        <v>0.6</v>
      </c>
      <c r="M44" s="2072" t="s">
        <v>225</v>
      </c>
      <c r="N44" s="2073" t="str">
        <f>IF(NOT(ISERROR(MATCH(M44,'[26]Tabla Impacto'!$B$221:$B$223,0))),'[26]Tabla Impacto'!$F$223&amp;"Por favor no seleccionar los criterios de impacto(Afectación Económica o presupuestal y Pérdida Reputacional)",M44)</f>
        <v xml:space="preserve">     El riesgo afecta la imagen de la entidad con algunos usuarios de relevancia frente al logro de los objetivos</v>
      </c>
      <c r="O44" s="2074" t="str">
        <f>IF(OR(N44='[26]Tabla Impacto'!$C$11,N44='[26]Tabla Impacto'!$D$11),"Leve",IF(OR(N44='[26]Tabla Impacto'!$C$12,N44='[26]Tabla Impacto'!$D$12),"Menor",IF(OR(N44='[26]Tabla Impacto'!$C$13,N44='[26]Tabla Impacto'!$D$13),"Moderado",IF(OR(N44='[26]Tabla Impacto'!$C$14,N44='[26]Tabla Impacto'!$D$14),"Mayor",IF(OR(N44='[26]Tabla Impacto'!$C$15,N44='[26]Tabla Impacto'!$D$15),"Catastrófico","")))))</f>
        <v>Moderado</v>
      </c>
      <c r="P44" s="2067">
        <f>IF(O44="","",IF(O44="Leve",0.2,IF(O44="Menor",0.4,IF(O44="Moderado",0.6,IF(O44="Mayor",0.8,IF(O44="Catastrófico",1,))))))</f>
        <v>0.6</v>
      </c>
      <c r="Q44" s="1998" t="str">
        <f>IF(OR(AND(K44="Muy Baja",O44="Leve"),AND(K44="Muy Baja",O44="Menor"),AND(K44="Baja",O44="Leve")),"Bajo",IF(OR(AND(K44="Muy baja",O44="Moderado"),AND(K44="Baja",O44="Menor"),AND(K44="Baja",O44="Moderado"),AND(K44="Media",O44="Leve"),AND(K44="Media",O44="Menor"),AND(K44="Media",O44="Moderado"),AND(K44="Alta",O44="Leve"),AND(K44="Alta",O44="Menor")),"Moderado",IF(OR(AND(K44="Muy Baja",O44="Mayor"),AND(K44="Baja",O44="Mayor"),AND(K44="Media",O44="Mayor"),AND(K44="Alta",O44="Moderado"),AND(K44="Alta",O44="Mayor"),AND(K44="Muy Alta",O44="Leve"),AND(K44="Muy Alta",O44="Menor"),AND(K44="Muy Alta",O44="Moderado"),AND(K44="Muy Alta",O44="Mayor")),"Alto",IF(OR(AND(K44="Muy Baja",O44="Catastrófico"),AND(K44="Baja",O44="Catastrófico"),AND(K44="Media",O44="Catastrófico"),AND(K44="Alta",O44="Catastrófico"),AND(K44="Muy Alta",O44="Catastrófico")),"Extremo",""))))</f>
        <v>Moderado</v>
      </c>
      <c r="R44" s="252">
        <v>1</v>
      </c>
      <c r="S44" s="567" t="s">
        <v>1033</v>
      </c>
      <c r="T44" s="253" t="str">
        <f t="shared" ref="T44:T55" si="14">IF(OR(U44="Preventivo",U44="Detectivo"),"Probabilidad",IF(U44="Correctivo","Impacto",""))</f>
        <v>Probabilidad</v>
      </c>
      <c r="U44" s="254" t="s">
        <v>207</v>
      </c>
      <c r="V44" s="254" t="s">
        <v>201</v>
      </c>
      <c r="W44" s="255" t="str">
        <f t="shared" ref="W44:W57" si="15">IF(AND(U44="Preventivo",V44="Automático"),"50%",IF(AND(U44="Preventivo",V44="Manual"),"40%",IF(AND(U44="Detectivo",V44="Automático"),"40%",IF(AND(U44="Detectivo",V44="Manual"),"30%",IF(AND(U44="Correctivo",V44="Automático"),"35%",IF(AND(U44="Correctivo",V44="Manual"),"25%",""))))))</f>
        <v>40%</v>
      </c>
      <c r="X44" s="254" t="s">
        <v>202</v>
      </c>
      <c r="Y44" s="254" t="s">
        <v>203</v>
      </c>
      <c r="Z44" s="254" t="s">
        <v>298</v>
      </c>
      <c r="AA44" s="256">
        <f>IFERROR(IF(T44="Probabilidad",(L44-(+L44*W44)),IF(T44="Impacto",L44,"")),"")</f>
        <v>0.36</v>
      </c>
      <c r="AB44" s="257" t="str">
        <f t="shared" ref="AB44:AB57" si="16">IFERROR(IF(AA44="","",IF(AA44&lt;=0.2,"Muy Baja",IF(AA44&lt;=0.4,"Baja",IF(AA44&lt;=0.6,"Media",IF(AA44&lt;=0.8,"Alta","Muy Alta"))))),"")</f>
        <v>Baja</v>
      </c>
      <c r="AC44" s="258">
        <f t="shared" ref="AC44:AC57" si="17">+AA44</f>
        <v>0.36</v>
      </c>
      <c r="AD44" s="257" t="str">
        <f t="shared" ref="AD44:AD55" si="18">IFERROR(IF(AE44="","",IF(AE44&lt;=0.2,"Leve",IF(AE44&lt;=0.4,"Menor",IF(AE44&lt;=0.6,"Moderado",IF(AE44&lt;=0.8,"Mayor","Catastrófico"))))),"")</f>
        <v>Moderado</v>
      </c>
      <c r="AE44" s="258">
        <f>IFERROR(IF(T44="Impacto",(P44-(+P44*W44)),IF(T44="Probabilidad",P44,"")),"")</f>
        <v>0.6</v>
      </c>
      <c r="AF44" s="259" t="str">
        <f t="shared" ref="AF44:AF57" si="19">IFERROR(IF(OR(AND(AB44="Muy Baja",AD44="Leve"),AND(AB44="Muy Baja",AD44="Menor"),AND(AB44="Baja",AD44="Leve")),"Bajo",IF(OR(AND(AB44="Muy baja",AD44="Moderado"),AND(AB44="Baja",AD44="Menor"),AND(AB44="Baja",AD44="Moderado"),AND(AB44="Media",AD44="Leve"),AND(AB44="Media",AD44="Menor"),AND(AB44="Media",AD44="Moderado"),AND(AB44="Alta",AD44="Leve"),AND(AB44="Alta",AD44="Menor")),"Moderado",IF(OR(AND(AB44="Muy Baja",AD44="Mayor"),AND(AB44="Baja",AD44="Mayor"),AND(AB44="Media",AD44="Mayor"),AND(AB44="Alta",AD44="Moderado"),AND(AB44="Alta",AD44="Mayor"),AND(AB44="Muy Alta",AD44="Leve"),AND(AB44="Muy Alta",AD44="Menor"),AND(AB44="Muy Alta",AD44="Moderado"),AND(AB44="Muy Alta",AD44="Mayor")),"Alto",IF(OR(AND(AB44="Muy Baja",AD44="Catastrófico"),AND(AB44="Baja",AD44="Catastrófico"),AND(AB44="Media",AD44="Catastrófico"),AND(AB44="Alta",AD44="Catastrófico"),AND(AB44="Muy Alta",AD44="Catastrófico")),"Extremo","")))),"")</f>
        <v>Moderado</v>
      </c>
      <c r="AG44" s="2068" t="s">
        <v>312</v>
      </c>
      <c r="AH44" s="568" t="s">
        <v>1034</v>
      </c>
      <c r="AI44" s="2026" t="s">
        <v>149</v>
      </c>
      <c r="AJ44" s="1999" t="s">
        <v>528</v>
      </c>
      <c r="AK44" s="569" t="s">
        <v>1035</v>
      </c>
      <c r="AL44" s="2063">
        <v>45311</v>
      </c>
      <c r="AM44" s="1999" t="s">
        <v>530</v>
      </c>
      <c r="AN44" s="569" t="s">
        <v>1035</v>
      </c>
      <c r="AO44" s="1999">
        <v>45412</v>
      </c>
      <c r="AP44" s="1999" t="s">
        <v>532</v>
      </c>
      <c r="AQ44" s="569" t="s">
        <v>1035</v>
      </c>
      <c r="AR44" s="1999">
        <v>45473</v>
      </c>
      <c r="AS44" s="1999" t="s">
        <v>534</v>
      </c>
      <c r="AT44" s="569" t="s">
        <v>1035</v>
      </c>
      <c r="AU44" s="1999">
        <v>45534</v>
      </c>
      <c r="AV44" s="1999" t="s">
        <v>1036</v>
      </c>
      <c r="AW44" s="1999"/>
      <c r="AX44" s="2528" t="s">
        <v>1037</v>
      </c>
      <c r="AY44" s="1999"/>
    </row>
    <row r="45" spans="1:51" ht="13.8" customHeight="1" x14ac:dyDescent="0.3">
      <c r="A45" s="2027"/>
      <c r="B45" s="2076"/>
      <c r="C45" s="2076"/>
      <c r="D45" s="2076"/>
      <c r="E45" s="251" t="s">
        <v>535</v>
      </c>
      <c r="F45" s="2077"/>
      <c r="G45" s="2521"/>
      <c r="H45" s="2078"/>
      <c r="I45" s="2058"/>
      <c r="J45" s="2071"/>
      <c r="K45" s="2021"/>
      <c r="L45" s="2022"/>
      <c r="M45" s="2072"/>
      <c r="N45" s="2073">
        <f>IF(NOT(ISERROR(MATCH(M45,_xlfn.ANCHORARRAY(G56),0))),#REF!&amp;"Por favor no seleccionar los criterios de impacto",M45)</f>
        <v>0</v>
      </c>
      <c r="O45" s="2074"/>
      <c r="P45" s="2067"/>
      <c r="Q45" s="1998"/>
      <c r="R45" s="252">
        <v>2</v>
      </c>
      <c r="S45" s="570" t="s">
        <v>536</v>
      </c>
      <c r="T45" s="253" t="str">
        <f t="shared" si="14"/>
        <v>Probabilidad</v>
      </c>
      <c r="U45" s="254" t="s">
        <v>207</v>
      </c>
      <c r="V45" s="254" t="s">
        <v>201</v>
      </c>
      <c r="W45" s="255" t="str">
        <f t="shared" si="15"/>
        <v>40%</v>
      </c>
      <c r="X45" s="254" t="s">
        <v>202</v>
      </c>
      <c r="Y45" s="254" t="s">
        <v>203</v>
      </c>
      <c r="Z45" s="254" t="s">
        <v>298</v>
      </c>
      <c r="AA45" s="256">
        <f>IFERROR(IF(AND(T44="Probabilidad",T45="Probabilidad"),(AC44-(+AC44*W45)),IF(AND(T44="Impacto",T45="Probabilidad"),(L44-(+L44*W45)),IF(T45="Impacto",AC44,""))),"")</f>
        <v>0.216</v>
      </c>
      <c r="AB45" s="257" t="str">
        <f t="shared" si="16"/>
        <v>Baja</v>
      </c>
      <c r="AC45" s="258">
        <f t="shared" si="17"/>
        <v>0.216</v>
      </c>
      <c r="AD45" s="257" t="str">
        <f t="shared" si="18"/>
        <v>Moderado</v>
      </c>
      <c r="AE45" s="258">
        <f>IFERROR(IF(AND(T44="Impacto",T45="Impacto"),(AE44-(+AE44*W45)),IF(AND(T44="Probabilidad",T45="Impacto"),(P44-(+P44*W45)),IF(T45="Probabilidad",AE44,""))),"")</f>
        <v>0.6</v>
      </c>
      <c r="AF45" s="259" t="str">
        <f t="shared" si="19"/>
        <v>Moderado</v>
      </c>
      <c r="AG45" s="2068"/>
      <c r="AH45" s="571" t="s">
        <v>527</v>
      </c>
      <c r="AI45" s="2026"/>
      <c r="AJ45" s="2000"/>
      <c r="AK45" s="572" t="s">
        <v>529</v>
      </c>
      <c r="AL45" s="2064"/>
      <c r="AM45" s="2000"/>
      <c r="AN45" s="572" t="s">
        <v>529</v>
      </c>
      <c r="AO45" s="2061"/>
      <c r="AP45" s="2000"/>
      <c r="AQ45" s="572" t="s">
        <v>1038</v>
      </c>
      <c r="AR45" s="2061"/>
      <c r="AS45" s="2000"/>
      <c r="AT45" s="572" t="s">
        <v>1038</v>
      </c>
      <c r="AU45" s="2061"/>
      <c r="AV45" s="2000"/>
      <c r="AW45" s="2000"/>
      <c r="AX45" s="2061"/>
      <c r="AY45" s="2000"/>
    </row>
    <row r="46" spans="1:51" ht="96.6" x14ac:dyDescent="0.3">
      <c r="A46" s="2027"/>
      <c r="B46" s="2076"/>
      <c r="C46" s="2076"/>
      <c r="D46" s="2076"/>
      <c r="E46" s="261" t="s">
        <v>472</v>
      </c>
      <c r="F46" s="2077"/>
      <c r="G46" s="2521"/>
      <c r="H46" s="2078"/>
      <c r="I46" s="2058"/>
      <c r="J46" s="2071"/>
      <c r="K46" s="2021"/>
      <c r="L46" s="2022"/>
      <c r="M46" s="2072"/>
      <c r="N46" s="2073">
        <f>IF(NOT(ISERROR(MATCH(M46,_xlfn.ANCHORARRAY(G57),0))),#REF!&amp;"Por favor no seleccionar los criterios de impacto",M46)</f>
        <v>0</v>
      </c>
      <c r="O46" s="2074"/>
      <c r="P46" s="2067"/>
      <c r="Q46" s="1998"/>
      <c r="R46" s="252">
        <v>3</v>
      </c>
      <c r="S46" s="570" t="s">
        <v>1039</v>
      </c>
      <c r="T46" s="263" t="str">
        <f t="shared" si="14"/>
        <v>Probabilidad</v>
      </c>
      <c r="U46" s="254" t="s">
        <v>207</v>
      </c>
      <c r="V46" s="254" t="s">
        <v>201</v>
      </c>
      <c r="W46" s="265" t="str">
        <f t="shared" si="15"/>
        <v>40%</v>
      </c>
      <c r="X46" s="254" t="s">
        <v>202</v>
      </c>
      <c r="Y46" s="254" t="s">
        <v>203</v>
      </c>
      <c r="Z46" s="254" t="s">
        <v>298</v>
      </c>
      <c r="AA46" s="256">
        <f>IFERROR(IF(AND(T45="Probabilidad",T46="Probabilidad"),(AC45-(+AC45*W46)),IF(AND(T45="Impacto",T46="Probabilidad"),(AC44-(+AC44*W46)),IF(T46="Impacto",AC45,""))),"")</f>
        <v>0.12959999999999999</v>
      </c>
      <c r="AB46" s="257" t="str">
        <f t="shared" si="16"/>
        <v>Muy Baja</v>
      </c>
      <c r="AC46" s="258">
        <f t="shared" si="17"/>
        <v>0.12959999999999999</v>
      </c>
      <c r="AD46" s="257" t="str">
        <f t="shared" si="18"/>
        <v>Moderado</v>
      </c>
      <c r="AE46" s="258">
        <f>IFERROR(IF(AND(T45="Impacto",T46="Impacto"),(AE45-(+AE45*W46)),IF(AND(T45="Probabilidad",T46="Impacto"),(AE44-(+AE44*W46)),IF(T46="Probabilidad",AE45,""))),"")</f>
        <v>0.6</v>
      </c>
      <c r="AF46" s="259" t="str">
        <f t="shared" si="19"/>
        <v>Moderado</v>
      </c>
      <c r="AG46" s="266"/>
      <c r="AH46" s="267" t="s">
        <v>1040</v>
      </c>
      <c r="AI46" s="268" t="s">
        <v>1041</v>
      </c>
      <c r="AJ46" s="269" t="s">
        <v>1042</v>
      </c>
      <c r="AK46" s="573" t="s">
        <v>1043</v>
      </c>
      <c r="AL46" s="269">
        <v>45350</v>
      </c>
      <c r="AM46" s="269" t="s">
        <v>530</v>
      </c>
      <c r="AN46" s="520" t="s">
        <v>1044</v>
      </c>
      <c r="AO46" s="574">
        <v>45412</v>
      </c>
      <c r="AP46" s="574" t="s">
        <v>1045</v>
      </c>
      <c r="AQ46" s="520" t="s">
        <v>1044</v>
      </c>
      <c r="AR46" s="574">
        <v>45469</v>
      </c>
      <c r="AS46" s="574" t="s">
        <v>1046</v>
      </c>
      <c r="AT46" s="520" t="s">
        <v>1044</v>
      </c>
      <c r="AU46" s="574">
        <v>45534</v>
      </c>
      <c r="AV46" s="269"/>
      <c r="AW46" s="269"/>
      <c r="AX46" s="268"/>
      <c r="AY46" s="269"/>
    </row>
    <row r="47" spans="1:51" ht="15.6" x14ac:dyDescent="0.3">
      <c r="A47" s="2027"/>
      <c r="B47" s="2076"/>
      <c r="C47" s="2076"/>
      <c r="D47" s="2076"/>
      <c r="E47" s="261"/>
      <c r="F47" s="2077"/>
      <c r="G47" s="2521"/>
      <c r="H47" s="2078"/>
      <c r="I47" s="2058"/>
      <c r="J47" s="2071"/>
      <c r="K47" s="2021"/>
      <c r="L47" s="2022"/>
      <c r="M47" s="2072"/>
      <c r="N47" s="2073">
        <f>IF(NOT(ISERROR(MATCH(M47,_xlfn.ANCHORARRAY(#REF!),0))),#REF!&amp;"Por favor no seleccionar los criterios de impacto",M47)</f>
        <v>0</v>
      </c>
      <c r="O47" s="2074"/>
      <c r="P47" s="2067"/>
      <c r="Q47" s="1998"/>
      <c r="R47" s="252">
        <v>4</v>
      </c>
      <c r="S47" s="270"/>
      <c r="T47" s="263" t="str">
        <f t="shared" si="14"/>
        <v/>
      </c>
      <c r="U47" s="264"/>
      <c r="V47" s="264"/>
      <c r="W47" s="265" t="str">
        <f t="shared" si="15"/>
        <v/>
      </c>
      <c r="X47" s="264"/>
      <c r="Y47" s="264"/>
      <c r="Z47" s="264"/>
      <c r="AA47" s="256" t="str">
        <f>IFERROR(IF(AND(T46="Probabilidad",T47="Probabilidad"),(AC46-(+AC46*W47)),IF(AND(T46="Impacto",T47="Probabilidad"),(AC45-(+AC45*W47)),IF(T47="Impacto",AC46,""))),"")</f>
        <v/>
      </c>
      <c r="AB47" s="257" t="str">
        <f t="shared" si="16"/>
        <v/>
      </c>
      <c r="AC47" s="258" t="str">
        <f t="shared" si="17"/>
        <v/>
      </c>
      <c r="AD47" s="257" t="str">
        <f t="shared" si="18"/>
        <v/>
      </c>
      <c r="AE47" s="258" t="str">
        <f>IFERROR(IF(AND(T46="Impacto",T47="Impacto"),(AE46-(+AE46*W47)),IF(AND(T46="Probabilidad",T47="Impacto"),(AE45-(+AE45*W47)),IF(T47="Probabilidad",AE46,""))),"")</f>
        <v/>
      </c>
      <c r="AF47" s="259" t="str">
        <f t="shared" si="19"/>
        <v/>
      </c>
      <c r="AG47" s="266"/>
      <c r="AH47" s="267"/>
      <c r="AI47" s="268"/>
      <c r="AJ47" s="269"/>
      <c r="AK47" s="269"/>
      <c r="AL47" s="268"/>
      <c r="AM47" s="269"/>
      <c r="AN47" s="269"/>
      <c r="AO47" s="268"/>
      <c r="AP47" s="269"/>
      <c r="AQ47" s="269"/>
      <c r="AR47" s="268"/>
      <c r="AS47" s="269"/>
      <c r="AT47" s="269"/>
      <c r="AU47" s="268"/>
      <c r="AV47" s="269"/>
      <c r="AW47" s="269"/>
      <c r="AX47" s="268"/>
      <c r="AY47" s="269"/>
    </row>
    <row r="48" spans="1:51" ht="15.6" x14ac:dyDescent="0.3">
      <c r="A48" s="2027"/>
      <c r="B48" s="2076"/>
      <c r="C48" s="2076"/>
      <c r="D48" s="2076"/>
      <c r="E48" s="261"/>
      <c r="F48" s="2077"/>
      <c r="G48" s="2521"/>
      <c r="H48" s="2078"/>
      <c r="I48" s="2058"/>
      <c r="J48" s="2071"/>
      <c r="K48" s="2021"/>
      <c r="L48" s="2022"/>
      <c r="M48" s="2072"/>
      <c r="N48" s="2073">
        <f>IF(NOT(ISERROR(MATCH(M48,_xlfn.ANCHORARRAY(#REF!),0))),#REF!&amp;"Por favor no seleccionar los criterios de impacto",M48)</f>
        <v>0</v>
      </c>
      <c r="O48" s="2074"/>
      <c r="P48" s="2067"/>
      <c r="Q48" s="1998"/>
      <c r="R48" s="252">
        <v>5</v>
      </c>
      <c r="S48" s="270"/>
      <c r="T48" s="263" t="str">
        <f t="shared" si="14"/>
        <v/>
      </c>
      <c r="U48" s="264"/>
      <c r="V48" s="264"/>
      <c r="W48" s="265" t="str">
        <f t="shared" si="15"/>
        <v/>
      </c>
      <c r="X48" s="264"/>
      <c r="Y48" s="264"/>
      <c r="Z48" s="264"/>
      <c r="AA48" s="256" t="str">
        <f>IFERROR(IF(AND(T47="Probabilidad",T48="Probabilidad"),(AC47-(+AC47*W48)),IF(AND(T47="Impacto",T48="Probabilidad"),(AC46-(+AC46*W48)),IF(T48="Impacto",AC47,""))),"")</f>
        <v/>
      </c>
      <c r="AB48" s="257" t="str">
        <f t="shared" si="16"/>
        <v/>
      </c>
      <c r="AC48" s="258" t="str">
        <f t="shared" si="17"/>
        <v/>
      </c>
      <c r="AD48" s="257" t="str">
        <f t="shared" si="18"/>
        <v/>
      </c>
      <c r="AE48" s="258" t="str">
        <f>IFERROR(IF(AND(T47="Impacto",T48="Impacto"),(AE47-(+AE47*W48)),IF(AND(T47="Probabilidad",T48="Impacto"),(AE46-(+AE46*W48)),IF(T48="Probabilidad",AE47,""))),"")</f>
        <v/>
      </c>
      <c r="AF48" s="259" t="str">
        <f t="shared" si="19"/>
        <v/>
      </c>
      <c r="AG48" s="266"/>
      <c r="AH48" s="267"/>
      <c r="AI48" s="268"/>
      <c r="AJ48" s="269"/>
      <c r="AK48" s="269"/>
      <c r="AL48" s="268"/>
      <c r="AM48" s="269"/>
      <c r="AN48" s="269"/>
      <c r="AO48" s="268"/>
      <c r="AP48" s="269"/>
      <c r="AQ48" s="269"/>
      <c r="AR48" s="268"/>
      <c r="AS48" s="269"/>
      <c r="AT48" s="269"/>
      <c r="AU48" s="268"/>
      <c r="AV48" s="269"/>
      <c r="AW48" s="269"/>
      <c r="AX48" s="268"/>
      <c r="AY48" s="269"/>
    </row>
    <row r="49" spans="1:51" ht="15.6" x14ac:dyDescent="0.3">
      <c r="A49" s="2027"/>
      <c r="B49" s="2076"/>
      <c r="C49" s="2076"/>
      <c r="D49" s="2076"/>
      <c r="E49" s="261"/>
      <c r="F49" s="2077"/>
      <c r="G49" s="2521"/>
      <c r="H49" s="2078"/>
      <c r="I49" s="2058"/>
      <c r="J49" s="2071"/>
      <c r="K49" s="2021"/>
      <c r="L49" s="2022"/>
      <c r="M49" s="2072"/>
      <c r="N49" s="2073">
        <f>IF(NOT(ISERROR(MATCH(M49,_xlfn.ANCHORARRAY(#REF!),0))),L58&amp;"Por favor no seleccionar los criterios de impacto",M49)</f>
        <v>0</v>
      </c>
      <c r="O49" s="2074"/>
      <c r="P49" s="2067"/>
      <c r="Q49" s="1998"/>
      <c r="R49" s="252">
        <v>6</v>
      </c>
      <c r="S49" s="270"/>
      <c r="T49" s="263" t="str">
        <f t="shared" si="14"/>
        <v/>
      </c>
      <c r="U49" s="264"/>
      <c r="V49" s="264"/>
      <c r="W49" s="265" t="str">
        <f t="shared" si="15"/>
        <v/>
      </c>
      <c r="X49" s="264"/>
      <c r="Y49" s="264"/>
      <c r="Z49" s="264"/>
      <c r="AA49" s="256" t="str">
        <f>IFERROR(IF(AND(T48="Probabilidad",T49="Probabilidad"),(AC48-(+AC48*W49)),IF(AND(T48="Impacto",T49="Probabilidad"),(AC47-(+AC47*W49)),IF(T49="Impacto",AC48,""))),"")</f>
        <v/>
      </c>
      <c r="AB49" s="257" t="str">
        <f t="shared" si="16"/>
        <v/>
      </c>
      <c r="AC49" s="258" t="str">
        <f t="shared" si="17"/>
        <v/>
      </c>
      <c r="AD49" s="257" t="str">
        <f t="shared" si="18"/>
        <v/>
      </c>
      <c r="AE49" s="258" t="str">
        <f>IFERROR(IF(AND(T48="Impacto",T49="Impacto"),(AE48-(+AE48*W49)),IF(AND(T48="Probabilidad",T49="Impacto"),(AE47-(+AE47*W49)),IF(T49="Probabilidad",AE48,""))),"")</f>
        <v/>
      </c>
      <c r="AF49" s="259" t="str">
        <f t="shared" si="19"/>
        <v/>
      </c>
      <c r="AG49" s="266"/>
      <c r="AH49" s="267"/>
      <c r="AI49" s="268"/>
      <c r="AJ49" s="269"/>
      <c r="AK49" s="269"/>
      <c r="AL49" s="268"/>
      <c r="AM49" s="269"/>
      <c r="AN49" s="269"/>
      <c r="AO49" s="268"/>
      <c r="AP49" s="269"/>
      <c r="AQ49" s="269"/>
      <c r="AR49" s="268"/>
      <c r="AS49" s="269"/>
      <c r="AT49" s="269"/>
      <c r="AU49" s="268"/>
      <c r="AV49" s="269"/>
      <c r="AW49" s="269"/>
      <c r="AX49" s="268"/>
      <c r="AY49" s="269"/>
    </row>
    <row r="50" spans="1:51" ht="110.4" x14ac:dyDescent="0.3">
      <c r="A50" s="2027">
        <v>2</v>
      </c>
      <c r="B50" s="2026" t="s">
        <v>197</v>
      </c>
      <c r="C50" s="2060" t="s">
        <v>1047</v>
      </c>
      <c r="D50" s="2026" t="s">
        <v>474</v>
      </c>
      <c r="E50" s="260" t="s">
        <v>537</v>
      </c>
      <c r="F50" s="2031" t="s">
        <v>1048</v>
      </c>
      <c r="G50" s="2521"/>
      <c r="H50" s="2057" t="s">
        <v>538</v>
      </c>
      <c r="I50" s="2058" t="s">
        <v>198</v>
      </c>
      <c r="J50" s="2059">
        <v>12</v>
      </c>
      <c r="K50" s="2021" t="str">
        <f>IF(J50&lt;=0,"",IF(J50&lt;=2,"Muy Baja",IF(J50&lt;=24,"Baja",IF(J50&lt;=500,"Media",IF(J50&lt;=5000,"Alta","Muy Alta")))))</f>
        <v>Baja</v>
      </c>
      <c r="L50" s="2022">
        <f>IF(K50="","",IF(K50="Muy Baja",0.2,IF(K50="Baja",0.4,IF(K50="Media",0.6,IF(K50="Alta",0.8,IF(K50="Muy Alta",1,))))))</f>
        <v>0.4</v>
      </c>
      <c r="M50" s="2023" t="s">
        <v>213</v>
      </c>
      <c r="N50" s="2022" t="str">
        <f>IF(NOT(ISERROR(MATCH(M50,'[26]Tabla Impacto'!$B$221:$B$223,0))),'[26]Tabla Impacto'!$F$223&amp;"Por favor no seleccionar los criterios de impacto(Afectación Económica o presupuestal y Pérdida Reputacional)",M50)</f>
        <v xml:space="preserve">     El riesgo afecta la imagen de la entidad internamente, de conocimiento general, nivel interno, de junta dircetiva y accionistas y/o de provedores</v>
      </c>
      <c r="O50" s="2021" t="str">
        <f>IF(OR(N50='[26]Tabla Impacto'!$C$11,N50='[26]Tabla Impacto'!$D$11),"Leve",IF(OR(N50='[26]Tabla Impacto'!$C$12,N50='[26]Tabla Impacto'!$D$12),"Menor",IF(OR(N50='[26]Tabla Impacto'!$C$13,N50='[26]Tabla Impacto'!$D$13),"Moderado",IF(OR(N50='[26]Tabla Impacto'!$C$14,N50='[26]Tabla Impacto'!$D$14),"Mayor",IF(OR(N50='[26]Tabla Impacto'!$C$15,N50='[26]Tabla Impacto'!$D$15),"Catastrófico","")))))</f>
        <v>Menor</v>
      </c>
      <c r="P50" s="2022">
        <f>IF(O50="","",IF(O50="Leve",0.2,IF(O50="Menor",0.4,IF(O50="Moderado",0.6,IF(O50="Mayor",0.8,IF(O50="Catastrófico",1,))))))</f>
        <v>0.4</v>
      </c>
      <c r="Q50" s="2001" t="str">
        <f>IF(OR(AND(K50="Muy Baja",O50="Leve"),AND(K50="Muy Baja",O50="Menor"),AND(K50="Baja",O50="Leve")),"Bajo",IF(OR(AND(K50="Muy baja",O50="Moderado"),AND(K50="Baja",O50="Menor"),AND(K50="Baja",O50="Moderado"),AND(K50="Media",O50="Leve"),AND(K50="Media",O50="Menor"),AND(K50="Media",O50="Moderado"),AND(K50="Alta",O50="Leve"),AND(K50="Alta",O50="Menor")),"Moderado",IF(OR(AND(K50="Muy Baja",O50="Mayor"),AND(K50="Baja",O50="Mayor"),AND(K50="Media",O50="Mayor"),AND(K50="Alta",O50="Moderado"),AND(K50="Alta",O50="Mayor"),AND(K50="Muy Alta",O50="Leve"),AND(K50="Muy Alta",O50="Menor"),AND(K50="Muy Alta",O50="Moderado"),AND(K50="Muy Alta",O50="Mayor")),"Alto",IF(OR(AND(K50="Muy Baja",O50="Catastrófico"),AND(K50="Baja",O50="Catastrófico"),AND(K50="Media",O50="Catastrófico"),AND(K50="Alta",O50="Catastrófico"),AND(K50="Muy Alta",O50="Catastrófico")),"Extremo",""))))</f>
        <v>Moderado</v>
      </c>
      <c r="R50" s="252">
        <v>1</v>
      </c>
      <c r="S50" s="271" t="s">
        <v>476</v>
      </c>
      <c r="T50" s="253" t="str">
        <f t="shared" si="14"/>
        <v>Probabilidad</v>
      </c>
      <c r="U50" s="254" t="s">
        <v>207</v>
      </c>
      <c r="V50" s="254" t="s">
        <v>201</v>
      </c>
      <c r="W50" s="255" t="str">
        <f t="shared" si="15"/>
        <v>40%</v>
      </c>
      <c r="X50" s="254" t="s">
        <v>202</v>
      </c>
      <c r="Y50" s="254" t="s">
        <v>203</v>
      </c>
      <c r="Z50" s="254" t="s">
        <v>204</v>
      </c>
      <c r="AA50" s="272">
        <f>IFERROR(IF(T50="Probabilidad",(L50-(+L50*W50)),IF(T50="Impacto",L50,"")),"")</f>
        <v>0.24</v>
      </c>
      <c r="AB50" s="273" t="str">
        <f t="shared" si="16"/>
        <v>Baja</v>
      </c>
      <c r="AC50" s="274">
        <f t="shared" si="17"/>
        <v>0.24</v>
      </c>
      <c r="AD50" s="273" t="str">
        <f t="shared" si="18"/>
        <v>Menor</v>
      </c>
      <c r="AE50" s="274">
        <f>IFERROR(IF(T50="Impacto",(P50-(+P50*W50)),IF(T50="Probabilidad",P50,"")),"")</f>
        <v>0.4</v>
      </c>
      <c r="AF50" s="275" t="str">
        <f t="shared" si="19"/>
        <v>Moderado</v>
      </c>
      <c r="AG50" s="2068" t="s">
        <v>205</v>
      </c>
      <c r="AH50" s="568" t="s">
        <v>539</v>
      </c>
      <c r="AI50" s="2026" t="s">
        <v>149</v>
      </c>
      <c r="AJ50" s="2002" t="s">
        <v>528</v>
      </c>
      <c r="AK50" s="569" t="s">
        <v>542</v>
      </c>
      <c r="AL50" s="2024">
        <v>45351</v>
      </c>
      <c r="AM50" s="2002" t="s">
        <v>530</v>
      </c>
      <c r="AN50" s="569" t="s">
        <v>542</v>
      </c>
      <c r="AO50" s="2024">
        <v>45412</v>
      </c>
      <c r="AP50" s="2002" t="s">
        <v>532</v>
      </c>
      <c r="AQ50" s="569" t="s">
        <v>542</v>
      </c>
      <c r="AR50" s="2024" t="s">
        <v>543</v>
      </c>
      <c r="AS50" s="2002" t="s">
        <v>534</v>
      </c>
      <c r="AT50" s="569" t="s">
        <v>542</v>
      </c>
      <c r="AU50" s="2024">
        <v>45534</v>
      </c>
      <c r="AV50" s="2002" t="s">
        <v>1036</v>
      </c>
      <c r="AW50" s="569"/>
      <c r="AX50" s="2024" t="s">
        <v>1037</v>
      </c>
      <c r="AY50" s="2002"/>
    </row>
    <row r="51" spans="1:51" ht="82.8" x14ac:dyDescent="0.3">
      <c r="A51" s="2027"/>
      <c r="B51" s="2026"/>
      <c r="C51" s="2060"/>
      <c r="D51" s="2026"/>
      <c r="E51" s="2026" t="s">
        <v>477</v>
      </c>
      <c r="F51" s="2031"/>
      <c r="G51" s="2521"/>
      <c r="H51" s="2057"/>
      <c r="I51" s="2058"/>
      <c r="J51" s="2059"/>
      <c r="K51" s="2021"/>
      <c r="L51" s="2022"/>
      <c r="M51" s="2023"/>
      <c r="N51" s="2022">
        <f>IF(NOT(ISERROR(MATCH(M51,_xlfn.ANCHORARRAY(G58),0))),L60&amp;"Por favor no seleccionar los criterios de impacto",M51)</f>
        <v>0</v>
      </c>
      <c r="O51" s="2021"/>
      <c r="P51" s="2022"/>
      <c r="Q51" s="2001"/>
      <c r="R51" s="252">
        <v>2</v>
      </c>
      <c r="S51" s="276" t="s">
        <v>544</v>
      </c>
      <c r="T51" s="253" t="str">
        <f t="shared" si="14"/>
        <v>Probabilidad</v>
      </c>
      <c r="U51" s="254" t="s">
        <v>200</v>
      </c>
      <c r="V51" s="254" t="s">
        <v>201</v>
      </c>
      <c r="W51" s="255" t="str">
        <f t="shared" si="15"/>
        <v>30%</v>
      </c>
      <c r="X51" s="254" t="s">
        <v>202</v>
      </c>
      <c r="Y51" s="254" t="s">
        <v>203</v>
      </c>
      <c r="Z51" s="254" t="s">
        <v>204</v>
      </c>
      <c r="AA51" s="272">
        <f>IFERROR(IF(AND(T50="Probabilidad",T51="Probabilidad"),(AC50-(+AC50*W51)),IF(AND(T50="Impacto",T51="Probabilidad"),(L50-(+L50*W51)),IF(T51="Impacto",AC50,""))),"")</f>
        <v>0.16799999999999998</v>
      </c>
      <c r="AB51" s="273" t="str">
        <f t="shared" si="16"/>
        <v>Muy Baja</v>
      </c>
      <c r="AC51" s="274">
        <f t="shared" si="17"/>
        <v>0.16799999999999998</v>
      </c>
      <c r="AD51" s="273" t="str">
        <f t="shared" si="18"/>
        <v>Menor</v>
      </c>
      <c r="AE51" s="274">
        <f>IFERROR(IF(AND(T50="Impacto",T51="Impacto"),(AE50-(+AE50*W51)),IF(AND(T50="Probabilidad",T51="Impacto"),(P50-(+P50*W51)),IF(T51="Probabilidad",AE50,""))),"")</f>
        <v>0.4</v>
      </c>
      <c r="AF51" s="275" t="str">
        <f t="shared" si="19"/>
        <v>Bajo</v>
      </c>
      <c r="AG51" s="2068"/>
      <c r="AH51" s="568" t="s">
        <v>1049</v>
      </c>
      <c r="AI51" s="2026"/>
      <c r="AJ51" s="2003"/>
      <c r="AK51" s="568" t="s">
        <v>1050</v>
      </c>
      <c r="AL51" s="2032"/>
      <c r="AM51" s="2003"/>
      <c r="AN51" s="568" t="s">
        <v>1050</v>
      </c>
      <c r="AO51" s="2025"/>
      <c r="AP51" s="2003"/>
      <c r="AQ51" s="568" t="s">
        <v>1050</v>
      </c>
      <c r="AR51" s="2025"/>
      <c r="AS51" s="2003"/>
      <c r="AT51" s="568" t="s">
        <v>1050</v>
      </c>
      <c r="AU51" s="2025"/>
      <c r="AV51" s="2003"/>
      <c r="AW51" s="568"/>
      <c r="AX51" s="2025"/>
      <c r="AY51" s="2005"/>
    </row>
    <row r="52" spans="1:51" ht="15.6" x14ac:dyDescent="0.3">
      <c r="A52" s="2027"/>
      <c r="B52" s="2026"/>
      <c r="C52" s="2060"/>
      <c r="D52" s="2026"/>
      <c r="E52" s="2026"/>
      <c r="F52" s="2031"/>
      <c r="G52" s="2521"/>
      <c r="H52" s="2057"/>
      <c r="I52" s="2058"/>
      <c r="J52" s="2059"/>
      <c r="K52" s="2021"/>
      <c r="L52" s="2022"/>
      <c r="M52" s="2023"/>
      <c r="N52" s="2022">
        <f>IF(NOT(ISERROR(MATCH(M52,_xlfn.ANCHORARRAY(G59),0))),L61&amp;"Por favor no seleccionar los criterios de impacto",M52)</f>
        <v>0</v>
      </c>
      <c r="O52" s="2021"/>
      <c r="P52" s="2022"/>
      <c r="Q52" s="2001"/>
      <c r="R52" s="252">
        <v>3</v>
      </c>
      <c r="S52" s="262"/>
      <c r="T52" s="263" t="str">
        <f t="shared" si="14"/>
        <v/>
      </c>
      <c r="U52" s="264"/>
      <c r="V52" s="264"/>
      <c r="W52" s="265" t="str">
        <f t="shared" si="15"/>
        <v/>
      </c>
      <c r="X52" s="264"/>
      <c r="Y52" s="264"/>
      <c r="Z52" s="264"/>
      <c r="AA52" s="256" t="str">
        <f>IFERROR(IF(AND(T51="Probabilidad",T52="Probabilidad"),(AC51-(+AC51*W52)),IF(AND(T51="Impacto",T52="Probabilidad"),(AC50-(+AC50*W52)),IF(T52="Impacto",AC51,""))),"")</f>
        <v/>
      </c>
      <c r="AB52" s="257" t="str">
        <f t="shared" si="16"/>
        <v/>
      </c>
      <c r="AC52" s="258" t="str">
        <f t="shared" si="17"/>
        <v/>
      </c>
      <c r="AD52" s="257" t="str">
        <f t="shared" si="18"/>
        <v/>
      </c>
      <c r="AE52" s="258" t="str">
        <f>IFERROR(IF(AND(T51="Impacto",T52="Impacto"),(AE51-(+AE51*W52)),IF(AND(T51="Probabilidad",T52="Impacto"),(AE50-(+AE50*W52)),IF(T52="Probabilidad",AE51,""))),"")</f>
        <v/>
      </c>
      <c r="AF52" s="259" t="str">
        <f t="shared" si="19"/>
        <v/>
      </c>
      <c r="AG52" s="266"/>
      <c r="AH52" s="267"/>
      <c r="AI52" s="268"/>
      <c r="AJ52" s="277"/>
      <c r="AK52" s="269"/>
      <c r="AL52" s="268"/>
      <c r="AM52" s="277"/>
      <c r="AN52" s="269"/>
      <c r="AO52" s="268"/>
      <c r="AP52" s="277"/>
      <c r="AQ52" s="269"/>
      <c r="AR52" s="268"/>
      <c r="AS52" s="277"/>
      <c r="AT52" s="269"/>
      <c r="AU52" s="268"/>
      <c r="AV52" s="277"/>
      <c r="AW52" s="269"/>
      <c r="AX52" s="268"/>
      <c r="AY52" s="269"/>
    </row>
    <row r="53" spans="1:51" ht="15.6" x14ac:dyDescent="0.3">
      <c r="A53" s="2027"/>
      <c r="B53" s="2026"/>
      <c r="C53" s="2060"/>
      <c r="D53" s="2026"/>
      <c r="E53" s="2026"/>
      <c r="F53" s="2031"/>
      <c r="G53" s="2521"/>
      <c r="H53" s="2057"/>
      <c r="I53" s="2058"/>
      <c r="J53" s="2059"/>
      <c r="K53" s="2021"/>
      <c r="L53" s="2022"/>
      <c r="M53" s="2023"/>
      <c r="N53" s="2022">
        <f>IF(NOT(ISERROR(MATCH(M53,_xlfn.ANCHORARRAY(G60),0))),L62&amp;"Por favor no seleccionar los criterios de impacto",M53)</f>
        <v>0</v>
      </c>
      <c r="O53" s="2021"/>
      <c r="P53" s="2022"/>
      <c r="Q53" s="2001"/>
      <c r="R53" s="252">
        <v>4</v>
      </c>
      <c r="S53" s="270"/>
      <c r="T53" s="263" t="str">
        <f t="shared" si="14"/>
        <v/>
      </c>
      <c r="U53" s="264"/>
      <c r="V53" s="264"/>
      <c r="W53" s="265" t="str">
        <f t="shared" si="15"/>
        <v/>
      </c>
      <c r="X53" s="264"/>
      <c r="Y53" s="264"/>
      <c r="Z53" s="264"/>
      <c r="AA53" s="256" t="str">
        <f>IFERROR(IF(AND(T52="Probabilidad",T53="Probabilidad"),(AC52-(+AC52*W53)),IF(AND(T52="Impacto",T53="Probabilidad"),(AC51-(+AC51*W53)),IF(T53="Impacto",AC52,""))),"")</f>
        <v/>
      </c>
      <c r="AB53" s="257" t="str">
        <f t="shared" si="16"/>
        <v/>
      </c>
      <c r="AC53" s="258" t="str">
        <f t="shared" si="17"/>
        <v/>
      </c>
      <c r="AD53" s="257" t="str">
        <f t="shared" si="18"/>
        <v/>
      </c>
      <c r="AE53" s="258" t="str">
        <f>IFERROR(IF(AND(T52="Impacto",T53="Impacto"),(AE52-(+AE52*W53)),IF(AND(T52="Probabilidad",T53="Impacto"),(AE51-(+AE51*W53)),IF(T53="Probabilidad",AE52,""))),"")</f>
        <v/>
      </c>
      <c r="AF53" s="259" t="str">
        <f t="shared" si="19"/>
        <v/>
      </c>
      <c r="AG53" s="266"/>
      <c r="AH53" s="267"/>
      <c r="AI53" s="268"/>
      <c r="AJ53" s="269"/>
      <c r="AK53" s="269"/>
      <c r="AL53" s="268"/>
      <c r="AM53" s="269"/>
      <c r="AN53" s="269"/>
      <c r="AO53" s="268"/>
      <c r="AP53" s="269"/>
      <c r="AQ53" s="269"/>
      <c r="AR53" s="268"/>
      <c r="AS53" s="269"/>
      <c r="AT53" s="269"/>
      <c r="AU53" s="268"/>
      <c r="AV53" s="269"/>
      <c r="AW53" s="269"/>
      <c r="AX53" s="268"/>
      <c r="AY53" s="269"/>
    </row>
    <row r="54" spans="1:51" ht="15.6" x14ac:dyDescent="0.3">
      <c r="A54" s="2027"/>
      <c r="B54" s="2026"/>
      <c r="C54" s="2060"/>
      <c r="D54" s="2026"/>
      <c r="E54" s="2026"/>
      <c r="F54" s="2031"/>
      <c r="G54" s="2521"/>
      <c r="H54" s="2057"/>
      <c r="I54" s="2058"/>
      <c r="J54" s="2059"/>
      <c r="K54" s="2021"/>
      <c r="L54" s="2022"/>
      <c r="M54" s="2023"/>
      <c r="N54" s="2022">
        <f>IF(NOT(ISERROR(MATCH(M54,_xlfn.ANCHORARRAY(G61),0))),L63&amp;"Por favor no seleccionar los criterios de impacto",M54)</f>
        <v>0</v>
      </c>
      <c r="O54" s="2021"/>
      <c r="P54" s="2022"/>
      <c r="Q54" s="2001"/>
      <c r="R54" s="252">
        <v>5</v>
      </c>
      <c r="S54" s="270"/>
      <c r="T54" s="263" t="str">
        <f t="shared" si="14"/>
        <v/>
      </c>
      <c r="U54" s="264"/>
      <c r="V54" s="264"/>
      <c r="W54" s="265" t="str">
        <f t="shared" si="15"/>
        <v/>
      </c>
      <c r="X54" s="264"/>
      <c r="Y54" s="264"/>
      <c r="Z54" s="264"/>
      <c r="AA54" s="256" t="str">
        <f>IFERROR(IF(AND(T53="Probabilidad",T54="Probabilidad"),(AC53-(+AC53*W54)),IF(AND(T53="Impacto",T54="Probabilidad"),(AC52-(+AC52*W54)),IF(T54="Impacto",AC53,""))),"")</f>
        <v/>
      </c>
      <c r="AB54" s="257" t="str">
        <f t="shared" si="16"/>
        <v/>
      </c>
      <c r="AC54" s="258" t="str">
        <f t="shared" si="17"/>
        <v/>
      </c>
      <c r="AD54" s="257" t="str">
        <f t="shared" si="18"/>
        <v/>
      </c>
      <c r="AE54" s="258" t="str">
        <f>IFERROR(IF(AND(T53="Impacto",T54="Impacto"),(AE53-(+AE53*W54)),IF(AND(T53="Probabilidad",T54="Impacto"),(AE52-(+AE52*W54)),IF(T54="Probabilidad",AE53,""))),"")</f>
        <v/>
      </c>
      <c r="AF54" s="259" t="str">
        <f t="shared" si="19"/>
        <v/>
      </c>
      <c r="AG54" s="266"/>
      <c r="AH54" s="267"/>
      <c r="AI54" s="268"/>
      <c r="AJ54" s="269"/>
      <c r="AK54" s="269"/>
      <c r="AL54" s="268"/>
      <c r="AM54" s="269"/>
      <c r="AN54" s="269"/>
      <c r="AO54" s="268"/>
      <c r="AP54" s="269"/>
      <c r="AQ54" s="269"/>
      <c r="AR54" s="268"/>
      <c r="AS54" s="269"/>
      <c r="AT54" s="269"/>
      <c r="AU54" s="268"/>
      <c r="AV54" s="269"/>
      <c r="AW54" s="269"/>
      <c r="AX54" s="268"/>
      <c r="AY54" s="269"/>
    </row>
    <row r="55" spans="1:51" ht="15.6" x14ac:dyDescent="0.3">
      <c r="A55" s="2027"/>
      <c r="B55" s="2026"/>
      <c r="C55" s="2060"/>
      <c r="D55" s="2026"/>
      <c r="E55" s="2026"/>
      <c r="F55" s="2031"/>
      <c r="G55" s="2521"/>
      <c r="H55" s="2057"/>
      <c r="I55" s="2058"/>
      <c r="J55" s="2059"/>
      <c r="K55" s="2021"/>
      <c r="L55" s="2022"/>
      <c r="M55" s="2023"/>
      <c r="N55" s="2022">
        <f>IF(NOT(ISERROR(MATCH(M55,_xlfn.ANCHORARRAY(G62),0))),L64&amp;"Por favor no seleccionar los criterios de impacto",M55)</f>
        <v>0</v>
      </c>
      <c r="O55" s="2021"/>
      <c r="P55" s="2022"/>
      <c r="Q55" s="2001"/>
      <c r="R55" s="252">
        <v>6</v>
      </c>
      <c r="S55" s="270"/>
      <c r="T55" s="263" t="str">
        <f t="shared" si="14"/>
        <v/>
      </c>
      <c r="U55" s="264"/>
      <c r="V55" s="264"/>
      <c r="W55" s="265" t="str">
        <f t="shared" si="15"/>
        <v/>
      </c>
      <c r="X55" s="264"/>
      <c r="Y55" s="264"/>
      <c r="Z55" s="264"/>
      <c r="AA55" s="256" t="str">
        <f>IFERROR(IF(AND(T54="Probabilidad",T55="Probabilidad"),(AC54-(+AC54*W55)),IF(AND(T54="Impacto",T55="Probabilidad"),(AC53-(+AC53*W55)),IF(T55="Impacto",AC54,""))),"")</f>
        <v/>
      </c>
      <c r="AB55" s="257" t="str">
        <f t="shared" si="16"/>
        <v/>
      </c>
      <c r="AC55" s="258" t="str">
        <f t="shared" si="17"/>
        <v/>
      </c>
      <c r="AD55" s="257" t="str">
        <f t="shared" si="18"/>
        <v/>
      </c>
      <c r="AE55" s="258" t="str">
        <f>IFERROR(IF(AND(T54="Impacto",T55="Impacto"),(AE54-(+AE54*W55)),IF(AND(T54="Probabilidad",T55="Impacto"),(AE53-(+AE53*W55)),IF(T55="Probabilidad",AE54,""))),"")</f>
        <v/>
      </c>
      <c r="AF55" s="259" t="str">
        <f t="shared" si="19"/>
        <v/>
      </c>
      <c r="AG55" s="266"/>
      <c r="AH55" s="267"/>
      <c r="AI55" s="268"/>
      <c r="AJ55" s="269"/>
      <c r="AK55" s="269"/>
      <c r="AL55" s="268"/>
      <c r="AM55" s="269"/>
      <c r="AN55" s="269"/>
      <c r="AO55" s="268"/>
      <c r="AP55" s="269"/>
      <c r="AQ55" s="269"/>
      <c r="AR55" s="268"/>
      <c r="AS55" s="269"/>
      <c r="AT55" s="269"/>
      <c r="AU55" s="268"/>
      <c r="AV55" s="269"/>
      <c r="AW55" s="269"/>
      <c r="AX55" s="268"/>
      <c r="AY55" s="269"/>
    </row>
    <row r="56" spans="1:51" ht="69" x14ac:dyDescent="0.3">
      <c r="A56" s="2027">
        <v>3</v>
      </c>
      <c r="B56" s="2026" t="s">
        <v>197</v>
      </c>
      <c r="C56" s="2026" t="s">
        <v>478</v>
      </c>
      <c r="D56" s="2028" t="s">
        <v>545</v>
      </c>
      <c r="E56" s="575" t="s">
        <v>546</v>
      </c>
      <c r="F56" s="2031" t="s">
        <v>1051</v>
      </c>
      <c r="G56" s="2521"/>
      <c r="H56" s="2057" t="s">
        <v>548</v>
      </c>
      <c r="I56" s="2058" t="s">
        <v>198</v>
      </c>
      <c r="J56" s="2059">
        <v>12</v>
      </c>
      <c r="K56" s="2021" t="str">
        <f>IF(J56&lt;=0,"",IF(J56&lt;=2,"Muy Baja",IF(J56&lt;=24,"Baja",IF(J56&lt;=500,"Media",IF(J56&lt;=5000,"Alta","Muy Alta")))))</f>
        <v>Baja</v>
      </c>
      <c r="L56" s="2022">
        <f>IF(K56="","",IF(K56="Muy Baja",0.2,IF(K56="Baja",0.4,IF(K56="Media",0.6,IF(K56="Alta",0.8,IF(K56="Muy Alta",1,))))))</f>
        <v>0.4</v>
      </c>
      <c r="M56" s="2023" t="s">
        <v>479</v>
      </c>
      <c r="N56" s="2009" t="str">
        <f>IF(NOT(ISERROR(MATCH(M56,'[26]Tabla Impacto'!$B$221:$B$223,0))),'[26]Tabla Impacto'!$F$223&amp;"Por favor no seleccionar los criterios de impacto(Afectación Económica o presupuestal y Pérdida Reputacional)",M56)</f>
        <v>❌Por favor no seleccionar los criterios de impacto(Afectación Económica o presupuestal y Pérdida Reputacional)</v>
      </c>
      <c r="O56" s="2021" t="s">
        <v>62</v>
      </c>
      <c r="P56" s="2022">
        <f>IF(O56="","",IF(O56="Leve",0.2,IF(O56="Menor",0.4,IF(O56="Moderado",0.6,IF(O56="Mayor",0.8,IF(O56="Catastrófico",1,))))))</f>
        <v>0.4</v>
      </c>
      <c r="Q56" s="2001" t="str">
        <f>IF(OR(AND(K56="Muy Baja",O56="Leve"),AND(K56="Muy Baja",O56="Menor"),AND(K56="Baja",O56="Leve")),"Bajo",IF(OR(AND(K56="Muy baja",O56="Moderado"),AND(K56="Baja",O56="Menor"),AND(K56="Baja",O56="Moderado"),AND(K56="Media",O56="Leve"),AND(K56="Media",O56="Menor"),AND(K56="Media",O56="Moderado"),AND(K56="Alta",O56="Leve"),AND(K56="Alta",O56="Menor")),"Moderado",IF(OR(AND(K56="Muy Baja",O56="Mayor"),AND(K56="Baja",O56="Mayor"),AND(K56="Media",O56="Mayor"),AND(K56="Alta",O56="Moderado"),AND(K56="Alta",O56="Mayor"),AND(K56="Muy Alta",O56="Leve"),AND(K56="Muy Alta",O56="Menor"),AND(K56="Muy Alta",O56="Moderado"),AND(K56="Muy Alta",O56="Mayor")),"Alto",IF(OR(AND(K56="Muy Baja",O56="Catastrófico"),AND(K56="Baja",O56="Catastrófico"),AND(K56="Media",O56="Catastrófico"),AND(K56="Alta",O56="Catastrófico"),AND(K56="Muy Alta",O56="Catastrófico")),"Extremo",""))))</f>
        <v>Moderado</v>
      </c>
      <c r="R56" s="2518">
        <v>1</v>
      </c>
      <c r="S56" s="576" t="s">
        <v>549</v>
      </c>
      <c r="T56" s="263" t="s">
        <v>141</v>
      </c>
      <c r="U56" s="264" t="s">
        <v>308</v>
      </c>
      <c r="V56" s="264" t="s">
        <v>201</v>
      </c>
      <c r="W56" s="265" t="str">
        <f t="shared" si="15"/>
        <v>25%</v>
      </c>
      <c r="X56" s="264" t="s">
        <v>208</v>
      </c>
      <c r="Y56" s="264" t="s">
        <v>203</v>
      </c>
      <c r="Z56" s="264" t="s">
        <v>204</v>
      </c>
      <c r="AA56" s="256">
        <f>IFERROR(IF(T56="Probabilidad",(L56-(+L56*W56)),IF(T56="Impacto",L56,"")),"")</f>
        <v>0.30000000000000004</v>
      </c>
      <c r="AB56" s="257" t="str">
        <f t="shared" si="16"/>
        <v>Baja</v>
      </c>
      <c r="AC56" s="258">
        <f t="shared" si="17"/>
        <v>0.30000000000000004</v>
      </c>
      <c r="AD56" s="273" t="s">
        <v>62</v>
      </c>
      <c r="AE56" s="258">
        <f>IFERROR(IF(T56="Impacto",(P56-(+P56*W56)),IF(T56="Probabilidad",P56,"")),"")</f>
        <v>0.4</v>
      </c>
      <c r="AF56" s="259" t="str">
        <f t="shared" si="19"/>
        <v>Moderado</v>
      </c>
      <c r="AG56" s="2065" t="s">
        <v>205</v>
      </c>
      <c r="AH56" s="2031" t="s">
        <v>1052</v>
      </c>
      <c r="AI56" s="2033" t="s">
        <v>149</v>
      </c>
      <c r="AJ56" s="2002" t="s">
        <v>528</v>
      </c>
      <c r="AK56" s="2007" t="s">
        <v>551</v>
      </c>
      <c r="AL56" s="2002">
        <v>45351</v>
      </c>
      <c r="AM56" s="2002" t="s">
        <v>530</v>
      </c>
      <c r="AN56" s="2007" t="s">
        <v>551</v>
      </c>
      <c r="AO56" s="2002">
        <v>45412</v>
      </c>
      <c r="AP56" s="2002" t="s">
        <v>532</v>
      </c>
      <c r="AQ56" s="2007" t="s">
        <v>552</v>
      </c>
      <c r="AR56" s="2024">
        <v>45473</v>
      </c>
      <c r="AS56" s="2002" t="s">
        <v>534</v>
      </c>
      <c r="AT56" s="2007" t="s">
        <v>552</v>
      </c>
      <c r="AU56" s="2024">
        <v>45534</v>
      </c>
      <c r="AV56" s="2002" t="s">
        <v>1036</v>
      </c>
      <c r="AW56" s="2007"/>
      <c r="AX56" s="2024" t="s">
        <v>1037</v>
      </c>
      <c r="AY56" s="2007"/>
    </row>
    <row r="57" spans="1:51" ht="69" customHeight="1" x14ac:dyDescent="0.3">
      <c r="A57" s="2027"/>
      <c r="B57" s="2026"/>
      <c r="C57" s="2026"/>
      <c r="D57" s="2029"/>
      <c r="E57" s="575" t="s">
        <v>480</v>
      </c>
      <c r="F57" s="2031"/>
      <c r="G57" s="2521"/>
      <c r="H57" s="2057"/>
      <c r="I57" s="2058"/>
      <c r="J57" s="2059"/>
      <c r="K57" s="2021"/>
      <c r="L57" s="2022"/>
      <c r="M57" s="2023"/>
      <c r="N57" s="2009">
        <f>IF(NOT(ISERROR(MATCH(M57,_xlfn.ANCHORARRAY(G64),0))),L66&amp;"Por favor no seleccionar los criterios de impacto",M57)</f>
        <v>0</v>
      </c>
      <c r="O57" s="2021"/>
      <c r="P57" s="2022"/>
      <c r="Q57" s="2001"/>
      <c r="R57" s="2519"/>
      <c r="S57" s="577" t="s">
        <v>1053</v>
      </c>
      <c r="T57" s="263" t="s">
        <v>141</v>
      </c>
      <c r="U57" s="264" t="s">
        <v>308</v>
      </c>
      <c r="V57" s="264" t="s">
        <v>201</v>
      </c>
      <c r="W57" s="265" t="str">
        <f t="shared" si="15"/>
        <v>25%</v>
      </c>
      <c r="X57" s="264" t="s">
        <v>208</v>
      </c>
      <c r="Y57" s="264" t="s">
        <v>203</v>
      </c>
      <c r="Z57" s="264" t="s">
        <v>204</v>
      </c>
      <c r="AA57" s="256">
        <f>IFERROR(IF(AND(T56="Probabilidad",T57="Probabilidad"),(AC56-(+AC56*W57)),IF(AND(T56="Impacto",T57="Probabilidad"),(L56-(+L56*W57)),IF(T57="Impacto",AC56,""))),"")</f>
        <v>0.22500000000000003</v>
      </c>
      <c r="AB57" s="257" t="str">
        <f t="shared" si="16"/>
        <v>Baja</v>
      </c>
      <c r="AC57" s="258">
        <f t="shared" si="17"/>
        <v>0.22500000000000003</v>
      </c>
      <c r="AD57" s="273" t="s">
        <v>62</v>
      </c>
      <c r="AE57" s="258">
        <f>IFERROR(IF(AND(T56="Impacto",T57="Impacto"),(AE56-(+AE56*W57)),IF(AND(T56="Probabilidad",T57="Impacto"),(P56-(+P56*W57)),IF(T57="Probabilidad",AE56,""))),"")</f>
        <v>0.4</v>
      </c>
      <c r="AF57" s="259" t="str">
        <f t="shared" si="19"/>
        <v>Moderado</v>
      </c>
      <c r="AG57" s="2065"/>
      <c r="AH57" s="2026"/>
      <c r="AI57" s="2033"/>
      <c r="AJ57" s="2005"/>
      <c r="AK57" s="2007"/>
      <c r="AL57" s="2008"/>
      <c r="AM57" s="2005"/>
      <c r="AN57" s="2007"/>
      <c r="AO57" s="2008"/>
      <c r="AP57" s="2005"/>
      <c r="AQ57" s="2007"/>
      <c r="AR57" s="2025"/>
      <c r="AS57" s="2005"/>
      <c r="AT57" s="2007"/>
      <c r="AU57" s="2025"/>
      <c r="AV57" s="2005"/>
      <c r="AW57" s="2007"/>
      <c r="AX57" s="2025"/>
      <c r="AY57" s="2007"/>
    </row>
    <row r="59" spans="1:51" x14ac:dyDescent="0.3">
      <c r="A59" s="2504" t="s">
        <v>156</v>
      </c>
      <c r="B59" s="2505"/>
      <c r="C59" s="2505"/>
      <c r="D59" s="2505"/>
      <c r="E59" s="2505"/>
      <c r="F59" s="2505"/>
      <c r="G59" s="2505"/>
      <c r="H59" s="2505"/>
      <c r="I59" s="2505"/>
      <c r="J59" s="2505"/>
      <c r="K59" s="2505"/>
      <c r="L59" s="2505"/>
      <c r="M59" s="2505"/>
      <c r="N59" s="2505"/>
      <c r="O59" s="2505"/>
      <c r="P59" s="2505"/>
      <c r="Q59" s="2505"/>
      <c r="R59" s="2505"/>
      <c r="S59" s="2505"/>
      <c r="T59" s="2505"/>
      <c r="U59" s="2505"/>
      <c r="V59" s="2505"/>
      <c r="W59" s="2505"/>
      <c r="X59" s="2505"/>
      <c r="Y59" s="2505"/>
      <c r="Z59" s="2505"/>
      <c r="AA59" s="2505"/>
      <c r="AB59" s="2505"/>
      <c r="AC59" s="2505"/>
      <c r="AD59" s="2505"/>
      <c r="AE59" s="2505"/>
      <c r="AF59" s="2505"/>
      <c r="AG59" s="2505"/>
      <c r="AH59" s="2505"/>
      <c r="AI59" s="2505"/>
      <c r="AJ59" s="2505"/>
      <c r="AK59" s="2505"/>
      <c r="AL59" s="2505"/>
      <c r="AM59" s="2506"/>
    </row>
    <row r="60" spans="1:51" x14ac:dyDescent="0.3">
      <c r="A60" s="2507"/>
      <c r="B60" s="2508"/>
      <c r="C60" s="2508"/>
      <c r="D60" s="2508"/>
      <c r="E60" s="2508"/>
      <c r="F60" s="2508"/>
      <c r="G60" s="2508"/>
      <c r="H60" s="2508"/>
      <c r="I60" s="2508"/>
      <c r="J60" s="2508"/>
      <c r="K60" s="2508"/>
      <c r="L60" s="2508"/>
      <c r="M60" s="2508"/>
      <c r="N60" s="2508"/>
      <c r="O60" s="2508"/>
      <c r="P60" s="2508"/>
      <c r="Q60" s="2508"/>
      <c r="R60" s="2508"/>
      <c r="S60" s="2508"/>
      <c r="T60" s="2508"/>
      <c r="U60" s="2508"/>
      <c r="V60" s="2508"/>
      <c r="W60" s="2508"/>
      <c r="X60" s="2508"/>
      <c r="Y60" s="2508"/>
      <c r="Z60" s="2508"/>
      <c r="AA60" s="2508"/>
      <c r="AB60" s="2508"/>
      <c r="AC60" s="2508"/>
      <c r="AD60" s="2508"/>
      <c r="AE60" s="2508"/>
      <c r="AF60" s="2508"/>
      <c r="AG60" s="2508"/>
      <c r="AH60" s="2508"/>
      <c r="AI60" s="2508"/>
      <c r="AJ60" s="2508"/>
      <c r="AK60" s="2508"/>
      <c r="AL60" s="2508"/>
      <c r="AM60" s="2509"/>
    </row>
    <row r="61" spans="1:51" ht="14.4" x14ac:dyDescent="0.3">
      <c r="A61" s="524"/>
      <c r="B61" s="525"/>
      <c r="C61" s="524"/>
      <c r="D61" s="524"/>
      <c r="E61" s="524"/>
      <c r="F61" s="522"/>
      <c r="G61" s="522"/>
      <c r="H61" s="522"/>
      <c r="I61" s="526"/>
      <c r="J61" s="522"/>
      <c r="K61" s="522"/>
      <c r="L61" s="522"/>
      <c r="M61" s="522"/>
      <c r="N61" s="522"/>
      <c r="O61" s="522"/>
      <c r="P61" s="522"/>
      <c r="Q61" s="522"/>
      <c r="R61" s="522"/>
      <c r="S61" s="522"/>
      <c r="T61" s="522"/>
      <c r="U61" s="522"/>
      <c r="V61" s="522"/>
      <c r="W61" s="522"/>
      <c r="X61" s="522"/>
      <c r="Y61" s="522"/>
      <c r="Z61" s="522"/>
      <c r="AA61" s="522"/>
      <c r="AB61" s="522"/>
      <c r="AC61" s="522"/>
      <c r="AD61" s="522"/>
      <c r="AE61" s="522"/>
      <c r="AF61" s="522"/>
      <c r="AG61" s="522"/>
      <c r="AH61" s="522"/>
      <c r="AI61" s="522"/>
      <c r="AJ61" s="522"/>
      <c r="AK61" s="522"/>
      <c r="AL61" s="522"/>
      <c r="AM61" s="522"/>
    </row>
    <row r="62" spans="1:51" ht="23.4" x14ac:dyDescent="0.3">
      <c r="A62" s="2510" t="s">
        <v>157</v>
      </c>
      <c r="B62" s="2511"/>
      <c r="C62" s="2512" t="s">
        <v>1054</v>
      </c>
      <c r="D62" s="2513"/>
      <c r="E62" s="2513"/>
      <c r="F62" s="2513"/>
      <c r="G62" s="2513"/>
      <c r="H62" s="2513"/>
      <c r="I62" s="2513"/>
      <c r="J62" s="2513"/>
      <c r="K62" s="2513"/>
      <c r="L62" s="2513"/>
      <c r="M62" s="2513"/>
      <c r="N62" s="2513"/>
      <c r="O62" s="2513"/>
      <c r="P62" s="2513"/>
      <c r="Q62" s="2513"/>
      <c r="R62" s="2513"/>
      <c r="S62" s="2513"/>
      <c r="T62" s="2513"/>
      <c r="U62" s="2513"/>
      <c r="V62" s="2513"/>
      <c r="W62" s="2513"/>
      <c r="X62" s="2513"/>
      <c r="Y62" s="2513"/>
      <c r="Z62" s="2513"/>
      <c r="AA62" s="2513"/>
      <c r="AB62" s="2513"/>
      <c r="AC62" s="2513"/>
      <c r="AD62" s="2513"/>
      <c r="AE62" s="2513"/>
      <c r="AF62" s="2513"/>
      <c r="AG62" s="2513"/>
      <c r="AH62" s="2513"/>
      <c r="AI62" s="2513"/>
      <c r="AJ62" s="2513"/>
      <c r="AK62" s="2513"/>
      <c r="AL62" s="2513"/>
      <c r="AM62" s="2514"/>
    </row>
    <row r="63" spans="1:51" ht="23.4" x14ac:dyDescent="0.3">
      <c r="A63" s="2510" t="s">
        <v>158</v>
      </c>
      <c r="B63" s="2511"/>
      <c r="C63" s="2515" t="s">
        <v>1055</v>
      </c>
      <c r="D63" s="2516"/>
      <c r="E63" s="2516"/>
      <c r="F63" s="2516"/>
      <c r="G63" s="2516"/>
      <c r="H63" s="2516"/>
      <c r="I63" s="2516"/>
      <c r="J63" s="2516"/>
      <c r="K63" s="2516"/>
      <c r="L63" s="2516"/>
      <c r="M63" s="2516"/>
      <c r="N63" s="2516"/>
      <c r="O63" s="2516"/>
      <c r="P63" s="2516"/>
      <c r="Q63" s="2516"/>
      <c r="R63" s="2516"/>
      <c r="S63" s="2516"/>
      <c r="T63" s="2516"/>
      <c r="U63" s="2516"/>
      <c r="V63" s="2516"/>
      <c r="W63" s="2516"/>
      <c r="X63" s="2516"/>
      <c r="Y63" s="2516"/>
      <c r="Z63" s="2516"/>
      <c r="AA63" s="2516"/>
      <c r="AB63" s="2516"/>
      <c r="AC63" s="2516"/>
      <c r="AD63" s="2516"/>
      <c r="AE63" s="2516"/>
      <c r="AF63" s="2516"/>
      <c r="AG63" s="2516"/>
      <c r="AH63" s="2516"/>
      <c r="AI63" s="2516"/>
      <c r="AJ63" s="2516"/>
      <c r="AK63" s="2516"/>
      <c r="AL63" s="2516"/>
      <c r="AM63" s="2517"/>
    </row>
    <row r="64" spans="1:51" ht="23.4" x14ac:dyDescent="0.3">
      <c r="A64" s="2510" t="s">
        <v>159</v>
      </c>
      <c r="B64" s="2511"/>
      <c r="C64" s="2523" t="s">
        <v>1056</v>
      </c>
      <c r="D64" s="2523"/>
      <c r="E64" s="2523"/>
      <c r="F64" s="2523"/>
      <c r="G64" s="2523"/>
      <c r="H64" s="2523"/>
      <c r="I64" s="2523"/>
      <c r="J64" s="2523"/>
      <c r="K64" s="2523"/>
      <c r="L64" s="2523"/>
      <c r="M64" s="2523"/>
      <c r="N64" s="2523"/>
      <c r="O64" s="2523"/>
      <c r="P64" s="2523"/>
      <c r="Q64" s="2523"/>
      <c r="R64" s="2523"/>
      <c r="S64" s="2523"/>
      <c r="T64" s="2523"/>
      <c r="U64" s="2523"/>
      <c r="V64" s="2523"/>
      <c r="W64" s="2523"/>
      <c r="X64" s="2523"/>
      <c r="Y64" s="2523"/>
      <c r="Z64" s="2523"/>
      <c r="AA64" s="2523"/>
      <c r="AB64" s="2523"/>
      <c r="AC64" s="2523"/>
      <c r="AD64" s="2523"/>
      <c r="AE64" s="2523"/>
      <c r="AF64" s="2523"/>
      <c r="AG64" s="2523"/>
      <c r="AH64" s="2523"/>
      <c r="AI64" s="2523"/>
      <c r="AJ64" s="2523"/>
      <c r="AK64" s="2523"/>
      <c r="AL64" s="2523"/>
      <c r="AM64" s="2523"/>
    </row>
    <row r="65" spans="1:42" x14ac:dyDescent="0.3">
      <c r="A65" s="2524" t="s">
        <v>160</v>
      </c>
      <c r="B65" s="2525"/>
      <c r="C65" s="2526"/>
      <c r="D65" s="2526"/>
      <c r="E65" s="2526"/>
      <c r="F65" s="2526"/>
      <c r="G65" s="2526"/>
      <c r="H65" s="2526"/>
      <c r="I65" s="2526"/>
      <c r="J65" s="2527"/>
      <c r="K65" s="2496" t="s">
        <v>161</v>
      </c>
      <c r="L65" s="2526"/>
      <c r="M65" s="2526"/>
      <c r="N65" s="2526"/>
      <c r="O65" s="2526"/>
      <c r="P65" s="2526"/>
      <c r="Q65" s="2527"/>
      <c r="R65" s="2496" t="s">
        <v>162</v>
      </c>
      <c r="S65" s="2526"/>
      <c r="T65" s="2526"/>
      <c r="U65" s="2526"/>
      <c r="V65" s="2526"/>
      <c r="W65" s="2526"/>
      <c r="X65" s="2526"/>
      <c r="Y65" s="2526"/>
      <c r="Z65" s="2527"/>
      <c r="AA65" s="2496" t="s">
        <v>163</v>
      </c>
      <c r="AB65" s="2526"/>
      <c r="AC65" s="2526"/>
      <c r="AD65" s="2526"/>
      <c r="AE65" s="2526"/>
      <c r="AF65" s="2526"/>
      <c r="AG65" s="2527"/>
      <c r="AH65" s="2496" t="s">
        <v>164</v>
      </c>
      <c r="AI65" s="2526"/>
      <c r="AJ65" s="2526"/>
      <c r="AK65" s="2526"/>
      <c r="AL65" s="2526"/>
      <c r="AM65" s="2527"/>
    </row>
    <row r="66" spans="1:42" x14ac:dyDescent="0.3">
      <c r="A66" s="2501" t="s">
        <v>165</v>
      </c>
      <c r="B66" s="2503" t="s">
        <v>142</v>
      </c>
      <c r="C66" s="2494" t="s">
        <v>166</v>
      </c>
      <c r="D66" s="2494" t="s">
        <v>167</v>
      </c>
      <c r="E66" s="2493" t="s">
        <v>168</v>
      </c>
      <c r="F66" s="2522" t="s">
        <v>60</v>
      </c>
      <c r="G66" s="2450" t="s">
        <v>511</v>
      </c>
      <c r="H66" s="2450" t="s">
        <v>190</v>
      </c>
      <c r="I66" s="2493" t="s">
        <v>169</v>
      </c>
      <c r="J66" s="2494" t="s">
        <v>170</v>
      </c>
      <c r="K66" s="2500" t="s">
        <v>171</v>
      </c>
      <c r="L66" s="2497" t="s">
        <v>172</v>
      </c>
      <c r="M66" s="2493" t="s">
        <v>173</v>
      </c>
      <c r="N66" s="2493" t="s">
        <v>174</v>
      </c>
      <c r="O66" s="2495" t="s">
        <v>175</v>
      </c>
      <c r="P66" s="2497" t="s">
        <v>172</v>
      </c>
      <c r="Q66" s="2494" t="s">
        <v>176</v>
      </c>
      <c r="R66" s="2498" t="s">
        <v>177</v>
      </c>
      <c r="S66" s="2492" t="s">
        <v>178</v>
      </c>
      <c r="T66" s="2493" t="s">
        <v>179</v>
      </c>
      <c r="U66" s="2492" t="s">
        <v>180</v>
      </c>
      <c r="V66" s="2492"/>
      <c r="W66" s="2492"/>
      <c r="X66" s="2492"/>
      <c r="Y66" s="2492"/>
      <c r="Z66" s="2492"/>
      <c r="AA66" s="2491" t="s">
        <v>181</v>
      </c>
      <c r="AB66" s="2491" t="s">
        <v>182</v>
      </c>
      <c r="AC66" s="2491" t="s">
        <v>172</v>
      </c>
      <c r="AD66" s="2491" t="s">
        <v>183</v>
      </c>
      <c r="AE66" s="2491" t="s">
        <v>172</v>
      </c>
      <c r="AF66" s="2491" t="s">
        <v>184</v>
      </c>
      <c r="AG66" s="2498" t="s">
        <v>185</v>
      </c>
      <c r="AH66" s="2492" t="s">
        <v>164</v>
      </c>
      <c r="AI66" s="2492" t="s">
        <v>143</v>
      </c>
      <c r="AJ66" s="2492" t="s">
        <v>186</v>
      </c>
      <c r="AK66" s="2492" t="s">
        <v>187</v>
      </c>
      <c r="AL66" s="2492" t="s">
        <v>1057</v>
      </c>
      <c r="AM66" s="2492" t="s">
        <v>189</v>
      </c>
    </row>
    <row r="67" spans="1:42" ht="71.400000000000006" x14ac:dyDescent="0.3">
      <c r="A67" s="2502"/>
      <c r="B67" s="2503"/>
      <c r="C67" s="2492"/>
      <c r="D67" s="2492"/>
      <c r="E67" s="2500"/>
      <c r="F67" s="2450"/>
      <c r="G67" s="2451"/>
      <c r="H67" s="2451"/>
      <c r="I67" s="2494"/>
      <c r="J67" s="2492"/>
      <c r="K67" s="2494"/>
      <c r="L67" s="2496"/>
      <c r="M67" s="2494"/>
      <c r="N67" s="2494"/>
      <c r="O67" s="2496"/>
      <c r="P67" s="2496"/>
      <c r="Q67" s="2492"/>
      <c r="R67" s="2499"/>
      <c r="S67" s="2492"/>
      <c r="T67" s="2494"/>
      <c r="U67" s="528" t="s">
        <v>191</v>
      </c>
      <c r="V67" s="528" t="s">
        <v>192</v>
      </c>
      <c r="W67" s="528" t="s">
        <v>193</v>
      </c>
      <c r="X67" s="528" t="s">
        <v>194</v>
      </c>
      <c r="Y67" s="528" t="s">
        <v>195</v>
      </c>
      <c r="Z67" s="528" t="s">
        <v>196</v>
      </c>
      <c r="AA67" s="2491"/>
      <c r="AB67" s="2491"/>
      <c r="AC67" s="2491"/>
      <c r="AD67" s="2491"/>
      <c r="AE67" s="2491"/>
      <c r="AF67" s="2491"/>
      <c r="AG67" s="2499"/>
      <c r="AH67" s="2492"/>
      <c r="AI67" s="2492"/>
      <c r="AJ67" s="2492"/>
      <c r="AK67" s="2492"/>
      <c r="AL67" s="2492"/>
      <c r="AM67" s="2492"/>
    </row>
    <row r="68" spans="1:42" ht="110.4" x14ac:dyDescent="0.3">
      <c r="A68" s="2468">
        <v>1</v>
      </c>
      <c r="B68" s="2468" t="s">
        <v>209</v>
      </c>
      <c r="C68" s="2490" t="s">
        <v>1058</v>
      </c>
      <c r="D68" s="2468" t="s">
        <v>1059</v>
      </c>
      <c r="E68" s="578" t="s">
        <v>557</v>
      </c>
      <c r="F68" s="2468" t="s">
        <v>1060</v>
      </c>
      <c r="G68" s="2489" t="s">
        <v>512</v>
      </c>
      <c r="H68" s="2489" t="s">
        <v>1061</v>
      </c>
      <c r="I68" s="2468" t="s">
        <v>359</v>
      </c>
      <c r="J68" s="2468">
        <v>1852</v>
      </c>
      <c r="K68" s="2468" t="str">
        <f>IF(J68&lt;=0,"",IF(J68&lt;=2,"Muy Baja",IF(J68&lt;=24,"Baja",IF(J68&lt;=500,"Media",IF(J68&lt;=5000,"Alta","Muy Alta")))))</f>
        <v>Alta</v>
      </c>
      <c r="L68" s="2461">
        <f>IF(K68="","",IF(K68="Muy Baja",0.2,IF(K68="Baja",0.4,IF(K68="Media",0.6,IF(K68="Alta",0.8,IF(K68="Muy Alta",1,))))))</f>
        <v>0.8</v>
      </c>
      <c r="M68" s="2461" t="s">
        <v>303</v>
      </c>
      <c r="N68" s="2461" t="str">
        <f>IF(NOT(ISERROR(MATCH(M68,'[27]Tabla Impacto'!$B$221:$B$223,0))),'[27]Tabla Impacto'!$F$223&amp;"Por favor no seleccionar los criterios de impacto(Afectación Económica o presupuestal y Pérdida Reputacional)",M68)</f>
        <v xml:space="preserve">     El riesgo afecta la imagen de la entidad a nivel nacional, con efecto publicitarios sostenible a nivel país</v>
      </c>
      <c r="O68" s="2468" t="str">
        <f>IF(OR(N68='[27]Tabla Impacto'!$C$11,N68='[27]Tabla Impacto'!$D$11),"Leve",IF(OR(N68='[27]Tabla Impacto'!$C$12,N68='[27]Tabla Impacto'!$D$12),"Menor",IF(OR(N68='[27]Tabla Impacto'!$C$13,N68='[27]Tabla Impacto'!$D$13),"Moderado",IF(OR(N68='[27]Tabla Impacto'!$C$14,N68='[27]Tabla Impacto'!$D$14),"Mayor",IF(OR(N68='[27]Tabla Impacto'!$C$15,N68='[27]Tabla Impacto'!$D$15),"Catastrófico","")))))</f>
        <v>Catastrófico</v>
      </c>
      <c r="P68" s="2461">
        <f>IF(O68="","",IF(O68="Leve",0.2,IF(O68="Menor",0.4,IF(O68="Moderado",0.6,IF(O68="Mayor",0.8,IF(O68="Catastrófico",1,))))))</f>
        <v>1</v>
      </c>
      <c r="Q68" s="2468" t="str">
        <f>IF(OR(AND(K68="Muy Baja",O68="Leve"),AND(K68="Muy Baja",O68="Menor"),AND(K68="Baja",O68="Leve")),"Bajo",IF(OR(AND(K68="Muy baja",O68="Moderado"),AND(K68="Baja",O68="Menor"),AND(K68="Baja",O68="Moderado"),AND(K68="Media",O68="Leve"),AND(K68="Media",O68="Menor"),AND(K68="Media",O68="Moderado"),AND(K68="Alta",O68="Leve"),AND(K68="Alta",O68="Menor")),"Moderado",IF(OR(AND(K68="Muy Baja",O68="Mayor"),AND(K68="Baja",O68="Mayor"),AND(K68="Media",O68="Mayor"),AND(K68="Alta",O68="Moderado"),AND(K68="Alta",O68="Mayor"),AND(K68="Muy Alta",O68="Leve"),AND(K68="Muy Alta",O68="Menor"),AND(K68="Muy Alta",O68="Moderado"),AND(K68="Muy Alta",O68="Mayor")),"Alto",IF(OR(AND(K68="Muy Baja",O68="Catastrófico"),AND(K68="Baja",O68="Catastrófico"),AND(K68="Media",O68="Catastrófico"),AND(K68="Alta",O68="Catastrófico"),AND(K68="Muy Alta",O68="Catastrófico")),"Extremo",""))))</f>
        <v>Extremo</v>
      </c>
      <c r="R68" s="579">
        <v>1</v>
      </c>
      <c r="S68" s="578" t="s">
        <v>560</v>
      </c>
      <c r="T68" s="579" t="str">
        <f t="shared" ref="T68:T71" si="20">IF(OR(U68="Preventivo",U68="Detectivo"),"Probabilidad",IF(U68="Correctivo","Impacto",""))</f>
        <v>Impacto</v>
      </c>
      <c r="U68" s="580" t="s">
        <v>308</v>
      </c>
      <c r="V68" s="580" t="s">
        <v>201</v>
      </c>
      <c r="W68" s="581" t="str">
        <f t="shared" ref="W68:W71" si="21">IF(AND(U68="Preventivo",V68="Automático"),"50%",IF(AND(U68="Preventivo",V68="Manual"),"40%",IF(AND(U68="Detectivo",V68="Automático"),"40%",IF(AND(U68="Detectivo",V68="Manual"),"30%",IF(AND(U68="Correctivo",V68="Automático"),"35%",IF(AND(U68="Correctivo",V68="Manual"),"25%",""))))))</f>
        <v>25%</v>
      </c>
      <c r="X68" s="580" t="s">
        <v>202</v>
      </c>
      <c r="Y68" s="580" t="s">
        <v>203</v>
      </c>
      <c r="Z68" s="580" t="s">
        <v>204</v>
      </c>
      <c r="AA68" s="582">
        <f>IFERROR(IF(T68="Probabilidad",(L68-(+L68*W68)),IF(T68="Impacto",L68,"")),"")</f>
        <v>0.8</v>
      </c>
      <c r="AB68" s="2480" t="str">
        <f t="shared" ref="AB68:AB71" si="22">IFERROR(IF(AA68="","",IF(AA68&lt;=0.2,"Muy Baja",IF(AA68&lt;=0.4,"Baja",IF(AA68&lt;=0.6,"Media",IF(AA68&lt;=0.8,"Alta","Muy Alta"))))),"")</f>
        <v>Alta</v>
      </c>
      <c r="AC68" s="2483">
        <f t="shared" ref="AC68" si="23">+AA68</f>
        <v>0.8</v>
      </c>
      <c r="AD68" s="2480" t="str">
        <f>IFERROR(IF(AE68="","",IF(AE68&lt;=0.2,"Leve",IF(AE68&lt;=0.4,"Menor",IF(AE68&lt;=0.6,"Moderado",IF(AE68&lt;=0.8,"Mayor","Catastrófico"))))),"")</f>
        <v>Mayor</v>
      </c>
      <c r="AE68" s="2483">
        <f>IFERROR(IF(T68="Impacto",(P68-(+P68*W68)),IF(T68="Probabilidad",P68,"")),"")</f>
        <v>0.75</v>
      </c>
      <c r="AF68" s="2480" t="str">
        <f>IFERROR(IF(OR(AND(AB68="Muy Baja",AD68="Leve"),AND(AB68="Muy Baja",AD68="Menor"),AND(AB68="Baja",AD68="Leve")),"Bajo",IF(OR(AND(AB68="Muy baja",AD68="Moderado"),AND(AB68="Baja",AD68="Menor"),AND(AB68="Baja",AD68="Moderado"),AND(AB68="Media",AD68="Leve"),AND(AB68="Media",AD68="Menor"),AND(AB68="Media",AD68="Moderado"),AND(AB68="Alta",AD68="Leve"),AND(AB68="Alta",AD68="Menor")),"Moderado",IF(OR(AND(AB68="Muy Baja",AD68="Mayor"),AND(AB68="Baja",AD68="Mayor"),AND(AB68="Media",AD68="Mayor"),AND(AB68="Alta",AD68="Moderado"),AND(AB68="Alta",AD68="Mayor"),AND(AB68="Muy Alta",AD68="Leve"),AND(AB68="Muy Alta",AD68="Menor"),AND(AB68="Muy Alta",AD68="Moderado"),AND(AB68="Muy Alta",AD68="Mayor")),"Alto",IF(OR(AND(AB68="Muy Baja",AD68="Catastrófico"),AND(AB68="Baja",AD68="Catastrófico"),AND(AB68="Media",AD68="Catastrófico"),AND(AB68="Alta",AD68="Catastrófico"),AND(AB68="Muy Alta",AD68="Catastrófico")),"Extremo","")))),"")</f>
        <v>Alto</v>
      </c>
      <c r="AG68" s="2463" t="s">
        <v>205</v>
      </c>
      <c r="AH68" s="578" t="s">
        <v>561</v>
      </c>
      <c r="AI68" s="2468" t="s">
        <v>367</v>
      </c>
      <c r="AJ68" s="2486">
        <v>45657</v>
      </c>
      <c r="AK68" s="2474" t="s">
        <v>147</v>
      </c>
      <c r="AL68" s="578" t="s">
        <v>562</v>
      </c>
      <c r="AM68" s="583" t="s">
        <v>206</v>
      </c>
    </row>
    <row r="69" spans="1:42" ht="207" x14ac:dyDescent="0.3">
      <c r="A69" s="2469"/>
      <c r="B69" s="2469"/>
      <c r="C69" s="2477"/>
      <c r="D69" s="2469"/>
      <c r="E69" s="2468" t="s">
        <v>368</v>
      </c>
      <c r="F69" s="2469"/>
      <c r="G69" s="2469"/>
      <c r="H69" s="2469"/>
      <c r="I69" s="2469"/>
      <c r="J69" s="2469"/>
      <c r="K69" s="2469"/>
      <c r="L69" s="2469"/>
      <c r="M69" s="2469"/>
      <c r="N69" s="2469"/>
      <c r="O69" s="2487"/>
      <c r="P69" s="2469"/>
      <c r="Q69" s="2469"/>
      <c r="R69" s="579">
        <v>2</v>
      </c>
      <c r="S69" s="584" t="s">
        <v>563</v>
      </c>
      <c r="T69" s="579" t="str">
        <f t="shared" si="20"/>
        <v/>
      </c>
      <c r="U69" s="580" t="s">
        <v>564</v>
      </c>
      <c r="V69" s="580" t="s">
        <v>201</v>
      </c>
      <c r="W69" s="581" t="str">
        <f t="shared" si="21"/>
        <v/>
      </c>
      <c r="X69" s="580" t="s">
        <v>208</v>
      </c>
      <c r="Y69" s="580" t="s">
        <v>203</v>
      </c>
      <c r="Z69" s="580" t="s">
        <v>204</v>
      </c>
      <c r="AA69" s="582" t="str">
        <f>IFERROR(IF(AND(#REF!="Probabilidad",T69="Probabilidad"),(#REF!-(+#REF!*W69)),IF(AND(#REF!="Impacto",T69="Probabilidad"),(AC68-(+AC68*W69)),IF(T69="Impacto",#REF!,""))),"")</f>
        <v/>
      </c>
      <c r="AB69" s="2481"/>
      <c r="AC69" s="2484"/>
      <c r="AD69" s="2481"/>
      <c r="AE69" s="2484"/>
      <c r="AF69" s="2481"/>
      <c r="AG69" s="2469"/>
      <c r="AH69" s="578" t="s">
        <v>565</v>
      </c>
      <c r="AI69" s="2469"/>
      <c r="AJ69" s="2469"/>
      <c r="AK69" s="2475"/>
      <c r="AL69" s="579" t="s">
        <v>566</v>
      </c>
      <c r="AM69" s="583" t="s">
        <v>206</v>
      </c>
    </row>
    <row r="70" spans="1:42" ht="55.2" x14ac:dyDescent="0.3">
      <c r="A70" s="2462"/>
      <c r="B70" s="2462"/>
      <c r="C70" s="2477"/>
      <c r="D70" s="2462"/>
      <c r="E70" s="2462"/>
      <c r="F70" s="2462"/>
      <c r="G70" s="2462"/>
      <c r="H70" s="2462"/>
      <c r="I70" s="2462"/>
      <c r="J70" s="2462"/>
      <c r="K70" s="2462"/>
      <c r="L70" s="2462"/>
      <c r="M70" s="2462"/>
      <c r="N70" s="2462"/>
      <c r="O70" s="2488"/>
      <c r="P70" s="2462"/>
      <c r="Q70" s="2462"/>
      <c r="R70" s="579">
        <v>3</v>
      </c>
      <c r="S70" s="579" t="s">
        <v>567</v>
      </c>
      <c r="T70" s="579" t="str">
        <f t="shared" si="20"/>
        <v>Probabilidad</v>
      </c>
      <c r="U70" s="580" t="s">
        <v>207</v>
      </c>
      <c r="V70" s="580" t="s">
        <v>201</v>
      </c>
      <c r="W70" s="581" t="str">
        <f t="shared" si="21"/>
        <v>40%</v>
      </c>
      <c r="X70" s="580" t="s">
        <v>208</v>
      </c>
      <c r="Y70" s="580" t="s">
        <v>210</v>
      </c>
      <c r="Z70" s="580" t="s">
        <v>204</v>
      </c>
      <c r="AA70" s="582" t="str">
        <f>IFERROR(IF(AND(T69="Probabilidad",T70="Probabilidad"),(AC69-(+AC69*W70)),IF(AND(T69="Impacto",T70="Probabilidad"),(#REF!-(+#REF!*W70)),IF(T70="Impacto",AC69,""))),"")</f>
        <v/>
      </c>
      <c r="AB70" s="2482"/>
      <c r="AC70" s="2485"/>
      <c r="AD70" s="2482"/>
      <c r="AE70" s="2485"/>
      <c r="AF70" s="2482"/>
      <c r="AG70" s="2462"/>
      <c r="AH70" s="578" t="s">
        <v>369</v>
      </c>
      <c r="AI70" s="2462"/>
      <c r="AJ70" s="2462"/>
      <c r="AK70" s="2476"/>
      <c r="AL70" s="579" t="s">
        <v>568</v>
      </c>
      <c r="AM70" s="583" t="s">
        <v>206</v>
      </c>
    </row>
    <row r="71" spans="1:42" ht="41.4" x14ac:dyDescent="0.3">
      <c r="A71" s="2468">
        <v>2</v>
      </c>
      <c r="B71" s="2468" t="s">
        <v>209</v>
      </c>
      <c r="C71" s="2477" t="s">
        <v>1058</v>
      </c>
      <c r="D71" s="2468" t="s">
        <v>370</v>
      </c>
      <c r="E71" s="579" t="s">
        <v>569</v>
      </c>
      <c r="F71" s="2468" t="s">
        <v>1062</v>
      </c>
      <c r="G71" s="2479" t="s">
        <v>512</v>
      </c>
      <c r="H71" s="2479" t="s">
        <v>372</v>
      </c>
      <c r="I71" s="2468" t="s">
        <v>359</v>
      </c>
      <c r="J71" s="2468">
        <v>4</v>
      </c>
      <c r="K71" s="2468" t="str">
        <f>IF(J71&lt;=0,"",IF(J71&lt;=2,"Muy Baja",IF(J71&lt;=24,"Baja",IF(J71&lt;=500,"Media",IF(J71&lt;=5000,"Alta","Muy Alta")))))</f>
        <v>Baja</v>
      </c>
      <c r="L71" s="2461">
        <f>IF(K71="","",IF(K71="Muy Baja",0.2,IF(K71="Baja",0.4,IF(K71="Media",0.6,IF(K71="Alta",0.8,IF(K71="Muy Alta",1,))))))</f>
        <v>0.4</v>
      </c>
      <c r="M71" s="2461" t="s">
        <v>570</v>
      </c>
      <c r="N71" s="2461" t="str">
        <f>IF(NOT(ISERROR(MATCH(M71,'[27]Tabla Impacto'!$B$221:$B$223,0))),'[27]Tabla Impacto'!$F$223&amp;"Por favor no seleccionar los criterios de impacto(Afectación Económica o presupuestal y Pérdida Reputacional)",M71)</f>
        <v xml:space="preserve">     El riesgo afecta la imagen de  la entidad con efecto publicitario sostenido a nivel de sector administrativo, nivel departamental o municipal</v>
      </c>
      <c r="O71" s="2468" t="str">
        <f>IF(OR(N68='[27]Tabla Impacto'!$C$11,N68='[27]Tabla Impacto'!$D$11),"Leve",IF(OR(N68='[27]Tabla Impacto'!$C$12,N68='[27]Tabla Impacto'!$D$12),"Menor",IF(OR(N68='[27]Tabla Impacto'!$C$13,N68='[27]Tabla Impacto'!$D$13),"Moderado",IF(OR(N68='[27]Tabla Impacto'!$C$14,N68='[27]Tabla Impacto'!$D$14),"Mayor",IF(OR(N68='[27]Tabla Impacto'!$C$15,N68='[27]Tabla Impacto'!$D$15),"Catastrófico","")))))</f>
        <v>Catastrófico</v>
      </c>
      <c r="P71" s="2461">
        <f>IF(O71="","",IF(O71="Leve",0.2,IF(O71="Menor",0.4,IF(O71="Moderado",0.6,IF(O71="Mayor",0.8,IF(O71="Catastrófico",1,))))))</f>
        <v>1</v>
      </c>
      <c r="Q71" s="2468" t="str">
        <f>IF(OR(AND(K68="Muy Baja",O68="Leve"),AND(K68="Muy Baja",O68="Menor"),AND(K68="Baja",O68="Leve")),"Bajo",IF(OR(AND(K68="Muy baja",O68="Moderado"),AND(K68="Baja",O68="Menor"),AND(K68="Baja",O68="Moderado"),AND(K68="Media",O68="Leve"),AND(K68="Media",O68="Menor"),AND(K68="Media",O68="Moderado"),AND(K68="Alta",O68="Leve"),AND(K68="Alta",O68="Menor")),"Moderado",IF(OR(AND(K68="Muy Baja",O68="Mayor"),AND(K68="Baja",O68="Mayor"),AND(K68="Media",O68="Mayor"),AND(K68="Alta",O68="Moderado"),AND(K68="Alta",O68="Mayor"),AND(K68="Muy Alta",O68="Leve"),AND(K68="Muy Alta",O68="Menor"),AND(K68="Muy Alta",O68="Moderado"),AND(K68="Muy Alta",O68="Mayor")),"Alto",IF(OR(AND(K68="Muy Baja",O68="Catastrófico"),AND(K68="Baja",O68="Catastrófico"),AND(K68="Media",O68="Catastrófico"),AND(K68="Alta",O68="Catastrófico"),AND(K68="Muy Alta",O68="Catastrófico")),"Extremo",""))))</f>
        <v>Extremo</v>
      </c>
      <c r="R71" s="579">
        <v>1</v>
      </c>
      <c r="S71" s="2468" t="s">
        <v>571</v>
      </c>
      <c r="T71" s="2468" t="str">
        <f t="shared" si="20"/>
        <v>Probabilidad</v>
      </c>
      <c r="U71" s="2463" t="s">
        <v>207</v>
      </c>
      <c r="V71" s="2463" t="s">
        <v>201</v>
      </c>
      <c r="W71" s="2463" t="str">
        <f t="shared" si="21"/>
        <v>40%</v>
      </c>
      <c r="X71" s="2463" t="s">
        <v>202</v>
      </c>
      <c r="Y71" s="2463" t="s">
        <v>203</v>
      </c>
      <c r="Z71" s="2463" t="s">
        <v>204</v>
      </c>
      <c r="AA71" s="2467">
        <f>IFERROR(IF(T71="Probabilidad",(L71-(+L71*W71)),IF(T71="Impacto",L71,"")),"")</f>
        <v>0.24</v>
      </c>
      <c r="AB71" s="2463" t="str">
        <f t="shared" si="22"/>
        <v>Baja</v>
      </c>
      <c r="AC71" s="2461">
        <f>AA71</f>
        <v>0.24</v>
      </c>
      <c r="AD71" s="2463" t="str">
        <f t="shared" ref="AD71" si="24">IFERROR(IF(AE71="","",IF(AE71&lt;=0.2,"Leve",IF(AE71&lt;=0.4,"Menor",IF(AE71&lt;=0.6,"Moderado",IF(AE71&lt;=0.8,"Mayor","Catastrófico"))))),"")</f>
        <v>Catastrófico</v>
      </c>
      <c r="AE71" s="2461">
        <f>IFERROR(IF(T71="Impacto",(P71-(+P71*W71)),IF(T71="Probabilidad",P71,"")),"")</f>
        <v>1</v>
      </c>
      <c r="AF71" s="2463" t="str">
        <f>IFERROR(IF(OR(AND(AB68="Muy Baja",AD68="Leve"),AND(AB68="Muy Baja",AD68="Menor"),AND(AB68="Baja",AD68="Leve")),"Bajo",IF(OR(AND(AB68="Muy baja",AD68="Moderado"),AND(AB68="Baja",AD68="Menor"),AND(AB68="Baja",AD68="Moderado"),AND(AB68="Media",AD68="Leve"),AND(AB68="Media",AD68="Menor"),AND(AB68="Media",AD68="Moderado"),AND(AB68="Alta",AD68="Leve"),AND(AB68="Alta",AD68="Menor")),"Moderado",IF(OR(AND(AB68="Muy Baja",AD68="Mayor"),AND(AB68="Baja",AD68="Mayor"),AND(AB68="Media",AD68="Mayor"),AND(AB68="Alta",AD68="Moderado"),AND(AB68="Alta",AD68="Mayor"),AND(AB68="Muy Alta",AD68="Leve"),AND(AB68="Muy Alta",AD68="Menor"),AND(AB68="Muy Alta",AD68="Moderado"),AND(AB68="Muy Alta",AD68="Mayor")),"Alto",IF(OR(AND(AB68="Muy Baja",AD68="Catastrófico"),AND(AB68="Baja",AD68="Catastrófico"),AND(AB68="Media",AD68="Catastrófico"),AND(AB68="Alta",AD68="Catastrófico"),AND(AB68="Muy Alta",AD68="Catastrófico")),"Extremo","")))),"")</f>
        <v>Alto</v>
      </c>
      <c r="AG71" s="2463" t="s">
        <v>205</v>
      </c>
      <c r="AH71" s="579" t="s">
        <v>572</v>
      </c>
      <c r="AI71" s="579" t="s">
        <v>373</v>
      </c>
      <c r="AJ71" s="585">
        <v>45657</v>
      </c>
      <c r="AK71" s="586" t="s">
        <v>145</v>
      </c>
      <c r="AL71" s="579" t="s">
        <v>1063</v>
      </c>
      <c r="AM71" s="583" t="s">
        <v>206</v>
      </c>
    </row>
    <row r="72" spans="1:42" ht="41.4" x14ac:dyDescent="0.3">
      <c r="A72" s="2462"/>
      <c r="B72" s="2462"/>
      <c r="C72" s="2478"/>
      <c r="D72" s="2462"/>
      <c r="E72" s="579" t="s">
        <v>574</v>
      </c>
      <c r="F72" s="2462"/>
      <c r="G72" s="2462"/>
      <c r="H72" s="2462"/>
      <c r="I72" s="2462"/>
      <c r="J72" s="2462"/>
      <c r="K72" s="2462"/>
      <c r="L72" s="2462"/>
      <c r="M72" s="2462"/>
      <c r="N72" s="2462"/>
      <c r="O72" s="2462"/>
      <c r="P72" s="2462"/>
      <c r="Q72" s="2462"/>
      <c r="R72" s="579">
        <v>2</v>
      </c>
      <c r="S72" s="2462"/>
      <c r="T72" s="2462"/>
      <c r="U72" s="2462"/>
      <c r="V72" s="2462"/>
      <c r="W72" s="2462"/>
      <c r="X72" s="2462"/>
      <c r="Y72" s="2462"/>
      <c r="Z72" s="2462"/>
      <c r="AA72" s="2462"/>
      <c r="AB72" s="2462"/>
      <c r="AC72" s="2462"/>
      <c r="AD72" s="2462"/>
      <c r="AE72" s="2462"/>
      <c r="AF72" s="2462"/>
      <c r="AG72" s="2462"/>
      <c r="AH72" s="579" t="s">
        <v>575</v>
      </c>
      <c r="AI72" s="579" t="s">
        <v>373</v>
      </c>
      <c r="AJ72" s="585">
        <v>45657</v>
      </c>
      <c r="AK72" s="587" t="s">
        <v>153</v>
      </c>
      <c r="AL72" s="579" t="s">
        <v>1064</v>
      </c>
      <c r="AM72" s="583" t="s">
        <v>206</v>
      </c>
    </row>
    <row r="73" spans="1:42" ht="14.4" x14ac:dyDescent="0.3">
      <c r="A73" s="540"/>
      <c r="B73" s="2464" t="s">
        <v>1026</v>
      </c>
      <c r="C73" s="2465"/>
      <c r="D73" s="2465"/>
      <c r="E73" s="2465"/>
      <c r="F73" s="2465"/>
      <c r="G73" s="2465"/>
      <c r="H73" s="2465"/>
      <c r="I73" s="2465"/>
      <c r="J73" s="2465"/>
      <c r="K73" s="2465"/>
      <c r="L73" s="2465"/>
      <c r="M73" s="2465"/>
      <c r="N73" s="2465"/>
      <c r="O73" s="2465"/>
      <c r="P73" s="2465"/>
      <c r="Q73" s="2465"/>
      <c r="R73" s="2465"/>
      <c r="S73" s="2465"/>
      <c r="T73" s="2465"/>
      <c r="U73" s="2465"/>
      <c r="V73" s="2465"/>
      <c r="W73" s="2465"/>
      <c r="X73" s="2465"/>
      <c r="Y73" s="2465"/>
      <c r="Z73" s="2465"/>
      <c r="AA73" s="2465"/>
      <c r="AB73" s="2465"/>
      <c r="AC73" s="2465"/>
      <c r="AD73" s="2465"/>
      <c r="AE73" s="2465"/>
      <c r="AF73" s="2465"/>
      <c r="AG73" s="2465"/>
      <c r="AH73" s="2465"/>
      <c r="AI73" s="2465"/>
      <c r="AJ73" s="2465"/>
      <c r="AK73" s="2465"/>
      <c r="AL73" s="2465"/>
      <c r="AM73" s="2466"/>
    </row>
    <row r="75" spans="1:42" x14ac:dyDescent="0.3">
      <c r="A75" s="2470" t="s">
        <v>156</v>
      </c>
      <c r="B75" s="2471"/>
      <c r="C75" s="2471"/>
      <c r="D75" s="2471"/>
      <c r="E75" s="2471"/>
      <c r="F75" s="2471"/>
      <c r="G75" s="2471"/>
      <c r="H75" s="2471"/>
      <c r="I75" s="2471"/>
      <c r="J75" s="2471"/>
      <c r="K75" s="2471"/>
      <c r="L75" s="2471"/>
      <c r="M75" s="2471"/>
      <c r="N75" s="2471"/>
      <c r="O75" s="2471"/>
      <c r="P75" s="2471"/>
      <c r="Q75" s="2471"/>
      <c r="R75" s="2471"/>
      <c r="S75" s="2471"/>
      <c r="T75" s="2471"/>
      <c r="U75" s="2471"/>
      <c r="V75" s="2471"/>
      <c r="W75" s="2471"/>
      <c r="X75" s="2471"/>
      <c r="Y75" s="2471"/>
      <c r="Z75" s="2471"/>
      <c r="AA75" s="2471"/>
      <c r="AB75" s="2471"/>
      <c r="AC75" s="2471"/>
      <c r="AD75" s="2471"/>
      <c r="AE75" s="2471"/>
      <c r="AF75" s="2471"/>
      <c r="AG75" s="2471"/>
      <c r="AH75" s="2471"/>
      <c r="AI75" s="2471"/>
      <c r="AJ75" s="2471"/>
      <c r="AK75" s="2471"/>
      <c r="AL75" s="2472"/>
      <c r="AM75" s="588"/>
      <c r="AN75" s="588"/>
      <c r="AO75" s="588"/>
      <c r="AP75" s="588"/>
    </row>
    <row r="76" spans="1:42" x14ac:dyDescent="0.3">
      <c r="A76" s="2427"/>
      <c r="B76" s="2442"/>
      <c r="C76" s="2442"/>
      <c r="D76" s="2442"/>
      <c r="E76" s="2442"/>
      <c r="F76" s="2442"/>
      <c r="G76" s="2442"/>
      <c r="H76" s="2442"/>
      <c r="I76" s="2442"/>
      <c r="J76" s="2442"/>
      <c r="K76" s="2442"/>
      <c r="L76" s="2442"/>
      <c r="M76" s="2442"/>
      <c r="N76" s="2442"/>
      <c r="O76" s="2442"/>
      <c r="P76" s="2442"/>
      <c r="Q76" s="2442"/>
      <c r="R76" s="2442"/>
      <c r="S76" s="2442"/>
      <c r="T76" s="2442"/>
      <c r="U76" s="2442"/>
      <c r="V76" s="2442"/>
      <c r="W76" s="2442"/>
      <c r="X76" s="2442"/>
      <c r="Y76" s="2442"/>
      <c r="Z76" s="2442"/>
      <c r="AA76" s="2442"/>
      <c r="AB76" s="2442"/>
      <c r="AC76" s="2442"/>
      <c r="AD76" s="2442"/>
      <c r="AE76" s="2442"/>
      <c r="AF76" s="2442"/>
      <c r="AG76" s="2442"/>
      <c r="AH76" s="2442"/>
      <c r="AI76" s="2442"/>
      <c r="AJ76" s="2442"/>
      <c r="AK76" s="2442"/>
      <c r="AL76" s="2443"/>
      <c r="AM76" s="588"/>
      <c r="AN76" s="588"/>
      <c r="AO76" s="588"/>
      <c r="AP76" s="588"/>
    </row>
    <row r="77" spans="1:42" x14ac:dyDescent="0.3">
      <c r="A77" s="589"/>
      <c r="B77" s="590"/>
      <c r="C77" s="589"/>
      <c r="D77" s="589"/>
      <c r="E77" s="589"/>
      <c r="F77" s="588"/>
      <c r="G77" s="588"/>
      <c r="H77" s="591"/>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8"/>
      <c r="AL77" s="588"/>
      <c r="AM77" s="588"/>
      <c r="AN77" s="588"/>
      <c r="AO77" s="588"/>
      <c r="AP77" s="588"/>
    </row>
    <row r="78" spans="1:42" x14ac:dyDescent="0.3">
      <c r="A78" s="2458" t="s">
        <v>157</v>
      </c>
      <c r="B78" s="2459"/>
      <c r="C78" s="2473" t="s">
        <v>1065</v>
      </c>
      <c r="D78" s="2473"/>
      <c r="E78" s="2473"/>
      <c r="F78" s="2473"/>
      <c r="G78" s="2473"/>
      <c r="H78" s="2473"/>
      <c r="I78" s="2473"/>
      <c r="J78" s="2473"/>
      <c r="K78" s="2473"/>
      <c r="L78" s="2473"/>
      <c r="M78" s="2473"/>
      <c r="N78" s="2473"/>
      <c r="O78" s="2473"/>
      <c r="P78" s="2473"/>
      <c r="Q78" s="2473"/>
      <c r="R78" s="2473"/>
      <c r="S78" s="2473"/>
      <c r="T78" s="2473"/>
      <c r="U78" s="2473"/>
      <c r="V78" s="2473"/>
      <c r="W78" s="2473"/>
      <c r="X78" s="2473"/>
      <c r="Y78" s="2473"/>
      <c r="Z78" s="2473"/>
      <c r="AA78" s="2473"/>
      <c r="AB78" s="2473"/>
      <c r="AC78" s="2473"/>
      <c r="AD78" s="2473"/>
      <c r="AE78" s="2473"/>
      <c r="AF78" s="2473"/>
      <c r="AG78" s="2473"/>
      <c r="AH78" s="2473"/>
      <c r="AI78" s="2473"/>
      <c r="AJ78" s="2473"/>
      <c r="AK78" s="2473"/>
      <c r="AL78" s="2473"/>
      <c r="AM78" s="588"/>
      <c r="AN78" s="588"/>
      <c r="AO78" s="588"/>
      <c r="AP78" s="588"/>
    </row>
    <row r="79" spans="1:42" x14ac:dyDescent="0.3">
      <c r="A79" s="2458" t="s">
        <v>158</v>
      </c>
      <c r="B79" s="2459"/>
      <c r="C79" s="2460" t="s">
        <v>1066</v>
      </c>
      <c r="D79" s="2460"/>
      <c r="E79" s="2460"/>
      <c r="F79" s="2460"/>
      <c r="G79" s="2460"/>
      <c r="H79" s="2460"/>
      <c r="I79" s="2460"/>
      <c r="J79" s="2460"/>
      <c r="K79" s="2460"/>
      <c r="L79" s="2460"/>
      <c r="M79" s="2460"/>
      <c r="N79" s="2460"/>
      <c r="O79" s="2460"/>
      <c r="P79" s="2460"/>
      <c r="Q79" s="2460"/>
      <c r="R79" s="2460"/>
      <c r="S79" s="2460"/>
      <c r="T79" s="2460"/>
      <c r="U79" s="2460"/>
      <c r="V79" s="2460"/>
      <c r="W79" s="2460"/>
      <c r="X79" s="2460"/>
      <c r="Y79" s="2460"/>
      <c r="Z79" s="2460"/>
      <c r="AA79" s="2460"/>
      <c r="AB79" s="2460"/>
      <c r="AC79" s="2460"/>
      <c r="AD79" s="2460"/>
      <c r="AE79" s="2460"/>
      <c r="AF79" s="2460"/>
      <c r="AG79" s="2460"/>
      <c r="AH79" s="2460"/>
      <c r="AI79" s="2460"/>
      <c r="AJ79" s="2460"/>
      <c r="AK79" s="2460"/>
      <c r="AL79" s="2460"/>
      <c r="AM79" s="588"/>
      <c r="AN79" s="588"/>
      <c r="AO79" s="588"/>
      <c r="AP79" s="588"/>
    </row>
    <row r="80" spans="1:42" x14ac:dyDescent="0.3">
      <c r="A80" s="2458" t="s">
        <v>159</v>
      </c>
      <c r="B80" s="2459"/>
      <c r="C80" s="2460" t="s">
        <v>977</v>
      </c>
      <c r="D80" s="2460"/>
      <c r="E80" s="2460"/>
      <c r="F80" s="2460"/>
      <c r="G80" s="2460"/>
      <c r="H80" s="2460"/>
      <c r="I80" s="2460"/>
      <c r="J80" s="2460"/>
      <c r="K80" s="2460"/>
      <c r="L80" s="2460"/>
      <c r="M80" s="2460"/>
      <c r="N80" s="2460"/>
      <c r="O80" s="2460"/>
      <c r="P80" s="2460"/>
      <c r="Q80" s="2460"/>
      <c r="R80" s="2460"/>
      <c r="S80" s="2460"/>
      <c r="T80" s="2460"/>
      <c r="U80" s="2460"/>
      <c r="V80" s="2460"/>
      <c r="W80" s="2460"/>
      <c r="X80" s="2460"/>
      <c r="Y80" s="2460"/>
      <c r="Z80" s="2460"/>
      <c r="AA80" s="2460"/>
      <c r="AB80" s="2460"/>
      <c r="AC80" s="2460"/>
      <c r="AD80" s="2460"/>
      <c r="AE80" s="2460"/>
      <c r="AF80" s="2460"/>
      <c r="AG80" s="2460"/>
      <c r="AH80" s="2460"/>
      <c r="AI80" s="2460"/>
      <c r="AJ80" s="2460"/>
      <c r="AK80" s="2460"/>
      <c r="AL80" s="2460"/>
      <c r="AM80" s="588"/>
      <c r="AN80" s="588"/>
      <c r="AO80" s="588"/>
      <c r="AP80" s="588"/>
    </row>
    <row r="81" spans="1:43" x14ac:dyDescent="0.3">
      <c r="A81" s="2440" t="s">
        <v>160</v>
      </c>
      <c r="B81" s="2441"/>
      <c r="C81" s="2442"/>
      <c r="D81" s="2442"/>
      <c r="E81" s="2442"/>
      <c r="F81" s="2442"/>
      <c r="G81" s="2442"/>
      <c r="H81" s="2442"/>
      <c r="I81" s="2443"/>
      <c r="J81" s="2427" t="s">
        <v>161</v>
      </c>
      <c r="K81" s="2442"/>
      <c r="L81" s="2442"/>
      <c r="M81" s="2442"/>
      <c r="N81" s="2442"/>
      <c r="O81" s="2442"/>
      <c r="P81" s="2443"/>
      <c r="Q81" s="2427" t="s">
        <v>162</v>
      </c>
      <c r="R81" s="2442"/>
      <c r="S81" s="2442"/>
      <c r="T81" s="2442"/>
      <c r="U81" s="2442"/>
      <c r="V81" s="2442"/>
      <c r="W81" s="2442"/>
      <c r="X81" s="2442"/>
      <c r="Y81" s="2443"/>
      <c r="Z81" s="2427" t="s">
        <v>163</v>
      </c>
      <c r="AA81" s="2442"/>
      <c r="AB81" s="2442"/>
      <c r="AC81" s="2442"/>
      <c r="AD81" s="2442"/>
      <c r="AE81" s="2442"/>
      <c r="AF81" s="2443"/>
      <c r="AG81" s="2428" t="s">
        <v>164</v>
      </c>
      <c r="AH81" s="2444"/>
      <c r="AI81" s="2444"/>
      <c r="AJ81" s="2444"/>
      <c r="AK81" s="2444"/>
      <c r="AL81" s="2444"/>
      <c r="AM81" s="2444"/>
      <c r="AN81" s="2444"/>
      <c r="AO81" s="2444"/>
      <c r="AP81" s="2444"/>
    </row>
    <row r="82" spans="1:43" x14ac:dyDescent="0.3">
      <c r="A82" s="2445" t="s">
        <v>165</v>
      </c>
      <c r="B82" s="2447" t="s">
        <v>142</v>
      </c>
      <c r="C82" s="2430" t="s">
        <v>166</v>
      </c>
      <c r="D82" s="2430" t="s">
        <v>167</v>
      </c>
      <c r="E82" s="2449" t="s">
        <v>168</v>
      </c>
      <c r="F82" s="2646" t="s">
        <v>60</v>
      </c>
      <c r="G82" s="2450" t="s">
        <v>511</v>
      </c>
      <c r="H82" s="592"/>
      <c r="I82" s="2449" t="s">
        <v>169</v>
      </c>
      <c r="J82" s="2430" t="s">
        <v>170</v>
      </c>
      <c r="K82" s="2429" t="s">
        <v>171</v>
      </c>
      <c r="L82" s="2428" t="s">
        <v>172</v>
      </c>
      <c r="M82" s="2449" t="s">
        <v>173</v>
      </c>
      <c r="N82" s="2449" t="s">
        <v>174</v>
      </c>
      <c r="O82" s="2426" t="s">
        <v>175</v>
      </c>
      <c r="P82" s="2428" t="s">
        <v>172</v>
      </c>
      <c r="Q82" s="2430" t="s">
        <v>176</v>
      </c>
      <c r="R82" s="2456" t="s">
        <v>177</v>
      </c>
      <c r="S82" s="2448" t="s">
        <v>178</v>
      </c>
      <c r="T82" s="2449" t="s">
        <v>179</v>
      </c>
      <c r="U82" s="2448" t="s">
        <v>180</v>
      </c>
      <c r="V82" s="2448"/>
      <c r="W82" s="2448"/>
      <c r="X82" s="2448"/>
      <c r="Y82" s="2448"/>
      <c r="Z82" s="2448"/>
      <c r="AA82" s="2455" t="s">
        <v>181</v>
      </c>
      <c r="AB82" s="2455" t="s">
        <v>182</v>
      </c>
      <c r="AC82" s="2455" t="s">
        <v>172</v>
      </c>
      <c r="AD82" s="2455" t="s">
        <v>183</v>
      </c>
      <c r="AE82" s="2455" t="s">
        <v>172</v>
      </c>
      <c r="AF82" s="2455" t="s">
        <v>184</v>
      </c>
      <c r="AG82" s="2456" t="s">
        <v>185</v>
      </c>
      <c r="AH82" s="2448" t="s">
        <v>164</v>
      </c>
      <c r="AI82" s="2448" t="s">
        <v>143</v>
      </c>
      <c r="AJ82" s="2448" t="s">
        <v>186</v>
      </c>
      <c r="AK82" s="2448" t="s">
        <v>187</v>
      </c>
      <c r="AL82" s="2448" t="s">
        <v>188</v>
      </c>
      <c r="AM82" s="2454" t="s">
        <v>189</v>
      </c>
      <c r="AN82" s="2452" t="s">
        <v>1067</v>
      </c>
      <c r="AO82" s="2452" t="s">
        <v>1068</v>
      </c>
      <c r="AP82" s="2452" t="s">
        <v>1069</v>
      </c>
      <c r="AQ82" s="2452" t="s">
        <v>1070</v>
      </c>
    </row>
    <row r="83" spans="1:43" ht="71.400000000000006" x14ac:dyDescent="0.3">
      <c r="A83" s="2446"/>
      <c r="B83" s="2447"/>
      <c r="C83" s="2448"/>
      <c r="D83" s="2448"/>
      <c r="E83" s="2429"/>
      <c r="F83" s="2647"/>
      <c r="G83" s="2451"/>
      <c r="H83" s="592" t="s">
        <v>190</v>
      </c>
      <c r="I83" s="2430"/>
      <c r="J83" s="2448"/>
      <c r="K83" s="2430"/>
      <c r="L83" s="2427"/>
      <c r="M83" s="2430"/>
      <c r="N83" s="2430"/>
      <c r="O83" s="2427"/>
      <c r="P83" s="2427"/>
      <c r="Q83" s="2448"/>
      <c r="R83" s="2457"/>
      <c r="S83" s="2448"/>
      <c r="T83" s="2430"/>
      <c r="U83" s="593" t="s">
        <v>191</v>
      </c>
      <c r="V83" s="593" t="s">
        <v>192</v>
      </c>
      <c r="W83" s="593" t="s">
        <v>193</v>
      </c>
      <c r="X83" s="593" t="s">
        <v>194</v>
      </c>
      <c r="Y83" s="593" t="s">
        <v>195</v>
      </c>
      <c r="Z83" s="593" t="s">
        <v>196</v>
      </c>
      <c r="AA83" s="2455"/>
      <c r="AB83" s="2455"/>
      <c r="AC83" s="2455"/>
      <c r="AD83" s="2455"/>
      <c r="AE83" s="2455"/>
      <c r="AF83" s="2455"/>
      <c r="AG83" s="2457"/>
      <c r="AH83" s="2448"/>
      <c r="AI83" s="2448"/>
      <c r="AJ83" s="2448"/>
      <c r="AK83" s="2448"/>
      <c r="AL83" s="2448"/>
      <c r="AM83" s="2454"/>
      <c r="AN83" s="2453"/>
      <c r="AO83" s="2453"/>
      <c r="AP83" s="2453"/>
      <c r="AQ83" s="2453"/>
    </row>
    <row r="84" spans="1:43" ht="67.2" x14ac:dyDescent="0.3">
      <c r="A84" s="2431">
        <v>1</v>
      </c>
      <c r="B84" s="2401" t="s">
        <v>197</v>
      </c>
      <c r="C84" s="2401" t="s">
        <v>978</v>
      </c>
      <c r="D84" s="2433" t="s">
        <v>979</v>
      </c>
      <c r="E84" s="594" t="s">
        <v>980</v>
      </c>
      <c r="F84" s="2387" t="s">
        <v>981</v>
      </c>
      <c r="G84" s="2438" t="s">
        <v>512</v>
      </c>
      <c r="H84" s="2387" t="s">
        <v>982</v>
      </c>
      <c r="I84" s="2388" t="s">
        <v>198</v>
      </c>
      <c r="J84" s="2390">
        <v>57</v>
      </c>
      <c r="K84" s="2394" t="str">
        <f>IF(J84&lt;=0,"",IF(J84&lt;=2,"Muy Baja",IF(J84&lt;=24,"Baja",IF(J84&lt;=500,"Media",IF(J84&lt;=5000,"Alta","Muy Alta")))))</f>
        <v>Media</v>
      </c>
      <c r="L84" s="2396">
        <f>IF(K84="","",IF(K84="Muy Baja",0.2,IF(K84="Baja",0.4,IF(K84="Media",0.6,IF(K84="Alta",0.8,IF(K84="Muy Alta",1,))))))</f>
        <v>0.6</v>
      </c>
      <c r="M84" s="2413" t="s">
        <v>199</v>
      </c>
      <c r="N84" s="2436" t="str">
        <f>IF(NOT(ISERROR(MATCH(M84,'[28]Tabla Impacto'!$B$221:$B$223,0))),'[28]Tabla Impacto'!$F$223&amp;"Por favor no seleccionar los criterios de impacto(Afectación Económica o presupuestal y Pérdida Reputacional)",M84)</f>
        <v xml:space="preserve">     El riesgo afecta la imagen de de la entidad con efecto publicitario sostenido a nivel de sector administrativo, nivel departamental o municipal</v>
      </c>
      <c r="O84" s="2394" t="str">
        <f>IF(OR(N84='[28]Tabla Impacto'!$C$11,N84='[28]Tabla Impacto'!$D$11),"Leve",IF(OR(N84='[28]Tabla Impacto'!$C$12,N84='[28]Tabla Impacto'!$D$12),"Menor",IF(OR(N84='[28]Tabla Impacto'!$C$13,N84='[28]Tabla Impacto'!$D$13),"Moderado",IF(OR(N84='[28]Tabla Impacto'!$C$14,N84='[28]Tabla Impacto'!$D$14),"Mayor",IF(OR(N84='[28]Tabla Impacto'!$C$15,N84='[28]Tabla Impacto'!$D$15),"Catastrófico","")))))</f>
        <v>Mayor</v>
      </c>
      <c r="P84" s="2396">
        <f>IF(O84="","",IF(O84="Leve",0.2,IF(O84="Menor",0.4,IF(O84="Moderado",0.6,IF(O84="Mayor",0.8,IF(O84="Catastrófico",1,))))))</f>
        <v>0.8</v>
      </c>
      <c r="Q84" s="2639" t="str">
        <f>IF(OR(AND(K84="Muy Baja",O84="Leve"),AND(K84="Muy Baja",O84="Menor"),AND(K84="Baja",O84="Leve")),"Bajo",IF(OR(AND(K84="Muy baja",O84="Moderado"),AND(K84="Baja",O84="Menor"),AND(K84="Baja",O84="Moderado"),AND(K84="Media",O84="Leve"),AND(K84="Media",O84="Menor"),AND(K84="Media",O84="Moderado"),AND(K84="Alta",O84="Leve"),AND(K84="Alta",O84="Menor")),"Moderado",IF(OR(AND(K84="Muy Baja",O84="Mayor"),AND(K84="Baja",O84="Mayor"),AND(K84="Media",O84="Mayor"),AND(K84="Alta",O84="Moderado"),AND(K84="Alta",O84="Mayor"),AND(K84="Muy Alta",O84="Leve"),AND(K84="Muy Alta",O84="Menor"),AND(K84="Muy Alta",O84="Moderado"),AND(K84="Muy Alta",O84="Mayor")),"Alto",IF(OR(AND(K84="Muy Baja",O84="Catastrófico"),AND(K84="Baja",O84="Catastrófico"),AND(K84="Media",O84="Catastrófico"),AND(K84="Alta",O84="Catastrófico"),AND(K84="Muy Alta",O84="Catastrófico")),"Extremo",""))))</f>
        <v>Alto</v>
      </c>
      <c r="R84" s="595">
        <v>1</v>
      </c>
      <c r="S84" s="607" t="s">
        <v>1071</v>
      </c>
      <c r="T84" s="596" t="str">
        <f>IF(OR(U84="Preventivo",U84="Detectivo"),"Probabilidad",IF(U84="Correctivo","Impacto",""))</f>
        <v>Probabilidad</v>
      </c>
      <c r="U84" s="597" t="s">
        <v>200</v>
      </c>
      <c r="V84" s="597" t="s">
        <v>201</v>
      </c>
      <c r="W84" s="598" t="str">
        <f>IF(AND(U84="Preventivo",V84="Automático"),"50%",IF(AND(U84="Preventivo",V84="Manual"),"40%",IF(AND(U84="Detectivo",V84="Automático"),"40%",IF(AND(U84="Detectivo",V84="Manual"),"30%",IF(AND(U84="Correctivo",V84="Automático"),"35%",IF(AND(U84="Correctivo",V84="Manual"),"25%",""))))))</f>
        <v>30%</v>
      </c>
      <c r="X84" s="597" t="s">
        <v>202</v>
      </c>
      <c r="Y84" s="597" t="s">
        <v>203</v>
      </c>
      <c r="Z84" s="597" t="s">
        <v>204</v>
      </c>
      <c r="AA84" s="599">
        <f>IFERROR(IF(T84="Probabilidad",(L84-(+L84*W84)),IF(T84="Impacto",L84,"")),"")</f>
        <v>0.42</v>
      </c>
      <c r="AB84" s="600" t="str">
        <f>IFERROR(IF(AA84="","",IF(AA84&lt;=0.2,"Muy Baja",IF(AA84&lt;=0.4,"Baja",IF(AA84&lt;=0.6,"Media",IF(AA84&lt;=0.8,"Alta","Muy Alta"))))),"")</f>
        <v>Media</v>
      </c>
      <c r="AC84" s="601">
        <f>+AA84</f>
        <v>0.42</v>
      </c>
      <c r="AD84" s="600" t="str">
        <f>IFERROR(IF(AE84="","",IF(AE84&lt;=0.2,"Leve",IF(AE84&lt;=0.4,"Menor",IF(AE84&lt;=0.6,"Moderado",IF(AE84&lt;=0.8,"Mayor","Catastrófico"))))),"")</f>
        <v>Mayor</v>
      </c>
      <c r="AE84" s="601">
        <f>IFERROR(IF(T84="Impacto",(P84-(+P84*W84)),IF(T84="Probabilidad",P84,"")),"")</f>
        <v>0.8</v>
      </c>
      <c r="AF84" s="602" t="str">
        <f>IFERROR(IF(OR(AND(AB84="Muy Baja",AD84="Leve"),AND(AB84="Muy Baja",AD84="Menor"),AND(AB84="Baja",AD84="Leve")),"Bajo",IF(OR(AND(AB84="Muy baja",AD84="Moderado"),AND(AB84="Baja",AD84="Menor"),AND(AB84="Baja",AD84="Moderado"),AND(AB84="Media",AD84="Leve"),AND(AB84="Media",AD84="Menor"),AND(AB84="Media",AD84="Moderado"),AND(AB84="Alta",AD84="Leve"),AND(AB84="Alta",AD84="Menor")),"Moderado",IF(OR(AND(AB84="Muy Baja",AD84="Mayor"),AND(AB84="Baja",AD84="Mayor"),AND(AB84="Media",AD84="Mayor"),AND(AB84="Alta",AD84="Moderado"),AND(AB84="Alta",AD84="Mayor"),AND(AB84="Muy Alta",AD84="Leve"),AND(AB84="Muy Alta",AD84="Menor"),AND(AB84="Muy Alta",AD84="Moderado"),AND(AB84="Muy Alta",AD84="Mayor")),"Alto",IF(OR(AND(AB84="Muy Baja",AD84="Catastrófico"),AND(AB84="Baja",AD84="Catastrófico"),AND(AB84="Media",AD84="Catastrófico"),AND(AB84="Alta",AD84="Catastrófico"),AND(AB84="Muy Alta",AD84="Catastrófico")),"Extremo","")))),"")</f>
        <v>Alto</v>
      </c>
      <c r="AG84" s="2415" t="s">
        <v>205</v>
      </c>
      <c r="AH84" s="2401" t="s">
        <v>984</v>
      </c>
      <c r="AI84" s="2401" t="s">
        <v>985</v>
      </c>
      <c r="AJ84" s="2403" t="s">
        <v>986</v>
      </c>
      <c r="AK84" s="2406" t="s">
        <v>1072</v>
      </c>
      <c r="AL84" s="2401" t="s">
        <v>987</v>
      </c>
      <c r="AM84" s="2410" t="s">
        <v>206</v>
      </c>
      <c r="AN84" s="2401" t="s">
        <v>1073</v>
      </c>
      <c r="AO84" s="2401" t="s">
        <v>1074</v>
      </c>
      <c r="AP84" s="2401" t="s">
        <v>1073</v>
      </c>
      <c r="AQ84" s="2401" t="s">
        <v>1075</v>
      </c>
    </row>
    <row r="85" spans="1:43" ht="13.8" customHeight="1" x14ac:dyDescent="0.3">
      <c r="A85" s="2432"/>
      <c r="B85" s="2402"/>
      <c r="C85" s="2402"/>
      <c r="D85" s="2434"/>
      <c r="E85" s="594" t="s">
        <v>988</v>
      </c>
      <c r="F85" s="2387"/>
      <c r="G85" s="2439"/>
      <c r="H85" s="2387"/>
      <c r="I85" s="2389"/>
      <c r="J85" s="2391"/>
      <c r="K85" s="2395"/>
      <c r="L85" s="2397"/>
      <c r="M85" s="2414"/>
      <c r="N85" s="2437">
        <f>IF(NOT(ISERROR(MATCH(M85,_xlfn.ANCHORARRAY(#REF!),0))),#REF!&amp;"Por favor no seleccionar los criterios de impacto",M85)</f>
        <v>0</v>
      </c>
      <c r="O85" s="2395"/>
      <c r="P85" s="2397"/>
      <c r="Q85" s="2640"/>
      <c r="R85" s="595">
        <v>2</v>
      </c>
      <c r="S85" s="608" t="s">
        <v>989</v>
      </c>
      <c r="T85" s="596" t="str">
        <f>IF(OR(U85="Preventivo",U85="Detectivo"),"Probabilidad",IF(U85="Correctivo","Impacto",""))</f>
        <v>Probabilidad</v>
      </c>
      <c r="U85" s="597" t="s">
        <v>207</v>
      </c>
      <c r="V85" s="597" t="s">
        <v>201</v>
      </c>
      <c r="W85" s="598" t="str">
        <f t="shared" ref="W85:W88" si="25">IF(AND(U85="Preventivo",V85="Automático"),"50%",IF(AND(U85="Preventivo",V85="Manual"),"40%",IF(AND(U85="Detectivo",V85="Automático"),"40%",IF(AND(U85="Detectivo",V85="Manual"),"30%",IF(AND(U85="Correctivo",V85="Automático"),"35%",IF(AND(U85="Correctivo",V85="Manual"),"25%",""))))))</f>
        <v>40%</v>
      </c>
      <c r="X85" s="597" t="s">
        <v>208</v>
      </c>
      <c r="Y85" s="597" t="s">
        <v>203</v>
      </c>
      <c r="Z85" s="597" t="s">
        <v>204</v>
      </c>
      <c r="AA85" s="599">
        <f>IFERROR(IF(AND(T84="Probabilidad",T85="Probabilidad"),(AC84-(+AC84*W85)),IF(AND(T84="Impacto",T85="Probabilidad"),(L84-(+L84*W85)),IF(T85="Impacto",AC84,""))),"")</f>
        <v>0.252</v>
      </c>
      <c r="AB85" s="600" t="str">
        <f t="shared" ref="AB85:AB88" si="26">IFERROR(IF(AA85="","",IF(AA85&lt;=0.2,"Muy Baja",IF(AA85&lt;=0.4,"Baja",IF(AA85&lt;=0.6,"Media",IF(AA85&lt;=0.8,"Alta","Muy Alta"))))),"")</f>
        <v>Baja</v>
      </c>
      <c r="AC85" s="601">
        <f>+AA85</f>
        <v>0.252</v>
      </c>
      <c r="AD85" s="600" t="str">
        <f t="shared" ref="AD85:AD88" si="27">IFERROR(IF(AE85="","",IF(AE85&lt;=0.2,"Leve",IF(AE85&lt;=0.4,"Menor",IF(AE85&lt;=0.6,"Moderado",IF(AE85&lt;=0.8,"Mayor","Catastrófico"))))),"")</f>
        <v>Mayor</v>
      </c>
      <c r="AE85" s="601">
        <f>IFERROR(IF(AND(T84="Impacto",T85="Impacto"),(AE84-(+AE84*W85)),IF(AND(T84="Probabilidad",T85="Impacto"),(P84-(+P84*W85)),IF(T85="Probabilidad",AE84,""))),"")</f>
        <v>0.8</v>
      </c>
      <c r="AF85" s="602" t="str">
        <f t="shared" ref="AF85:AF88" si="28">IFERROR(IF(OR(AND(AB85="Muy Baja",AD85="Leve"),AND(AB85="Muy Baja",AD85="Menor"),AND(AB85="Baja",AD85="Leve")),"Bajo",IF(OR(AND(AB85="Muy baja",AD85="Moderado"),AND(AB85="Baja",AD85="Menor"),AND(AB85="Baja",AD85="Moderado"),AND(AB85="Media",AD85="Leve"),AND(AB85="Media",AD85="Menor"),AND(AB85="Media",AD85="Moderado"),AND(AB85="Alta",AD85="Leve"),AND(AB85="Alta",AD85="Menor")),"Moderado",IF(OR(AND(AB85="Muy Baja",AD85="Mayor"),AND(AB85="Baja",AD85="Mayor"),AND(AB85="Media",AD85="Mayor"),AND(AB85="Alta",AD85="Moderado"),AND(AB85="Alta",AD85="Mayor"),AND(AB85="Muy Alta",AD85="Leve"),AND(AB85="Muy Alta",AD85="Menor"),AND(AB85="Muy Alta",AD85="Moderado"),AND(AB85="Muy Alta",AD85="Mayor")),"Alto",IF(OR(AND(AB85="Muy Baja",AD85="Catastrófico"),AND(AB85="Baja",AD85="Catastrófico"),AND(AB85="Media",AD85="Catastrófico"),AND(AB85="Alta",AD85="Catastrófico"),AND(AB85="Muy Alta",AD85="Catastrófico")),"Extremo","")))),"")</f>
        <v>Alto</v>
      </c>
      <c r="AG85" s="2416"/>
      <c r="AH85" s="2402"/>
      <c r="AI85" s="2402"/>
      <c r="AJ85" s="2404"/>
      <c r="AK85" s="2407"/>
      <c r="AL85" s="2402"/>
      <c r="AM85" s="2411"/>
      <c r="AN85" s="2402"/>
      <c r="AO85" s="2402"/>
      <c r="AP85" s="2402"/>
      <c r="AQ85" s="2402"/>
    </row>
    <row r="86" spans="1:43" ht="96.6" x14ac:dyDescent="0.3">
      <c r="A86" s="2432"/>
      <c r="B86" s="2402"/>
      <c r="C86" s="2402"/>
      <c r="D86" s="2434"/>
      <c r="E86" s="594" t="s">
        <v>990</v>
      </c>
      <c r="F86" s="2387"/>
      <c r="G86" s="2439"/>
      <c r="H86" s="2387"/>
      <c r="I86" s="2389"/>
      <c r="J86" s="2391"/>
      <c r="K86" s="2395"/>
      <c r="L86" s="2397"/>
      <c r="M86" s="2414"/>
      <c r="N86" s="2437">
        <f>IF(NOT(ISERROR(MATCH(M86,_xlfn.ANCHORARRAY(#REF!),0))),#REF!&amp;"Por favor no seleccionar los criterios de impacto",M86)</f>
        <v>0</v>
      </c>
      <c r="O86" s="2395"/>
      <c r="P86" s="2397"/>
      <c r="Q86" s="2640"/>
      <c r="R86" s="595">
        <v>3</v>
      </c>
      <c r="S86" s="609" t="s">
        <v>1098</v>
      </c>
      <c r="T86" s="596" t="str">
        <f t="shared" ref="T86:T88" si="29">IF(OR(U86="Preventivo",U86="Detectivo"),"Probabilidad",IF(U86="Correctivo","Impacto",""))</f>
        <v>Probabilidad</v>
      </c>
      <c r="U86" s="597" t="s">
        <v>207</v>
      </c>
      <c r="V86" s="597" t="s">
        <v>201</v>
      </c>
      <c r="W86" s="598" t="str">
        <f t="shared" si="25"/>
        <v>40%</v>
      </c>
      <c r="X86" s="597" t="s">
        <v>208</v>
      </c>
      <c r="Y86" s="597" t="s">
        <v>203</v>
      </c>
      <c r="Z86" s="597" t="s">
        <v>204</v>
      </c>
      <c r="AA86" s="599">
        <f>IFERROR(IF(AND(T85="Probabilidad",T86="Probabilidad"),(AC85-(+AC85*W86)),IF(AND(T85="Impacto",T86="Probabilidad"),(AC84-(+AC84*W86)),IF(T86="Impacto",AC85,""))),"")</f>
        <v>0.1512</v>
      </c>
      <c r="AB86" s="600" t="str">
        <f t="shared" si="26"/>
        <v>Muy Baja</v>
      </c>
      <c r="AC86" s="601">
        <f t="shared" ref="AC86:AC92" si="30">+AA86</f>
        <v>0.1512</v>
      </c>
      <c r="AD86" s="600" t="str">
        <f t="shared" si="27"/>
        <v>Mayor</v>
      </c>
      <c r="AE86" s="601">
        <f t="shared" ref="AE86:AE88" si="31">IFERROR(IF(AND(T85="Impacto",T86="Impacto"),(AE85-(+AE85*W86)),IF(AND(T85="Probabilidad",T86="Impacto"),(AE84-(+AE84*W86)),IF(T86="Probabilidad",AE85,""))),"")</f>
        <v>0.8</v>
      </c>
      <c r="AF86" s="602" t="str">
        <f t="shared" si="28"/>
        <v>Alto</v>
      </c>
      <c r="AG86" s="2416"/>
      <c r="AH86" s="2402"/>
      <c r="AI86" s="2402"/>
      <c r="AJ86" s="2404"/>
      <c r="AK86" s="2407"/>
      <c r="AL86" s="2402"/>
      <c r="AM86" s="2411"/>
      <c r="AN86" s="2402"/>
      <c r="AO86" s="2402"/>
      <c r="AP86" s="2402"/>
      <c r="AQ86" s="2402"/>
    </row>
    <row r="87" spans="1:43" ht="58.8" x14ac:dyDescent="0.3">
      <c r="A87" s="2432"/>
      <c r="B87" s="2402"/>
      <c r="C87" s="2402"/>
      <c r="D87" s="2434"/>
      <c r="E87" s="594" t="s">
        <v>992</v>
      </c>
      <c r="F87" s="2387"/>
      <c r="G87" s="2439"/>
      <c r="H87" s="2387"/>
      <c r="I87" s="2389"/>
      <c r="J87" s="2391"/>
      <c r="K87" s="2395"/>
      <c r="L87" s="2397"/>
      <c r="M87" s="2414"/>
      <c r="N87" s="2437">
        <f>IF(NOT(ISERROR(MATCH(M87,_xlfn.ANCHORARRAY(#REF!),0))),#REF!&amp;"Por favor no seleccionar los criterios de impacto",M87)</f>
        <v>0</v>
      </c>
      <c r="O87" s="2395"/>
      <c r="P87" s="2397"/>
      <c r="Q87" s="2640"/>
      <c r="R87" s="595">
        <v>4</v>
      </c>
      <c r="S87" s="607" t="s">
        <v>1076</v>
      </c>
      <c r="T87" s="596" t="str">
        <f t="shared" si="29"/>
        <v>Probabilidad</v>
      </c>
      <c r="U87" s="597" t="s">
        <v>207</v>
      </c>
      <c r="V87" s="597" t="s">
        <v>201</v>
      </c>
      <c r="W87" s="598" t="str">
        <f t="shared" si="25"/>
        <v>40%</v>
      </c>
      <c r="X87" s="597" t="s">
        <v>208</v>
      </c>
      <c r="Y87" s="597" t="s">
        <v>203</v>
      </c>
      <c r="Z87" s="597" t="s">
        <v>204</v>
      </c>
      <c r="AA87" s="599">
        <f t="shared" ref="AA87:AA88" si="32">IFERROR(IF(AND(T86="Probabilidad",T87="Probabilidad"),(AC86-(+AC86*W87)),IF(AND(T86="Impacto",T87="Probabilidad"),(AC85-(+AC85*W87)),IF(T87="Impacto",AC86,""))),"")</f>
        <v>9.0719999999999995E-2</v>
      </c>
      <c r="AB87" s="600" t="str">
        <f t="shared" si="26"/>
        <v>Muy Baja</v>
      </c>
      <c r="AC87" s="601">
        <f t="shared" si="30"/>
        <v>9.0719999999999995E-2</v>
      </c>
      <c r="AD87" s="600" t="str">
        <f t="shared" si="27"/>
        <v>Mayor</v>
      </c>
      <c r="AE87" s="601">
        <f t="shared" si="31"/>
        <v>0.8</v>
      </c>
      <c r="AF87" s="602" t="str">
        <f t="shared" si="28"/>
        <v>Alto</v>
      </c>
      <c r="AG87" s="2416"/>
      <c r="AH87" s="2402"/>
      <c r="AI87" s="2402"/>
      <c r="AJ87" s="2404"/>
      <c r="AK87" s="2407"/>
      <c r="AL87" s="2402"/>
      <c r="AM87" s="2411"/>
      <c r="AN87" s="2402"/>
      <c r="AO87" s="2402"/>
      <c r="AP87" s="2402"/>
      <c r="AQ87" s="2402"/>
    </row>
    <row r="88" spans="1:43" ht="58.8" x14ac:dyDescent="0.3">
      <c r="A88" s="2432"/>
      <c r="B88" s="2402"/>
      <c r="C88" s="2402"/>
      <c r="D88" s="2434"/>
      <c r="E88" s="594" t="s">
        <v>994</v>
      </c>
      <c r="F88" s="2387"/>
      <c r="G88" s="2439"/>
      <c r="H88" s="2387"/>
      <c r="I88" s="2389"/>
      <c r="J88" s="2391"/>
      <c r="K88" s="2395"/>
      <c r="L88" s="2397"/>
      <c r="M88" s="2414"/>
      <c r="N88" s="2437">
        <f>IF(NOT(ISERROR(MATCH(M88,_xlfn.ANCHORARRAY(#REF!),0))),#REF!&amp;"Por favor no seleccionar los criterios de impacto",M88)</f>
        <v>0</v>
      </c>
      <c r="O88" s="2395"/>
      <c r="P88" s="2397"/>
      <c r="Q88" s="2640"/>
      <c r="R88" s="595">
        <v>5</v>
      </c>
      <c r="S88" s="607" t="s">
        <v>1099</v>
      </c>
      <c r="T88" s="596" t="str">
        <f t="shared" si="29"/>
        <v>Probabilidad</v>
      </c>
      <c r="U88" s="597" t="s">
        <v>200</v>
      </c>
      <c r="V88" s="597" t="s">
        <v>201</v>
      </c>
      <c r="W88" s="598" t="str">
        <f t="shared" si="25"/>
        <v>30%</v>
      </c>
      <c r="X88" s="597" t="s">
        <v>208</v>
      </c>
      <c r="Y88" s="597" t="s">
        <v>203</v>
      </c>
      <c r="Z88" s="597" t="s">
        <v>204</v>
      </c>
      <c r="AA88" s="599">
        <f t="shared" si="32"/>
        <v>6.3504000000000005E-2</v>
      </c>
      <c r="AB88" s="600" t="str">
        <f t="shared" si="26"/>
        <v>Muy Baja</v>
      </c>
      <c r="AC88" s="601">
        <f t="shared" si="30"/>
        <v>6.3504000000000005E-2</v>
      </c>
      <c r="AD88" s="600" t="str">
        <f t="shared" si="27"/>
        <v>Mayor</v>
      </c>
      <c r="AE88" s="601">
        <f t="shared" si="31"/>
        <v>0.8</v>
      </c>
      <c r="AF88" s="602" t="str">
        <f t="shared" si="28"/>
        <v>Alto</v>
      </c>
      <c r="AG88" s="2435"/>
      <c r="AH88" s="2409"/>
      <c r="AI88" s="2409"/>
      <c r="AJ88" s="2405"/>
      <c r="AK88" s="2408"/>
      <c r="AL88" s="2409"/>
      <c r="AM88" s="2412"/>
      <c r="AN88" s="2409"/>
      <c r="AO88" s="2409"/>
      <c r="AP88" s="2409"/>
      <c r="AQ88" s="2409"/>
    </row>
    <row r="89" spans="1:43" ht="69" x14ac:dyDescent="0.3">
      <c r="A89" s="2431">
        <v>2</v>
      </c>
      <c r="B89" s="2401" t="s">
        <v>209</v>
      </c>
      <c r="C89" s="2401" t="s">
        <v>996</v>
      </c>
      <c r="D89" s="2433" t="s">
        <v>997</v>
      </c>
      <c r="E89" s="594" t="s">
        <v>998</v>
      </c>
      <c r="F89" s="2387" t="s">
        <v>999</v>
      </c>
      <c r="G89" s="2439"/>
      <c r="H89" s="2392" t="s">
        <v>1000</v>
      </c>
      <c r="I89" s="2388" t="s">
        <v>198</v>
      </c>
      <c r="J89" s="2390">
        <v>360</v>
      </c>
      <c r="K89" s="2394" t="str">
        <f>IF(J89&lt;=0,"",IF(J89&lt;=2,"Muy Baja",IF(J89&lt;=24,"Baja",IF(J89&lt;=500,"Media",IF(J89&lt;=5000,"Alta","Muy Alta")))))</f>
        <v>Media</v>
      </c>
      <c r="L89" s="2396">
        <f>IF(K89="","",IF(K89="Muy Baja",0.2,IF(K89="Baja",0.4,IF(K89="Media",0.6,IF(K89="Alta",0.8,IF(K89="Muy Alta",1,))))))</f>
        <v>0.6</v>
      </c>
      <c r="M89" s="2413" t="s">
        <v>199</v>
      </c>
      <c r="N89" s="2396" t="str">
        <f>IF(NOT(ISERROR(MATCH(M89,'[28]Tabla Impacto'!$B$221:$B$223,0))),'[28]Tabla Impacto'!$F$223&amp;"Por favor no seleccionar los criterios de impacto(Afectación Económica o presupuestal y Pérdida Reputacional)",M89)</f>
        <v xml:space="preserve">     El riesgo afecta la imagen de de la entidad con efecto publicitario sostenido a nivel de sector administrativo, nivel departamental o municipal</v>
      </c>
      <c r="O89" s="2394" t="str">
        <f>IF(OR(N89='[28]Tabla Impacto'!$C$11,N89='[28]Tabla Impacto'!$D$11),"Leve",IF(OR(N89='[28]Tabla Impacto'!$C$12,N89='[28]Tabla Impacto'!$D$12),"Menor",IF(OR(N89='[28]Tabla Impacto'!$C$13,N89='[28]Tabla Impacto'!$D$13),"Moderado",IF(OR(N89='[28]Tabla Impacto'!$C$14,N89='[28]Tabla Impacto'!$D$14),"Mayor",IF(OR(N89='[28]Tabla Impacto'!$C$15,N89='[28]Tabla Impacto'!$D$15),"Catastrófico","")))))</f>
        <v>Mayor</v>
      </c>
      <c r="P89" s="2396">
        <f>IF(O89="","",IF(O89="Leve",0.2,IF(O89="Menor",0.4,IF(O89="Moderado",0.6,IF(O89="Mayor",0.8,IF(O89="Catastrófico",1,))))))</f>
        <v>0.8</v>
      </c>
      <c r="Q89" s="2639" t="str">
        <f>IF(OR(AND(K89="Muy Baja",O89="Leve"),AND(K89="Muy Baja",O89="Menor"),AND(K89="Baja",O89="Leve")),"Bajo",IF(OR(AND(K89="Muy baja",O89="Moderado"),AND(K89="Baja",O89="Menor"),AND(K89="Baja",O89="Moderado"),AND(K89="Media",O89="Leve"),AND(K89="Media",O89="Menor"),AND(K89="Media",O89="Moderado"),AND(K89="Alta",O89="Leve"),AND(K89="Alta",O89="Menor")),"Moderado",IF(OR(AND(K89="Muy Baja",O89="Mayor"),AND(K89="Baja",O89="Mayor"),AND(K89="Media",O89="Mayor"),AND(K89="Alta",O89="Moderado"),AND(K89="Alta",O89="Mayor"),AND(K89="Muy Alta",O89="Leve"),AND(K89="Muy Alta",O89="Menor"),AND(K89="Muy Alta",O89="Moderado"),AND(K89="Muy Alta",O89="Mayor")),"Alto",IF(OR(AND(K89="Muy Baja",O89="Catastrófico"),AND(K89="Baja",O89="Catastrófico"),AND(K89="Media",O89="Catastrófico"),AND(K89="Alta",O89="Catastrófico"),AND(K89="Muy Alta",O89="Catastrófico")),"Extremo",""))))</f>
        <v>Alto</v>
      </c>
      <c r="R89" s="595">
        <v>1</v>
      </c>
      <c r="S89" s="607" t="s">
        <v>1001</v>
      </c>
      <c r="T89" s="596" t="str">
        <f>IF(OR(U89="Preventivo",U89="Detectivo"),"Probabilidad",IF(U89="Correctivo","Impacto",""))</f>
        <v>Probabilidad</v>
      </c>
      <c r="U89" s="597" t="s">
        <v>207</v>
      </c>
      <c r="V89" s="597" t="s">
        <v>201</v>
      </c>
      <c r="W89" s="598" t="str">
        <f>IF(AND(U89="Preventivo",V89="Automático"),"50%",IF(AND(U89="Preventivo",V89="Manual"),"40%",IF(AND(U89="Detectivo",V89="Automático"),"40%",IF(AND(U89="Detectivo",V89="Manual"),"30%",IF(AND(U89="Correctivo",V89="Automático"),"35%",IF(AND(U89="Correctivo",V89="Manual"),"25%",""))))))</f>
        <v>40%</v>
      </c>
      <c r="X89" s="597" t="s">
        <v>202</v>
      </c>
      <c r="Y89" s="597" t="s">
        <v>203</v>
      </c>
      <c r="Z89" s="597" t="s">
        <v>204</v>
      </c>
      <c r="AA89" s="603">
        <f>IFERROR(IF(T89="Probabilidad",(L89-(+L89*W89)),IF(T89="Impacto",L89,"")),"")</f>
        <v>0.36</v>
      </c>
      <c r="AB89" s="604" t="str">
        <f>IFERROR(IF(AA89="","",IF(AA89&lt;=0.2,"Muy Baja",IF(AA89&lt;=0.4,"Baja",IF(AA89&lt;=0.6,"Media",IF(AA89&lt;=0.8,"Alta","Muy Alta"))))),"")</f>
        <v>Baja</v>
      </c>
      <c r="AC89" s="605">
        <f t="shared" si="30"/>
        <v>0.36</v>
      </c>
      <c r="AD89" s="604" t="str">
        <f>IFERROR(IF(AE89="","",IF(AE89&lt;=0.2,"Leve",IF(AE89&lt;=0.4,"Menor",IF(AE89&lt;=0.6,"Moderado",IF(AE89&lt;=0.8,"Mayor","Catastrófico"))))),"")</f>
        <v>Mayor</v>
      </c>
      <c r="AE89" s="605">
        <f>IFERROR(IF(T89="Impacto",(P89-(+P89*W89)),IF(T89="Probabilidad",P89,"")),"")</f>
        <v>0.8</v>
      </c>
      <c r="AF89" s="606" t="str">
        <f>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Alto</v>
      </c>
      <c r="AG89" s="2415" t="s">
        <v>205</v>
      </c>
      <c r="AH89" s="2401" t="s">
        <v>1002</v>
      </c>
      <c r="AI89" s="2401" t="s">
        <v>1003</v>
      </c>
      <c r="AJ89" s="2403" t="s">
        <v>1004</v>
      </c>
      <c r="AK89" s="2406" t="s">
        <v>1013</v>
      </c>
      <c r="AL89" s="2401" t="s">
        <v>1005</v>
      </c>
      <c r="AM89" s="2410" t="s">
        <v>206</v>
      </c>
      <c r="AN89" s="2398" t="s">
        <v>1077</v>
      </c>
      <c r="AO89" s="2398" t="s">
        <v>1078</v>
      </c>
      <c r="AP89" s="2398" t="s">
        <v>1079</v>
      </c>
      <c r="AQ89" s="2641" t="s">
        <v>1080</v>
      </c>
    </row>
    <row r="90" spans="1:43" ht="82.8" x14ac:dyDescent="0.3">
      <c r="A90" s="2432"/>
      <c r="B90" s="2402"/>
      <c r="C90" s="2402"/>
      <c r="D90" s="2434"/>
      <c r="E90" s="594" t="s">
        <v>1006</v>
      </c>
      <c r="F90" s="2387"/>
      <c r="G90" s="2439"/>
      <c r="H90" s="2393"/>
      <c r="I90" s="2389"/>
      <c r="J90" s="2391"/>
      <c r="K90" s="2395"/>
      <c r="L90" s="2397"/>
      <c r="M90" s="2414"/>
      <c r="N90" s="2397">
        <f>IF(NOT(ISERROR(MATCH(M90,_xlfn.ANCHORARRAY(G89),0))),#REF!&amp;"Por favor no seleccionar los criterios de impacto",M90)</f>
        <v>0</v>
      </c>
      <c r="O90" s="2395"/>
      <c r="P90" s="2397"/>
      <c r="Q90" s="2640"/>
      <c r="R90" s="595">
        <v>2</v>
      </c>
      <c r="S90" s="607" t="s">
        <v>1007</v>
      </c>
      <c r="T90" s="596" t="str">
        <f>IF(OR(U90="Preventivo",U90="Detectivo"),"Probabilidad",IF(U90="Correctivo","Impacto",""))</f>
        <v>Probabilidad</v>
      </c>
      <c r="U90" s="597" t="s">
        <v>207</v>
      </c>
      <c r="V90" s="597" t="s">
        <v>201</v>
      </c>
      <c r="W90" s="598" t="str">
        <f t="shared" ref="W90:W92" si="33">IF(AND(U90="Preventivo",V90="Automático"),"50%",IF(AND(U90="Preventivo",V90="Manual"),"40%",IF(AND(U90="Detectivo",V90="Automático"),"40%",IF(AND(U90="Detectivo",V90="Manual"),"30%",IF(AND(U90="Correctivo",V90="Automático"),"35%",IF(AND(U90="Correctivo",V90="Manual"),"25%",""))))))</f>
        <v>40%</v>
      </c>
      <c r="X90" s="597" t="s">
        <v>202</v>
      </c>
      <c r="Y90" s="597" t="s">
        <v>210</v>
      </c>
      <c r="Z90" s="597" t="s">
        <v>204</v>
      </c>
      <c r="AA90" s="603">
        <f>IFERROR(IF(AND(T89="Probabilidad",T90="Probabilidad"),(AC89-(+AC89*W90)),IF(AND(T89="Impacto",T90="Probabilidad"),(L89-(+L89*W90)),IF(T90="Impacto",AC89,""))),"")</f>
        <v>0.216</v>
      </c>
      <c r="AB90" s="604" t="str">
        <f t="shared" ref="AB90:AB92" si="34">IFERROR(IF(AA90="","",IF(AA90&lt;=0.2,"Muy Baja",IF(AA90&lt;=0.4,"Baja",IF(AA90&lt;=0.6,"Media",IF(AA90&lt;=0.8,"Alta","Muy Alta"))))),"")</f>
        <v>Baja</v>
      </c>
      <c r="AC90" s="605">
        <f t="shared" si="30"/>
        <v>0.216</v>
      </c>
      <c r="AD90" s="604" t="str">
        <f t="shared" ref="AD90:AD92" si="35">IFERROR(IF(AE90="","",IF(AE90&lt;=0.2,"Leve",IF(AE90&lt;=0.4,"Menor",IF(AE90&lt;=0.6,"Moderado",IF(AE90&lt;=0.8,"Mayor","Catastrófico"))))),"")</f>
        <v>Mayor</v>
      </c>
      <c r="AE90" s="605">
        <f>IFERROR(IF(AND(T89="Impacto",T90="Impacto"),(AE89-(+AE89*W90)),IF(AND(T89="Probabilidad",T90="Impacto"),(P89-(+P89*W90)),IF(T90="Probabilidad",AE89,""))),"")</f>
        <v>0.8</v>
      </c>
      <c r="AF90" s="606" t="str">
        <f t="shared" ref="AF90:AF92" si="36">IFERROR(IF(OR(AND(AB90="Muy Baja",AD90="Leve"),AND(AB90="Muy Baja",AD90="Menor"),AND(AB90="Baja",AD90="Leve")),"Bajo",IF(OR(AND(AB90="Muy baja",AD90="Moderado"),AND(AB90="Baja",AD90="Menor"),AND(AB90="Baja",AD90="Moderado"),AND(AB90="Media",AD90="Leve"),AND(AB90="Media",AD90="Menor"),AND(AB90="Media",AD90="Moderado"),AND(AB90="Alta",AD90="Leve"),AND(AB90="Alta",AD90="Menor")),"Moderado",IF(OR(AND(AB90="Muy Baja",AD90="Mayor"),AND(AB90="Baja",AD90="Mayor"),AND(AB90="Media",AD90="Mayor"),AND(AB90="Alta",AD90="Moderado"),AND(AB90="Alta",AD90="Mayor"),AND(AB90="Muy Alta",AD90="Leve"),AND(AB90="Muy Alta",AD90="Menor"),AND(AB90="Muy Alta",AD90="Moderado"),AND(AB90="Muy Alta",AD90="Mayor")),"Alto",IF(OR(AND(AB90="Muy Baja",AD90="Catastrófico"),AND(AB90="Baja",AD90="Catastrófico"),AND(AB90="Media",AD90="Catastrófico"),AND(AB90="Alta",AD90="Catastrófico"),AND(AB90="Muy Alta",AD90="Catastrófico")),"Extremo","")))),"")</f>
        <v>Alto</v>
      </c>
      <c r="AG90" s="2416"/>
      <c r="AH90" s="2402"/>
      <c r="AI90" s="2402"/>
      <c r="AJ90" s="2404"/>
      <c r="AK90" s="2407"/>
      <c r="AL90" s="2402"/>
      <c r="AM90" s="2411"/>
      <c r="AN90" s="2399"/>
      <c r="AO90" s="2399"/>
      <c r="AP90" s="2399"/>
      <c r="AQ90" s="2642"/>
    </row>
    <row r="91" spans="1:43" ht="69" x14ac:dyDescent="0.3">
      <c r="A91" s="2432"/>
      <c r="B91" s="2402"/>
      <c r="C91" s="2402"/>
      <c r="D91" s="2434"/>
      <c r="E91" s="594" t="s">
        <v>1008</v>
      </c>
      <c r="F91" s="2387"/>
      <c r="G91" s="2439"/>
      <c r="H91" s="2393"/>
      <c r="I91" s="2389"/>
      <c r="J91" s="2391"/>
      <c r="K91" s="2395"/>
      <c r="L91" s="2397"/>
      <c r="M91" s="2414"/>
      <c r="N91" s="2397"/>
      <c r="O91" s="2395"/>
      <c r="P91" s="2397"/>
      <c r="Q91" s="2640"/>
      <c r="R91" s="595">
        <v>3</v>
      </c>
      <c r="S91" s="609" t="s">
        <v>1009</v>
      </c>
      <c r="T91" s="596" t="str">
        <f t="shared" ref="T91:T92" si="37">IF(OR(U91="Preventivo",U91="Detectivo"),"Probabilidad",IF(U91="Correctivo","Impacto",""))</f>
        <v>Probabilidad</v>
      </c>
      <c r="U91" s="597" t="s">
        <v>200</v>
      </c>
      <c r="V91" s="597" t="s">
        <v>1010</v>
      </c>
      <c r="W91" s="598" t="str">
        <f t="shared" si="33"/>
        <v>40%</v>
      </c>
      <c r="X91" s="597" t="s">
        <v>208</v>
      </c>
      <c r="Y91" s="597" t="s">
        <v>203</v>
      </c>
      <c r="Z91" s="597" t="s">
        <v>204</v>
      </c>
      <c r="AA91" s="603">
        <f>IFERROR(IF(AND(T90="Probabilidad",T91="Probabilidad"),(AC90-(+AC90*W91)),IF(AND(T90="Impacto",T91="Probabilidad"),(L90-(+L90*W91)),IF(T91="Impacto",AC90,""))),"")</f>
        <v>0.12959999999999999</v>
      </c>
      <c r="AB91" s="604" t="str">
        <f t="shared" si="34"/>
        <v>Muy Baja</v>
      </c>
      <c r="AC91" s="605">
        <f t="shared" si="30"/>
        <v>0.12959999999999999</v>
      </c>
      <c r="AD91" s="604" t="str">
        <f t="shared" si="35"/>
        <v>Mayor</v>
      </c>
      <c r="AE91" s="605">
        <f>IFERROR(IF(AND(T90="Impacto",T91="Impacto"),(AE90-(+AE90*W91)),IF(AND(T90="Probabilidad",T91="Impacto"),(P90-(+P90*W91)),IF(T91="Probabilidad",AE90,""))),"")</f>
        <v>0.8</v>
      </c>
      <c r="AF91" s="606" t="str">
        <f t="shared" si="36"/>
        <v>Alto</v>
      </c>
      <c r="AG91" s="2416"/>
      <c r="AH91" s="2402"/>
      <c r="AI91" s="2402"/>
      <c r="AJ91" s="2404"/>
      <c r="AK91" s="2407"/>
      <c r="AL91" s="2402"/>
      <c r="AM91" s="2411"/>
      <c r="AN91" s="2399"/>
      <c r="AO91" s="2399"/>
      <c r="AP91" s="2399"/>
      <c r="AQ91" s="2642"/>
    </row>
    <row r="92" spans="1:43" ht="69" x14ac:dyDescent="0.3">
      <c r="A92" s="2432"/>
      <c r="B92" s="2402"/>
      <c r="C92" s="2402"/>
      <c r="D92" s="2434"/>
      <c r="E92" s="594" t="s">
        <v>1011</v>
      </c>
      <c r="F92" s="2387"/>
      <c r="G92" s="2439"/>
      <c r="H92" s="2393"/>
      <c r="I92" s="2389"/>
      <c r="J92" s="2391"/>
      <c r="K92" s="2395"/>
      <c r="L92" s="2397"/>
      <c r="M92" s="2414"/>
      <c r="N92" s="2397"/>
      <c r="O92" s="2395"/>
      <c r="P92" s="2397"/>
      <c r="Q92" s="2640"/>
      <c r="R92" s="595">
        <v>4</v>
      </c>
      <c r="S92" s="609" t="s">
        <v>1012</v>
      </c>
      <c r="T92" s="596" t="str">
        <f t="shared" si="37"/>
        <v>Probabilidad</v>
      </c>
      <c r="U92" s="597" t="s">
        <v>207</v>
      </c>
      <c r="V92" s="597" t="s">
        <v>201</v>
      </c>
      <c r="W92" s="598" t="str">
        <f t="shared" si="33"/>
        <v>40%</v>
      </c>
      <c r="X92" s="597" t="s">
        <v>202</v>
      </c>
      <c r="Y92" s="597" t="s">
        <v>210</v>
      </c>
      <c r="Z92" s="597" t="s">
        <v>204</v>
      </c>
      <c r="AA92" s="603">
        <f>IFERROR(IF(AND(T91="Probabilidad",T92="Probabilidad"),(AC91-(+AC91*W92)),IF(AND(T91="Impacto",T92="Probabilidad"),(L91-(+L91*W92)),IF(T92="Impacto",AC91,""))),"")</f>
        <v>7.7759999999999996E-2</v>
      </c>
      <c r="AB92" s="604" t="str">
        <f t="shared" si="34"/>
        <v>Muy Baja</v>
      </c>
      <c r="AC92" s="605">
        <f t="shared" si="30"/>
        <v>7.7759999999999996E-2</v>
      </c>
      <c r="AD92" s="604" t="str">
        <f t="shared" si="35"/>
        <v>Mayor</v>
      </c>
      <c r="AE92" s="605">
        <f>IFERROR(IF(AND(T91="Impacto",T92="Impacto"),(AE91-(+AE91*W92)),IF(AND(T91="Probabilidad",T92="Impacto"),(P91-(+P91*W92)),IF(T92="Probabilidad",AE91,""))),"")</f>
        <v>0.8</v>
      </c>
      <c r="AF92" s="606" t="str">
        <f t="shared" si="36"/>
        <v>Alto</v>
      </c>
      <c r="AG92" s="2416"/>
      <c r="AH92" s="2402"/>
      <c r="AI92" s="2402"/>
      <c r="AJ92" s="2405"/>
      <c r="AK92" s="2408"/>
      <c r="AL92" s="2409"/>
      <c r="AM92" s="2412"/>
      <c r="AN92" s="2400"/>
      <c r="AO92" s="2400"/>
      <c r="AP92" s="2400"/>
      <c r="AQ92" s="2643"/>
    </row>
    <row r="94" spans="1:43" s="610" customFormat="1" ht="16.5" customHeight="1" x14ac:dyDescent="0.3">
      <c r="A94" s="2561" t="s">
        <v>156</v>
      </c>
      <c r="B94" s="2562"/>
      <c r="C94" s="2562"/>
      <c r="D94" s="2562"/>
      <c r="E94" s="2562"/>
      <c r="F94" s="2562"/>
      <c r="G94" s="2562"/>
      <c r="H94" s="2562"/>
      <c r="I94" s="2562"/>
      <c r="J94" s="2562"/>
      <c r="K94" s="2562"/>
      <c r="L94" s="2562"/>
      <c r="M94" s="2562"/>
      <c r="N94" s="2562"/>
      <c r="O94" s="2562"/>
      <c r="P94" s="2562"/>
      <c r="Q94" s="2562"/>
      <c r="R94" s="2562"/>
      <c r="S94" s="2562"/>
      <c r="T94" s="2562"/>
      <c r="U94" s="2562"/>
      <c r="V94" s="2562"/>
      <c r="W94" s="2562"/>
      <c r="X94" s="2562"/>
      <c r="Y94" s="2562"/>
      <c r="Z94" s="2562"/>
      <c r="AA94" s="2562"/>
      <c r="AB94" s="2562"/>
      <c r="AC94" s="2562"/>
      <c r="AD94" s="2562"/>
      <c r="AE94" s="2562"/>
      <c r="AF94" s="2562"/>
      <c r="AG94" s="2562"/>
      <c r="AH94" s="2562"/>
      <c r="AI94" s="2562"/>
      <c r="AJ94" s="2562"/>
      <c r="AK94" s="2562"/>
      <c r="AL94" s="2562"/>
      <c r="AM94" s="2563"/>
      <c r="AN94" s="541"/>
      <c r="AO94" s="541"/>
      <c r="AP94" s="541"/>
      <c r="AQ94" s="541"/>
    </row>
    <row r="95" spans="1:43" s="610" customFormat="1" ht="24" customHeight="1" x14ac:dyDescent="0.3">
      <c r="A95" s="2549"/>
      <c r="B95" s="2564"/>
      <c r="C95" s="2564"/>
      <c r="D95" s="2564"/>
      <c r="E95" s="2564"/>
      <c r="F95" s="2564"/>
      <c r="G95" s="2564"/>
      <c r="H95" s="2564"/>
      <c r="I95" s="2564"/>
      <c r="J95" s="2564"/>
      <c r="K95" s="2564"/>
      <c r="L95" s="2564"/>
      <c r="M95" s="2564"/>
      <c r="N95" s="2564"/>
      <c r="O95" s="2564"/>
      <c r="P95" s="2564"/>
      <c r="Q95" s="2564"/>
      <c r="R95" s="2564"/>
      <c r="S95" s="2564"/>
      <c r="T95" s="2564"/>
      <c r="U95" s="2564"/>
      <c r="V95" s="2564"/>
      <c r="W95" s="2564"/>
      <c r="X95" s="2564"/>
      <c r="Y95" s="2564"/>
      <c r="Z95" s="2564"/>
      <c r="AA95" s="2564"/>
      <c r="AB95" s="2564"/>
      <c r="AC95" s="2564"/>
      <c r="AD95" s="2564"/>
      <c r="AE95" s="2564"/>
      <c r="AF95" s="2564"/>
      <c r="AG95" s="2564"/>
      <c r="AH95" s="2564"/>
      <c r="AI95" s="2564"/>
      <c r="AJ95" s="2564"/>
      <c r="AK95" s="2564"/>
      <c r="AL95" s="2564"/>
      <c r="AM95" s="2553"/>
      <c r="AN95" s="541"/>
      <c r="AO95" s="541"/>
      <c r="AP95" s="541"/>
      <c r="AQ95" s="541"/>
    </row>
    <row r="97" spans="1:39" s="610" customFormat="1" ht="26.25" customHeight="1" x14ac:dyDescent="0.3">
      <c r="A97" s="2565" t="s">
        <v>157</v>
      </c>
      <c r="B97" s="2566"/>
      <c r="C97" s="2567" t="s">
        <v>577</v>
      </c>
      <c r="D97" s="2568"/>
      <c r="E97" s="2568"/>
      <c r="F97" s="2568"/>
      <c r="G97" s="2568"/>
      <c r="H97" s="2568"/>
      <c r="I97" s="2568"/>
      <c r="J97" s="2568"/>
      <c r="K97" s="2568"/>
      <c r="L97" s="2568"/>
      <c r="M97" s="2568"/>
      <c r="N97" s="2568"/>
      <c r="O97" s="2568"/>
      <c r="P97" s="2568"/>
      <c r="Q97" s="2568"/>
      <c r="R97" s="2568"/>
      <c r="S97" s="2568"/>
      <c r="T97" s="2568"/>
      <c r="U97" s="2568"/>
      <c r="V97" s="2568"/>
      <c r="W97" s="2568"/>
      <c r="X97" s="2568"/>
      <c r="Y97" s="2568"/>
      <c r="Z97" s="2568"/>
      <c r="AA97" s="2568"/>
      <c r="AB97" s="2568"/>
      <c r="AC97" s="2568"/>
      <c r="AD97" s="2568"/>
      <c r="AE97" s="2568"/>
      <c r="AF97" s="2568"/>
      <c r="AG97" s="2568"/>
      <c r="AH97" s="2568"/>
      <c r="AI97" s="2568"/>
      <c r="AJ97" s="2568"/>
      <c r="AK97" s="2568"/>
      <c r="AL97" s="2568"/>
      <c r="AM97" s="2569"/>
    </row>
    <row r="98" spans="1:39" s="610" customFormat="1" ht="30" customHeight="1" x14ac:dyDescent="0.3">
      <c r="A98" s="2565" t="s">
        <v>158</v>
      </c>
      <c r="B98" s="2566"/>
      <c r="C98" s="2644" t="s">
        <v>578</v>
      </c>
      <c r="D98" s="2566"/>
      <c r="E98" s="2566"/>
      <c r="F98" s="2566"/>
      <c r="G98" s="2566"/>
      <c r="H98" s="2566"/>
      <c r="I98" s="2566"/>
      <c r="J98" s="2566"/>
      <c r="K98" s="2566"/>
      <c r="L98" s="2566"/>
      <c r="M98" s="2566"/>
      <c r="N98" s="2566"/>
      <c r="O98" s="2566"/>
      <c r="P98" s="2566"/>
      <c r="Q98" s="2566"/>
      <c r="R98" s="2566"/>
      <c r="S98" s="2566"/>
      <c r="T98" s="2566"/>
      <c r="U98" s="2566"/>
      <c r="V98" s="2566"/>
      <c r="W98" s="2566"/>
      <c r="X98" s="2566"/>
      <c r="Y98" s="2566"/>
      <c r="Z98" s="2566"/>
      <c r="AA98" s="2566"/>
      <c r="AB98" s="2566"/>
      <c r="AC98" s="2566"/>
      <c r="AD98" s="2566"/>
      <c r="AE98" s="2566"/>
      <c r="AF98" s="2566"/>
      <c r="AG98" s="2566"/>
      <c r="AH98" s="2566"/>
      <c r="AI98" s="2566"/>
      <c r="AJ98" s="2566"/>
      <c r="AK98" s="2566"/>
      <c r="AL98" s="2566"/>
      <c r="AM98" s="2583"/>
    </row>
    <row r="99" spans="1:39" s="610" customFormat="1" ht="49.5" customHeight="1" x14ac:dyDescent="0.3">
      <c r="A99" s="2565" t="s">
        <v>159</v>
      </c>
      <c r="B99" s="2566"/>
      <c r="C99" s="2645" t="s">
        <v>579</v>
      </c>
      <c r="D99" s="2562"/>
      <c r="E99" s="2562"/>
      <c r="F99" s="2562"/>
      <c r="G99" s="2562"/>
      <c r="H99" s="2562"/>
      <c r="I99" s="2562"/>
      <c r="J99" s="2562"/>
      <c r="K99" s="2562"/>
      <c r="L99" s="2562"/>
      <c r="M99" s="2562"/>
      <c r="N99" s="2562"/>
      <c r="O99" s="2562"/>
      <c r="P99" s="2562"/>
      <c r="Q99" s="2562"/>
      <c r="R99" s="2562"/>
      <c r="S99" s="2562"/>
      <c r="T99" s="2562"/>
      <c r="U99" s="2562"/>
      <c r="V99" s="2562"/>
      <c r="W99" s="2562"/>
      <c r="X99" s="2562"/>
      <c r="Y99" s="2562"/>
      <c r="Z99" s="2562"/>
      <c r="AA99" s="2562"/>
      <c r="AB99" s="2562"/>
      <c r="AC99" s="2562"/>
      <c r="AD99" s="2562"/>
      <c r="AE99" s="2562"/>
      <c r="AF99" s="2562"/>
      <c r="AG99" s="2562"/>
      <c r="AH99" s="2562"/>
      <c r="AI99" s="2562"/>
      <c r="AJ99" s="2562"/>
      <c r="AK99" s="2562"/>
      <c r="AL99" s="2562"/>
      <c r="AM99" s="2563"/>
    </row>
    <row r="100" spans="1:39" s="610" customFormat="1" ht="16.5" customHeight="1" x14ac:dyDescent="0.3">
      <c r="A100" s="2585" t="s">
        <v>160</v>
      </c>
      <c r="B100" s="2566"/>
      <c r="C100" s="2566"/>
      <c r="D100" s="2566"/>
      <c r="E100" s="2566"/>
      <c r="F100" s="2566"/>
      <c r="G100" s="2566"/>
      <c r="H100" s="2566"/>
      <c r="I100" s="2566"/>
      <c r="J100" s="2583"/>
      <c r="K100" s="2586" t="s">
        <v>161</v>
      </c>
      <c r="L100" s="2564"/>
      <c r="M100" s="2564"/>
      <c r="N100" s="2564"/>
      <c r="O100" s="2564"/>
      <c r="P100" s="2564"/>
      <c r="Q100" s="2553"/>
      <c r="R100" s="2586" t="s">
        <v>162</v>
      </c>
      <c r="S100" s="2564"/>
      <c r="T100" s="2564"/>
      <c r="U100" s="2564"/>
      <c r="V100" s="2564"/>
      <c r="W100" s="2564"/>
      <c r="X100" s="2564"/>
      <c r="Y100" s="2564"/>
      <c r="Z100" s="2553"/>
      <c r="AA100" s="2586" t="s">
        <v>163</v>
      </c>
      <c r="AB100" s="2564"/>
      <c r="AC100" s="2564"/>
      <c r="AD100" s="2564"/>
      <c r="AE100" s="2564"/>
      <c r="AF100" s="2564"/>
      <c r="AG100" s="2553"/>
      <c r="AH100" s="2586" t="s">
        <v>164</v>
      </c>
      <c r="AI100" s="2564"/>
      <c r="AJ100" s="2564"/>
      <c r="AK100" s="2564"/>
      <c r="AL100" s="2564"/>
      <c r="AM100" s="2553"/>
    </row>
    <row r="101" spans="1:39" s="610" customFormat="1" ht="16.5" customHeight="1" x14ac:dyDescent="0.3">
      <c r="A101" s="2538" t="s">
        <v>165</v>
      </c>
      <c r="B101" s="2539" t="s">
        <v>142</v>
      </c>
      <c r="C101" s="2540" t="s">
        <v>166</v>
      </c>
      <c r="D101" s="2540" t="s">
        <v>167</v>
      </c>
      <c r="E101" s="2537" t="s">
        <v>168</v>
      </c>
      <c r="F101" s="2541" t="s">
        <v>60</v>
      </c>
      <c r="G101" s="545"/>
      <c r="H101" s="545"/>
      <c r="I101" s="2537" t="s">
        <v>169</v>
      </c>
      <c r="J101" s="2540" t="s">
        <v>170</v>
      </c>
      <c r="K101" s="2540" t="s">
        <v>171</v>
      </c>
      <c r="L101" s="2556" t="s">
        <v>172</v>
      </c>
      <c r="M101" s="2537" t="s">
        <v>173</v>
      </c>
      <c r="N101" s="2537" t="s">
        <v>174</v>
      </c>
      <c r="O101" s="2555" t="s">
        <v>175</v>
      </c>
      <c r="P101" s="2556" t="s">
        <v>172</v>
      </c>
      <c r="Q101" s="2540" t="s">
        <v>176</v>
      </c>
      <c r="R101" s="2554" t="s">
        <v>177</v>
      </c>
      <c r="S101" s="2537" t="s">
        <v>178</v>
      </c>
      <c r="T101" s="2656" t="s">
        <v>179</v>
      </c>
      <c r="U101" s="2582" t="s">
        <v>180</v>
      </c>
      <c r="V101" s="2566"/>
      <c r="W101" s="2566"/>
      <c r="X101" s="2566"/>
      <c r="Y101" s="2566"/>
      <c r="Z101" s="2583"/>
      <c r="AA101" s="2554" t="s">
        <v>181</v>
      </c>
      <c r="AB101" s="2554" t="s">
        <v>182</v>
      </c>
      <c r="AC101" s="2554" t="s">
        <v>172</v>
      </c>
      <c r="AD101" s="2554" t="s">
        <v>183</v>
      </c>
      <c r="AE101" s="2554" t="s">
        <v>172</v>
      </c>
      <c r="AF101" s="2554" t="s">
        <v>184</v>
      </c>
      <c r="AG101" s="2554" t="s">
        <v>185</v>
      </c>
      <c r="AH101" s="2537" t="s">
        <v>164</v>
      </c>
      <c r="AI101" s="2537" t="s">
        <v>143</v>
      </c>
      <c r="AJ101" s="2537" t="s">
        <v>186</v>
      </c>
      <c r="AK101" s="2537" t="s">
        <v>187</v>
      </c>
      <c r="AL101" s="2537" t="s">
        <v>188</v>
      </c>
      <c r="AM101" s="2537" t="s">
        <v>189</v>
      </c>
    </row>
    <row r="102" spans="1:39" s="610" customFormat="1" ht="94.5" customHeight="1" x14ac:dyDescent="0.3">
      <c r="A102" s="2533"/>
      <c r="B102" s="2533"/>
      <c r="C102" s="2533"/>
      <c r="D102" s="2533"/>
      <c r="E102" s="2532"/>
      <c r="F102" s="2532"/>
      <c r="G102" s="545" t="s">
        <v>511</v>
      </c>
      <c r="H102" s="545" t="s">
        <v>190</v>
      </c>
      <c r="I102" s="2533"/>
      <c r="J102" s="2533"/>
      <c r="K102" s="2533"/>
      <c r="L102" s="2549"/>
      <c r="M102" s="2533"/>
      <c r="N102" s="2533"/>
      <c r="O102" s="2549"/>
      <c r="P102" s="2549"/>
      <c r="Q102" s="2533"/>
      <c r="R102" s="2533"/>
      <c r="S102" s="2533"/>
      <c r="T102" s="2657"/>
      <c r="U102" s="546" t="s">
        <v>191</v>
      </c>
      <c r="V102" s="546" t="s">
        <v>192</v>
      </c>
      <c r="W102" s="546" t="s">
        <v>193</v>
      </c>
      <c r="X102" s="546" t="s">
        <v>194</v>
      </c>
      <c r="Y102" s="546" t="s">
        <v>195</v>
      </c>
      <c r="Z102" s="546" t="s">
        <v>196</v>
      </c>
      <c r="AA102" s="2533"/>
      <c r="AB102" s="2533"/>
      <c r="AC102" s="2533"/>
      <c r="AD102" s="2533"/>
      <c r="AE102" s="2533"/>
      <c r="AF102" s="2533"/>
      <c r="AG102" s="2533"/>
      <c r="AH102" s="2533"/>
      <c r="AI102" s="2533"/>
      <c r="AJ102" s="2533"/>
      <c r="AK102" s="2533"/>
      <c r="AL102" s="2533"/>
      <c r="AM102" s="2533"/>
    </row>
    <row r="103" spans="1:39" s="610" customFormat="1" ht="128.25" customHeight="1" x14ac:dyDescent="0.3">
      <c r="A103" s="2542">
        <v>1</v>
      </c>
      <c r="B103" s="2550" t="s">
        <v>209</v>
      </c>
      <c r="C103" s="2550" t="s">
        <v>356</v>
      </c>
      <c r="D103" s="2550" t="s">
        <v>357</v>
      </c>
      <c r="E103" s="611" t="s">
        <v>580</v>
      </c>
      <c r="F103" s="2550" t="s">
        <v>358</v>
      </c>
      <c r="G103" s="2550" t="s">
        <v>512</v>
      </c>
      <c r="H103" s="612" t="s">
        <v>581</v>
      </c>
      <c r="I103" s="613" t="s">
        <v>198</v>
      </c>
      <c r="J103" s="2557">
        <v>365</v>
      </c>
      <c r="K103" s="2560" t="str">
        <f>IF(J103&lt;=0,"",IF(J103&lt;=2,"Muy Baja",IF(J103&lt;=L1075,"Baja",IF(J103&lt;=500,"Media",IF(J103&lt;=5000,"Alta","Muy Alta")))))</f>
        <v>Media</v>
      </c>
      <c r="L103" s="2558">
        <f>IF(K103="","",IF(K103="Muy Baja",0.2,IF(K103="Baja",0.4,IF(K103="Media",0.6,IF(K103="Alta",0.8,IF(K103="Muy Alta",1,))))))</f>
        <v>0.6</v>
      </c>
      <c r="M103" s="2558" t="s">
        <v>199</v>
      </c>
      <c r="N103" s="2558" t="str">
        <f>IF(NOT(ISERROR(MATCH(M103,'[29]Tabla Impacto'!$B$221:$B$223,0))),'[29]Tabla Impacto'!$F$223&amp;"Por favor no seleccionar los criterios de impacto(Afectación Económica o presupuestal y Pérdida Reputacional)",M103)</f>
        <v xml:space="preserve">     El riesgo afecta la imagen de de la entidad con efecto publicitario sostenido a nivel de sector administrativo, nivel departamental o municipal</v>
      </c>
      <c r="O103" s="2560" t="str">
        <f>IF(OR(N103='[29]Tabla Impacto'!$C$11,N103='[29]Tabla Impacto'!$D$11),"Leve",IF(OR(N103='[29]Tabla Impacto'!$C$12,N103='[29]Tabla Impacto'!$D$12),"Menor",IF(OR(N103='[29]Tabla Impacto'!$C$13,N103='[29]Tabla Impacto'!$D$13),"Moderado",IF(OR(N103='[29]Tabla Impacto'!$C$14,N103='[29]Tabla Impacto'!$D$14),"Mayor",IF(OR(N103='[29]Tabla Impacto'!$C$15,N103='[29]Tabla Impacto'!$D$15),"Catastrófico","")))))</f>
        <v>Mayor</v>
      </c>
      <c r="P103" s="2558">
        <f>IF(O103="","",IF(O103="Leve",0.2,IF(O103="Menor",0.4,IF(O103="Moderado",0.6,IF(O103="Mayor",0.8,IF(O103="Catastrófico",1,))))))</f>
        <v>0.8</v>
      </c>
      <c r="Q103" s="2559" t="str">
        <f>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Alto</v>
      </c>
      <c r="R103" s="548">
        <v>1</v>
      </c>
      <c r="S103" s="2648" t="s">
        <v>1081</v>
      </c>
      <c r="T103" s="2650" t="str">
        <f>IF(OR(U103="Preventivo",U103="Detectivo"),"Probabilidad",IF(U103="Correctivo","Impacto",""))</f>
        <v>Probabilidad</v>
      </c>
      <c r="U103" s="2651" t="s">
        <v>207</v>
      </c>
      <c r="V103" s="2651" t="s">
        <v>201</v>
      </c>
      <c r="W103" s="2658" t="str">
        <f>IF(AND(U103="Preventivo",V103="Automático"),"50%",IF(AND(U103="Preventivo",V103="Manual"),"40%",IF(AND(U103="Detectivo",V103="Automático"),"40%",IF(AND(U103="Detectivo",V103="Manual"),"30%",IF(AND(U103="Correctivo",V103="Automático"),"35%",IF(AND(U103="Correctivo",V103="Manual"),"25%",""))))))</f>
        <v>40%</v>
      </c>
      <c r="X103" s="2651" t="s">
        <v>208</v>
      </c>
      <c r="Y103" s="2651" t="s">
        <v>203</v>
      </c>
      <c r="Z103" s="2651" t="s">
        <v>204</v>
      </c>
      <c r="AA103" s="2659">
        <f>IFERROR(IF(T103="Probabilidad",(L103-(+L103*W103)),IF(T103="Impacto",L103,"")),"")</f>
        <v>0.36</v>
      </c>
      <c r="AB103" s="2660" t="str">
        <f>IFERROR(IF(AA103="","",IF(AA103&lt;=0.2,"Muy Baja",IF(AA103&lt;=0.4,"Baja",IF(AA103&lt;=0.6,"Media",IF(AA103&lt;=0.8,"Alta","Muy Alta"))))),"")</f>
        <v>Baja</v>
      </c>
      <c r="AC103" s="2658">
        <f>+AA103</f>
        <v>0.36</v>
      </c>
      <c r="AD103" s="2660" t="str">
        <f>IFERROR(IF(AE103="","",IF(AE103&lt;=0.2,"Leve",IF(AE103&lt;=0.4,"Menor",IF(AE103&lt;=0.6,"Moderado",IF(AE103&lt;=0.8,"Mayor","Catastrófico"))))),"")</f>
        <v>Mayor</v>
      </c>
      <c r="AE103" s="2658">
        <f>IFERROR(IF(T103="Impacto",(P103-(+P103*W103)),IF(T103="Probabilidad",P103,"")),"")</f>
        <v>0.8</v>
      </c>
      <c r="AF103" s="2652" t="str">
        <f>IFERROR(IF(OR(AND(AB103="Muy Baja",AD103="Leve"),AND(AB103="Muy Baja",AD103="Menor"),AND(AB103="Baja",AD103="Leve")),"Bajo",IF(OR(AND(AB103="Muy baja",AD103="Moderado"),AND(AB103="Baja",AD103="Menor"),AND(AB103="Baja",AD103="Moderado"),AND(AB103="Media",AD103="Leve"),AND(AB103="Media",AD103="Menor"),AND(AB103="Media",AD103="Moderado"),AND(AB103="Alta",AD103="Leve"),AND(AB103="Alta",AD103="Menor")),"Moderado",IF(OR(AND(AB103="Muy Baja",AD103="Mayor"),AND(AB103="Baja",AD103="Mayor"),AND(AB103="Media",AD103="Mayor"),AND(AB103="Alta",AD103="Moderado"),AND(AB103="Alta",AD103="Mayor"),AND(AB103="Muy Alta",AD103="Leve"),AND(AB103="Muy Alta",AD103="Menor"),AND(AB103="Muy Alta",AD103="Moderado"),AND(AB103="Muy Alta",AD103="Mayor")),"Alto",IF(OR(AND(AB103="Muy Baja",AD103="Catastrófico"),AND(AB103="Baja",AD103="Catastrófico"),AND(AB103="Media",AD103="Catastrófico"),AND(AB103="Alta",AD103="Catastrófico"),AND(AB103="Muy Alta",AD103="Catastrófico")),"Extremo","")))),"")</f>
        <v>Alto</v>
      </c>
      <c r="AG103" s="2651" t="s">
        <v>205</v>
      </c>
      <c r="AH103" s="2579" t="s">
        <v>1082</v>
      </c>
      <c r="AI103" s="2579" t="s">
        <v>1083</v>
      </c>
      <c r="AJ103" s="2654">
        <v>45412</v>
      </c>
      <c r="AK103" s="2654">
        <v>45534</v>
      </c>
      <c r="AL103" s="2579" t="s">
        <v>1084</v>
      </c>
      <c r="AM103" s="2579" t="s">
        <v>206</v>
      </c>
    </row>
    <row r="104" spans="1:39" s="610" customFormat="1" ht="106.5" customHeight="1" x14ac:dyDescent="0.3">
      <c r="A104" s="2532"/>
      <c r="B104" s="2532"/>
      <c r="C104" s="2532"/>
      <c r="D104" s="2532"/>
      <c r="E104" s="614" t="s">
        <v>362</v>
      </c>
      <c r="F104" s="2533"/>
      <c r="G104" s="2532"/>
      <c r="H104" s="612"/>
      <c r="I104" s="615"/>
      <c r="J104" s="2532"/>
      <c r="K104" s="2532"/>
      <c r="L104" s="2532"/>
      <c r="M104" s="2532"/>
      <c r="N104" s="2532"/>
      <c r="O104" s="2532"/>
      <c r="P104" s="2532"/>
      <c r="Q104" s="2532"/>
      <c r="R104" s="548">
        <v>2</v>
      </c>
      <c r="S104" s="2649"/>
      <c r="T104" s="2533"/>
      <c r="U104" s="2533"/>
      <c r="V104" s="2533"/>
      <c r="W104" s="2533"/>
      <c r="X104" s="2533"/>
      <c r="Y104" s="2533"/>
      <c r="Z104" s="2533"/>
      <c r="AA104" s="2533"/>
      <c r="AB104" s="2533"/>
      <c r="AC104" s="2533"/>
      <c r="AD104" s="2533"/>
      <c r="AE104" s="2533"/>
      <c r="AF104" s="2533"/>
      <c r="AG104" s="2533"/>
      <c r="AH104" s="2653"/>
      <c r="AI104" s="2653"/>
      <c r="AJ104" s="2655"/>
      <c r="AK104" s="2655"/>
      <c r="AL104" s="2653"/>
      <c r="AM104" s="2653"/>
    </row>
    <row r="105" spans="1:39" s="610" customFormat="1" ht="82.5" customHeight="1" x14ac:dyDescent="0.3">
      <c r="A105" s="616">
        <v>2</v>
      </c>
      <c r="B105" s="617" t="s">
        <v>209</v>
      </c>
      <c r="C105" s="617" t="s">
        <v>356</v>
      </c>
      <c r="D105" s="617" t="s">
        <v>583</v>
      </c>
      <c r="E105" s="618" t="s">
        <v>584</v>
      </c>
      <c r="F105" s="2661" t="s">
        <v>585</v>
      </c>
      <c r="G105" s="2662" t="s">
        <v>512</v>
      </c>
      <c r="H105" s="2663" t="s">
        <v>586</v>
      </c>
      <c r="I105" s="2662" t="s">
        <v>198</v>
      </c>
      <c r="J105" s="2664">
        <v>365</v>
      </c>
      <c r="K105" s="2560" t="str">
        <f>IF(J105&lt;=0,"",IF(J105&lt;=2,"Muy Baja",IF(J105&lt;=L1077,"Baja",IF(J105&lt;=500,"Media",IF(J105&lt;=5000,"Alta","Muy Alta")))))</f>
        <v>Media</v>
      </c>
      <c r="L105" s="2558">
        <f>IF(K105="","",IF(K105="Muy Baja",0.2,IF(K105="Baja",0.4,IF(K105="Media",0.6,IF(K105="Alta",0.8,IF(K105="Muy Alta",1,))))))</f>
        <v>0.6</v>
      </c>
      <c r="M105" s="2665" t="s">
        <v>225</v>
      </c>
      <c r="N105" s="2532"/>
      <c r="O105" s="2666"/>
      <c r="P105" s="619"/>
      <c r="Q105" s="2532"/>
      <c r="R105" s="548">
        <v>3</v>
      </c>
      <c r="S105" s="565" t="s">
        <v>587</v>
      </c>
      <c r="T105" s="2531" t="str">
        <f>IF(OR(U105="Preventivo",U105="Detectivo"),"Probabilidad",IF(U105="Correctivo","Impacto",""))</f>
        <v>Probabilidad</v>
      </c>
      <c r="U105" s="2651" t="s">
        <v>207</v>
      </c>
      <c r="V105" s="2651" t="s">
        <v>201</v>
      </c>
      <c r="W105" s="2658" t="str">
        <f>IF(AND(U105="Preventivo",V105="Automático"),"50%",IF(AND(U105="Preventivo",V105="Manual"),"40%",IF(AND(U105="Detectivo",V105="Automático"),"40%",IF(AND(U105="Detectivo",V105="Manual"),"30%",IF(AND(U105="Correctivo",V105="Automático"),"35%",IF(AND(U105="Correctivo",V105="Manual"),"25%",""))))))</f>
        <v>40%</v>
      </c>
      <c r="X105" s="2651" t="s">
        <v>202</v>
      </c>
      <c r="Y105" s="2651" t="s">
        <v>203</v>
      </c>
      <c r="Z105" s="2651" t="s">
        <v>204</v>
      </c>
      <c r="AA105" s="552" t="str">
        <f t="shared" ref="AA105:AA108" si="38">IFERROR(IF(AND(T104="Probabilidad",T105="Probabilidad"),(AC104-(+AC104*W105)),IF(AND(T104="Impacto",T105="Probabilidad"),(AC103-(+AC103*W105)),IF(T105="Impacto",AC104,""))),"")</f>
        <v/>
      </c>
      <c r="AB105" s="553" t="str">
        <f t="shared" ref="AB105:AB111" si="39">IFERROR(IF(AA105="","",IF(AA105&lt;=0.2,"Muy Baja",IF(AA105&lt;=0.4,"Baja",IF(AA105&lt;=0.6,"Media",IF(AA105&lt;=0.8,"Alta","Muy Alta"))))),"")</f>
        <v/>
      </c>
      <c r="AC105" s="554" t="str">
        <f t="shared" ref="AC105:AC111" si="40">+AA105</f>
        <v/>
      </c>
      <c r="AD105" s="553" t="str">
        <f t="shared" ref="AD105:AD111" si="41">IFERROR(IF(AE105="","",IF(AE105&lt;=0.2,"Leve",IF(AE105&lt;=0.4,"Menor",IF(AE105&lt;=0.6,"Moderado",IF(AE105&lt;=0.8,"Mayor","Catastrófico"))))),"")</f>
        <v>Leve</v>
      </c>
      <c r="AE105" s="554">
        <f t="shared" ref="AE105:AE108" si="42">IFERROR(IF(AND(T104="Impacto",T105="Impacto"),(AE104-(+AE104*W105)),IF(AND(T104="Probabilidad",T105="Impacto"),(AE103-(+AE103*W105)),IF(T105="Probabilidad",AE104,""))),"")</f>
        <v>0</v>
      </c>
      <c r="AF105" s="555" t="str">
        <f t="shared" ref="AF105:AF111" si="43">IFERROR(IF(OR(AND(AB105="Muy Baja",AD105="Leve"),AND(AB105="Muy Baja",AD105="Menor"),AND(AB105="Baja",AD105="Leve")),"Bajo",IF(OR(AND(AB105="Muy baja",AD105="Moderado"),AND(AB105="Baja",AD105="Menor"),AND(AB105="Baja",AD105="Moderado"),AND(AB105="Media",AD105="Leve"),AND(AB105="Media",AD105="Menor"),AND(AB105="Media",AD105="Moderado"),AND(AB105="Alta",AD105="Leve"),AND(AB105="Alta",AD105="Menor")),"Moderado",IF(OR(AND(AB105="Muy Baja",AD105="Mayor"),AND(AB105="Baja",AD105="Mayor"),AND(AB105="Media",AD105="Mayor"),AND(AB105="Alta",AD105="Moderado"),AND(AB105="Alta",AD105="Mayor"),AND(AB105="Muy Alta",AD105="Leve"),AND(AB105="Muy Alta",AD105="Menor"),AND(AB105="Muy Alta",AD105="Moderado"),AND(AB105="Muy Alta",AD105="Mayor")),"Alto",IF(OR(AND(AB105="Muy Baja",AD105="Catastrófico"),AND(AB105="Baja",AD105="Catastrófico"),AND(AB105="Media",AD105="Catastrófico"),AND(AB105="Alta",AD105="Catastrófico"),AND(AB105="Muy Alta",AD105="Catastrófico")),"Extremo","")))),"")</f>
        <v/>
      </c>
      <c r="AG105" s="556"/>
      <c r="AH105" s="2667" t="s">
        <v>588</v>
      </c>
      <c r="AI105" s="2546" t="s">
        <v>589</v>
      </c>
      <c r="AJ105" s="2654">
        <v>45412</v>
      </c>
      <c r="AK105" s="2654">
        <v>45534</v>
      </c>
      <c r="AL105" s="2543" t="s">
        <v>361</v>
      </c>
      <c r="AM105" s="2543" t="s">
        <v>206</v>
      </c>
    </row>
    <row r="106" spans="1:39" s="610" customFormat="1" ht="63.75" customHeight="1" x14ac:dyDescent="0.3">
      <c r="A106" s="616"/>
      <c r="B106" s="617"/>
      <c r="C106" s="617"/>
      <c r="D106" s="617"/>
      <c r="E106" s="618" t="s">
        <v>591</v>
      </c>
      <c r="F106" s="2533"/>
      <c r="G106" s="2532"/>
      <c r="H106" s="2533"/>
      <c r="I106" s="2532"/>
      <c r="J106" s="2532"/>
      <c r="K106" s="2532"/>
      <c r="L106" s="2532"/>
      <c r="M106" s="2532"/>
      <c r="N106" s="2532"/>
      <c r="O106" s="2532"/>
      <c r="P106" s="619"/>
      <c r="Q106" s="2532"/>
      <c r="R106" s="548">
        <v>4</v>
      </c>
      <c r="S106" s="565" t="s">
        <v>592</v>
      </c>
      <c r="T106" s="2533"/>
      <c r="U106" s="2533"/>
      <c r="V106" s="2533"/>
      <c r="W106" s="2533"/>
      <c r="X106" s="2533"/>
      <c r="Y106" s="2533"/>
      <c r="Z106" s="2533"/>
      <c r="AA106" s="552" t="str">
        <f t="shared" si="38"/>
        <v/>
      </c>
      <c r="AB106" s="553" t="str">
        <f t="shared" si="39"/>
        <v/>
      </c>
      <c r="AC106" s="554" t="str">
        <f t="shared" si="40"/>
        <v/>
      </c>
      <c r="AD106" s="553" t="str">
        <f t="shared" si="41"/>
        <v/>
      </c>
      <c r="AE106" s="554" t="str">
        <f t="shared" si="42"/>
        <v/>
      </c>
      <c r="AF106" s="555" t="str">
        <f t="shared" si="43"/>
        <v/>
      </c>
      <c r="AG106" s="556"/>
      <c r="AH106" s="2533"/>
      <c r="AI106" s="2533"/>
      <c r="AJ106" s="2655"/>
      <c r="AK106" s="2655"/>
      <c r="AL106" s="2668"/>
      <c r="AM106" s="2668"/>
    </row>
    <row r="107" spans="1:39" s="610" customFormat="1" ht="138.75" customHeight="1" x14ac:dyDescent="0.3">
      <c r="A107" s="616"/>
      <c r="B107" s="2662" t="s">
        <v>209</v>
      </c>
      <c r="C107" s="2662" t="s">
        <v>593</v>
      </c>
      <c r="D107" s="2662" t="s">
        <v>594</v>
      </c>
      <c r="E107" s="620" t="s">
        <v>1085</v>
      </c>
      <c r="F107" s="2663" t="s">
        <v>596</v>
      </c>
      <c r="G107" s="2681" t="s">
        <v>597</v>
      </c>
      <c r="H107" s="2661" t="s">
        <v>598</v>
      </c>
      <c r="I107" s="2662" t="s">
        <v>198</v>
      </c>
      <c r="J107" s="2664">
        <v>365</v>
      </c>
      <c r="K107" s="2560" t="str">
        <f>IF(J107&lt;=0,"",IF(J107&lt;=2,"Muy Baja",IF(J107&lt;=L1079,"Baja",IF(J107&lt;=500,"Media",IF(J107&lt;=5000,"Alta","Muy Alta")))))</f>
        <v>Media</v>
      </c>
      <c r="L107" s="2558">
        <f>IF(K107="","",IF(K107="Muy Baja",0.2,IF(K107="Baja",0.4,IF(K107="Media",0.6,IF(K107="Alta",0.8,IF(K107="Muy Alta",1,))))))</f>
        <v>0.6</v>
      </c>
      <c r="M107" s="2665" t="s">
        <v>599</v>
      </c>
      <c r="N107" s="2532"/>
      <c r="O107" s="2669" t="str">
        <f>IF(OR(N109='[29]Tabla Impacto'!$C$11,N109='[29]Tabla Impacto'!$D$11),"Leve",IF(OR(N109='[29]Tabla Impacto'!$C$12,N109='[29]Tabla Impacto'!$D$12),"Menor",IF(OR(N109='[29]Tabla Impacto'!$C$13,N109='[29]Tabla Impacto'!$D$13),"Moderado",IF(OR(N109='[29]Tabla Impacto'!$C$14,N109='[29]Tabla Impacto'!$D$14),"Mayor",IF(OR(N109='[29]Tabla Impacto'!$C$15,N109='[29]Tabla Impacto'!$D$15),"Catastrófico","")))))</f>
        <v/>
      </c>
      <c r="P107" s="619"/>
      <c r="Q107" s="2532"/>
      <c r="R107" s="548">
        <v>5</v>
      </c>
      <c r="S107" s="565" t="s">
        <v>600</v>
      </c>
      <c r="T107" s="548" t="str">
        <f t="shared" ref="T107:T111" si="44">IF(OR(U107="Preventivo",U107="Detectivo"),"Probabilidad",IF(U107="Correctivo","Impacto",""))</f>
        <v>Probabilidad</v>
      </c>
      <c r="U107" s="550" t="s">
        <v>200</v>
      </c>
      <c r="V107" s="550" t="s">
        <v>201</v>
      </c>
      <c r="W107" s="551" t="str">
        <f t="shared" ref="W107:W111" si="45">IF(AND(U107="Preventivo",V107="Automático"),"50%",IF(AND(U107="Preventivo",V107="Manual"),"40%",IF(AND(U107="Detectivo",V107="Automático"),"40%",IF(AND(U107="Detectivo",V107="Manual"),"30%",IF(AND(U107="Correctivo",V107="Automático"),"35%",IF(AND(U107="Correctivo",V107="Manual"),"25%",""))))))</f>
        <v>30%</v>
      </c>
      <c r="X107" s="550" t="s">
        <v>208</v>
      </c>
      <c r="Y107" s="550" t="s">
        <v>203</v>
      </c>
      <c r="Z107" s="550" t="s">
        <v>204</v>
      </c>
      <c r="AA107" s="552" t="str">
        <f t="shared" si="38"/>
        <v/>
      </c>
      <c r="AB107" s="553" t="str">
        <f t="shared" si="39"/>
        <v/>
      </c>
      <c r="AC107" s="554" t="str">
        <f t="shared" si="40"/>
        <v/>
      </c>
      <c r="AD107" s="553" t="str">
        <f t="shared" si="41"/>
        <v/>
      </c>
      <c r="AE107" s="554" t="str">
        <f t="shared" si="42"/>
        <v/>
      </c>
      <c r="AF107" s="555" t="str">
        <f t="shared" si="43"/>
        <v/>
      </c>
      <c r="AG107" s="556"/>
      <c r="AH107" s="561" t="s">
        <v>601</v>
      </c>
      <c r="AI107" s="561" t="s">
        <v>602</v>
      </c>
      <c r="AJ107" s="621" t="s">
        <v>603</v>
      </c>
      <c r="AK107" s="621" t="s">
        <v>604</v>
      </c>
      <c r="AL107" s="563" t="s">
        <v>361</v>
      </c>
      <c r="AM107" s="563" t="s">
        <v>206</v>
      </c>
    </row>
    <row r="108" spans="1:39" s="610" customFormat="1" ht="79.5" customHeight="1" x14ac:dyDescent="0.3">
      <c r="A108" s="622"/>
      <c r="B108" s="2532"/>
      <c r="C108" s="2532"/>
      <c r="D108" s="2532"/>
      <c r="E108" s="623" t="s">
        <v>605</v>
      </c>
      <c r="F108" s="2532"/>
      <c r="G108" s="2532"/>
      <c r="H108" s="2532"/>
      <c r="I108" s="2532"/>
      <c r="J108" s="2532"/>
      <c r="K108" s="2532"/>
      <c r="L108" s="2532"/>
      <c r="M108" s="2532"/>
      <c r="N108" s="2533"/>
      <c r="O108" s="2532"/>
      <c r="P108" s="624"/>
      <c r="Q108" s="2533"/>
      <c r="R108" s="548">
        <v>6</v>
      </c>
      <c r="S108" s="565" t="s">
        <v>606</v>
      </c>
      <c r="T108" s="548" t="str">
        <f t="shared" si="44"/>
        <v/>
      </c>
      <c r="U108" s="550"/>
      <c r="V108" s="550"/>
      <c r="W108" s="551" t="str">
        <f t="shared" si="45"/>
        <v/>
      </c>
      <c r="X108" s="550"/>
      <c r="Y108" s="550"/>
      <c r="Z108" s="550"/>
      <c r="AA108" s="552" t="str">
        <f t="shared" si="38"/>
        <v/>
      </c>
      <c r="AB108" s="553" t="str">
        <f t="shared" si="39"/>
        <v/>
      </c>
      <c r="AC108" s="554" t="str">
        <f t="shared" si="40"/>
        <v/>
      </c>
      <c r="AD108" s="553" t="str">
        <f t="shared" si="41"/>
        <v/>
      </c>
      <c r="AE108" s="554" t="str">
        <f t="shared" si="42"/>
        <v/>
      </c>
      <c r="AF108" s="555" t="str">
        <f t="shared" si="43"/>
        <v/>
      </c>
      <c r="AG108" s="556"/>
      <c r="AH108" s="561"/>
      <c r="AI108" s="548"/>
      <c r="AJ108" s="566"/>
      <c r="AK108" s="566"/>
      <c r="AL108" s="561"/>
      <c r="AM108" s="548"/>
    </row>
    <row r="109" spans="1:39" s="610" customFormat="1" ht="57.75" customHeight="1" x14ac:dyDescent="0.3">
      <c r="A109" s="428"/>
      <c r="B109" s="2532"/>
      <c r="C109" s="2532"/>
      <c r="D109" s="2532"/>
      <c r="E109" s="625" t="s">
        <v>607</v>
      </c>
      <c r="F109" s="2533"/>
      <c r="G109" s="2532"/>
      <c r="H109" s="2533"/>
      <c r="I109" s="2532"/>
      <c r="J109" s="2532"/>
      <c r="K109" s="2532"/>
      <c r="L109" s="2532"/>
      <c r="M109" s="2532"/>
      <c r="N109" s="431"/>
      <c r="O109" s="2532"/>
      <c r="P109" s="626" t="str">
        <f>IF(O107="","",IF(O107="Leve",0.2,IF(O107="Menor",0.4,IF(O107="Moderado",0.6,IF(O107="Mayor",0.8,IF(O107="Catastrófico",1,))))))</f>
        <v/>
      </c>
      <c r="Q109" s="627" t="str">
        <f>IF(OR(AND(K109="Muy Baja",O107="Leve"),AND(K109="Muy Baja",O107="Menor"),AND(K109="Baja",O107="Leve")),"Bajo",IF(OR(AND(K109="Muy baja",O107="Moderado"),AND(K109="Baja",O107="Menor"),AND(K109="Baja",O107="Moderado"),AND(K109="Media",O107="Leve"),AND(K109="Media",O107="Menor"),AND(K109="Media",O107="Moderado"),AND(K109="Alta",O107="Leve"),AND(K109="Alta",O107="Menor")),"Moderado",IF(OR(AND(K109="Muy Baja",O107="Mayor"),AND(K109="Baja",O107="Mayor"),AND(K109="Media",O107="Mayor"),AND(K109="Alta",O107="Moderado"),AND(K109="Alta",O107="Mayor"),AND(K109="Muy Alta",O107="Leve"),AND(K109="Muy Alta",O107="Menor"),AND(K109="Muy Alta",O107="Moderado"),AND(K109="Muy Alta",O107="Mayor")),"Alto",IF(OR(AND(K109="Muy Baja",O107="Catastrófico"),AND(K109="Baja",O107="Catastrófico"),AND(K109="Media",O107="Catastrófico"),AND(K109="Alta",O107="Catastrófico"),AND(K109="Muy Alta",O107="Catastrófico")),"Extremo",""))))</f>
        <v/>
      </c>
      <c r="R109" s="548">
        <v>1</v>
      </c>
      <c r="S109" s="565" t="s">
        <v>608</v>
      </c>
      <c r="T109" s="548" t="str">
        <f t="shared" si="44"/>
        <v/>
      </c>
      <c r="U109" s="550"/>
      <c r="V109" s="550"/>
      <c r="W109" s="551" t="str">
        <f t="shared" si="45"/>
        <v/>
      </c>
      <c r="X109" s="550"/>
      <c r="Y109" s="550"/>
      <c r="Z109" s="550"/>
      <c r="AA109" s="552" t="str">
        <f>IFERROR(IF(T109="Probabilidad",(L109-(+L109*W109)),IF(T109="Impacto",L109,"")),"")</f>
        <v/>
      </c>
      <c r="AB109" s="553" t="str">
        <f t="shared" si="39"/>
        <v/>
      </c>
      <c r="AC109" s="554" t="str">
        <f t="shared" si="40"/>
        <v/>
      </c>
      <c r="AD109" s="553" t="str">
        <f t="shared" si="41"/>
        <v/>
      </c>
      <c r="AE109" s="554" t="str">
        <f>IFERROR(IF(T109="Impacto",(P109-(+P109*W109)),IF(T109="Probabilidad",P109,"")),"")</f>
        <v/>
      </c>
      <c r="AF109" s="555" t="str">
        <f t="shared" si="43"/>
        <v/>
      </c>
      <c r="AG109" s="556"/>
      <c r="AH109" s="561"/>
      <c r="AI109" s="548"/>
      <c r="AJ109" s="566"/>
      <c r="AK109" s="566"/>
      <c r="AL109" s="561"/>
      <c r="AM109" s="548"/>
    </row>
    <row r="110" spans="1:39" s="610" customFormat="1" ht="30" customHeight="1" x14ac:dyDescent="0.3">
      <c r="A110" s="428"/>
      <c r="B110" s="628"/>
      <c r="C110" s="628"/>
      <c r="D110" s="629"/>
      <c r="E110" s="561"/>
      <c r="F110" s="630"/>
      <c r="G110" s="617"/>
      <c r="H110" s="561"/>
      <c r="I110" s="631"/>
      <c r="J110" s="632"/>
      <c r="K110" s="633"/>
      <c r="L110" s="634"/>
      <c r="M110" s="634"/>
      <c r="N110" s="431"/>
      <c r="O110" s="633"/>
      <c r="P110" s="634"/>
      <c r="Q110" s="635"/>
      <c r="R110" s="548">
        <v>2</v>
      </c>
      <c r="S110" s="565"/>
      <c r="T110" s="548" t="str">
        <f t="shared" si="44"/>
        <v/>
      </c>
      <c r="U110" s="550"/>
      <c r="V110" s="550"/>
      <c r="W110" s="551" t="str">
        <f t="shared" si="45"/>
        <v/>
      </c>
      <c r="X110" s="550"/>
      <c r="Y110" s="550"/>
      <c r="Z110" s="550"/>
      <c r="AA110" s="552" t="str">
        <f>IFERROR(IF(AND(T109="Probabilidad",T110="Probabilidad"),(AC109-(+AC109*W110)),IF(AND(T109="Impacto",T110="Probabilidad"),(L109-(+L109*W110)),IF(T110="Impacto",AC109,""))),"")</f>
        <v/>
      </c>
      <c r="AB110" s="553" t="str">
        <f t="shared" si="39"/>
        <v/>
      </c>
      <c r="AC110" s="554" t="str">
        <f t="shared" si="40"/>
        <v/>
      </c>
      <c r="AD110" s="553" t="str">
        <f t="shared" si="41"/>
        <v/>
      </c>
      <c r="AE110" s="554" t="str">
        <f>IFERROR(IF(AND(T109="Impacto",T110="Impacto"),(AE109-(+AE109*W110)),IF(AND(T109="Probabilidad",T110="Impacto"),(P109-(+P109*W110)),IF(T110="Probabilidad",AE109,""))),"")</f>
        <v/>
      </c>
      <c r="AF110" s="555" t="str">
        <f t="shared" si="43"/>
        <v/>
      </c>
      <c r="AG110" s="556"/>
      <c r="AH110" s="561"/>
      <c r="AI110" s="548"/>
      <c r="AJ110" s="566"/>
      <c r="AK110" s="566"/>
      <c r="AL110" s="561"/>
      <c r="AM110" s="548"/>
    </row>
    <row r="111" spans="1:39" s="610" customFormat="1" ht="57" customHeight="1" x14ac:dyDescent="0.3">
      <c r="A111" s="428"/>
      <c r="B111" s="628"/>
      <c r="C111" s="2670" t="s">
        <v>609</v>
      </c>
      <c r="D111" s="2671"/>
      <c r="E111" s="2672"/>
      <c r="F111" s="630"/>
      <c r="G111" s="617"/>
      <c r="H111" s="561"/>
      <c r="I111" s="631"/>
      <c r="J111" s="632"/>
      <c r="K111" s="633"/>
      <c r="L111" s="634"/>
      <c r="M111" s="634"/>
      <c r="N111" s="431"/>
      <c r="O111" s="633"/>
      <c r="P111" s="634"/>
      <c r="Q111" s="635"/>
      <c r="R111" s="548">
        <v>3</v>
      </c>
      <c r="S111" s="562"/>
      <c r="T111" s="548" t="str">
        <f t="shared" si="44"/>
        <v/>
      </c>
      <c r="U111" s="550"/>
      <c r="V111" s="550"/>
      <c r="W111" s="551" t="str">
        <f t="shared" si="45"/>
        <v/>
      </c>
      <c r="X111" s="550"/>
      <c r="Y111" s="550"/>
      <c r="Z111" s="550"/>
      <c r="AA111" s="552" t="str">
        <f t="shared" ref="AA111" si="46">IFERROR(IF(AND(T110="Probabilidad",T111="Probabilidad"),(AC110-(+AC110*W111)),IF(AND(T110="Impacto",T111="Probabilidad"),(AC109-(+AC109*W111)),IF(T111="Impacto",AC110,""))),"")</f>
        <v/>
      </c>
      <c r="AB111" s="553" t="str">
        <f t="shared" si="39"/>
        <v/>
      </c>
      <c r="AC111" s="554" t="str">
        <f t="shared" si="40"/>
        <v/>
      </c>
      <c r="AD111" s="553" t="str">
        <f t="shared" si="41"/>
        <v/>
      </c>
      <c r="AE111" s="554" t="str">
        <f t="shared" ref="AE111" si="47">IFERROR(IF(AND(T110="Impacto",T111="Impacto"),(AE110-(+AE110*W111)),IF(AND(T110="Probabilidad",T111="Impacto"),(AE109-(+AE109*W111)),IF(T111="Probabilidad",AE110,""))),"")</f>
        <v/>
      </c>
      <c r="AF111" s="555" t="str">
        <f t="shared" si="43"/>
        <v/>
      </c>
      <c r="AG111" s="556"/>
      <c r="AH111" s="561"/>
      <c r="AI111" s="548"/>
      <c r="AJ111" s="566"/>
      <c r="AK111" s="566"/>
      <c r="AL111" s="561"/>
      <c r="AM111" s="548"/>
    </row>
    <row r="112" spans="1:39" s="638" customFormat="1" ht="16.5" customHeight="1" x14ac:dyDescent="0.25">
      <c r="A112" s="2673" t="s">
        <v>156</v>
      </c>
      <c r="B112" s="2674"/>
      <c r="C112" s="2674"/>
      <c r="D112" s="2674"/>
      <c r="E112" s="2674"/>
      <c r="F112" s="2674"/>
      <c r="G112" s="2674"/>
      <c r="H112" s="2674"/>
      <c r="I112" s="2674"/>
      <c r="J112" s="2674"/>
      <c r="K112" s="2674"/>
      <c r="L112" s="2674"/>
      <c r="M112" s="2674"/>
      <c r="N112" s="2674"/>
      <c r="O112" s="2674"/>
      <c r="P112" s="2674"/>
      <c r="Q112" s="2674"/>
      <c r="R112" s="2674"/>
      <c r="S112" s="2674"/>
      <c r="T112" s="2674"/>
      <c r="U112" s="2674"/>
      <c r="V112" s="2674"/>
      <c r="W112" s="2674"/>
      <c r="X112" s="2674"/>
      <c r="Y112" s="2674"/>
      <c r="Z112" s="2674"/>
      <c r="AA112" s="2674"/>
      <c r="AB112" s="2674"/>
      <c r="AC112" s="2674"/>
      <c r="AD112" s="2674"/>
      <c r="AE112" s="2674"/>
      <c r="AF112" s="2674"/>
      <c r="AG112" s="2674"/>
      <c r="AH112" s="2674"/>
      <c r="AI112" s="2674"/>
      <c r="AJ112" s="2674"/>
      <c r="AK112" s="2674"/>
      <c r="AL112" s="2674"/>
      <c r="AM112" s="2675"/>
    </row>
    <row r="113" spans="1:44" s="638" customFormat="1" ht="24" customHeight="1" x14ac:dyDescent="0.25">
      <c r="A113" s="2676"/>
      <c r="B113" s="2677"/>
      <c r="C113" s="2677"/>
      <c r="D113" s="2677"/>
      <c r="E113" s="2677"/>
      <c r="F113" s="2677"/>
      <c r="G113" s="2677"/>
      <c r="H113" s="2677"/>
      <c r="I113" s="2677"/>
      <c r="J113" s="2677"/>
      <c r="K113" s="2677"/>
      <c r="L113" s="2677"/>
      <c r="M113" s="2677"/>
      <c r="N113" s="2677"/>
      <c r="O113" s="2677"/>
      <c r="P113" s="2677"/>
      <c r="Q113" s="2677"/>
      <c r="R113" s="2677"/>
      <c r="S113" s="2677"/>
      <c r="T113" s="2677"/>
      <c r="U113" s="2677"/>
      <c r="V113" s="2677"/>
      <c r="W113" s="2677"/>
      <c r="X113" s="2677"/>
      <c r="Y113" s="2677"/>
      <c r="Z113" s="2677"/>
      <c r="AA113" s="2677"/>
      <c r="AB113" s="2677"/>
      <c r="AC113" s="2677"/>
      <c r="AD113" s="2677"/>
      <c r="AE113" s="2677"/>
      <c r="AF113" s="2677"/>
      <c r="AG113" s="2677"/>
      <c r="AH113" s="2677"/>
      <c r="AI113" s="2677"/>
      <c r="AJ113" s="2677"/>
      <c r="AK113" s="2677"/>
      <c r="AL113" s="2677"/>
      <c r="AM113" s="2678"/>
      <c r="AN113" s="636"/>
      <c r="AO113" s="636"/>
      <c r="AP113" s="636"/>
      <c r="AQ113" s="636"/>
      <c r="AR113" s="636"/>
    </row>
    <row r="114" spans="1:44" s="638" customFormat="1" x14ac:dyDescent="0.25">
      <c r="A114" s="639"/>
      <c r="B114" s="640"/>
      <c r="C114" s="639"/>
      <c r="D114" s="639"/>
      <c r="E114" s="639"/>
      <c r="F114" s="637"/>
      <c r="G114" s="637"/>
      <c r="H114" s="637"/>
      <c r="I114" s="641"/>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637"/>
      <c r="AK114" s="637"/>
      <c r="AL114" s="637"/>
      <c r="AM114" s="637"/>
      <c r="AN114" s="637"/>
      <c r="AO114" s="637"/>
      <c r="AP114" s="637"/>
      <c r="AQ114" s="637"/>
      <c r="AR114" s="637"/>
    </row>
    <row r="115" spans="1:44" s="638" customFormat="1" ht="26.25" customHeight="1" x14ac:dyDescent="0.25">
      <c r="A115" s="2611" t="s">
        <v>157</v>
      </c>
      <c r="B115" s="2612"/>
      <c r="C115" s="2679" t="s">
        <v>1095</v>
      </c>
      <c r="D115" s="2679"/>
      <c r="E115" s="2679"/>
      <c r="F115" s="2679"/>
      <c r="G115" s="2679"/>
      <c r="H115" s="2679"/>
      <c r="I115" s="2679"/>
      <c r="J115" s="2679"/>
      <c r="K115" s="2679"/>
      <c r="L115" s="2679"/>
      <c r="M115" s="2679"/>
      <c r="N115" s="2679"/>
      <c r="O115" s="2679"/>
      <c r="P115" s="2679"/>
      <c r="Q115" s="2679"/>
      <c r="R115" s="2679"/>
      <c r="S115" s="2679"/>
      <c r="T115" s="2679"/>
      <c r="U115" s="2679"/>
      <c r="V115" s="2679"/>
      <c r="W115" s="2679"/>
      <c r="X115" s="2679"/>
      <c r="Y115" s="2679"/>
      <c r="Z115" s="2679"/>
      <c r="AA115" s="2679"/>
      <c r="AB115" s="2679"/>
      <c r="AC115" s="2679"/>
      <c r="AD115" s="2679"/>
      <c r="AE115" s="2679"/>
      <c r="AF115" s="2679"/>
      <c r="AG115" s="2679"/>
      <c r="AH115" s="2679"/>
      <c r="AI115" s="2679"/>
      <c r="AJ115" s="2679"/>
      <c r="AK115" s="2679"/>
      <c r="AL115" s="2679"/>
      <c r="AM115" s="2679"/>
      <c r="AN115" s="642"/>
      <c r="AO115" s="642"/>
      <c r="AP115" s="642"/>
      <c r="AQ115" s="642"/>
      <c r="AR115" s="642"/>
    </row>
    <row r="116" spans="1:44" s="638" customFormat="1" ht="30" customHeight="1" x14ac:dyDescent="0.25">
      <c r="A116" s="2611" t="s">
        <v>158</v>
      </c>
      <c r="B116" s="2612"/>
      <c r="C116" s="2680" t="s">
        <v>1096</v>
      </c>
      <c r="D116" s="2680"/>
      <c r="E116" s="2680"/>
      <c r="F116" s="2680"/>
      <c r="G116" s="2680"/>
      <c r="H116" s="2680"/>
      <c r="I116" s="2680"/>
      <c r="J116" s="2680"/>
      <c r="K116" s="2680"/>
      <c r="L116" s="2680"/>
      <c r="M116" s="2680"/>
      <c r="N116" s="2680"/>
      <c r="O116" s="2680"/>
      <c r="P116" s="2680"/>
      <c r="Q116" s="2680"/>
      <c r="R116" s="2680"/>
      <c r="S116" s="2680"/>
      <c r="T116" s="2680"/>
      <c r="U116" s="2680"/>
      <c r="V116" s="2680"/>
      <c r="W116" s="2680"/>
      <c r="X116" s="2680"/>
      <c r="Y116" s="2680"/>
      <c r="Z116" s="2680"/>
      <c r="AA116" s="2680"/>
      <c r="AB116" s="2680"/>
      <c r="AC116" s="2680"/>
      <c r="AD116" s="2680"/>
      <c r="AE116" s="2680"/>
      <c r="AF116" s="2680"/>
      <c r="AG116" s="2680"/>
      <c r="AH116" s="2680"/>
      <c r="AI116" s="2680"/>
      <c r="AJ116" s="2680"/>
      <c r="AK116" s="2680"/>
      <c r="AL116" s="2680"/>
      <c r="AM116" s="2680"/>
      <c r="AN116" s="643"/>
      <c r="AO116" s="643"/>
      <c r="AP116" s="643"/>
      <c r="AQ116" s="643"/>
      <c r="AR116" s="643"/>
    </row>
    <row r="117" spans="1:44" s="638" customFormat="1" ht="49.5" customHeight="1" x14ac:dyDescent="0.25">
      <c r="A117" s="2611" t="s">
        <v>159</v>
      </c>
      <c r="B117" s="2612"/>
      <c r="C117" s="2680" t="s">
        <v>398</v>
      </c>
      <c r="D117" s="2680"/>
      <c r="E117" s="2680"/>
      <c r="F117" s="2680"/>
      <c r="G117" s="2680"/>
      <c r="H117" s="2680"/>
      <c r="I117" s="2680"/>
      <c r="J117" s="2680"/>
      <c r="K117" s="2680"/>
      <c r="L117" s="2680"/>
      <c r="M117" s="2680"/>
      <c r="N117" s="2680"/>
      <c r="O117" s="2680"/>
      <c r="P117" s="2680"/>
      <c r="Q117" s="2680"/>
      <c r="R117" s="2680"/>
      <c r="S117" s="2680"/>
      <c r="T117" s="2680"/>
      <c r="U117" s="2680"/>
      <c r="V117" s="2680"/>
      <c r="W117" s="2680"/>
      <c r="X117" s="2680"/>
      <c r="Y117" s="2680"/>
      <c r="Z117" s="2680"/>
      <c r="AA117" s="2680"/>
      <c r="AB117" s="2680"/>
      <c r="AC117" s="2680"/>
      <c r="AD117" s="2680"/>
      <c r="AE117" s="2680"/>
      <c r="AF117" s="2680"/>
      <c r="AG117" s="2680"/>
      <c r="AH117" s="2680"/>
      <c r="AI117" s="2680"/>
      <c r="AJ117" s="2680"/>
      <c r="AK117" s="2680"/>
      <c r="AL117" s="2680"/>
      <c r="AM117" s="2680"/>
      <c r="AN117" s="643"/>
      <c r="AO117" s="643"/>
      <c r="AP117" s="643"/>
      <c r="AQ117" s="643"/>
      <c r="AR117" s="643"/>
    </row>
    <row r="118" spans="1:44" s="638" customFormat="1" x14ac:dyDescent="0.25">
      <c r="A118" s="2682" t="s">
        <v>160</v>
      </c>
      <c r="B118" s="2683"/>
      <c r="C118" s="2684"/>
      <c r="D118" s="2684"/>
      <c r="E118" s="2684"/>
      <c r="F118" s="2684"/>
      <c r="G118" s="2684"/>
      <c r="H118" s="2684"/>
      <c r="I118" s="2684"/>
      <c r="J118" s="2685"/>
      <c r="K118" s="2686" t="s">
        <v>161</v>
      </c>
      <c r="L118" s="2684"/>
      <c r="M118" s="2684"/>
      <c r="N118" s="2684"/>
      <c r="O118" s="2684"/>
      <c r="P118" s="2684"/>
      <c r="Q118" s="2685"/>
      <c r="R118" s="2686" t="s">
        <v>162</v>
      </c>
      <c r="S118" s="2684"/>
      <c r="T118" s="2684"/>
      <c r="U118" s="2684"/>
      <c r="V118" s="2684"/>
      <c r="W118" s="2684"/>
      <c r="X118" s="2684"/>
      <c r="Y118" s="2684"/>
      <c r="Z118" s="2685"/>
      <c r="AA118" s="2686" t="s">
        <v>163</v>
      </c>
      <c r="AB118" s="2684"/>
      <c r="AC118" s="2684"/>
      <c r="AD118" s="2684"/>
      <c r="AE118" s="2684"/>
      <c r="AF118" s="2684"/>
      <c r="AG118" s="2685"/>
      <c r="AH118" s="2686" t="s">
        <v>164</v>
      </c>
      <c r="AI118" s="2684"/>
      <c r="AJ118" s="2684"/>
      <c r="AK118" s="2684"/>
      <c r="AL118" s="2684"/>
      <c r="AM118" s="2685"/>
      <c r="AN118" s="644"/>
      <c r="AO118" s="644"/>
      <c r="AP118" s="644"/>
      <c r="AQ118" s="644"/>
      <c r="AR118" s="644"/>
    </row>
    <row r="119" spans="1:44" s="638" customFormat="1" ht="16.5" customHeight="1" x14ac:dyDescent="0.25">
      <c r="A119" s="2687" t="s">
        <v>165</v>
      </c>
      <c r="B119" s="2689" t="s">
        <v>142</v>
      </c>
      <c r="C119" s="2690" t="s">
        <v>166</v>
      </c>
      <c r="D119" s="2690" t="s">
        <v>167</v>
      </c>
      <c r="E119" s="2691" t="s">
        <v>168</v>
      </c>
      <c r="F119" s="2693" t="s">
        <v>60</v>
      </c>
      <c r="G119" s="645"/>
      <c r="H119" s="645"/>
      <c r="I119" s="2691" t="s">
        <v>169</v>
      </c>
      <c r="J119" s="2690" t="s">
        <v>170</v>
      </c>
      <c r="K119" s="2692" t="s">
        <v>171</v>
      </c>
      <c r="L119" s="2695" t="s">
        <v>172</v>
      </c>
      <c r="M119" s="2691" t="s">
        <v>173</v>
      </c>
      <c r="N119" s="2691" t="s">
        <v>174</v>
      </c>
      <c r="O119" s="2696" t="s">
        <v>175</v>
      </c>
      <c r="P119" s="2695" t="s">
        <v>172</v>
      </c>
      <c r="Q119" s="2690" t="s">
        <v>176</v>
      </c>
      <c r="R119" s="2637" t="s">
        <v>177</v>
      </c>
      <c r="S119" s="2632" t="s">
        <v>178</v>
      </c>
      <c r="T119" s="2691" t="s">
        <v>179</v>
      </c>
      <c r="U119" s="2632" t="s">
        <v>180</v>
      </c>
      <c r="V119" s="2632"/>
      <c r="W119" s="2632"/>
      <c r="X119" s="2632"/>
      <c r="Y119" s="2632"/>
      <c r="Z119" s="2632"/>
      <c r="AA119" s="2613" t="s">
        <v>181</v>
      </c>
      <c r="AB119" s="2613" t="s">
        <v>182</v>
      </c>
      <c r="AC119" s="2613" t="s">
        <v>172</v>
      </c>
      <c r="AD119" s="2613" t="s">
        <v>183</v>
      </c>
      <c r="AE119" s="2613" t="s">
        <v>172</v>
      </c>
      <c r="AF119" s="2613" t="s">
        <v>184</v>
      </c>
      <c r="AG119" s="2637" t="s">
        <v>185</v>
      </c>
      <c r="AH119" s="2632" t="s">
        <v>164</v>
      </c>
      <c r="AI119" s="2632" t="s">
        <v>143</v>
      </c>
      <c r="AJ119" s="2632" t="s">
        <v>186</v>
      </c>
      <c r="AK119" s="2632" t="s">
        <v>187</v>
      </c>
      <c r="AL119" s="2632" t="s">
        <v>189</v>
      </c>
      <c r="AM119" s="2632" t="s">
        <v>611</v>
      </c>
      <c r="AN119" s="646"/>
      <c r="AO119" s="646"/>
      <c r="AP119" s="646"/>
      <c r="AQ119" s="646"/>
      <c r="AR119" s="646"/>
    </row>
    <row r="120" spans="1:44" s="644" customFormat="1" ht="94.5" customHeight="1" x14ac:dyDescent="0.3">
      <c r="A120" s="2688"/>
      <c r="B120" s="2689"/>
      <c r="C120" s="2632"/>
      <c r="D120" s="2632"/>
      <c r="E120" s="2692"/>
      <c r="F120" s="2694"/>
      <c r="G120" s="645" t="s">
        <v>511</v>
      </c>
      <c r="H120" s="645" t="s">
        <v>190</v>
      </c>
      <c r="I120" s="2690"/>
      <c r="J120" s="2632"/>
      <c r="K120" s="2690"/>
      <c r="L120" s="2686"/>
      <c r="M120" s="2690"/>
      <c r="N120" s="2690"/>
      <c r="O120" s="2686"/>
      <c r="P120" s="2686"/>
      <c r="Q120" s="2632"/>
      <c r="R120" s="2638"/>
      <c r="S120" s="2632"/>
      <c r="T120" s="2690"/>
      <c r="U120" s="647" t="s">
        <v>191</v>
      </c>
      <c r="V120" s="647" t="s">
        <v>192</v>
      </c>
      <c r="W120" s="647" t="s">
        <v>193</v>
      </c>
      <c r="X120" s="647" t="s">
        <v>194</v>
      </c>
      <c r="Y120" s="647" t="s">
        <v>195</v>
      </c>
      <c r="Z120" s="647" t="s">
        <v>196</v>
      </c>
      <c r="AA120" s="2613"/>
      <c r="AB120" s="2613"/>
      <c r="AC120" s="2613"/>
      <c r="AD120" s="2613"/>
      <c r="AE120" s="2613"/>
      <c r="AF120" s="2613"/>
      <c r="AG120" s="2638"/>
      <c r="AH120" s="2632"/>
      <c r="AI120" s="2632"/>
      <c r="AJ120" s="2632"/>
      <c r="AK120" s="2632"/>
      <c r="AL120" s="2632"/>
      <c r="AM120" s="2697"/>
      <c r="AN120" s="648" t="s">
        <v>189</v>
      </c>
      <c r="AO120" s="648" t="s">
        <v>187</v>
      </c>
      <c r="AP120" s="648" t="s">
        <v>612</v>
      </c>
      <c r="AQ120" s="648" t="s">
        <v>1086</v>
      </c>
      <c r="AR120" s="648" t="s">
        <v>189</v>
      </c>
    </row>
    <row r="121" spans="1:44" s="660" customFormat="1" ht="114" customHeight="1" x14ac:dyDescent="0.3">
      <c r="A121" s="2605">
        <v>1</v>
      </c>
      <c r="B121" s="2608" t="s">
        <v>197</v>
      </c>
      <c r="C121" s="2698" t="s">
        <v>399</v>
      </c>
      <c r="D121" s="2700" t="s">
        <v>400</v>
      </c>
      <c r="E121" s="2702" t="s">
        <v>401</v>
      </c>
      <c r="F121" s="2618" t="s">
        <v>402</v>
      </c>
      <c r="G121" s="2618" t="s">
        <v>512</v>
      </c>
      <c r="H121" s="2704" t="s">
        <v>1087</v>
      </c>
      <c r="I121" s="2705" t="s">
        <v>198</v>
      </c>
      <c r="J121" s="2624">
        <v>360</v>
      </c>
      <c r="K121" s="2626" t="str">
        <f>IF(J121&lt;=0,"",IF(J121&lt;=2,"Muy Baja",IF(J121&lt;=24,"Baja",IF(J121&lt;=500,"Media",IF(J121&lt;=5000,"Alta","Muy Alta")))))</f>
        <v>Media</v>
      </c>
      <c r="L121" s="2628">
        <f>IF(K121="","",IF(K121="Muy Baja",0.2,IF(K121="Baja",0.4,IF(K121="Media",0.6,IF(K121="Alta",0.8,IF(K121="Muy Alta",1,))))))</f>
        <v>0.6</v>
      </c>
      <c r="M121" s="2630" t="s">
        <v>199</v>
      </c>
      <c r="N121" s="2628" t="str">
        <f>IF(NOT(ISERROR(MATCH(M121,'[30]Tabla Impacto'!$B$221:$B$223,0))),'[30]Tabla Impacto'!$F$223&amp;"Por favor no seleccionar los criterios de impacto(Afectación Económica o presupuestal y Pérdida Reputacional)",M121)</f>
        <v xml:space="preserve">     El riesgo afecta la imagen de de la entidad con efecto publicitario sostenido a nivel de sector administrativo, nivel departamental o municipal</v>
      </c>
      <c r="O121" s="2626" t="str">
        <f>IF(OR(N121='[30]Tabla Impacto'!$C$11,N121='[30]Tabla Impacto'!$D$11),"Leve",IF(OR(N121='[30]Tabla Impacto'!$C$12,N121='[30]Tabla Impacto'!$D$12),"Menor",IF(OR(N121='[30]Tabla Impacto'!$C$13,N121='[30]Tabla Impacto'!$D$13),"Moderado",IF(OR(N121='[30]Tabla Impacto'!$C$14,N121='[30]Tabla Impacto'!$D$14),"Mayor",IF(OR(N121='[30]Tabla Impacto'!$C$15,N121='[30]Tabla Impacto'!$D$15),"Catastrófico","")))))</f>
        <v>Mayor</v>
      </c>
      <c r="P121" s="2628">
        <f>IF(O121="","",IF(O121="Leve",0.2,IF(O121="Menor",0.4,IF(O121="Moderado",0.6,IF(O121="Mayor",0.8,IF(O121="Catastrófico",1,))))))</f>
        <v>0.8</v>
      </c>
      <c r="Q121" s="2633" t="str">
        <f>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Alto</v>
      </c>
      <c r="R121" s="649">
        <v>1</v>
      </c>
      <c r="S121" s="650" t="s">
        <v>613</v>
      </c>
      <c r="T121" s="651" t="str">
        <f>IF(OR(U121="Preventivo",U121="Detectivo"),"Probabilidad",IF(U121="Correctivo","Impacto",""))</f>
        <v>Probabilidad</v>
      </c>
      <c r="U121" s="652" t="s">
        <v>207</v>
      </c>
      <c r="V121" s="652" t="s">
        <v>201</v>
      </c>
      <c r="W121" s="653" t="str">
        <f>IF(AND(U121="Preventivo",V121="Automático"),"50%",IF(AND(U121="Preventivo",V121="Manual"),"40%",IF(AND(U121="Detectivo",V121="Automático"),"40%",IF(AND(U121="Detectivo",V121="Manual"),"30%",IF(AND(U121="Correctivo",V121="Automático"),"35%",IF(AND(U121="Correctivo",V121="Manual"),"25%",""))))))</f>
        <v>40%</v>
      </c>
      <c r="X121" s="652" t="s">
        <v>208</v>
      </c>
      <c r="Y121" s="652" t="s">
        <v>203</v>
      </c>
      <c r="Z121" s="652" t="s">
        <v>204</v>
      </c>
      <c r="AA121" s="654">
        <f>IFERROR(IF(T121="Probabilidad",(L121-(+L121*W121)),IF(T121="Impacto",L121,"")),"")</f>
        <v>0.36</v>
      </c>
      <c r="AB121" s="655" t="str">
        <f>IFERROR(IF(AA121="","",IF(AA121&lt;=0.2,"Muy Baja",IF(AA121&lt;=0.4,"Baja",IF(AA121&lt;=0.6,"Media",IF(AA121&lt;=0.8,"Alta","Muy Alta"))))),"")</f>
        <v>Baja</v>
      </c>
      <c r="AC121" s="656">
        <f>+AA121</f>
        <v>0.36</v>
      </c>
      <c r="AD121" s="655" t="str">
        <f>IFERROR(IF(AE121="","",IF(AE121&lt;=0.2,"Leve",IF(AE121&lt;=0.4,"Menor",IF(AE121&lt;=0.6,"Moderado",IF(AE121&lt;=0.8,"Mayor","Catastrófico"))))),"")</f>
        <v>Mayor</v>
      </c>
      <c r="AE121" s="656">
        <f>IFERROR(IF(T121="Impacto",(P121-(+P121*W121)),IF(T121="Probabilidad",P121,"")),"")</f>
        <v>0.8</v>
      </c>
      <c r="AF121" s="657" t="str">
        <f>IFERROR(IF(OR(AND(AB121="Muy Baja",AD121="Leve"),AND(AB121="Muy Baja",AD121="Menor"),AND(AB121="Baja",AD121="Leve")),"Bajo",IF(OR(AND(AB121="Muy baja",AD121="Moderado"),AND(AB121="Baja",AD121="Menor"),AND(AB121="Baja",AD121="Moderado"),AND(AB121="Media",AD121="Leve"),AND(AB121="Media",AD121="Menor"),AND(AB121="Media",AD121="Moderado"),AND(AB121="Alta",AD121="Leve"),AND(AB121="Alta",AD121="Menor")),"Moderado",IF(OR(AND(AB121="Muy Baja",AD121="Mayor"),AND(AB121="Baja",AD121="Mayor"),AND(AB121="Media",AD121="Mayor"),AND(AB121="Alta",AD121="Moderado"),AND(AB121="Alta",AD121="Mayor"),AND(AB121="Muy Alta",AD121="Leve"),AND(AB121="Muy Alta",AD121="Menor"),AND(AB121="Muy Alta",AD121="Moderado"),AND(AB121="Muy Alta",AD121="Mayor")),"Alto",IF(OR(AND(AB121="Muy Baja",AD121="Catastrófico"),AND(AB121="Baja",AD121="Catastrófico"),AND(AB121="Media",AD121="Catastrófico"),AND(AB121="Alta",AD121="Catastrófico"),AND(AB121="Muy Alta",AD121="Catastrófico")),"Extremo","")))),"")</f>
        <v>Alto</v>
      </c>
      <c r="AG121" s="2707" t="s">
        <v>205</v>
      </c>
      <c r="AH121" s="658" t="s">
        <v>404</v>
      </c>
      <c r="AI121" s="658" t="s">
        <v>405</v>
      </c>
      <c r="AJ121" s="659">
        <v>45292</v>
      </c>
      <c r="AK121" s="659" t="s">
        <v>614</v>
      </c>
      <c r="AL121" s="659" t="s">
        <v>615</v>
      </c>
      <c r="AM121" s="659" t="s">
        <v>616</v>
      </c>
      <c r="AN121" s="659" t="s">
        <v>617</v>
      </c>
      <c r="AO121" s="659" t="s">
        <v>618</v>
      </c>
      <c r="AP121" s="659" t="s">
        <v>619</v>
      </c>
      <c r="AQ121" s="659">
        <v>45537</v>
      </c>
      <c r="AR121" s="659" t="s">
        <v>1088</v>
      </c>
    </row>
    <row r="122" spans="1:44" s="638" customFormat="1" ht="104.4" customHeight="1" x14ac:dyDescent="0.25">
      <c r="A122" s="2606"/>
      <c r="B122" s="2609"/>
      <c r="C122" s="2699"/>
      <c r="D122" s="2701"/>
      <c r="E122" s="2703"/>
      <c r="F122" s="2619"/>
      <c r="G122" s="2619"/>
      <c r="H122" s="2704"/>
      <c r="I122" s="2706"/>
      <c r="J122" s="2625"/>
      <c r="K122" s="2627"/>
      <c r="L122" s="2629"/>
      <c r="M122" s="2631"/>
      <c r="N122" s="2629">
        <f>IF(NOT(ISERROR(MATCH(M122,_xlfn.ANCHORARRAY(F126),0))),#REF!&amp;"Por favor no seleccionar los criterios de impacto",M122)</f>
        <v>0</v>
      </c>
      <c r="O122" s="2627"/>
      <c r="P122" s="2629"/>
      <c r="Q122" s="2634"/>
      <c r="R122" s="649">
        <v>2</v>
      </c>
      <c r="S122" s="650" t="s">
        <v>406</v>
      </c>
      <c r="T122" s="651" t="str">
        <f>IF(OR(U122="Preventivo",U122="Detectivo"),"Probabilidad",IF(U122="Correctivo","Impacto",""))</f>
        <v>Probabilidad</v>
      </c>
      <c r="U122" s="652" t="s">
        <v>200</v>
      </c>
      <c r="V122" s="652" t="s">
        <v>201</v>
      </c>
      <c r="W122" s="653" t="str">
        <f t="shared" ref="W122:W123" si="48">IF(AND(U122="Preventivo",V122="Automático"),"50%",IF(AND(U122="Preventivo",V122="Manual"),"40%",IF(AND(U122="Detectivo",V122="Automático"),"40%",IF(AND(U122="Detectivo",V122="Manual"),"30%",IF(AND(U122="Correctivo",V122="Automático"),"35%",IF(AND(U122="Correctivo",V122="Manual"),"25%",""))))))</f>
        <v>30%</v>
      </c>
      <c r="X122" s="652" t="s">
        <v>208</v>
      </c>
      <c r="Y122" s="652" t="s">
        <v>203</v>
      </c>
      <c r="Z122" s="652" t="s">
        <v>204</v>
      </c>
      <c r="AA122" s="654">
        <f>IFERROR(IF(AND(T121="Probabilidad",T122="Probabilidad"),(AC121-(+AC121*W122)),IF(AND(T121="Impacto",T122="Probabilidad"),(L121-(+L121*W122)),IF(T122="Impacto",AC121,""))),"")</f>
        <v>0.252</v>
      </c>
      <c r="AB122" s="655" t="str">
        <f t="shared" ref="AB122:AB123" si="49">IFERROR(IF(AA122="","",IF(AA122&lt;=0.2,"Muy Baja",IF(AA122&lt;=0.4,"Baja",IF(AA122&lt;=0.6,"Media",IF(AA122&lt;=0.8,"Alta","Muy Alta"))))),"")</f>
        <v>Baja</v>
      </c>
      <c r="AC122" s="656">
        <f>+AA122</f>
        <v>0.252</v>
      </c>
      <c r="AD122" s="655" t="str">
        <f t="shared" ref="AD122:AD123" si="50">IFERROR(IF(AE122="","",IF(AE122&lt;=0.2,"Leve",IF(AE122&lt;=0.4,"Menor",IF(AE122&lt;=0.6,"Moderado",IF(AE122&lt;=0.8,"Mayor","Catastrófico"))))),"")</f>
        <v>Mayor</v>
      </c>
      <c r="AE122" s="656">
        <f>IFERROR(IF(AND(T121="Impacto",T122="Impacto"),(AE121-(+AE121*W122)),IF(AND(T121="Probabilidad",T122="Impacto"),(P121-(+P121*W122)),IF(T122="Probabilidad",AE121,""))),"")</f>
        <v>0.8</v>
      </c>
      <c r="AF122" s="657" t="str">
        <f t="shared" ref="AF122:AF123" si="51">IFERROR(IF(OR(AND(AB122="Muy Baja",AD122="Leve"),AND(AB122="Muy Baja",AD122="Menor"),AND(AB122="Baja",AD122="Leve")),"Bajo",IF(OR(AND(AB122="Muy baja",AD122="Moderado"),AND(AB122="Baja",AD122="Menor"),AND(AB122="Baja",AD122="Moderado"),AND(AB122="Media",AD122="Leve"),AND(AB122="Media",AD122="Menor"),AND(AB122="Media",AD122="Moderado"),AND(AB122="Alta",AD122="Leve"),AND(AB122="Alta",AD122="Menor")),"Moderado",IF(OR(AND(AB122="Muy Baja",AD122="Mayor"),AND(AB122="Baja",AD122="Mayor"),AND(AB122="Media",AD122="Mayor"),AND(AB122="Alta",AD122="Moderado"),AND(AB122="Alta",AD122="Mayor"),AND(AB122="Muy Alta",AD122="Leve"),AND(AB122="Muy Alta",AD122="Menor"),AND(AB122="Muy Alta",AD122="Moderado"),AND(AB122="Muy Alta",AD122="Mayor")),"Alto",IF(OR(AND(AB122="Muy Baja",AD122="Catastrófico"),AND(AB122="Baja",AD122="Catastrófico"),AND(AB122="Media",AD122="Catastrófico"),AND(AB122="Alta",AD122="Catastrófico"),AND(AB122="Muy Alta",AD122="Catastrófico")),"Extremo","")))),"")</f>
        <v>Alto</v>
      </c>
      <c r="AG122" s="2708"/>
      <c r="AH122" s="661" t="s">
        <v>407</v>
      </c>
      <c r="AI122" s="661" t="s">
        <v>405</v>
      </c>
      <c r="AJ122" s="659">
        <v>45292</v>
      </c>
      <c r="AK122" s="659" t="s">
        <v>614</v>
      </c>
      <c r="AL122" s="659" t="s">
        <v>620</v>
      </c>
      <c r="AM122" s="659" t="s">
        <v>616</v>
      </c>
      <c r="AN122" s="659" t="s">
        <v>620</v>
      </c>
      <c r="AO122" s="659" t="s">
        <v>621</v>
      </c>
      <c r="AP122" s="659" t="s">
        <v>620</v>
      </c>
      <c r="AQ122" s="659">
        <v>45537</v>
      </c>
      <c r="AR122" s="659" t="s">
        <v>1089</v>
      </c>
    </row>
    <row r="123" spans="1:44" s="638" customFormat="1" ht="127.8" customHeight="1" x14ac:dyDescent="0.25">
      <c r="A123" s="2606"/>
      <c r="B123" s="2609"/>
      <c r="C123" s="2699"/>
      <c r="D123" s="2701"/>
      <c r="E123" s="662" t="s">
        <v>408</v>
      </c>
      <c r="F123" s="2619"/>
      <c r="G123" s="2619"/>
      <c r="H123" s="2704"/>
      <c r="I123" s="2706"/>
      <c r="J123" s="2625"/>
      <c r="K123" s="2627"/>
      <c r="L123" s="2629"/>
      <c r="M123" s="2631"/>
      <c r="N123" s="2629">
        <f>IF(NOT(ISERROR(MATCH(M123,_xlfn.ANCHORARRAY(F127),0))),#REF!&amp;"Por favor no seleccionar los criterios de impacto",M123)</f>
        <v>0</v>
      </c>
      <c r="O123" s="2627"/>
      <c r="P123" s="2629"/>
      <c r="Q123" s="2634"/>
      <c r="R123" s="649">
        <v>3</v>
      </c>
      <c r="S123" s="650" t="s">
        <v>409</v>
      </c>
      <c r="T123" s="651" t="str">
        <f t="shared" ref="T123" si="52">IF(OR(U123="Preventivo",U123="Detectivo"),"Probabilidad",IF(U123="Correctivo","Impacto",""))</f>
        <v>Probabilidad</v>
      </c>
      <c r="U123" s="652" t="s">
        <v>200</v>
      </c>
      <c r="V123" s="652" t="s">
        <v>201</v>
      </c>
      <c r="W123" s="653" t="str">
        <f t="shared" si="48"/>
        <v>30%</v>
      </c>
      <c r="X123" s="652" t="s">
        <v>202</v>
      </c>
      <c r="Y123" s="652" t="s">
        <v>203</v>
      </c>
      <c r="Z123" s="652" t="s">
        <v>298</v>
      </c>
      <c r="AA123" s="654">
        <f>IFERROR(IF(AND(T122="Probabilidad",T123="Probabilidad"),(AC122-(+AC122*W123)),IF(AND(T122="Impacto",T123="Probabilidad"),(AC121-(+AC121*W123)),IF(T123="Impacto",AC122,""))),"")</f>
        <v>0.1764</v>
      </c>
      <c r="AB123" s="655" t="str">
        <f t="shared" si="49"/>
        <v>Muy Baja</v>
      </c>
      <c r="AC123" s="656">
        <f t="shared" ref="AC123" si="53">+AA123</f>
        <v>0.1764</v>
      </c>
      <c r="AD123" s="655" t="str">
        <f t="shared" si="50"/>
        <v>Mayor</v>
      </c>
      <c r="AE123" s="656">
        <f t="shared" ref="AE123" si="54">IFERROR(IF(AND(T122="Impacto",T123="Impacto"),(AE122-(+AE122*W123)),IF(AND(T122="Probabilidad",T123="Impacto"),(AE121-(+AE121*W123)),IF(T123="Probabilidad",AE122,""))),"")</f>
        <v>0.8</v>
      </c>
      <c r="AF123" s="657" t="str">
        <f t="shared" si="51"/>
        <v>Alto</v>
      </c>
      <c r="AG123" s="2709"/>
      <c r="AH123" s="661" t="s">
        <v>410</v>
      </c>
      <c r="AI123" s="661" t="s">
        <v>411</v>
      </c>
      <c r="AJ123" s="659">
        <v>45292</v>
      </c>
      <c r="AK123" s="659" t="s">
        <v>614</v>
      </c>
      <c r="AL123" s="659" t="s">
        <v>622</v>
      </c>
      <c r="AM123" s="659" t="s">
        <v>616</v>
      </c>
      <c r="AN123" s="659" t="s">
        <v>622</v>
      </c>
      <c r="AO123" s="659" t="s">
        <v>621</v>
      </c>
      <c r="AP123" s="659" t="s">
        <v>623</v>
      </c>
      <c r="AQ123" s="659">
        <v>45537</v>
      </c>
      <c r="AR123" s="659" t="s">
        <v>1090</v>
      </c>
    </row>
    <row r="124" spans="1:44" s="638" customFormat="1" ht="144" customHeight="1" x14ac:dyDescent="0.25">
      <c r="A124" s="2605">
        <v>2</v>
      </c>
      <c r="B124" s="2635" t="s">
        <v>197</v>
      </c>
      <c r="C124" s="2420" t="s">
        <v>412</v>
      </c>
      <c r="D124" s="2614" t="s">
        <v>624</v>
      </c>
      <c r="E124" s="663" t="s">
        <v>413</v>
      </c>
      <c r="F124" s="2616" t="s">
        <v>414</v>
      </c>
      <c r="G124" s="2618" t="s">
        <v>512</v>
      </c>
      <c r="H124" s="2620" t="s">
        <v>1091</v>
      </c>
      <c r="I124" s="2622" t="s">
        <v>198</v>
      </c>
      <c r="J124" s="2624">
        <v>180</v>
      </c>
      <c r="K124" s="2626" t="str">
        <f>IF(J124&lt;=0,"",IF(J124&lt;=2,"Muy Baja",IF(J124&lt;=24,"Baja",IF(J124&lt;=500,"Media",IF(J124&lt;=5000,"Alta","Muy Alta")))))</f>
        <v>Media</v>
      </c>
      <c r="L124" s="2628">
        <f>IF(K124="","",IF(K124="Muy Baja",0.2,IF(K124="Baja",0.4,IF(K124="Media",0.6,IF(K124="Alta",0.8,IF(K124="Muy Alta",1,))))))</f>
        <v>0.6</v>
      </c>
      <c r="M124" s="2630" t="s">
        <v>199</v>
      </c>
      <c r="N124" s="2628" t="str">
        <f>IF(NOT(ISERROR(MATCH(M124,'[30]Tabla Impacto'!$B$221:$B$223,0))),'[30]Tabla Impacto'!$F$223&amp;"Por favor no seleccionar los criterios de impacto(Afectación Económica o presupuestal y Pérdida Reputacional)",M124)</f>
        <v xml:space="preserve">     El riesgo afecta la imagen de de la entidad con efecto publicitario sostenido a nivel de sector administrativo, nivel departamental o municipal</v>
      </c>
      <c r="O124" s="2626" t="str">
        <f>IF(OR(N124='[30]Tabla Impacto'!$C$11,N124='[30]Tabla Impacto'!$D$11),"Leve",IF(OR(N124='[30]Tabla Impacto'!$C$12,N124='[30]Tabla Impacto'!$D$12),"Menor",IF(OR(N124='[30]Tabla Impacto'!$C$13,N124='[30]Tabla Impacto'!$D$13),"Moderado",IF(OR(N124='[30]Tabla Impacto'!$C$14,N124='[30]Tabla Impacto'!$D$14),"Mayor",IF(OR(N124='[30]Tabla Impacto'!$C$15,N124='[30]Tabla Impacto'!$D$15),"Catastrófico","")))))</f>
        <v>Mayor</v>
      </c>
      <c r="P124" s="2628">
        <f>IF(O124="","",IF(O124="Leve",0.2,IF(O124="Menor",0.4,IF(O124="Moderado",0.6,IF(O124="Mayor",0.8,IF(O124="Catastrófico",1,))))))</f>
        <v>0.8</v>
      </c>
      <c r="Q124" s="2633" t="str">
        <f>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Alto</v>
      </c>
      <c r="R124" s="649">
        <v>1</v>
      </c>
      <c r="S124" s="664" t="s">
        <v>625</v>
      </c>
      <c r="T124" s="651" t="str">
        <f>IF(OR(U124="Preventivo",U124="Detectivo"),"Probabilidad",IF(U124="Correctivo","Impacto",""))</f>
        <v>Impacto</v>
      </c>
      <c r="U124" s="652" t="s">
        <v>308</v>
      </c>
      <c r="V124" s="652" t="s">
        <v>201</v>
      </c>
      <c r="W124" s="653" t="str">
        <f>IF(AND(U124="Preventivo",V124="Automático"),"50%",IF(AND(U124="Preventivo",V124="Manual"),"40%",IF(AND(U124="Detectivo",V124="Automático"),"40%",IF(AND(U124="Detectivo",V124="Manual"),"30%",IF(AND(U124="Correctivo",V124="Automático"),"35%",IF(AND(U124="Correctivo",V124="Manual"),"25%",""))))))</f>
        <v>25%</v>
      </c>
      <c r="X124" s="652" t="s">
        <v>208</v>
      </c>
      <c r="Y124" s="652" t="s">
        <v>210</v>
      </c>
      <c r="Z124" s="652" t="s">
        <v>204</v>
      </c>
      <c r="AA124" s="654">
        <f>IFERROR(IF(T124="Probabilidad",(L124-(+L124*W124)),IF(T124="Impacto",L124,"")),"")</f>
        <v>0.6</v>
      </c>
      <c r="AB124" s="655" t="str">
        <f>IFERROR(IF(AA124="","",IF(AA124&lt;=0.2,"Muy Baja",IF(AA124&lt;=0.4,"Baja",IF(AA124&lt;=0.6,"Media",IF(AA124&lt;=0.8,"Alta","Muy Alta"))))),"")</f>
        <v>Media</v>
      </c>
      <c r="AC124" s="656">
        <f>+AA124</f>
        <v>0.6</v>
      </c>
      <c r="AD124" s="655" t="str">
        <f>IFERROR(IF(AE124="","",IF(AE124&lt;=0.2,"Leve",IF(AE124&lt;=0.4,"Menor",IF(AE124&lt;=0.6,"Moderado",IF(AE124&lt;=0.8,"Mayor","Catastrófico"))))),"")</f>
        <v>Moderado</v>
      </c>
      <c r="AE124" s="656">
        <f>IFERROR(IF(T124="Impacto",(P124-(+P124*W124)),IF(T124="Probabilidad",P124,"")),"")</f>
        <v>0.60000000000000009</v>
      </c>
      <c r="AF124" s="657" t="str">
        <f>IFERROR(IF(OR(AND(AB124="Muy Baja",AD124="Leve"),AND(AB124="Muy Baja",AD124="Menor"),AND(AB124="Baja",AD124="Leve")),"Bajo",IF(OR(AND(AB124="Muy baja",AD124="Moderado"),AND(AB124="Baja",AD124="Menor"),AND(AB124="Baja",AD124="Moderado"),AND(AB124="Media",AD124="Leve"),AND(AB124="Media",AD124="Menor"),AND(AB124="Media",AD124="Moderado"),AND(AB124="Alta",AD124="Leve"),AND(AB124="Alta",AD124="Menor")),"Moderado",IF(OR(AND(AB124="Muy Baja",AD124="Mayor"),AND(AB124="Baja",AD124="Mayor"),AND(AB124="Media",AD124="Mayor"),AND(AB124="Alta",AD124="Moderado"),AND(AB124="Alta",AD124="Mayor"),AND(AB124="Muy Alta",AD124="Leve"),AND(AB124="Muy Alta",AD124="Menor"),AND(AB124="Muy Alta",AD124="Moderado"),AND(AB124="Muy Alta",AD124="Mayor")),"Alto",IF(OR(AND(AB124="Muy Baja",AD124="Catastrófico"),AND(AB124="Baja",AD124="Catastrófico"),AND(AB124="Media",AD124="Catastrófico"),AND(AB124="Alta",AD124="Catastrófico"),AND(AB124="Muy Alta",AD124="Catastrófico")),"Extremo","")))),"")</f>
        <v>Moderado</v>
      </c>
      <c r="AG124" s="2417" t="s">
        <v>205</v>
      </c>
      <c r="AH124" s="661" t="s">
        <v>416</v>
      </c>
      <c r="AI124" s="666" t="s">
        <v>417</v>
      </c>
      <c r="AJ124" s="659">
        <v>45292</v>
      </c>
      <c r="AK124" s="659">
        <v>45383</v>
      </c>
      <c r="AL124" s="659" t="s">
        <v>622</v>
      </c>
      <c r="AM124" s="659" t="s">
        <v>616</v>
      </c>
      <c r="AN124" s="659" t="s">
        <v>622</v>
      </c>
      <c r="AO124" s="659" t="s">
        <v>626</v>
      </c>
      <c r="AP124" s="659" t="s">
        <v>627</v>
      </c>
      <c r="AQ124" s="659">
        <v>45537</v>
      </c>
      <c r="AR124" s="659" t="s">
        <v>1092</v>
      </c>
    </row>
    <row r="125" spans="1:44" s="638" customFormat="1" ht="171.6" customHeight="1" x14ac:dyDescent="0.25">
      <c r="A125" s="2606"/>
      <c r="B125" s="2636"/>
      <c r="C125" s="2421"/>
      <c r="D125" s="2615"/>
      <c r="E125" s="663" t="s">
        <v>418</v>
      </c>
      <c r="F125" s="2617"/>
      <c r="G125" s="2619"/>
      <c r="H125" s="2621"/>
      <c r="I125" s="2623"/>
      <c r="J125" s="2625"/>
      <c r="K125" s="2627"/>
      <c r="L125" s="2629"/>
      <c r="M125" s="2631"/>
      <c r="N125" s="2629">
        <f>IF(NOT(ISERROR(MATCH(M125,_xlfn.ANCHORARRAY(#REF!),0))),#REF!&amp;"Por favor no seleccionar los criterios de impacto",M125)</f>
        <v>0</v>
      </c>
      <c r="O125" s="2627"/>
      <c r="P125" s="2629"/>
      <c r="Q125" s="2634"/>
      <c r="R125" s="649">
        <v>2</v>
      </c>
      <c r="S125" s="664" t="s">
        <v>419</v>
      </c>
      <c r="T125" s="651" t="str">
        <f>IF(OR(U125="Preventivo",U125="Detectivo"),"Probabilidad",IF(U125="Correctivo","Impacto",""))</f>
        <v>Probabilidad</v>
      </c>
      <c r="U125" s="652" t="s">
        <v>200</v>
      </c>
      <c r="V125" s="652" t="s">
        <v>201</v>
      </c>
      <c r="W125" s="653" t="str">
        <f t="shared" ref="W125" si="55">IF(AND(U125="Preventivo",V125="Automático"),"50%",IF(AND(U125="Preventivo",V125="Manual"),"40%",IF(AND(U125="Detectivo",V125="Automático"),"40%",IF(AND(U125="Detectivo",V125="Manual"),"30%",IF(AND(U125="Correctivo",V125="Automático"),"35%",IF(AND(U125="Correctivo",V125="Manual"),"25%",""))))))</f>
        <v>30%</v>
      </c>
      <c r="X125" s="652" t="s">
        <v>208</v>
      </c>
      <c r="Y125" s="652" t="s">
        <v>203</v>
      </c>
      <c r="Z125" s="652" t="s">
        <v>204</v>
      </c>
      <c r="AA125" s="654">
        <f>IFERROR(IF(AND(T124="Probabilidad",T125="Probabilidad"),(AC124-(+AC124*W125)),IF(AND(T124="Impacto",T125="Probabilidad"),(L124-(+L124*W125)),IF(T125="Impacto",AC124,""))),"")</f>
        <v>0.42</v>
      </c>
      <c r="AB125" s="655" t="str">
        <f t="shared" ref="AB125" si="56">IFERROR(IF(AA125="","",IF(AA125&lt;=0.2,"Muy Baja",IF(AA125&lt;=0.4,"Baja",IF(AA125&lt;=0.6,"Media",IF(AA125&lt;=0.8,"Alta","Muy Alta"))))),"")</f>
        <v>Media</v>
      </c>
      <c r="AC125" s="656">
        <f>+AA125</f>
        <v>0.42</v>
      </c>
      <c r="AD125" s="655" t="str">
        <f t="shared" ref="AD125" si="57">IFERROR(IF(AE125="","",IF(AE125&lt;=0.2,"Leve",IF(AE125&lt;=0.4,"Menor",IF(AE125&lt;=0.6,"Moderado",IF(AE125&lt;=0.8,"Mayor","Catastrófico"))))),"")</f>
        <v>Moderado</v>
      </c>
      <c r="AE125" s="656">
        <f>IFERROR(IF(AND(T124="Impacto",T125="Impacto"),(AE124-(+AE124*W125)),IF(AND(T124="Probabilidad",T125="Impacto"),(P124-(+P124*W125)),IF(T125="Probabilidad",AE124,""))),"")</f>
        <v>0.60000000000000009</v>
      </c>
      <c r="AF125" s="657" t="str">
        <f t="shared" ref="AF125" si="58">IFERROR(IF(OR(AND(AB125="Muy Baja",AD125="Leve"),AND(AB125="Muy Baja",AD125="Menor"),AND(AB125="Baja",AD125="Leve")),"Bajo",IF(OR(AND(AB125="Muy baja",AD125="Moderado"),AND(AB125="Baja",AD125="Menor"),AND(AB125="Baja",AD125="Moderado"),AND(AB125="Media",AD125="Leve"),AND(AB125="Media",AD125="Menor"),AND(AB125="Media",AD125="Moderado"),AND(AB125="Alta",AD125="Leve"),AND(AB125="Alta",AD125="Menor")),"Moderado",IF(OR(AND(AB125="Muy Baja",AD125="Mayor"),AND(AB125="Baja",AD125="Mayor"),AND(AB125="Media",AD125="Mayor"),AND(AB125="Alta",AD125="Moderado"),AND(AB125="Alta",AD125="Mayor"),AND(AB125="Muy Alta",AD125="Leve"),AND(AB125="Muy Alta",AD125="Menor"),AND(AB125="Muy Alta",AD125="Moderado"),AND(AB125="Muy Alta",AD125="Mayor")),"Alto",IF(OR(AND(AB125="Muy Baja",AD125="Catastrófico"),AND(AB125="Baja",AD125="Catastrófico"),AND(AB125="Media",AD125="Catastrófico"),AND(AB125="Alta",AD125="Catastrófico"),AND(AB125="Muy Alta",AD125="Catastrófico")),"Extremo","")))),"")</f>
        <v>Moderado</v>
      </c>
      <c r="AG125" s="2419"/>
      <c r="AH125" s="661" t="s">
        <v>420</v>
      </c>
      <c r="AI125" s="666" t="s">
        <v>417</v>
      </c>
      <c r="AJ125" s="659">
        <v>45292</v>
      </c>
      <c r="AK125" s="659">
        <v>45383</v>
      </c>
      <c r="AL125" s="659" t="s">
        <v>628</v>
      </c>
      <c r="AM125" s="659" t="s">
        <v>616</v>
      </c>
      <c r="AN125" s="659" t="s">
        <v>622</v>
      </c>
      <c r="AO125" s="659" t="s">
        <v>621</v>
      </c>
      <c r="AP125" s="659" t="s">
        <v>629</v>
      </c>
      <c r="AQ125" s="659">
        <v>45538</v>
      </c>
      <c r="AR125" s="659" t="s">
        <v>1093</v>
      </c>
    </row>
    <row r="126" spans="1:44" s="638" customFormat="1" ht="142.80000000000001" customHeight="1" x14ac:dyDescent="0.25">
      <c r="A126" s="2605">
        <v>3</v>
      </c>
      <c r="B126" s="2635" t="s">
        <v>209</v>
      </c>
      <c r="C126" s="2635" t="s">
        <v>412</v>
      </c>
      <c r="D126" s="2710" t="s">
        <v>630</v>
      </c>
      <c r="E126" s="667" t="s">
        <v>631</v>
      </c>
      <c r="F126" s="2712" t="s">
        <v>632</v>
      </c>
      <c r="G126" s="2618" t="s">
        <v>597</v>
      </c>
      <c r="H126" s="2620" t="s">
        <v>1094</v>
      </c>
      <c r="I126" s="2622" t="s">
        <v>198</v>
      </c>
      <c r="J126" s="2713">
        <v>180</v>
      </c>
      <c r="K126" s="2715" t="str">
        <f t="shared" ref="K126" si="59">IF(J126&lt;=0,"",IF(J126&lt;=2,"Muy Baja",IF(J126&lt;=24,"Baja",IF(J126&lt;=500,"Media",IF(J126&lt;=5000,"Alta","Muy Alta")))))</f>
        <v>Media</v>
      </c>
      <c r="L126" s="2717">
        <f t="shared" ref="L126" si="60">IF(K126="","",IF(K126="Muy Baja",0.2,IF(K126="Baja",0.4,IF(K126="Media",0.6,IF(K126="Alta",0.8,IF(K126="Muy Alta",1,))))))</f>
        <v>0.6</v>
      </c>
      <c r="M126" s="2719" t="s">
        <v>199</v>
      </c>
      <c r="N126" s="2717" t="str">
        <f>IF(NOT(ISERROR(MATCH(M126,'[30]Tabla Impacto'!$B$221:$B$223,0))),'[30]Tabla Impacto'!$F$223&amp;"Por favor no seleccionar los criterios de impacto(Afectación Económica o presupuestal y Pérdida Reputacional)",M126)</f>
        <v xml:space="preserve">     El riesgo afecta la imagen de de la entidad con efecto publicitario sostenido a nivel de sector administrativo, nivel departamental o municipal</v>
      </c>
      <c r="O126" s="2715" t="str">
        <f>IF(OR(N126='[30]Tabla Impacto'!$C$11,N126='[30]Tabla Impacto'!$D$11),"Leve",IF(OR(N126='[30]Tabla Impacto'!$C$12,N126='[30]Tabla Impacto'!$D$12),"Menor",IF(OR(N126='[30]Tabla Impacto'!$C$13,N126='[30]Tabla Impacto'!$D$13),"Moderado",IF(OR(N126='[30]Tabla Impacto'!$C$14,N126='[30]Tabla Impacto'!$D$14),"Mayor",IF(OR(N126='[30]Tabla Impacto'!$C$15,N126='[30]Tabla Impacto'!$D$15),"Catastrófico","")))))</f>
        <v>Mayor</v>
      </c>
      <c r="P126" s="2717">
        <f t="shared" ref="P126" si="61">IF(O126="","",IF(O126="Leve",0.2,IF(O126="Menor",0.4,IF(O126="Moderado",0.6,IF(O126="Mayor",0.8,IF(O126="Catastrófico",1,))))))</f>
        <v>0.8</v>
      </c>
      <c r="Q126" s="2721" t="str">
        <f t="shared" ref="Q126" si="62">IF(OR(AND(K126="Muy Baja",O126="Leve"),AND(K126="Muy Baja",O126="Menor"),AND(K126="Baja",O126="Leve")),"Bajo",IF(OR(AND(K126="Muy baja",O126="Moderado"),AND(K126="Baja",O126="Menor"),AND(K126="Baja",O126="Moderado"),AND(K126="Media",O126="Leve"),AND(K126="Media",O126="Menor"),AND(K126="Media",O126="Moderado"),AND(K126="Alta",O126="Leve"),AND(K126="Alta",O126="Menor")),"Moderado",IF(OR(AND(K126="Muy Baja",O126="Mayor"),AND(K126="Baja",O126="Mayor"),AND(K126="Media",O126="Mayor"),AND(K126="Alta",O126="Moderado"),AND(K126="Alta",O126="Mayor"),AND(K126="Muy Alta",O126="Leve"),AND(K126="Muy Alta",O126="Menor"),AND(K126="Muy Alta",O126="Moderado"),AND(K126="Muy Alta",O126="Mayor")),"Alto",IF(OR(AND(K126="Muy Baja",O126="Catastrófico"),AND(K126="Baja",O126="Catastrófico"),AND(K126="Media",O126="Catastrófico"),AND(K126="Alta",O126="Catastrófico"),AND(K126="Muy Alta",O126="Catastrófico")),"Extremo",""))))</f>
        <v>Alto</v>
      </c>
      <c r="R126" s="649">
        <v>1</v>
      </c>
      <c r="S126" s="668"/>
      <c r="T126" s="651" t="str">
        <f>IF(OR(U126="Preventivo",U126="Detectivo"),"Probabilidad",IF(U126="Correctivo","Impacto",""))</f>
        <v>Probabilidad</v>
      </c>
      <c r="U126" s="652" t="s">
        <v>207</v>
      </c>
      <c r="V126" s="652"/>
      <c r="W126" s="653" t="str">
        <f>IF(AND(U126="Preventivo",V126="Automático"),"50%",IF(AND(U126="Preventivo",V126="Manual"),"40%",IF(AND(U126="Detectivo",V126="Automático"),"40%",IF(AND(U126="Detectivo",V126="Manual"),"30%",IF(AND(U126="Correctivo",V126="Automático"),"35%",IF(AND(U126="Correctivo",V126="Manual"),"25%",""))))))</f>
        <v/>
      </c>
      <c r="X126" s="652"/>
      <c r="Y126" s="652"/>
      <c r="Z126" s="652"/>
      <c r="AA126" s="654" t="str">
        <f>IFERROR(IF(T126="Probabilidad",(L126-(+L126*W126)),IF(T126="Impacto",L126,"")),"")</f>
        <v/>
      </c>
      <c r="AB126" s="655" t="str">
        <f>IFERROR(IF(AA126="","",IF(AA126&lt;=0.2,"Muy Baja",IF(AA126&lt;=0.4,"Baja",IF(AA126&lt;=0.6,"Media",IF(AA126&lt;=0.8,"Alta","Muy Alta"))))),"")</f>
        <v/>
      </c>
      <c r="AC126" s="656" t="str">
        <f>+AA126</f>
        <v/>
      </c>
      <c r="AD126" s="655" t="str">
        <f>IFERROR(IF(AE126="","",IF(AE126&lt;=0.2,"Leve",IF(AE126&lt;=0.4,"Menor",IF(AE126&lt;=0.6,"Moderado",IF(AE126&lt;=0.8,"Mayor","Catastrófico"))))),"")</f>
        <v>Mayor</v>
      </c>
      <c r="AE126" s="656">
        <f>IFERROR(IF(T126="Impacto",(P126-(+P126*W126)),IF(T126="Probabilidad",P126,"")),"")</f>
        <v>0.8</v>
      </c>
      <c r="AF126" s="657" t="str">
        <f>IFERROR(IF(OR(AND(AB126="Muy Baja",AD126="Leve"),AND(AB126="Muy Baja",AD126="Menor"),AND(AB126="Baja",AD126="Leve")),"Bajo",IF(OR(AND(AB126="Muy baja",AD126="Moderado"),AND(AB126="Baja",AD126="Menor"),AND(AB126="Baja",AD126="Moderado"),AND(AB126="Media",AD126="Leve"),AND(AB126="Media",AD126="Menor"),AND(AB126="Media",AD126="Moderado"),AND(AB126="Alta",AD126="Leve"),AND(AB126="Alta",AD126="Menor")),"Moderado",IF(OR(AND(AB126="Muy Baja",AD126="Mayor"),AND(AB126="Baja",AD126="Mayor"),AND(AB126="Media",AD126="Mayor"),AND(AB126="Alta",AD126="Moderado"),AND(AB126="Alta",AD126="Mayor"),AND(AB126="Muy Alta",AD126="Leve"),AND(AB126="Muy Alta",AD126="Menor"),AND(AB126="Muy Alta",AD126="Moderado"),AND(AB126="Muy Alta",AD126="Mayor")),"Alto",IF(OR(AND(AB126="Muy Baja",AD126="Catastrófico"),AND(AB126="Baja",AD126="Catastrófico"),AND(AB126="Media",AD126="Catastrófico"),AND(AB126="Alta",AD126="Catastrófico"),AND(AB126="Muy Alta",AD126="Catastrófico")),"Extremo","")))),"")</f>
        <v/>
      </c>
      <c r="AG126" s="665"/>
      <c r="AH126" s="669"/>
      <c r="AI126" s="670"/>
      <c r="AJ126" s="671"/>
      <c r="AK126" s="671"/>
      <c r="AL126" s="669"/>
      <c r="AM126" s="670"/>
      <c r="AN126" s="672"/>
      <c r="AO126" s="672"/>
      <c r="AP126" s="672"/>
      <c r="AQ126" s="672"/>
      <c r="AR126" s="672"/>
    </row>
    <row r="127" spans="1:44" s="638" customFormat="1" ht="57.75" customHeight="1" x14ac:dyDescent="0.25">
      <c r="A127" s="2606"/>
      <c r="B127" s="2636"/>
      <c r="C127" s="2636"/>
      <c r="D127" s="2711"/>
      <c r="E127" s="667" t="s">
        <v>634</v>
      </c>
      <c r="F127" s="2712"/>
      <c r="G127" s="2619"/>
      <c r="H127" s="2621"/>
      <c r="I127" s="2623"/>
      <c r="J127" s="2714"/>
      <c r="K127" s="2716"/>
      <c r="L127" s="2718"/>
      <c r="M127" s="2720"/>
      <c r="N127" s="2718">
        <f>IF(NOT(ISERROR(MATCH(M127,_xlfn.ANCHORARRAY(#REF!),0))),#REF!&amp;"Por favor no seleccionar los criterios de impacto",M127)</f>
        <v>0</v>
      </c>
      <c r="O127" s="2716"/>
      <c r="P127" s="2718"/>
      <c r="Q127" s="2722"/>
      <c r="R127" s="649">
        <v>2</v>
      </c>
      <c r="S127" s="668"/>
      <c r="T127" s="651" t="str">
        <f>IF(OR(U127="Preventivo",U127="Detectivo"),"Probabilidad",IF(U127="Correctivo","Impacto",""))</f>
        <v/>
      </c>
      <c r="U127" s="652"/>
      <c r="V127" s="652"/>
      <c r="W127" s="653" t="str">
        <f t="shared" ref="W127" si="63">IF(AND(U127="Preventivo",V127="Automático"),"50%",IF(AND(U127="Preventivo",V127="Manual"),"40%",IF(AND(U127="Detectivo",V127="Automático"),"40%",IF(AND(U127="Detectivo",V127="Manual"),"30%",IF(AND(U127="Correctivo",V127="Automático"),"35%",IF(AND(U127="Correctivo",V127="Manual"),"25%",""))))))</f>
        <v/>
      </c>
      <c r="X127" s="652"/>
      <c r="Y127" s="652"/>
      <c r="Z127" s="652"/>
      <c r="AA127" s="654" t="str">
        <f>IFERROR(IF(AND(T126="Probabilidad",T127="Probabilidad"),(AC126-(+AC126*W127)),IF(AND(T126="Impacto",T127="Probabilidad"),(L126-(+L126*W127)),IF(T127="Impacto",AC126,""))),"")</f>
        <v/>
      </c>
      <c r="AB127" s="655" t="str">
        <f t="shared" ref="AB127" si="64">IFERROR(IF(AA127="","",IF(AA127&lt;=0.2,"Muy Baja",IF(AA127&lt;=0.4,"Baja",IF(AA127&lt;=0.6,"Media",IF(AA127&lt;=0.8,"Alta","Muy Alta"))))),"")</f>
        <v/>
      </c>
      <c r="AC127" s="656" t="str">
        <f>+AA127</f>
        <v/>
      </c>
      <c r="AD127" s="655" t="str">
        <f t="shared" ref="AD127" si="65">IFERROR(IF(AE127="","",IF(AE127&lt;=0.2,"Leve",IF(AE127&lt;=0.4,"Menor",IF(AE127&lt;=0.6,"Moderado",IF(AE127&lt;=0.8,"Mayor","Catastrófico"))))),"")</f>
        <v/>
      </c>
      <c r="AE127" s="656" t="str">
        <f>IFERROR(IF(AND(T126="Impacto",T127="Impacto"),(AE126-(+AE126*W127)),IF(AND(T126="Probabilidad",T127="Impacto"),(P126-(+P126*W127)),IF(T127="Probabilidad",AE126,""))),"")</f>
        <v/>
      </c>
      <c r="AF127" s="657" t="str">
        <f t="shared" ref="AF127" si="66">IFERROR(IF(OR(AND(AB127="Muy Baja",AD127="Leve"),AND(AB127="Muy Baja",AD127="Menor"),AND(AB127="Baja",AD127="Leve")),"Bajo",IF(OR(AND(AB127="Muy baja",AD127="Moderado"),AND(AB127="Baja",AD127="Menor"),AND(AB127="Baja",AD127="Moderado"),AND(AB127="Media",AD127="Leve"),AND(AB127="Media",AD127="Menor"),AND(AB127="Media",AD127="Moderado"),AND(AB127="Alta",AD127="Leve"),AND(AB127="Alta",AD127="Menor")),"Moderado",IF(OR(AND(AB127="Muy Baja",AD127="Mayor"),AND(AB127="Baja",AD127="Mayor"),AND(AB127="Media",AD127="Mayor"),AND(AB127="Alta",AD127="Moderado"),AND(AB127="Alta",AD127="Mayor"),AND(AB127="Muy Alta",AD127="Leve"),AND(AB127="Muy Alta",AD127="Menor"),AND(AB127="Muy Alta",AD127="Moderado"),AND(AB127="Muy Alta",AD127="Mayor")),"Alto",IF(OR(AND(AB127="Muy Baja",AD127="Catastrófico"),AND(AB127="Baja",AD127="Catastrófico"),AND(AB127="Media",AD127="Catastrófico"),AND(AB127="Alta",AD127="Catastrófico"),AND(AB127="Muy Alta",AD127="Catastrófico")),"Extremo","")))),"")</f>
        <v/>
      </c>
      <c r="AG127" s="665"/>
      <c r="AH127" s="669"/>
      <c r="AI127" s="670"/>
      <c r="AJ127" s="671"/>
      <c r="AK127" s="671"/>
      <c r="AL127" s="669"/>
      <c r="AM127" s="670"/>
      <c r="AN127" s="672"/>
      <c r="AO127" s="672"/>
      <c r="AP127" s="672"/>
      <c r="AQ127" s="672"/>
      <c r="AR127" s="672"/>
    </row>
    <row r="128" spans="1:44" s="638" customFormat="1" ht="49.5" customHeight="1" x14ac:dyDescent="0.25">
      <c r="A128" s="673"/>
      <c r="B128" s="2723" t="s">
        <v>1026</v>
      </c>
      <c r="C128" s="2724"/>
      <c r="D128" s="2724"/>
      <c r="E128" s="2724"/>
      <c r="F128" s="2724"/>
      <c r="G128" s="2724"/>
      <c r="H128" s="2724"/>
      <c r="I128" s="2724"/>
      <c r="J128" s="2724"/>
      <c r="K128" s="2724"/>
      <c r="L128" s="2724"/>
      <c r="M128" s="2724"/>
      <c r="N128" s="2724"/>
      <c r="O128" s="2724"/>
      <c r="P128" s="2724"/>
      <c r="Q128" s="2724"/>
      <c r="R128" s="2724"/>
      <c r="S128" s="2724"/>
      <c r="T128" s="2724"/>
      <c r="U128" s="2724"/>
      <c r="V128" s="2724"/>
      <c r="W128" s="2724"/>
      <c r="X128" s="2724"/>
      <c r="Y128" s="2724"/>
      <c r="Z128" s="2724"/>
      <c r="AA128" s="2724"/>
      <c r="AB128" s="2724"/>
      <c r="AC128" s="2724"/>
      <c r="AD128" s="2724"/>
      <c r="AE128" s="2724"/>
      <c r="AF128" s="2724"/>
      <c r="AG128" s="2724"/>
      <c r="AH128" s="2724"/>
      <c r="AI128" s="2724"/>
      <c r="AJ128" s="2724"/>
      <c r="AK128" s="2724"/>
      <c r="AL128" s="2724"/>
      <c r="AM128" s="2725"/>
      <c r="AN128" s="674"/>
      <c r="AO128" s="674"/>
      <c r="AP128" s="674"/>
      <c r="AQ128" s="674"/>
      <c r="AR128" s="674"/>
    </row>
    <row r="129" spans="1:44" s="638" customFormat="1" ht="16.5" customHeight="1" x14ac:dyDescent="0.25">
      <c r="A129" s="2673" t="s">
        <v>156</v>
      </c>
      <c r="B129" s="2674"/>
      <c r="C129" s="2674"/>
      <c r="D129" s="2674"/>
      <c r="E129" s="2674"/>
      <c r="F129" s="2674"/>
      <c r="G129" s="2674"/>
      <c r="H129" s="2674"/>
      <c r="I129" s="2674"/>
      <c r="J129" s="2674"/>
      <c r="K129" s="2674"/>
      <c r="L129" s="2674"/>
      <c r="M129" s="2674"/>
      <c r="N129" s="2674"/>
      <c r="O129" s="2674"/>
      <c r="P129" s="2674"/>
      <c r="Q129" s="2674"/>
      <c r="R129" s="2674"/>
      <c r="S129" s="2674"/>
      <c r="T129" s="2674"/>
      <c r="U129" s="2674"/>
      <c r="V129" s="2674"/>
      <c r="W129" s="2674"/>
      <c r="X129" s="2674"/>
      <c r="Y129" s="2674"/>
      <c r="Z129" s="2674"/>
      <c r="AA129" s="2674"/>
      <c r="AB129" s="2674"/>
      <c r="AC129" s="2674"/>
      <c r="AD129" s="2674"/>
      <c r="AE129" s="2674"/>
      <c r="AF129" s="2674"/>
      <c r="AG129" s="2674"/>
      <c r="AH129" s="2674"/>
      <c r="AI129" s="2674"/>
      <c r="AJ129" s="2674"/>
      <c r="AK129" s="2674"/>
      <c r="AL129" s="2675"/>
      <c r="AM129" s="637"/>
      <c r="AN129" s="637"/>
      <c r="AO129" s="637"/>
      <c r="AP129" s="637"/>
      <c r="AQ129" s="637"/>
      <c r="AR129" s="637"/>
    </row>
    <row r="130" spans="1:44" s="638" customFormat="1" ht="24" customHeight="1" x14ac:dyDescent="0.25">
      <c r="A130" s="2676"/>
      <c r="B130" s="2677"/>
      <c r="C130" s="2677"/>
      <c r="D130" s="2677"/>
      <c r="E130" s="2677"/>
      <c r="F130" s="2677"/>
      <c r="G130" s="2677"/>
      <c r="H130" s="2677"/>
      <c r="I130" s="2677"/>
      <c r="J130" s="2677"/>
      <c r="K130" s="2677"/>
      <c r="L130" s="2677"/>
      <c r="M130" s="2677"/>
      <c r="N130" s="2677"/>
      <c r="O130" s="2677"/>
      <c r="P130" s="2677"/>
      <c r="Q130" s="2677"/>
      <c r="R130" s="2677"/>
      <c r="S130" s="2677"/>
      <c r="T130" s="2677"/>
      <c r="U130" s="2677"/>
      <c r="V130" s="2677"/>
      <c r="W130" s="2677"/>
      <c r="X130" s="2677"/>
      <c r="Y130" s="2677"/>
      <c r="Z130" s="2677"/>
      <c r="AA130" s="2677"/>
      <c r="AB130" s="2677"/>
      <c r="AC130" s="2677"/>
      <c r="AD130" s="2677"/>
      <c r="AE130" s="2677"/>
      <c r="AF130" s="2677"/>
      <c r="AG130" s="2677"/>
      <c r="AH130" s="2677"/>
      <c r="AI130" s="2677"/>
      <c r="AJ130" s="2677"/>
      <c r="AK130" s="2677"/>
      <c r="AL130" s="2678"/>
      <c r="AM130" s="637"/>
      <c r="AN130" s="637"/>
      <c r="AO130" s="637"/>
      <c r="AP130" s="637"/>
      <c r="AQ130" s="637"/>
      <c r="AR130" s="637"/>
    </row>
    <row r="131" spans="1:44" s="638" customFormat="1" x14ac:dyDescent="0.25">
      <c r="A131" s="639"/>
      <c r="B131" s="640"/>
      <c r="C131" s="639"/>
      <c r="D131" s="639"/>
      <c r="E131" s="639"/>
      <c r="F131" s="637"/>
      <c r="G131" s="637"/>
      <c r="H131" s="641"/>
      <c r="I131" s="637"/>
      <c r="J131" s="637"/>
      <c r="K131" s="637"/>
      <c r="L131" s="637"/>
      <c r="M131" s="637"/>
      <c r="N131" s="637"/>
      <c r="O131" s="637"/>
      <c r="P131" s="637"/>
      <c r="Q131" s="637"/>
      <c r="R131" s="637"/>
      <c r="S131" s="637"/>
      <c r="T131" s="637"/>
      <c r="U131" s="637"/>
      <c r="V131" s="637"/>
      <c r="W131" s="637"/>
      <c r="X131" s="637"/>
      <c r="Y131" s="637"/>
      <c r="Z131" s="637"/>
      <c r="AA131" s="637"/>
      <c r="AB131" s="637"/>
      <c r="AC131" s="637"/>
      <c r="AD131" s="637"/>
      <c r="AE131" s="637"/>
      <c r="AF131" s="637"/>
      <c r="AG131" s="637"/>
      <c r="AH131" s="637"/>
      <c r="AI131" s="637"/>
      <c r="AJ131" s="637"/>
      <c r="AK131" s="637"/>
      <c r="AL131" s="637"/>
      <c r="AM131" s="637"/>
      <c r="AN131" s="637"/>
      <c r="AO131" s="637"/>
      <c r="AP131" s="637"/>
      <c r="AQ131" s="637"/>
      <c r="AR131" s="637"/>
    </row>
    <row r="132" spans="1:44" s="638" customFormat="1" ht="26.25" customHeight="1" x14ac:dyDescent="0.25">
      <c r="A132" s="2611" t="s">
        <v>157</v>
      </c>
      <c r="B132" s="2612"/>
      <c r="C132" s="2726" t="s">
        <v>640</v>
      </c>
      <c r="D132" s="2726"/>
      <c r="E132" s="2726"/>
      <c r="F132" s="2726"/>
      <c r="G132" s="2726"/>
      <c r="H132" s="2726"/>
      <c r="I132" s="2726"/>
      <c r="J132" s="2726"/>
      <c r="K132" s="2726"/>
      <c r="L132" s="2726"/>
      <c r="M132" s="2726"/>
      <c r="N132" s="2726"/>
      <c r="O132" s="2726"/>
      <c r="P132" s="2726"/>
      <c r="Q132" s="2726"/>
      <c r="R132" s="2726"/>
      <c r="S132" s="2726"/>
      <c r="T132" s="2726"/>
      <c r="U132" s="2726"/>
      <c r="V132" s="2726"/>
      <c r="W132" s="2726"/>
      <c r="X132" s="2726"/>
      <c r="Y132" s="2726"/>
      <c r="Z132" s="2726"/>
      <c r="AA132" s="2726"/>
      <c r="AB132" s="2726"/>
      <c r="AC132" s="2726"/>
      <c r="AD132" s="2726"/>
      <c r="AE132" s="2726"/>
      <c r="AF132" s="2726"/>
      <c r="AG132" s="2726"/>
      <c r="AH132" s="2726"/>
      <c r="AI132" s="2726"/>
      <c r="AJ132" s="2726"/>
      <c r="AK132" s="2726"/>
      <c r="AL132" s="2726"/>
      <c r="AM132" s="637"/>
      <c r="AN132" s="637"/>
      <c r="AO132" s="637"/>
      <c r="AP132" s="637"/>
      <c r="AQ132" s="637"/>
      <c r="AR132" s="637"/>
    </row>
    <row r="133" spans="1:44" s="638" customFormat="1" ht="65.25" customHeight="1" x14ac:dyDescent="0.25">
      <c r="A133" s="2611" t="s">
        <v>158</v>
      </c>
      <c r="B133" s="2612"/>
      <c r="C133" s="2727" t="s">
        <v>641</v>
      </c>
      <c r="D133" s="2727"/>
      <c r="E133" s="2727"/>
      <c r="F133" s="2727"/>
      <c r="G133" s="2727"/>
      <c r="H133" s="2727"/>
      <c r="I133" s="2727"/>
      <c r="J133" s="2727"/>
      <c r="K133" s="2727"/>
      <c r="L133" s="2727"/>
      <c r="M133" s="2727"/>
      <c r="N133" s="2727"/>
      <c r="O133" s="2727"/>
      <c r="P133" s="2727"/>
      <c r="Q133" s="2727"/>
      <c r="R133" s="2727"/>
      <c r="S133" s="2727"/>
      <c r="T133" s="2727"/>
      <c r="U133" s="2727"/>
      <c r="V133" s="2727"/>
      <c r="W133" s="2727"/>
      <c r="X133" s="2727"/>
      <c r="Y133" s="2727"/>
      <c r="Z133" s="2727"/>
      <c r="AA133" s="2727"/>
      <c r="AB133" s="2727"/>
      <c r="AC133" s="2727"/>
      <c r="AD133" s="2727"/>
      <c r="AE133" s="2727"/>
      <c r="AF133" s="2727"/>
      <c r="AG133" s="2727"/>
      <c r="AH133" s="2727"/>
      <c r="AI133" s="2727"/>
      <c r="AJ133" s="2727"/>
      <c r="AK133" s="2727"/>
      <c r="AL133" s="2727"/>
      <c r="AM133" s="637"/>
      <c r="AN133" s="637"/>
      <c r="AO133" s="637"/>
      <c r="AP133" s="637"/>
      <c r="AQ133" s="637"/>
      <c r="AR133" s="637"/>
    </row>
    <row r="134" spans="1:44" s="638" customFormat="1" ht="49.5" customHeight="1" x14ac:dyDescent="0.25">
      <c r="A134" s="2611" t="s">
        <v>159</v>
      </c>
      <c r="B134" s="2612"/>
      <c r="C134" s="2727" t="s">
        <v>642</v>
      </c>
      <c r="D134" s="2727"/>
      <c r="E134" s="2727"/>
      <c r="F134" s="2727"/>
      <c r="G134" s="2727"/>
      <c r="H134" s="2727"/>
      <c r="I134" s="2727"/>
      <c r="J134" s="2727"/>
      <c r="K134" s="2727"/>
      <c r="L134" s="2727"/>
      <c r="M134" s="2727"/>
      <c r="N134" s="2727"/>
      <c r="O134" s="2727"/>
      <c r="P134" s="2727"/>
      <c r="Q134" s="2727"/>
      <c r="R134" s="2727"/>
      <c r="S134" s="2727"/>
      <c r="T134" s="2727"/>
      <c r="U134" s="2727"/>
      <c r="V134" s="2727"/>
      <c r="W134" s="2727"/>
      <c r="X134" s="2727"/>
      <c r="Y134" s="2727"/>
      <c r="Z134" s="2727"/>
      <c r="AA134" s="2727"/>
      <c r="AB134" s="2727"/>
      <c r="AC134" s="2727"/>
      <c r="AD134" s="2727"/>
      <c r="AE134" s="2727"/>
      <c r="AF134" s="2727"/>
      <c r="AG134" s="2727"/>
      <c r="AH134" s="2727"/>
      <c r="AI134" s="2727"/>
      <c r="AJ134" s="2727"/>
      <c r="AK134" s="2727"/>
      <c r="AL134" s="2727"/>
      <c r="AM134" s="637"/>
      <c r="AN134" s="637"/>
      <c r="AO134" s="637"/>
      <c r="AP134" s="637"/>
      <c r="AQ134" s="637"/>
      <c r="AR134" s="637"/>
    </row>
    <row r="135" spans="1:44" s="638" customFormat="1" x14ac:dyDescent="0.25">
      <c r="A135" s="2682" t="s">
        <v>160</v>
      </c>
      <c r="B135" s="2683"/>
      <c r="C135" s="2684"/>
      <c r="D135" s="2684"/>
      <c r="E135" s="2684"/>
      <c r="F135" s="2684"/>
      <c r="G135" s="2684"/>
      <c r="H135" s="2684"/>
      <c r="I135" s="2685"/>
      <c r="J135" s="2686" t="s">
        <v>161</v>
      </c>
      <c r="K135" s="2684"/>
      <c r="L135" s="2684"/>
      <c r="M135" s="2684"/>
      <c r="N135" s="2684"/>
      <c r="O135" s="2684"/>
      <c r="P135" s="2685"/>
      <c r="Q135" s="2686" t="s">
        <v>162</v>
      </c>
      <c r="R135" s="2684"/>
      <c r="S135" s="2684"/>
      <c r="T135" s="2684"/>
      <c r="U135" s="2684"/>
      <c r="V135" s="2684"/>
      <c r="W135" s="2684"/>
      <c r="X135" s="2684"/>
      <c r="Y135" s="2685"/>
      <c r="Z135" s="2686" t="s">
        <v>163</v>
      </c>
      <c r="AA135" s="2684"/>
      <c r="AB135" s="2684"/>
      <c r="AC135" s="2684"/>
      <c r="AD135" s="2684"/>
      <c r="AE135" s="2684"/>
      <c r="AF135" s="2685"/>
      <c r="AG135" s="2686" t="s">
        <v>164</v>
      </c>
      <c r="AH135" s="2684"/>
      <c r="AI135" s="2684"/>
      <c r="AJ135" s="2684"/>
      <c r="AK135" s="2684"/>
      <c r="AL135" s="2685"/>
      <c r="AM135" s="637"/>
      <c r="AN135" s="637"/>
      <c r="AO135" s="637"/>
      <c r="AP135" s="637"/>
      <c r="AQ135" s="637"/>
      <c r="AR135" s="637"/>
    </row>
    <row r="136" spans="1:44" ht="69.599999999999994" customHeight="1" x14ac:dyDescent="0.3">
      <c r="A136" s="2687" t="s">
        <v>165</v>
      </c>
      <c r="B136" s="2689" t="s">
        <v>142</v>
      </c>
      <c r="C136" s="2690" t="s">
        <v>166</v>
      </c>
      <c r="D136" s="2690" t="s">
        <v>167</v>
      </c>
      <c r="E136" s="2691" t="s">
        <v>168</v>
      </c>
      <c r="F136" s="2693" t="s">
        <v>60</v>
      </c>
      <c r="G136" s="685" t="s">
        <v>511</v>
      </c>
      <c r="H136" s="2694" t="s">
        <v>190</v>
      </c>
      <c r="I136" s="2691" t="s">
        <v>169</v>
      </c>
      <c r="J136" s="2690" t="s">
        <v>170</v>
      </c>
      <c r="K136" s="2692" t="s">
        <v>171</v>
      </c>
      <c r="L136" s="2695" t="s">
        <v>172</v>
      </c>
      <c r="M136" s="2691" t="s">
        <v>173</v>
      </c>
      <c r="N136" s="2691" t="s">
        <v>174</v>
      </c>
      <c r="O136" s="2696" t="s">
        <v>175</v>
      </c>
      <c r="P136" s="2695" t="s">
        <v>172</v>
      </c>
      <c r="Q136" s="2690" t="s">
        <v>176</v>
      </c>
      <c r="R136" s="2637" t="s">
        <v>177</v>
      </c>
      <c r="S136" s="2632" t="s">
        <v>178</v>
      </c>
      <c r="T136" s="2691" t="s">
        <v>179</v>
      </c>
      <c r="U136" s="2632" t="s">
        <v>180</v>
      </c>
      <c r="V136" s="2632"/>
      <c r="W136" s="2632"/>
      <c r="X136" s="2632"/>
      <c r="Y136" s="2632"/>
      <c r="Z136" s="2632"/>
      <c r="AA136" s="2613" t="s">
        <v>181</v>
      </c>
      <c r="AB136" s="2613" t="s">
        <v>182</v>
      </c>
      <c r="AC136" s="2613" t="s">
        <v>172</v>
      </c>
      <c r="AD136" s="2613" t="s">
        <v>183</v>
      </c>
      <c r="AE136" s="2613" t="s">
        <v>172</v>
      </c>
      <c r="AF136" s="2613" t="s">
        <v>184</v>
      </c>
      <c r="AG136" s="2637" t="s">
        <v>185</v>
      </c>
      <c r="AH136" s="2632" t="s">
        <v>164</v>
      </c>
      <c r="AI136" s="2632" t="s">
        <v>143</v>
      </c>
      <c r="AJ136" s="2632" t="s">
        <v>186</v>
      </c>
      <c r="AK136" s="2632" t="s">
        <v>187</v>
      </c>
      <c r="AL136" s="2632" t="s">
        <v>188</v>
      </c>
      <c r="AM136" s="2632" t="s">
        <v>189</v>
      </c>
    </row>
    <row r="137" spans="1:44" ht="69.599999999999994" customHeight="1" x14ac:dyDescent="0.3">
      <c r="A137" s="2688"/>
      <c r="B137" s="2689"/>
      <c r="C137" s="2632"/>
      <c r="D137" s="2632"/>
      <c r="E137" s="2692"/>
      <c r="F137" s="2694"/>
      <c r="G137" s="686"/>
      <c r="H137" s="2744"/>
      <c r="I137" s="2690"/>
      <c r="J137" s="2632"/>
      <c r="K137" s="2690"/>
      <c r="L137" s="2686"/>
      <c r="M137" s="2690"/>
      <c r="N137" s="2690"/>
      <c r="O137" s="2686"/>
      <c r="P137" s="2686"/>
      <c r="Q137" s="2632"/>
      <c r="R137" s="2638"/>
      <c r="S137" s="2632"/>
      <c r="T137" s="2690"/>
      <c r="U137" s="647" t="s">
        <v>191</v>
      </c>
      <c r="V137" s="647" t="s">
        <v>192</v>
      </c>
      <c r="W137" s="647" t="s">
        <v>193</v>
      </c>
      <c r="X137" s="647" t="s">
        <v>194</v>
      </c>
      <c r="Y137" s="647" t="s">
        <v>195</v>
      </c>
      <c r="Z137" s="647" t="s">
        <v>196</v>
      </c>
      <c r="AA137" s="2613"/>
      <c r="AB137" s="2613"/>
      <c r="AC137" s="2613"/>
      <c r="AD137" s="2613"/>
      <c r="AE137" s="2613"/>
      <c r="AF137" s="2613"/>
      <c r="AG137" s="2638"/>
      <c r="AH137" s="2632"/>
      <c r="AI137" s="2632"/>
      <c r="AJ137" s="2632"/>
      <c r="AK137" s="2632"/>
      <c r="AL137" s="2632"/>
      <c r="AM137" s="2632"/>
    </row>
    <row r="138" spans="1:44" ht="69.599999999999994" customHeight="1" x14ac:dyDescent="0.3">
      <c r="A138" s="2605">
        <v>1</v>
      </c>
      <c r="B138" s="2608" t="s">
        <v>209</v>
      </c>
      <c r="C138" s="2608" t="s">
        <v>444</v>
      </c>
      <c r="D138" s="2728" t="s">
        <v>445</v>
      </c>
      <c r="E138" s="2731" t="s">
        <v>446</v>
      </c>
      <c r="F138" s="2704" t="s">
        <v>447</v>
      </c>
      <c r="G138" s="2733" t="s">
        <v>512</v>
      </c>
      <c r="H138" s="2704" t="s">
        <v>448</v>
      </c>
      <c r="I138" s="2705" t="s">
        <v>198</v>
      </c>
      <c r="J138" s="2624">
        <v>360</v>
      </c>
      <c r="K138" s="2626" t="str">
        <f>IF(J138&lt;=0,"",IF(J138&lt;=2,"Muy Baja",IF(J138&lt;=24,"Baja",IF(J138&lt;=500,"Media",IF(J138&lt;=5000,"Alta","Muy Alta")))))</f>
        <v>Media</v>
      </c>
      <c r="L138" s="2628">
        <f>IF(K138="","",IF(K138="Muy Baja",0.2,IF(K138="Baja",0.4,IF(K138="Media",0.6,IF(K138="Alta",0.8,IF(K138="Muy Alta",1,))))))</f>
        <v>0.6</v>
      </c>
      <c r="M138" s="2630" t="s">
        <v>303</v>
      </c>
      <c r="N138" s="2628" t="str">
        <f>IF(NOT(ISERROR(MATCH(M138,'[31]Tabla Impacto'!$B$221:$B$223,0))),'[31]Tabla Impacto'!$F$223&amp;"Por favor no seleccionar los criterios de impacto(Afectación Económica o presupuestal y Pérdida Reputacional)",M138)</f>
        <v xml:space="preserve">     El riesgo afecta la imagen de la entidad a nivel nacional, con efecto publicitarios sostenible a nivel país</v>
      </c>
      <c r="O138" s="2626" t="str">
        <f>IF(OR(N138='[31]Tabla Impacto'!$C$11,N138='[31]Tabla Impacto'!$D$11),"Leve",IF(OR(N138='[31]Tabla Impacto'!$C$12,N138='[31]Tabla Impacto'!$D$12),"Menor",IF(OR(N138='[31]Tabla Impacto'!$C$13,N138='[31]Tabla Impacto'!$D$13),"Moderado",IF(OR(N138='[31]Tabla Impacto'!$C$14,N138='[31]Tabla Impacto'!$D$14),"Mayor",IF(OR(N138='[31]Tabla Impacto'!$C$15,N138='[31]Tabla Impacto'!$D$15),"Catastrófico","")))))</f>
        <v>Catastrófico</v>
      </c>
      <c r="P138" s="2628">
        <f>IF(O138="","",IF(O138="Leve",0.2,IF(O138="Menor",0.4,IF(O138="Moderado",0.6,IF(O138="Mayor",0.8,IF(O138="Catastrófico",1,))))))</f>
        <v>1</v>
      </c>
      <c r="Q138" s="2633" t="str">
        <f>IF(OR(AND(K138="Muy Baja",O138="Leve"),AND(K138="Muy Baja",O138="Menor"),AND(K138="Baja",O138="Leve")),"Bajo",IF(OR(AND(K138="Muy baja",O138="Moderado"),AND(K138="Baja",O138="Menor"),AND(K138="Baja",O138="Moderado"),AND(K138="Media",O138="Leve"),AND(K138="Media",O138="Menor"),AND(K138="Media",O138="Moderado"),AND(K138="Alta",O138="Leve"),AND(K138="Alta",O138="Menor")),"Moderado",IF(OR(AND(K138="Muy Baja",O138="Mayor"),AND(K138="Baja",O138="Mayor"),AND(K138="Media",O138="Mayor"),AND(K138="Alta",O138="Moderado"),AND(K138="Alta",O138="Mayor"),AND(K138="Muy Alta",O138="Leve"),AND(K138="Muy Alta",O138="Menor"),AND(K138="Muy Alta",O138="Moderado"),AND(K138="Muy Alta",O138="Mayor")),"Alto",IF(OR(AND(K138="Muy Baja",O138="Catastrófico"),AND(K138="Baja",O138="Catastrófico"),AND(K138="Media",O138="Catastrófico"),AND(K138="Alta",O138="Catastrófico"),AND(K138="Muy Alta",O138="Catastrófico")),"Extremo",""))))</f>
        <v>Extremo</v>
      </c>
      <c r="R138" s="649">
        <v>1</v>
      </c>
      <c r="S138" s="664" t="s">
        <v>449</v>
      </c>
      <c r="T138" s="651" t="str">
        <f>IF(OR(U138="Preventivo",U138="Detectivo"),"Probabilidad",IF(U138="Correctivo","Impacto",""))</f>
        <v>Probabilidad</v>
      </c>
      <c r="U138" s="652" t="s">
        <v>200</v>
      </c>
      <c r="V138" s="652" t="s">
        <v>201</v>
      </c>
      <c r="W138" s="653" t="str">
        <f>IF(AND(U138="Preventivo",V138="Automático"),"50%",IF(AND(U138="Preventivo",V138="Manual"),"40%",IF(AND(U138="Detectivo",V138="Automático"),"40%",IF(AND(U138="Detectivo",V138="Manual"),"30%",IF(AND(U138="Correctivo",V138="Automático"),"35%",IF(AND(U138="Correctivo",V138="Manual"),"25%",""))))))</f>
        <v>30%</v>
      </c>
      <c r="X138" s="652" t="s">
        <v>202</v>
      </c>
      <c r="Y138" s="652" t="s">
        <v>203</v>
      </c>
      <c r="Z138" s="652" t="s">
        <v>204</v>
      </c>
      <c r="AA138" s="654">
        <f>IFERROR(IF(T138="Probabilidad",(L138-(+L138*W138)),IF(T138="Impacto",L138,"")),"")</f>
        <v>0.42</v>
      </c>
      <c r="AB138" s="655" t="str">
        <f>IFERROR(IF(AA138="","",IF(AA138&lt;=0.2,"Muy Baja",IF(AA138&lt;=0.4,"Baja",IF(AA138&lt;=0.6,"Media",IF(AA138&lt;=0.8,"Alta","Muy Alta"))))),"")</f>
        <v>Media</v>
      </c>
      <c r="AC138" s="656">
        <f>+AA138</f>
        <v>0.42</v>
      </c>
      <c r="AD138" s="655" t="str">
        <f>IFERROR(IF(AE138="","",IF(AE138&lt;=0.2,"Leve",IF(AE138&lt;=0.4,"Menor",IF(AE138&lt;=0.6,"Moderado",IF(AE138&lt;=0.8,"Mayor","Catastrófico"))))),"")</f>
        <v>Catastrófico</v>
      </c>
      <c r="AE138" s="656">
        <f>IFERROR(IF(T138="Impacto",(P138-(+P138*W138)),IF(T138="Probabilidad",P138,"")),"")</f>
        <v>1</v>
      </c>
      <c r="AF138" s="657" t="str">
        <f>IFERROR(IF(OR(AND(AB138="Muy Baja",AD138="Leve"),AND(AB138="Muy Baja",AD138="Menor"),AND(AB138="Baja",AD138="Leve")),"Bajo",IF(OR(AND(AB138="Muy baja",AD138="Moderado"),AND(AB138="Baja",AD138="Menor"),AND(AB138="Baja",AD138="Moderado"),AND(AB138="Media",AD138="Leve"),AND(AB138="Media",AD138="Menor"),AND(AB138="Media",AD138="Moderado"),AND(AB138="Alta",AD138="Leve"),AND(AB138="Alta",AD138="Menor")),"Moderado",IF(OR(AND(AB138="Muy Baja",AD138="Mayor"),AND(AB138="Baja",AD138="Mayor"),AND(AB138="Media",AD138="Mayor"),AND(AB138="Alta",AD138="Moderado"),AND(AB138="Alta",AD138="Mayor"),AND(AB138="Muy Alta",AD138="Leve"),AND(AB138="Muy Alta",AD138="Menor"),AND(AB138="Muy Alta",AD138="Moderado"),AND(AB138="Muy Alta",AD138="Mayor")),"Alto",IF(OR(AND(AB138="Muy Baja",AD138="Catastrófico"),AND(AB138="Baja",AD138="Catastrófico"),AND(AB138="Media",AD138="Catastrófico"),AND(AB138="Alta",AD138="Catastrófico"),AND(AB138="Muy Alta",AD138="Catastrófico")),"Extremo","")))),"")</f>
        <v>Extremo</v>
      </c>
      <c r="AG138" s="665"/>
      <c r="AH138" s="2608" t="s">
        <v>450</v>
      </c>
      <c r="AI138" s="2624" t="s">
        <v>451</v>
      </c>
      <c r="AJ138" s="2741">
        <v>45444</v>
      </c>
      <c r="AK138" s="2741" t="s">
        <v>643</v>
      </c>
      <c r="AL138" s="675" t="s">
        <v>644</v>
      </c>
      <c r="AM138" s="676" t="s">
        <v>206</v>
      </c>
    </row>
    <row r="139" spans="1:44" ht="69.599999999999994" customHeight="1" x14ac:dyDescent="0.3">
      <c r="A139" s="2606"/>
      <c r="B139" s="2609"/>
      <c r="C139" s="2609"/>
      <c r="D139" s="2729"/>
      <c r="E139" s="2732"/>
      <c r="F139" s="2704"/>
      <c r="G139" s="2734"/>
      <c r="H139" s="2704"/>
      <c r="I139" s="2706"/>
      <c r="J139" s="2625"/>
      <c r="K139" s="2627"/>
      <c r="L139" s="2629"/>
      <c r="M139" s="2631"/>
      <c r="N139" s="2629">
        <f>IF(NOT(ISERROR(MATCH(M139,_xlfn.ANCHORARRAY(G150),0))),L152&amp;"Por favor no seleccionar los criterios de impacto",M139)</f>
        <v>0</v>
      </c>
      <c r="O139" s="2627"/>
      <c r="P139" s="2629"/>
      <c r="Q139" s="2634"/>
      <c r="R139" s="649">
        <v>2</v>
      </c>
      <c r="S139" s="668" t="s">
        <v>452</v>
      </c>
      <c r="T139" s="651" t="str">
        <f t="shared" ref="T139:T143" si="67">IF(OR(U139="Preventivo",U139="Detectivo"),"Probabilidad",IF(U139="Correctivo","Impacto",""))</f>
        <v>Probabilidad</v>
      </c>
      <c r="U139" s="652" t="s">
        <v>200</v>
      </c>
      <c r="V139" s="652" t="s">
        <v>201</v>
      </c>
      <c r="W139" s="653" t="str">
        <f t="shared" ref="W139:W143" si="68">IF(AND(U139="Preventivo",V139="Automático"),"50%",IF(AND(U139="Preventivo",V139="Manual"),"40%",IF(AND(U139="Detectivo",V139="Automático"),"40%",IF(AND(U139="Detectivo",V139="Manual"),"30%",IF(AND(U139="Correctivo",V139="Automático"),"35%",IF(AND(U139="Correctivo",V139="Manual"),"25%",""))))))</f>
        <v>30%</v>
      </c>
      <c r="X139" s="652" t="s">
        <v>208</v>
      </c>
      <c r="Y139" s="652" t="s">
        <v>203</v>
      </c>
      <c r="Z139" s="652" t="s">
        <v>204</v>
      </c>
      <c r="AA139" s="654">
        <f>IFERROR(IF(AND(T138="Probabilidad",T139="Probabilidad"),(AC138-(+AC138*W139)),IF(AND(T138="Impacto",T139="Probabilidad"),(AC137-(+AC137*W139)),IF(T139="Impacto",AC138,""))),"")</f>
        <v>0.29399999999999998</v>
      </c>
      <c r="AB139" s="655" t="str">
        <f t="shared" ref="AB139:AB143" si="69">IFERROR(IF(AA139="","",IF(AA139&lt;=0.2,"Muy Baja",IF(AA139&lt;=0.4,"Baja",IF(AA139&lt;=0.6,"Media",IF(AA139&lt;=0.8,"Alta","Muy Alta"))))),"")</f>
        <v>Baja</v>
      </c>
      <c r="AC139" s="656">
        <f t="shared" ref="AC139:AC143" si="70">+AA139</f>
        <v>0.29399999999999998</v>
      </c>
      <c r="AD139" s="677" t="str">
        <f t="shared" ref="AD139:AD143" si="71">IFERROR(IF(AE139="","",IF(AE139&lt;=0.2,"Leve",IF(AE139&lt;=0.4,"Menor",IF(AE139&lt;=0.6,"Moderado",IF(AE139&lt;=0.8,"Mayor","Catastrófico"))))),"")</f>
        <v>Catastrófico</v>
      </c>
      <c r="AE139" s="678">
        <f>IFERROR(IF(AND(T138="Impacto",T139="Impacto"),(AE138-(+AE138*W139)),IF(AND(T138="Probabilidad",T139="Impacto"),(AE137-(+AE137*W139)),IF(T139="Probabilidad",AE138,""))),"")</f>
        <v>1</v>
      </c>
      <c r="AF139" s="657" t="str">
        <f t="shared" ref="AF139:AF143" si="72">IFERROR(IF(OR(AND(AB139="Muy Baja",AD139="Leve"),AND(AB139="Muy Baja",AD139="Menor"),AND(AB139="Baja",AD139="Leve")),"Bajo",IF(OR(AND(AB139="Muy baja",AD139="Moderado"),AND(AB139="Baja",AD139="Menor"),AND(AB139="Baja",AD139="Moderado"),AND(AB139="Media",AD139="Leve"),AND(AB139="Media",AD139="Menor"),AND(AB139="Media",AD139="Moderado"),AND(AB139="Alta",AD139="Leve"),AND(AB139="Alta",AD139="Menor")),"Moderado",IF(OR(AND(AB139="Muy Baja",AD139="Mayor"),AND(AB139="Baja",AD139="Mayor"),AND(AB139="Media",AD139="Mayor"),AND(AB139="Alta",AD139="Moderado"),AND(AB139="Alta",AD139="Mayor"),AND(AB139="Muy Alta",AD139="Leve"),AND(AB139="Muy Alta",AD139="Menor"),AND(AB139="Muy Alta",AD139="Moderado"),AND(AB139="Muy Alta",AD139="Mayor")),"Alto",IF(OR(AND(AB139="Muy Baja",AD139="Catastrófico"),AND(AB139="Baja",AD139="Catastrófico"),AND(AB139="Media",AD139="Catastrófico"),AND(AB139="Alta",AD139="Catastrófico"),AND(AB139="Muy Alta",AD139="Catastrófico")),"Extremo","")))),"")</f>
        <v>Extremo</v>
      </c>
      <c r="AG139" s="665"/>
      <c r="AH139" s="2609"/>
      <c r="AI139" s="2625"/>
      <c r="AJ139" s="2742"/>
      <c r="AK139" s="2742"/>
      <c r="AL139" s="669" t="s">
        <v>1097</v>
      </c>
      <c r="AM139" s="670" t="s">
        <v>206</v>
      </c>
    </row>
    <row r="140" spans="1:44" ht="69.599999999999994" customHeight="1" x14ac:dyDescent="0.3">
      <c r="A140" s="2606"/>
      <c r="B140" s="2609"/>
      <c r="C140" s="2609"/>
      <c r="D140" s="2729"/>
      <c r="E140" s="679" t="s">
        <v>453</v>
      </c>
      <c r="F140" s="2704"/>
      <c r="G140" s="2734"/>
      <c r="H140" s="2704"/>
      <c r="I140" s="2706"/>
      <c r="J140" s="2625"/>
      <c r="K140" s="2627"/>
      <c r="L140" s="2629"/>
      <c r="M140" s="2631"/>
      <c r="N140" s="2629">
        <f>IF(NOT(ISERROR(MATCH(M140,_xlfn.ANCHORARRAY(G151),0))),L153&amp;"Por favor no seleccionar los criterios de impacto",M140)</f>
        <v>0</v>
      </c>
      <c r="O140" s="2627"/>
      <c r="P140" s="2629"/>
      <c r="Q140" s="2634"/>
      <c r="R140" s="649">
        <v>3</v>
      </c>
      <c r="S140" s="680" t="s">
        <v>454</v>
      </c>
      <c r="T140" s="651" t="str">
        <f t="shared" si="67"/>
        <v>Probabilidad</v>
      </c>
      <c r="U140" s="652" t="s">
        <v>207</v>
      </c>
      <c r="V140" s="652" t="s">
        <v>201</v>
      </c>
      <c r="W140" s="653" t="str">
        <f t="shared" si="68"/>
        <v>40%</v>
      </c>
      <c r="X140" s="652" t="s">
        <v>208</v>
      </c>
      <c r="Y140" s="652" t="s">
        <v>203</v>
      </c>
      <c r="Z140" s="652" t="s">
        <v>204</v>
      </c>
      <c r="AA140" s="654">
        <f t="shared" ref="AA140:AA143" si="73">IFERROR(IF(AND(T139="Probabilidad",T140="Probabilidad"),(AC139-(+AC139*W140)),IF(AND(T139="Impacto",T140="Probabilidad"),(AC138-(+AC138*W140)),IF(T140="Impacto",AC139,""))),"")</f>
        <v>0.1764</v>
      </c>
      <c r="AB140" s="655" t="str">
        <f t="shared" si="69"/>
        <v>Muy Baja</v>
      </c>
      <c r="AC140" s="656">
        <f t="shared" si="70"/>
        <v>0.1764</v>
      </c>
      <c r="AD140" s="677" t="str">
        <f t="shared" si="71"/>
        <v>Catastrófico</v>
      </c>
      <c r="AE140" s="678">
        <f t="shared" ref="AE140:AE143" si="74">IFERROR(IF(AND(T139="Impacto",T140="Impacto"),(AE139-(+AE139*W140)),IF(AND(T139="Probabilidad",T140="Impacto"),(AE138-(+AE138*W140)),IF(T140="Probabilidad",AE139,""))),"")</f>
        <v>1</v>
      </c>
      <c r="AF140" s="657" t="str">
        <f t="shared" si="72"/>
        <v>Extremo</v>
      </c>
      <c r="AG140" s="665"/>
      <c r="AH140" s="2610"/>
      <c r="AI140" s="2736"/>
      <c r="AJ140" s="2743"/>
      <c r="AK140" s="2743"/>
      <c r="AL140" s="669"/>
      <c r="AM140" s="670"/>
    </row>
    <row r="141" spans="1:44" ht="69.599999999999994" customHeight="1" x14ac:dyDescent="0.3">
      <c r="A141" s="2606"/>
      <c r="B141" s="2609"/>
      <c r="C141" s="2609"/>
      <c r="D141" s="2729"/>
      <c r="E141" s="679" t="s">
        <v>455</v>
      </c>
      <c r="F141" s="2704"/>
      <c r="G141" s="2734"/>
      <c r="H141" s="2704"/>
      <c r="I141" s="2706"/>
      <c r="J141" s="2625"/>
      <c r="K141" s="2627"/>
      <c r="L141" s="2629"/>
      <c r="M141" s="2631"/>
      <c r="N141" s="2629">
        <f>IF(NOT(ISERROR(MATCH(M141,_xlfn.ANCHORARRAY(G152),0))),L154&amp;"Por favor no seleccionar los criterios de impacto",M141)</f>
        <v>0</v>
      </c>
      <c r="O141" s="2627"/>
      <c r="P141" s="2629"/>
      <c r="Q141" s="2634"/>
      <c r="R141" s="649">
        <v>4</v>
      </c>
      <c r="S141" s="681" t="s">
        <v>456</v>
      </c>
      <c r="T141" s="651" t="str">
        <f t="shared" si="67"/>
        <v>Impacto</v>
      </c>
      <c r="U141" s="652" t="s">
        <v>308</v>
      </c>
      <c r="V141" s="652" t="s">
        <v>201</v>
      </c>
      <c r="W141" s="653" t="str">
        <f t="shared" si="68"/>
        <v>25%</v>
      </c>
      <c r="X141" s="652" t="s">
        <v>208</v>
      </c>
      <c r="Y141" s="652" t="s">
        <v>210</v>
      </c>
      <c r="Z141" s="652" t="s">
        <v>204</v>
      </c>
      <c r="AA141" s="654">
        <f t="shared" si="73"/>
        <v>0.1764</v>
      </c>
      <c r="AB141" s="655" t="str">
        <f t="shared" si="69"/>
        <v>Muy Baja</v>
      </c>
      <c r="AC141" s="656">
        <f t="shared" si="70"/>
        <v>0.1764</v>
      </c>
      <c r="AD141" s="677" t="str">
        <f t="shared" si="71"/>
        <v>Mayor</v>
      </c>
      <c r="AE141" s="678">
        <f t="shared" si="74"/>
        <v>0.75</v>
      </c>
      <c r="AF141" s="657" t="str">
        <f t="shared" si="72"/>
        <v>Alto</v>
      </c>
      <c r="AG141" s="665"/>
      <c r="AH141" s="682" t="s">
        <v>457</v>
      </c>
      <c r="AI141" s="669" t="s">
        <v>451</v>
      </c>
      <c r="AJ141" s="671"/>
      <c r="AK141" s="683" t="s">
        <v>645</v>
      </c>
      <c r="AL141" s="669" t="s">
        <v>155</v>
      </c>
      <c r="AM141" s="670" t="s">
        <v>206</v>
      </c>
    </row>
    <row r="142" spans="1:44" ht="69.599999999999994" customHeight="1" x14ac:dyDescent="0.3">
      <c r="A142" s="2606"/>
      <c r="B142" s="2609"/>
      <c r="C142" s="2609"/>
      <c r="D142" s="2729"/>
      <c r="E142" s="684" t="s">
        <v>458</v>
      </c>
      <c r="F142" s="2704"/>
      <c r="G142" s="2734"/>
      <c r="H142" s="2704"/>
      <c r="I142" s="2706"/>
      <c r="J142" s="2625"/>
      <c r="K142" s="2627"/>
      <c r="L142" s="2629"/>
      <c r="M142" s="2631"/>
      <c r="N142" s="2629">
        <f>IF(NOT(ISERROR(MATCH(M142,_xlfn.ANCHORARRAY(G153),0))),L155&amp;"Por favor no seleccionar los criterios de impacto",M142)</f>
        <v>0</v>
      </c>
      <c r="O142" s="2627"/>
      <c r="P142" s="2629"/>
      <c r="Q142" s="2634"/>
      <c r="R142" s="649">
        <v>5</v>
      </c>
      <c r="S142" s="668" t="s">
        <v>459</v>
      </c>
      <c r="T142" s="651" t="str">
        <f t="shared" si="67"/>
        <v>Probabilidad</v>
      </c>
      <c r="U142" s="652" t="s">
        <v>207</v>
      </c>
      <c r="V142" s="652" t="s">
        <v>201</v>
      </c>
      <c r="W142" s="653" t="str">
        <f t="shared" si="68"/>
        <v>40%</v>
      </c>
      <c r="X142" s="652" t="s">
        <v>208</v>
      </c>
      <c r="Y142" s="652" t="s">
        <v>203</v>
      </c>
      <c r="Z142" s="652" t="s">
        <v>204</v>
      </c>
      <c r="AA142" s="654">
        <f t="shared" si="73"/>
        <v>0.10584</v>
      </c>
      <c r="AB142" s="655" t="s">
        <v>460</v>
      </c>
      <c r="AC142" s="656">
        <f t="shared" si="70"/>
        <v>0.10584</v>
      </c>
      <c r="AD142" s="677" t="s">
        <v>461</v>
      </c>
      <c r="AE142" s="678">
        <f t="shared" si="74"/>
        <v>0.75</v>
      </c>
      <c r="AF142" s="657" t="s">
        <v>462</v>
      </c>
      <c r="AG142" s="665"/>
      <c r="AH142" s="669" t="s">
        <v>463</v>
      </c>
      <c r="AI142" s="669" t="s">
        <v>464</v>
      </c>
      <c r="AJ142" s="683"/>
      <c r="AK142" s="683" t="s">
        <v>646</v>
      </c>
      <c r="AL142" s="669" t="s">
        <v>465</v>
      </c>
      <c r="AM142" s="670" t="s">
        <v>295</v>
      </c>
    </row>
    <row r="143" spans="1:44" ht="69.599999999999994" customHeight="1" x14ac:dyDescent="0.3">
      <c r="A143" s="2607"/>
      <c r="B143" s="2610"/>
      <c r="C143" s="2610"/>
      <c r="D143" s="2730"/>
      <c r="E143" s="684"/>
      <c r="F143" s="2704"/>
      <c r="G143" s="2734"/>
      <c r="H143" s="2704"/>
      <c r="I143" s="2735"/>
      <c r="J143" s="2736"/>
      <c r="K143" s="2737"/>
      <c r="L143" s="2738"/>
      <c r="M143" s="2739"/>
      <c r="N143" s="2738">
        <f>IF(NOT(ISERROR(MATCH(M143,_xlfn.ANCHORARRAY(G154),0))),L156&amp;"Por favor no seleccionar los criterios de impacto",M143)</f>
        <v>0</v>
      </c>
      <c r="O143" s="2737"/>
      <c r="P143" s="2738"/>
      <c r="Q143" s="2740"/>
      <c r="R143" s="649">
        <v>6</v>
      </c>
      <c r="S143" s="668"/>
      <c r="T143" s="651" t="str">
        <f t="shared" si="67"/>
        <v/>
      </c>
      <c r="U143" s="652"/>
      <c r="V143" s="652"/>
      <c r="W143" s="653" t="str">
        <f t="shared" si="68"/>
        <v/>
      </c>
      <c r="X143" s="652"/>
      <c r="Y143" s="652"/>
      <c r="Z143" s="652"/>
      <c r="AA143" s="654" t="str">
        <f t="shared" si="73"/>
        <v/>
      </c>
      <c r="AB143" s="655" t="str">
        <f t="shared" si="69"/>
        <v/>
      </c>
      <c r="AC143" s="656" t="str">
        <f t="shared" si="70"/>
        <v/>
      </c>
      <c r="AD143" s="677" t="str">
        <f t="shared" si="71"/>
        <v/>
      </c>
      <c r="AE143" s="678" t="str">
        <f t="shared" si="74"/>
        <v/>
      </c>
      <c r="AF143" s="657" t="str">
        <f t="shared" si="72"/>
        <v/>
      </c>
      <c r="AG143" s="665"/>
      <c r="AH143" s="669"/>
      <c r="AI143" s="670"/>
      <c r="AJ143" s="671"/>
      <c r="AK143" s="671"/>
      <c r="AL143" s="669"/>
      <c r="AM143" s="670"/>
    </row>
    <row r="144" spans="1:44" ht="69.599999999999994" customHeight="1" x14ac:dyDescent="0.3">
      <c r="A144" s="2673" t="s">
        <v>156</v>
      </c>
      <c r="B144" s="2674"/>
      <c r="C144" s="2674"/>
      <c r="D144" s="2674"/>
      <c r="E144" s="2674"/>
      <c r="F144" s="2674"/>
      <c r="G144" s="2674"/>
      <c r="H144" s="2674"/>
      <c r="I144" s="2674"/>
      <c r="J144" s="2674"/>
      <c r="K144" s="2674"/>
      <c r="L144" s="2674"/>
      <c r="M144" s="2674"/>
      <c r="N144" s="2674"/>
      <c r="O144" s="2674"/>
      <c r="P144" s="2674"/>
      <c r="Q144" s="2674"/>
      <c r="R144" s="2674"/>
      <c r="S144" s="2674"/>
      <c r="T144" s="2674"/>
      <c r="U144" s="2674"/>
      <c r="V144" s="2674"/>
      <c r="W144" s="2674"/>
      <c r="X144" s="2674"/>
      <c r="Y144" s="2674"/>
      <c r="Z144" s="2674"/>
      <c r="AA144" s="2674"/>
      <c r="AB144" s="2674"/>
      <c r="AC144" s="2674"/>
      <c r="AD144" s="2674"/>
      <c r="AE144" s="2674"/>
      <c r="AF144" s="2674"/>
      <c r="AG144" s="2674"/>
      <c r="AH144" s="2674"/>
      <c r="AI144" s="2674"/>
      <c r="AJ144" s="2674"/>
      <c r="AK144" s="2674"/>
      <c r="AL144" s="2674"/>
      <c r="AM144" s="2675"/>
    </row>
    <row r="145" spans="1:39" ht="69.599999999999994" customHeight="1" x14ac:dyDescent="0.3">
      <c r="A145" s="2676"/>
      <c r="B145" s="2677"/>
      <c r="C145" s="2677"/>
      <c r="D145" s="2677"/>
      <c r="E145" s="2677"/>
      <c r="F145" s="2677"/>
      <c r="G145" s="2677"/>
      <c r="H145" s="2677"/>
      <c r="I145" s="2677"/>
      <c r="J145" s="2677"/>
      <c r="K145" s="2677"/>
      <c r="L145" s="2677"/>
      <c r="M145" s="2677"/>
      <c r="N145" s="2677"/>
      <c r="O145" s="2677"/>
      <c r="P145" s="2677"/>
      <c r="Q145" s="2677"/>
      <c r="R145" s="2677"/>
      <c r="S145" s="2677"/>
      <c r="T145" s="2677"/>
      <c r="U145" s="2677"/>
      <c r="V145" s="2677"/>
      <c r="W145" s="2677"/>
      <c r="X145" s="2677"/>
      <c r="Y145" s="2677"/>
      <c r="Z145" s="2677"/>
      <c r="AA145" s="2677"/>
      <c r="AB145" s="2677"/>
      <c r="AC145" s="2677"/>
      <c r="AD145" s="2677"/>
      <c r="AE145" s="2677"/>
      <c r="AF145" s="2677"/>
      <c r="AG145" s="2677"/>
      <c r="AH145" s="2677"/>
      <c r="AI145" s="2677"/>
      <c r="AJ145" s="2677"/>
      <c r="AK145" s="2677"/>
      <c r="AL145" s="2677"/>
      <c r="AM145" s="2678"/>
    </row>
    <row r="146" spans="1:39" ht="69.599999999999994" customHeight="1" x14ac:dyDescent="0.3">
      <c r="A146" s="639"/>
      <c r="B146" s="640"/>
      <c r="C146" s="639"/>
      <c r="D146" s="639"/>
      <c r="E146" s="639"/>
      <c r="F146" s="637"/>
      <c r="G146" s="637"/>
      <c r="H146" s="637"/>
      <c r="I146" s="641"/>
      <c r="J146" s="637"/>
      <c r="K146" s="637"/>
      <c r="L146" s="637"/>
      <c r="M146" s="637"/>
      <c r="N146" s="637"/>
      <c r="O146" s="637"/>
      <c r="P146" s="637"/>
      <c r="Q146" s="637"/>
      <c r="R146" s="637"/>
      <c r="S146" s="637"/>
      <c r="T146" s="637"/>
      <c r="U146" s="637"/>
      <c r="V146" s="637"/>
      <c r="W146" s="637"/>
      <c r="X146" s="637"/>
      <c r="Y146" s="637"/>
      <c r="Z146" s="637"/>
      <c r="AA146" s="637"/>
      <c r="AB146" s="637"/>
      <c r="AC146" s="637"/>
      <c r="AD146" s="637"/>
      <c r="AE146" s="637"/>
      <c r="AF146" s="637"/>
      <c r="AG146" s="637"/>
      <c r="AH146" s="637"/>
      <c r="AI146" s="637"/>
      <c r="AJ146" s="637"/>
      <c r="AK146" s="637"/>
      <c r="AL146" s="637"/>
      <c r="AM146" s="637"/>
    </row>
    <row r="147" spans="1:39" ht="69.599999999999994" customHeight="1" x14ac:dyDescent="0.3">
      <c r="A147" s="2611" t="s">
        <v>157</v>
      </c>
      <c r="B147" s="2612"/>
      <c r="C147" s="2747" t="s">
        <v>648</v>
      </c>
      <c r="D147" s="2748"/>
      <c r="E147" s="2748"/>
      <c r="F147" s="2748"/>
      <c r="G147" s="2748"/>
      <c r="H147" s="2748"/>
      <c r="I147" s="2748"/>
      <c r="J147" s="2748"/>
      <c r="K147" s="2748"/>
      <c r="L147" s="2748"/>
      <c r="M147" s="2748"/>
      <c r="N147" s="2748"/>
      <c r="O147" s="2748"/>
      <c r="P147" s="2748"/>
      <c r="Q147" s="2748"/>
      <c r="R147" s="2748"/>
      <c r="S147" s="2748"/>
      <c r="T147" s="2748"/>
      <c r="U147" s="2748"/>
      <c r="V147" s="2748"/>
      <c r="W147" s="2748"/>
      <c r="X147" s="2748"/>
      <c r="Y147" s="2748"/>
      <c r="Z147" s="2748"/>
      <c r="AA147" s="2748"/>
      <c r="AB147" s="2748"/>
      <c r="AC147" s="2748"/>
      <c r="AD147" s="2748"/>
      <c r="AE147" s="2748"/>
      <c r="AF147" s="2748"/>
      <c r="AG147" s="2748"/>
      <c r="AH147" s="2748"/>
      <c r="AI147" s="2748"/>
      <c r="AJ147" s="2748"/>
      <c r="AK147" s="2748"/>
      <c r="AL147" s="2748"/>
      <c r="AM147" s="2749"/>
    </row>
    <row r="148" spans="1:39" ht="69.599999999999994" customHeight="1" x14ac:dyDescent="0.3">
      <c r="A148" s="2611" t="s">
        <v>158</v>
      </c>
      <c r="B148" s="2612"/>
      <c r="C148" s="2680" t="s">
        <v>649</v>
      </c>
      <c r="D148" s="2680"/>
      <c r="E148" s="2680"/>
      <c r="F148" s="2680"/>
      <c r="G148" s="2680"/>
      <c r="H148" s="2680"/>
      <c r="I148" s="2680"/>
      <c r="J148" s="2680"/>
      <c r="K148" s="2680"/>
      <c r="L148" s="2680"/>
      <c r="M148" s="2680"/>
      <c r="N148" s="2680"/>
      <c r="O148" s="2680"/>
      <c r="P148" s="2680"/>
      <c r="Q148" s="2680"/>
      <c r="R148" s="2680"/>
      <c r="S148" s="2680"/>
      <c r="T148" s="2680"/>
      <c r="U148" s="2680"/>
      <c r="V148" s="2680"/>
      <c r="W148" s="2680"/>
      <c r="X148" s="2680"/>
      <c r="Y148" s="2680"/>
      <c r="Z148" s="2680"/>
      <c r="AA148" s="2680"/>
      <c r="AB148" s="2680"/>
      <c r="AC148" s="2680"/>
      <c r="AD148" s="2680"/>
      <c r="AE148" s="2680"/>
      <c r="AF148" s="2680"/>
      <c r="AG148" s="2680"/>
      <c r="AH148" s="2680"/>
      <c r="AI148" s="2680"/>
      <c r="AJ148" s="2680"/>
      <c r="AK148" s="2680"/>
      <c r="AL148" s="2680"/>
      <c r="AM148" s="2680"/>
    </row>
    <row r="149" spans="1:39" ht="69.599999999999994" customHeight="1" x14ac:dyDescent="0.3">
      <c r="A149" s="2611" t="s">
        <v>159</v>
      </c>
      <c r="B149" s="2612"/>
      <c r="C149" s="2680"/>
      <c r="D149" s="2680"/>
      <c r="E149" s="2680"/>
      <c r="F149" s="2680"/>
      <c r="G149" s="2680"/>
      <c r="H149" s="2680"/>
      <c r="I149" s="2680"/>
      <c r="J149" s="2680"/>
      <c r="K149" s="2680"/>
      <c r="L149" s="2680"/>
      <c r="M149" s="2680"/>
      <c r="N149" s="2680"/>
      <c r="O149" s="2680"/>
      <c r="P149" s="2680"/>
      <c r="Q149" s="2680"/>
      <c r="R149" s="2680"/>
      <c r="S149" s="2680"/>
      <c r="T149" s="2680"/>
      <c r="U149" s="2680"/>
      <c r="V149" s="2680"/>
      <c r="W149" s="2680"/>
      <c r="X149" s="2680"/>
      <c r="Y149" s="2680"/>
      <c r="Z149" s="2680"/>
      <c r="AA149" s="2680"/>
      <c r="AB149" s="2680"/>
      <c r="AC149" s="2680"/>
      <c r="AD149" s="2680"/>
      <c r="AE149" s="2680"/>
      <c r="AF149" s="2680"/>
      <c r="AG149" s="2680"/>
      <c r="AH149" s="2680"/>
      <c r="AI149" s="2680"/>
      <c r="AJ149" s="2680"/>
      <c r="AK149" s="2680"/>
      <c r="AL149" s="2680"/>
      <c r="AM149" s="2680"/>
    </row>
    <row r="150" spans="1:39" ht="69.599999999999994" customHeight="1" x14ac:dyDescent="0.3">
      <c r="A150" s="2682" t="s">
        <v>160</v>
      </c>
      <c r="B150" s="2683"/>
      <c r="C150" s="2684"/>
      <c r="D150" s="2684"/>
      <c r="E150" s="2684"/>
      <c r="F150" s="2684"/>
      <c r="G150" s="2684"/>
      <c r="H150" s="2684"/>
      <c r="I150" s="2684"/>
      <c r="J150" s="2685"/>
      <c r="K150" s="2686" t="s">
        <v>161</v>
      </c>
      <c r="L150" s="2684"/>
      <c r="M150" s="2684"/>
      <c r="N150" s="2684"/>
      <c r="O150" s="2684"/>
      <c r="P150" s="2684"/>
      <c r="Q150" s="2685"/>
      <c r="R150" s="2686" t="s">
        <v>162</v>
      </c>
      <c r="S150" s="2684"/>
      <c r="T150" s="2684"/>
      <c r="U150" s="2684"/>
      <c r="V150" s="2684"/>
      <c r="W150" s="2684"/>
      <c r="X150" s="2684"/>
      <c r="Y150" s="2684"/>
      <c r="Z150" s="2685"/>
      <c r="AA150" s="2686" t="s">
        <v>163</v>
      </c>
      <c r="AB150" s="2684"/>
      <c r="AC150" s="2684"/>
      <c r="AD150" s="2684"/>
      <c r="AE150" s="2684"/>
      <c r="AF150" s="2684"/>
      <c r="AG150" s="2685"/>
      <c r="AH150" s="2686" t="s">
        <v>164</v>
      </c>
      <c r="AI150" s="2684"/>
      <c r="AJ150" s="2684"/>
      <c r="AK150" s="2684"/>
      <c r="AL150" s="2684"/>
      <c r="AM150" s="2685"/>
    </row>
    <row r="151" spans="1:39" ht="69.599999999999994" customHeight="1" x14ac:dyDescent="0.3">
      <c r="A151" s="2687" t="s">
        <v>165</v>
      </c>
      <c r="B151" s="2689" t="s">
        <v>142</v>
      </c>
      <c r="C151" s="2690" t="s">
        <v>166</v>
      </c>
      <c r="D151" s="2690" t="s">
        <v>167</v>
      </c>
      <c r="E151" s="2691" t="s">
        <v>168</v>
      </c>
      <c r="F151" s="2693" t="s">
        <v>60</v>
      </c>
      <c r="G151" s="645"/>
      <c r="H151" s="645"/>
      <c r="I151" s="2691" t="s">
        <v>169</v>
      </c>
      <c r="J151" s="2690" t="s">
        <v>170</v>
      </c>
      <c r="K151" s="2692" t="s">
        <v>171</v>
      </c>
      <c r="L151" s="2695" t="s">
        <v>172</v>
      </c>
      <c r="M151" s="2691" t="s">
        <v>173</v>
      </c>
      <c r="N151" s="2691" t="s">
        <v>174</v>
      </c>
      <c r="O151" s="2696" t="s">
        <v>175</v>
      </c>
      <c r="P151" s="2695" t="s">
        <v>172</v>
      </c>
      <c r="Q151" s="2690" t="s">
        <v>176</v>
      </c>
      <c r="R151" s="2637" t="s">
        <v>177</v>
      </c>
      <c r="S151" s="2632" t="s">
        <v>178</v>
      </c>
      <c r="T151" s="2691" t="s">
        <v>179</v>
      </c>
      <c r="U151" s="2632" t="s">
        <v>180</v>
      </c>
      <c r="V151" s="2632"/>
      <c r="W151" s="2632"/>
      <c r="X151" s="2632"/>
      <c r="Y151" s="2632"/>
      <c r="Z151" s="2632"/>
      <c r="AA151" s="2613" t="s">
        <v>181</v>
      </c>
      <c r="AB151" s="2613" t="s">
        <v>182</v>
      </c>
      <c r="AC151" s="2613" t="s">
        <v>172</v>
      </c>
      <c r="AD151" s="2613" t="s">
        <v>183</v>
      </c>
      <c r="AE151" s="2613" t="s">
        <v>172</v>
      </c>
      <c r="AF151" s="2613" t="s">
        <v>184</v>
      </c>
      <c r="AG151" s="2637" t="s">
        <v>185</v>
      </c>
      <c r="AH151" s="2632" t="s">
        <v>164</v>
      </c>
      <c r="AI151" s="2632" t="s">
        <v>143</v>
      </c>
      <c r="AJ151" s="2632" t="s">
        <v>186</v>
      </c>
      <c r="AK151" s="2632" t="s">
        <v>187</v>
      </c>
      <c r="AL151" s="2632" t="s">
        <v>188</v>
      </c>
      <c r="AM151" s="2697" t="s">
        <v>189</v>
      </c>
    </row>
    <row r="152" spans="1:39" ht="69.599999999999994" customHeight="1" x14ac:dyDescent="0.3">
      <c r="A152" s="2688"/>
      <c r="B152" s="2689"/>
      <c r="C152" s="2632"/>
      <c r="D152" s="2632"/>
      <c r="E152" s="2692"/>
      <c r="F152" s="2694"/>
      <c r="G152" s="645" t="s">
        <v>610</v>
      </c>
      <c r="H152" s="645" t="s">
        <v>190</v>
      </c>
      <c r="I152" s="2690"/>
      <c r="J152" s="2632"/>
      <c r="K152" s="2690"/>
      <c r="L152" s="2686"/>
      <c r="M152" s="2690"/>
      <c r="N152" s="2690"/>
      <c r="O152" s="2686"/>
      <c r="P152" s="2686"/>
      <c r="Q152" s="2632"/>
      <c r="R152" s="2638"/>
      <c r="S152" s="2632"/>
      <c r="T152" s="2690"/>
      <c r="U152" s="647" t="s">
        <v>191</v>
      </c>
      <c r="V152" s="647" t="s">
        <v>192</v>
      </c>
      <c r="W152" s="647" t="s">
        <v>193</v>
      </c>
      <c r="X152" s="647" t="s">
        <v>194</v>
      </c>
      <c r="Y152" s="647" t="s">
        <v>195</v>
      </c>
      <c r="Z152" s="647" t="s">
        <v>196</v>
      </c>
      <c r="AA152" s="2613"/>
      <c r="AB152" s="2613"/>
      <c r="AC152" s="2613"/>
      <c r="AD152" s="2613"/>
      <c r="AE152" s="2613"/>
      <c r="AF152" s="2613"/>
      <c r="AG152" s="2638"/>
      <c r="AH152" s="2632"/>
      <c r="AI152" s="2632"/>
      <c r="AJ152" s="2632"/>
      <c r="AK152" s="2632"/>
      <c r="AL152" s="2632"/>
      <c r="AM152" s="2697"/>
    </row>
    <row r="153" spans="1:39" ht="69.599999999999994" customHeight="1" x14ac:dyDescent="0.3">
      <c r="A153" s="2605">
        <v>1</v>
      </c>
      <c r="B153" s="2608" t="s">
        <v>209</v>
      </c>
      <c r="C153" s="2608" t="s">
        <v>421</v>
      </c>
      <c r="D153" s="2728" t="s">
        <v>422</v>
      </c>
      <c r="E153" s="687" t="s">
        <v>423</v>
      </c>
      <c r="F153" s="2704" t="s">
        <v>424</v>
      </c>
      <c r="G153" s="2764" t="s">
        <v>512</v>
      </c>
      <c r="H153" s="2704" t="s">
        <v>425</v>
      </c>
      <c r="I153" s="2705" t="s">
        <v>198</v>
      </c>
      <c r="J153" s="2624">
        <v>5</v>
      </c>
      <c r="K153" s="2626" t="str">
        <f>IF(J153&lt;=0,"",IF(J153&lt;=2,"Muy Baja",IF(J153&lt;=24,"Baja",IF(J153&lt;=500,"Media",IF(J153&lt;=5000,"Alta","Muy Alta")))))</f>
        <v>Baja</v>
      </c>
      <c r="L153" s="2628">
        <f>IF(K153="","",IF(K153="Muy Baja",0.2,IF(K153="Baja",0.4,IF(K153="Media",0.6,IF(K153="Alta",0.8,IF(K153="Muy Alta",1,))))))</f>
        <v>0.4</v>
      </c>
      <c r="M153" s="2630" t="s">
        <v>225</v>
      </c>
      <c r="N153" s="2628" t="str">
        <f>IF(NOT(ISERROR(MATCH(M153,'[32]Tabla Impacto'!$B$221:$B$223,0))),'[32]Tabla Impacto'!$F$223&amp;"Por favor no seleccionar los criterios de impacto(Afectación Económica o presupuestal y Pérdida Reputacional)",M153)</f>
        <v xml:space="preserve">     El riesgo afecta la imagen de la entidad con algunos usuarios de relevancia frente al logro de los objetivos</v>
      </c>
      <c r="O153" s="2626" t="str">
        <f>IF(OR(N153='[32]Tabla Impacto'!$C$11,N153='[32]Tabla Impacto'!$D$11),"Leve",IF(OR(N153='[32]Tabla Impacto'!$C$12,N153='[32]Tabla Impacto'!$D$12),"Menor",IF(OR(N153='[32]Tabla Impacto'!$C$13,N153='[32]Tabla Impacto'!$D$13),"Moderado",IF(OR(N153='[32]Tabla Impacto'!$C$14,N153='[32]Tabla Impacto'!$D$14),"Mayor",IF(OR(N153='[32]Tabla Impacto'!$C$15,N153='[32]Tabla Impacto'!$D$15),"Catastrófico","")))))</f>
        <v>Moderado</v>
      </c>
      <c r="P153" s="2628">
        <f>IF(O153="","",IF(O153="Leve",0.2,IF(O153="Menor",0.4,IF(O153="Moderado",0.6,IF(O153="Mayor",0.8,IF(O153="Catastrófico",1,))))))</f>
        <v>0.6</v>
      </c>
      <c r="Q153" s="2633" t="str">
        <f>IF(OR(AND(K153="Muy Baja",O153="Leve"),AND(K153="Muy Baja",O153="Menor"),AND(K153="Baja",O153="Leve")),"Bajo",IF(OR(AND(K153="Muy baja",O153="Moderado"),AND(K153="Baja",O153="Menor"),AND(K153="Baja",O153="Moderado"),AND(K153="Media",O153="Leve"),AND(K153="Media",O153="Menor"),AND(K153="Media",O153="Moderado"),AND(K153="Alta",O153="Leve"),AND(K153="Alta",O153="Menor")),"Moderado",IF(OR(AND(K153="Muy Baja",O153="Mayor"),AND(K153="Baja",O153="Mayor"),AND(K153="Media",O153="Mayor"),AND(K153="Alta",O153="Moderado"),AND(K153="Alta",O153="Mayor"),AND(K153="Muy Alta",O153="Leve"),AND(K153="Muy Alta",O153="Menor"),AND(K153="Muy Alta",O153="Moderado"),AND(K153="Muy Alta",O153="Mayor")),"Alto",IF(OR(AND(K153="Muy Baja",O153="Catastrófico"),AND(K153="Baja",O153="Catastrófico"),AND(K153="Media",O153="Catastrófico"),AND(K153="Alta",O153="Catastrófico"),AND(K153="Muy Alta",O153="Catastrófico")),"Extremo",""))))</f>
        <v>Moderado</v>
      </c>
      <c r="R153" s="649">
        <v>1</v>
      </c>
      <c r="S153" s="664" t="s">
        <v>426</v>
      </c>
      <c r="T153" s="651" t="str">
        <f>IF(OR(U153="Preventivo",U153="Detectivo"),"Probabilidad",IF(U153="Correctivo","Impacto",""))</f>
        <v>Probabilidad</v>
      </c>
      <c r="U153" s="652" t="s">
        <v>200</v>
      </c>
      <c r="V153" s="652" t="s">
        <v>201</v>
      </c>
      <c r="W153" s="653" t="str">
        <f>IF(AND(U153="Preventivo",V153="Automático"),"50%",IF(AND(U153="Preventivo",V153="Manual"),"40%",IF(AND(U153="Detectivo",V153="Automático"),"40%",IF(AND(U153="Detectivo",V153="Manual"),"30%",IF(AND(U153="Correctivo",V153="Automático"),"35%",IF(AND(U153="Correctivo",V153="Manual"),"25%",""))))))</f>
        <v>30%</v>
      </c>
      <c r="X153" s="652" t="s">
        <v>202</v>
      </c>
      <c r="Y153" s="652" t="s">
        <v>203</v>
      </c>
      <c r="Z153" s="652" t="s">
        <v>204</v>
      </c>
      <c r="AA153" s="654">
        <f>IFERROR(IF(T153="Probabilidad",(L153-(+L153*W153)),IF(T153="Impacto",L153,"")),"")</f>
        <v>0.28000000000000003</v>
      </c>
      <c r="AB153" s="688" t="str">
        <f>IFERROR(IF(AA153="","",IF(AA153&lt;=0.2,"Muy Baja",IF(AA153&lt;=0.4,"Baja",IF(AA153&lt;=0.6,"Media",IF(AA153&lt;=0.8,"Alta","Muy Alta"))))),"")</f>
        <v>Baja</v>
      </c>
      <c r="AC153" s="656">
        <f>+AA153</f>
        <v>0.28000000000000003</v>
      </c>
      <c r="AD153" s="688" t="str">
        <f>IFERROR(IF(AE153="","",IF(AE153&lt;=0.2,"Leve",IF(AE153&lt;=0.4,"Menor",IF(AE153&lt;=0.6,"Moderado",IF(AE153&lt;=0.8,"Mayor","Catastrófico"))))),"")</f>
        <v>Moderado</v>
      </c>
      <c r="AE153" s="656">
        <f>IFERROR(IF(T153="Impacto",(P153-(+P153*W153)),IF(T153="Probabilidad",P153,"")),"")</f>
        <v>0.6</v>
      </c>
      <c r="AF153" s="689" t="str">
        <f>IFERROR(IF(OR(AND(AB153="Muy Baja",AD153="Leve"),AND(AB153="Muy Baja",AD153="Menor"),AND(AB153="Baja",AD153="Leve")),"Bajo",IF(OR(AND(AB153="Muy baja",AD153="Moderado"),AND(AB153="Baja",AD153="Menor"),AND(AB153="Baja",AD153="Moderado"),AND(AB153="Media",AD153="Leve"),AND(AB153="Media",AD153="Menor"),AND(AB153="Media",AD153="Moderado"),AND(AB153="Alta",AD153="Leve"),AND(AB153="Alta",AD153="Menor")),"Moderado",IF(OR(AND(AB153="Muy Baja",AD153="Mayor"),AND(AB153="Baja",AD153="Mayor"),AND(AB153="Media",AD153="Mayor"),AND(AB153="Alta",AD153="Moderado"),AND(AB153="Alta",AD153="Mayor"),AND(AB153="Muy Alta",AD153="Leve"),AND(AB153="Muy Alta",AD153="Menor"),AND(AB153="Muy Alta",AD153="Moderado"),AND(AB153="Muy Alta",AD153="Mayor")),"Alto",IF(OR(AND(AB153="Muy Baja",AD153="Catastrófico"),AND(AB153="Baja",AD153="Catastrófico"),AND(AB153="Media",AD153="Catastrófico"),AND(AB153="Alta",AD153="Catastrófico"),AND(AB153="Muy Alta",AD153="Catastrófico")),"Extremo","")))),"")</f>
        <v>Moderado</v>
      </c>
      <c r="AG153" s="665" t="s">
        <v>205</v>
      </c>
      <c r="AH153" s="682" t="s">
        <v>427</v>
      </c>
      <c r="AI153" s="2698" t="s">
        <v>428</v>
      </c>
      <c r="AJ153" s="2423" t="s">
        <v>360</v>
      </c>
      <c r="AK153" s="2423" t="s">
        <v>148</v>
      </c>
      <c r="AL153" s="2608" t="s">
        <v>429</v>
      </c>
      <c r="AM153" s="2750" t="s">
        <v>206</v>
      </c>
    </row>
    <row r="154" spans="1:39" ht="69.599999999999994" customHeight="1" x14ac:dyDescent="0.3">
      <c r="A154" s="2606"/>
      <c r="B154" s="2609"/>
      <c r="C154" s="2609"/>
      <c r="D154" s="2729"/>
      <c r="E154" s="687" t="s">
        <v>362</v>
      </c>
      <c r="F154" s="2704"/>
      <c r="G154" s="2765"/>
      <c r="H154" s="2704"/>
      <c r="I154" s="2706"/>
      <c r="J154" s="2625"/>
      <c r="K154" s="2627"/>
      <c r="L154" s="2629"/>
      <c r="M154" s="2631"/>
      <c r="N154" s="2629">
        <f>IF(NOT(ISERROR(MATCH(M154,_xlfn.ANCHORARRAY(F161),0))),L163&amp;"Por favor no seleccionar los criterios de impacto",M154)</f>
        <v>0</v>
      </c>
      <c r="O154" s="2627"/>
      <c r="P154" s="2629"/>
      <c r="Q154" s="2634"/>
      <c r="R154" s="649">
        <v>2</v>
      </c>
      <c r="S154" s="664" t="s">
        <v>430</v>
      </c>
      <c r="T154" s="651" t="str">
        <f>IF(OR(U154="Preventivo",U154="Detectivo"),"Probabilidad",IF(U154="Correctivo","Impacto",""))</f>
        <v>Probabilidad</v>
      </c>
      <c r="U154" s="652" t="s">
        <v>207</v>
      </c>
      <c r="V154" s="652" t="s">
        <v>201</v>
      </c>
      <c r="W154" s="653" t="str">
        <f t="shared" ref="W154" si="75">IF(AND(U154="Preventivo",V154="Automático"),"50%",IF(AND(U154="Preventivo",V154="Manual"),"40%",IF(AND(U154="Detectivo",V154="Automático"),"40%",IF(AND(U154="Detectivo",V154="Manual"),"30%",IF(AND(U154="Correctivo",V154="Automático"),"35%",IF(AND(U154="Correctivo",V154="Manual"),"25%",""))))))</f>
        <v>40%</v>
      </c>
      <c r="X154" s="652" t="s">
        <v>202</v>
      </c>
      <c r="Y154" s="652" t="s">
        <v>203</v>
      </c>
      <c r="Z154" s="652" t="s">
        <v>204</v>
      </c>
      <c r="AA154" s="654">
        <f>IFERROR(IF(AND(T153="Probabilidad",T154="Probabilidad"),(AC153-(+AC153*W154)),IF(AND(T153="Impacto",T154="Probabilidad"),(L153-(+L153*W154)),IF(T154="Impacto",AC153,""))),"")</f>
        <v>0.16800000000000001</v>
      </c>
      <c r="AB154" s="655" t="str">
        <f t="shared" ref="AB154" si="76">IFERROR(IF(AA154="","",IF(AA154&lt;=0.2,"Muy Baja",IF(AA154&lt;=0.4,"Baja",IF(AA154&lt;=0.6,"Media",IF(AA154&lt;=0.8,"Alta","Muy Alta"))))),"")</f>
        <v>Muy Baja</v>
      </c>
      <c r="AC154" s="656">
        <f>+AA154</f>
        <v>0.16800000000000001</v>
      </c>
      <c r="AD154" s="655" t="str">
        <f t="shared" ref="AD154" si="77">IFERROR(IF(AE154="","",IF(AE154&lt;=0.2,"Leve",IF(AE154&lt;=0.4,"Menor",IF(AE154&lt;=0.6,"Moderado",IF(AE154&lt;=0.8,"Mayor","Catastrófico"))))),"")</f>
        <v>Moderado</v>
      </c>
      <c r="AE154" s="656">
        <f>IFERROR(IF(AND(T153="Impacto",T154="Impacto"),(AE153-(+AE153*W154)),IF(AND(T153="Probabilidad",T154="Impacto"),(P153-(+P153*W154)),IF(T154="Probabilidad",AE153,""))),"")</f>
        <v>0.6</v>
      </c>
      <c r="AF154" s="657" t="str">
        <f t="shared" ref="AF154" si="78">IFERROR(IF(OR(AND(AB154="Muy Baja",AD154="Leve"),AND(AB154="Muy Baja",AD154="Menor"),AND(AB154="Baja",AD154="Leve")),"Bajo",IF(OR(AND(AB154="Muy baja",AD154="Moderado"),AND(AB154="Baja",AD154="Menor"),AND(AB154="Baja",AD154="Moderado"),AND(AB154="Media",AD154="Leve"),AND(AB154="Media",AD154="Menor"),AND(AB154="Media",AD154="Moderado"),AND(AB154="Alta",AD154="Leve"),AND(AB154="Alta",AD154="Menor")),"Moderado",IF(OR(AND(AB154="Muy Baja",AD154="Mayor"),AND(AB154="Baja",AD154="Mayor"),AND(AB154="Media",AD154="Mayor"),AND(AB154="Alta",AD154="Moderado"),AND(AB154="Alta",AD154="Mayor"),AND(AB154="Muy Alta",AD154="Leve"),AND(AB154="Muy Alta",AD154="Menor"),AND(AB154="Muy Alta",AD154="Moderado"),AND(AB154="Muy Alta",AD154="Mayor")),"Alto",IF(OR(AND(AB154="Muy Baja",AD154="Catastrófico"),AND(AB154="Baja",AD154="Catastrófico"),AND(AB154="Media",AD154="Catastrófico"),AND(AB154="Alta",AD154="Catastrófico"),AND(AB154="Muy Alta",AD154="Catastrófico")),"Extremo","")))),"")</f>
        <v>Moderado</v>
      </c>
      <c r="AG154" s="665" t="s">
        <v>205</v>
      </c>
      <c r="AH154" s="669" t="s">
        <v>431</v>
      </c>
      <c r="AI154" s="2745"/>
      <c r="AJ154" s="2746"/>
      <c r="AK154" s="2746"/>
      <c r="AL154" s="2610"/>
      <c r="AM154" s="2751"/>
    </row>
    <row r="155" spans="1:39" ht="69.599999999999994" customHeight="1" x14ac:dyDescent="0.3">
      <c r="A155" s="2605">
        <v>2</v>
      </c>
      <c r="B155" s="2420" t="s">
        <v>209</v>
      </c>
      <c r="C155" s="2635" t="s">
        <v>432</v>
      </c>
      <c r="D155" s="2614" t="s">
        <v>433</v>
      </c>
      <c r="E155" s="2778" t="s">
        <v>434</v>
      </c>
      <c r="F155" s="2616" t="s">
        <v>435</v>
      </c>
      <c r="G155" s="2764" t="s">
        <v>597</v>
      </c>
      <c r="H155" s="2616" t="s">
        <v>652</v>
      </c>
      <c r="I155" s="2622" t="s">
        <v>198</v>
      </c>
      <c r="J155" s="2713">
        <v>12</v>
      </c>
      <c r="K155" s="2715" t="str">
        <f>IF(J155&lt;=0,"",IF(J155&lt;=2,"Muy Baja",IF(J155&lt;=24,"Baja",IF(J155&lt;=500,"Media",IF(J155&lt;=5000,"Alta","Muy Alta")))))</f>
        <v>Baja</v>
      </c>
      <c r="L155" s="2717">
        <f>IF(K155="","",IF(K155="Muy Baja",0.2,IF(K155="Baja",0.4,IF(K155="Media",0.6,IF(K155="Alta",0.8,IF(K155="Muy Alta",1,))))))</f>
        <v>0.4</v>
      </c>
      <c r="M155" s="2719" t="s">
        <v>225</v>
      </c>
      <c r="N155" s="2717" t="str">
        <f>IF(NOT(ISERROR(MATCH(M155,'[32]Tabla Impacto'!$B$221:$B$223,0))),'[32]Tabla Impacto'!$F$223&amp;"Por favor no seleccionar los criterios de impacto(Afectación Económica o presupuestal y Pérdida Reputacional)",M155)</f>
        <v xml:space="preserve">     El riesgo afecta la imagen de la entidad con algunos usuarios de relevancia frente al logro de los objetivos</v>
      </c>
      <c r="O155" s="2715" t="str">
        <f>IF(OR(N155='[32]Tabla Impacto'!$C$11,N155='[32]Tabla Impacto'!$D$11),"Leve",IF(OR(N155='[32]Tabla Impacto'!$C$12,N155='[32]Tabla Impacto'!$D$12),"Menor",IF(OR(N155='[32]Tabla Impacto'!$C$13,N155='[32]Tabla Impacto'!$D$13),"Moderado",IF(OR(N155='[32]Tabla Impacto'!$C$14,N155='[32]Tabla Impacto'!$D$14),"Mayor",IF(OR(N155='[32]Tabla Impacto'!$C$15,N155='[32]Tabla Impacto'!$D$15),"Catastrófico","")))))</f>
        <v>Moderado</v>
      </c>
      <c r="P155" s="2717">
        <f>IF(O155="","",IF(O155="Leve",0.2,IF(O155="Menor",0.4,IF(O155="Moderado",0.6,IF(O155="Mayor",0.8,IF(O155="Catastrófico",1,))))))</f>
        <v>0.6</v>
      </c>
      <c r="Q155" s="2721" t="str">
        <f>IF(OR(AND(K155="Muy Baja",O155="Leve"),AND(K155="Muy Baja",O155="Menor"),AND(K155="Baja",O155="Leve")),"Bajo",IF(OR(AND(K155="Muy baja",O155="Moderado"),AND(K155="Baja",O155="Menor"),AND(K155="Baja",O155="Moderado"),AND(K155="Media",O155="Leve"),AND(K155="Media",O155="Menor"),AND(K155="Media",O155="Moderado"),AND(K155="Alta",O155="Leve"),AND(K155="Alta",O155="Menor")),"Moderado",IF(OR(AND(K155="Muy Baja",O155="Mayor"),AND(K155="Baja",O155="Mayor"),AND(K155="Media",O155="Mayor"),AND(K155="Alta",O155="Moderado"),AND(K155="Alta",O155="Mayor"),AND(K155="Muy Alta",O155="Leve"),AND(K155="Muy Alta",O155="Menor"),AND(K155="Muy Alta",O155="Moderado"),AND(K155="Muy Alta",O155="Mayor")),"Alto",IF(OR(AND(K155="Muy Baja",O155="Catastrófico"),AND(K155="Baja",O155="Catastrófico"),AND(K155="Media",O155="Catastrófico"),AND(K155="Alta",O155="Catastrófico"),AND(K155="Muy Alta",O155="Catastrófico")),"Extremo",""))))</f>
        <v>Moderado</v>
      </c>
      <c r="R155" s="649">
        <v>1</v>
      </c>
      <c r="S155" s="2770" t="s">
        <v>653</v>
      </c>
      <c r="T155" s="2773" t="str">
        <f>IF(OR(U155="Preventivo",U155="Detectivo"),"Probabilidad",IF(U155="Correctivo","Impacto",""))</f>
        <v>Probabilidad</v>
      </c>
      <c r="U155" s="2417" t="s">
        <v>207</v>
      </c>
      <c r="V155" s="2417" t="s">
        <v>201</v>
      </c>
      <c r="W155" s="2758" t="str">
        <f>IF(AND(U155="Preventivo",V155="Automático"),"50%",IF(AND(U155="Preventivo",V155="Manual"),"40%",IF(AND(U155="Detectivo",V155="Automático"),"40%",IF(AND(U155="Detectivo",V155="Manual"),"30%",IF(AND(U155="Correctivo",V155="Automático"),"35%",IF(AND(U155="Correctivo",V155="Manual"),"25%",""))))))</f>
        <v>40%</v>
      </c>
      <c r="X155" s="2417" t="s">
        <v>202</v>
      </c>
      <c r="Y155" s="2417" t="s">
        <v>203</v>
      </c>
      <c r="Z155" s="2417" t="s">
        <v>204</v>
      </c>
      <c r="AA155" s="2752">
        <f>IFERROR(IF(T155="Probabilidad",(L155-(+L155*W155)),IF(T155="Impacto",L155,"")),"")</f>
        <v>0.24</v>
      </c>
      <c r="AB155" s="2755" t="str">
        <f>IFERROR(IF(AA155="","",IF(AA155&lt;=0.2,"Muy Baja",IF(AA155&lt;=0.4,"Baja",IF(AA155&lt;=0.6,"Media",IF(AA155&lt;=0.8,"Alta","Muy Alta"))))),"")</f>
        <v>Baja</v>
      </c>
      <c r="AC155" s="2758">
        <f>+AA155</f>
        <v>0.24</v>
      </c>
      <c r="AD155" s="2755" t="str">
        <f>IFERROR(IF(AE155="","",IF(AE155&lt;=0.2,"Leve",IF(AE155&lt;=0.4,"Menor",IF(AE155&lt;=0.6,"Moderado",IF(AE155&lt;=0.8,"Mayor","Catastrófico"))))),"")</f>
        <v>Moderado</v>
      </c>
      <c r="AE155" s="2758">
        <f>IFERROR(IF(T155="Impacto",(P155-(+P155*W155)),IF(T155="Probabilidad",P155,"")),"")</f>
        <v>0.6</v>
      </c>
      <c r="AF155" s="2761" t="str">
        <f>IFERROR(IF(OR(AND(AB155="Muy Baja",AD155="Leve"),AND(AB155="Muy Baja",AD155="Menor"),AND(AB155="Baja",AD155="Leve")),"Bajo",IF(OR(AND(AB155="Muy baja",AD155="Moderado"),AND(AB155="Baja",AD155="Menor"),AND(AB155="Baja",AD155="Moderado"),AND(AB155="Media",AD155="Leve"),AND(AB155="Media",AD155="Menor"),AND(AB155="Media",AD155="Moderado"),AND(AB155="Alta",AD155="Leve"),AND(AB155="Alta",AD155="Menor")),"Moderado",IF(OR(AND(AB155="Muy Baja",AD155="Mayor"),AND(AB155="Baja",AD155="Mayor"),AND(AB155="Media",AD155="Mayor"),AND(AB155="Alta",AD155="Moderado"),AND(AB155="Alta",AD155="Mayor"),AND(AB155="Muy Alta",AD155="Leve"),AND(AB155="Muy Alta",AD155="Menor"),AND(AB155="Muy Alta",AD155="Moderado"),AND(AB155="Muy Alta",AD155="Mayor")),"Alto",IF(OR(AND(AB155="Muy Baja",AD155="Catastrófico"),AND(AB155="Baja",AD155="Catastrófico"),AND(AB155="Media",AD155="Catastrófico"),AND(AB155="Alta",AD155="Catastrófico"),AND(AB155="Muy Alta",AD155="Catastrófico")),"Extremo","")))),"")</f>
        <v>Moderado</v>
      </c>
      <c r="AG155" s="2417" t="s">
        <v>205</v>
      </c>
      <c r="AH155" s="2420" t="s">
        <v>436</v>
      </c>
      <c r="AI155" s="2420" t="s">
        <v>428</v>
      </c>
      <c r="AJ155" s="2423" t="s">
        <v>360</v>
      </c>
      <c r="AK155" s="2423" t="s">
        <v>148</v>
      </c>
      <c r="AL155" s="2420" t="s">
        <v>654</v>
      </c>
      <c r="AM155" s="2785" t="s">
        <v>206</v>
      </c>
    </row>
    <row r="156" spans="1:39" ht="69.599999999999994" customHeight="1" x14ac:dyDescent="0.3">
      <c r="A156" s="2606"/>
      <c r="B156" s="2421"/>
      <c r="C156" s="2636"/>
      <c r="D156" s="2615"/>
      <c r="E156" s="2779"/>
      <c r="F156" s="2617"/>
      <c r="G156" s="2765"/>
      <c r="H156" s="2617"/>
      <c r="I156" s="2623"/>
      <c r="J156" s="2714"/>
      <c r="K156" s="2716"/>
      <c r="L156" s="2718"/>
      <c r="M156" s="2720"/>
      <c r="N156" s="2718">
        <f>IF(NOT(ISERROR(MATCH(M156,_xlfn.ANCHORARRAY(F167),0))),L169&amp;"Por favor no seleccionar los criterios de impacto",M156)</f>
        <v>0</v>
      </c>
      <c r="O156" s="2716"/>
      <c r="P156" s="2718"/>
      <c r="Q156" s="2722"/>
      <c r="R156" s="649">
        <v>2</v>
      </c>
      <c r="S156" s="2771"/>
      <c r="T156" s="2774"/>
      <c r="U156" s="2418"/>
      <c r="V156" s="2418"/>
      <c r="W156" s="2759"/>
      <c r="X156" s="2418"/>
      <c r="Y156" s="2418"/>
      <c r="Z156" s="2418"/>
      <c r="AA156" s="2753"/>
      <c r="AB156" s="2756"/>
      <c r="AC156" s="2759"/>
      <c r="AD156" s="2756"/>
      <c r="AE156" s="2759"/>
      <c r="AF156" s="2762"/>
      <c r="AG156" s="2418"/>
      <c r="AH156" s="2421"/>
      <c r="AI156" s="2421"/>
      <c r="AJ156" s="2424"/>
      <c r="AK156" s="2424"/>
      <c r="AL156" s="2421"/>
      <c r="AM156" s="2786"/>
    </row>
    <row r="157" spans="1:39" ht="69.599999999999994" customHeight="1" x14ac:dyDescent="0.3">
      <c r="A157" s="2606"/>
      <c r="B157" s="2421"/>
      <c r="C157" s="2636"/>
      <c r="D157" s="2615"/>
      <c r="E157" s="2779"/>
      <c r="F157" s="2617"/>
      <c r="G157" s="2765"/>
      <c r="H157" s="2617"/>
      <c r="I157" s="2623"/>
      <c r="J157" s="2714"/>
      <c r="K157" s="2716"/>
      <c r="L157" s="2718"/>
      <c r="M157" s="2720"/>
      <c r="N157" s="2718">
        <f>IF(NOT(ISERROR(MATCH(M157,_xlfn.ANCHORARRAY(F168),0))),L170&amp;"Por favor no seleccionar los criterios de impacto",M157)</f>
        <v>0</v>
      </c>
      <c r="O157" s="2716"/>
      <c r="P157" s="2718"/>
      <c r="Q157" s="2722"/>
      <c r="R157" s="649">
        <v>3</v>
      </c>
      <c r="S157" s="2771"/>
      <c r="T157" s="2774"/>
      <c r="U157" s="2418"/>
      <c r="V157" s="2418"/>
      <c r="W157" s="2759"/>
      <c r="X157" s="2418"/>
      <c r="Y157" s="2418"/>
      <c r="Z157" s="2418"/>
      <c r="AA157" s="2753"/>
      <c r="AB157" s="2756"/>
      <c r="AC157" s="2759"/>
      <c r="AD157" s="2756"/>
      <c r="AE157" s="2759"/>
      <c r="AF157" s="2762"/>
      <c r="AG157" s="2418"/>
      <c r="AH157" s="2421"/>
      <c r="AI157" s="2421"/>
      <c r="AJ157" s="2424"/>
      <c r="AK157" s="2424"/>
      <c r="AL157" s="2421"/>
      <c r="AM157" s="2786"/>
    </row>
    <row r="158" spans="1:39" ht="69.599999999999994" customHeight="1" x14ac:dyDescent="0.3">
      <c r="A158" s="2606"/>
      <c r="B158" s="2421"/>
      <c r="C158" s="2636"/>
      <c r="D158" s="2615"/>
      <c r="E158" s="2779"/>
      <c r="F158" s="2617"/>
      <c r="G158" s="2765"/>
      <c r="H158" s="2617"/>
      <c r="I158" s="2623"/>
      <c r="J158" s="2714"/>
      <c r="K158" s="2716"/>
      <c r="L158" s="2718"/>
      <c r="M158" s="2720"/>
      <c r="N158" s="2718">
        <f>IF(NOT(ISERROR(MATCH(M158,_xlfn.ANCHORARRAY(F169),0))),L171&amp;"Por favor no seleccionar los criterios de impacto",M158)</f>
        <v>0</v>
      </c>
      <c r="O158" s="2716"/>
      <c r="P158" s="2718"/>
      <c r="Q158" s="2722"/>
      <c r="R158" s="649">
        <v>4</v>
      </c>
      <c r="S158" s="2771"/>
      <c r="T158" s="2774"/>
      <c r="U158" s="2418"/>
      <c r="V158" s="2418"/>
      <c r="W158" s="2759"/>
      <c r="X158" s="2418"/>
      <c r="Y158" s="2418"/>
      <c r="Z158" s="2418"/>
      <c r="AA158" s="2753"/>
      <c r="AB158" s="2756"/>
      <c r="AC158" s="2759"/>
      <c r="AD158" s="2756"/>
      <c r="AE158" s="2759"/>
      <c r="AF158" s="2762"/>
      <c r="AG158" s="2418"/>
      <c r="AH158" s="2421"/>
      <c r="AI158" s="2421"/>
      <c r="AJ158" s="2424"/>
      <c r="AK158" s="2424"/>
      <c r="AL158" s="2421"/>
      <c r="AM158" s="2786"/>
    </row>
    <row r="159" spans="1:39" ht="69.599999999999994" customHeight="1" x14ac:dyDescent="0.3">
      <c r="A159" s="2606"/>
      <c r="B159" s="2421"/>
      <c r="C159" s="2636"/>
      <c r="D159" s="2615"/>
      <c r="E159" s="2780"/>
      <c r="F159" s="2617"/>
      <c r="G159" s="2765"/>
      <c r="H159" s="2617"/>
      <c r="I159" s="2623"/>
      <c r="J159" s="2714"/>
      <c r="K159" s="2716"/>
      <c r="L159" s="2718"/>
      <c r="M159" s="2720"/>
      <c r="N159" s="2718">
        <f>IF(NOT(ISERROR(MATCH(M159,_xlfn.ANCHORARRAY(F170),0))),L172&amp;"Por favor no seleccionar los criterios de impacto",M159)</f>
        <v>0</v>
      </c>
      <c r="O159" s="2716"/>
      <c r="P159" s="2718"/>
      <c r="Q159" s="2722"/>
      <c r="R159" s="649">
        <v>5</v>
      </c>
      <c r="S159" s="2771"/>
      <c r="T159" s="2774"/>
      <c r="U159" s="2418"/>
      <c r="V159" s="2418"/>
      <c r="W159" s="2759"/>
      <c r="X159" s="2418"/>
      <c r="Y159" s="2418"/>
      <c r="Z159" s="2418"/>
      <c r="AA159" s="2753"/>
      <c r="AB159" s="2756"/>
      <c r="AC159" s="2759"/>
      <c r="AD159" s="2756"/>
      <c r="AE159" s="2759"/>
      <c r="AF159" s="2762"/>
      <c r="AG159" s="2418"/>
      <c r="AH159" s="2421"/>
      <c r="AI159" s="2421"/>
      <c r="AJ159" s="2424"/>
      <c r="AK159" s="2424"/>
      <c r="AL159" s="2421"/>
      <c r="AM159" s="2786"/>
    </row>
    <row r="160" spans="1:39" ht="69.599999999999994" customHeight="1" x14ac:dyDescent="0.3">
      <c r="A160" s="2606"/>
      <c r="B160" s="2421"/>
      <c r="C160" s="2776"/>
      <c r="D160" s="2615"/>
      <c r="E160" s="2778" t="s">
        <v>437</v>
      </c>
      <c r="F160" s="2617"/>
      <c r="G160" s="2765"/>
      <c r="H160" s="2617"/>
      <c r="I160" s="2783"/>
      <c r="J160" s="2784"/>
      <c r="K160" s="2768"/>
      <c r="L160" s="2766"/>
      <c r="M160" s="2767"/>
      <c r="N160" s="2766">
        <f>IF(NOT(ISERROR(MATCH(M160,_xlfn.ANCHORARRAY(F171),0))),L173&amp;"Por favor no seleccionar los criterios de impacto",M160)</f>
        <v>0</v>
      </c>
      <c r="O160" s="2768"/>
      <c r="P160" s="2766"/>
      <c r="Q160" s="2769"/>
      <c r="R160" s="649">
        <v>6</v>
      </c>
      <c r="S160" s="2771"/>
      <c r="T160" s="2774"/>
      <c r="U160" s="2418"/>
      <c r="V160" s="2418"/>
      <c r="W160" s="2759"/>
      <c r="X160" s="2418"/>
      <c r="Y160" s="2418"/>
      <c r="Z160" s="2418"/>
      <c r="AA160" s="2753"/>
      <c r="AB160" s="2756"/>
      <c r="AC160" s="2759"/>
      <c r="AD160" s="2756"/>
      <c r="AE160" s="2759"/>
      <c r="AF160" s="2762"/>
      <c r="AG160" s="2418"/>
      <c r="AH160" s="2421"/>
      <c r="AI160" s="2421"/>
      <c r="AJ160" s="2424"/>
      <c r="AK160" s="2424"/>
      <c r="AL160" s="2421"/>
      <c r="AM160" s="2786"/>
    </row>
    <row r="161" spans="1:39" ht="69.599999999999994" customHeight="1" x14ac:dyDescent="0.3">
      <c r="A161" s="2606"/>
      <c r="B161" s="2421"/>
      <c r="C161" s="2635" t="s">
        <v>438</v>
      </c>
      <c r="D161" s="2615"/>
      <c r="E161" s="2779"/>
      <c r="F161" s="2617"/>
      <c r="G161" s="2765"/>
      <c r="H161" s="2617"/>
      <c r="I161" s="2622" t="s">
        <v>198</v>
      </c>
      <c r="J161" s="2713">
        <v>12</v>
      </c>
      <c r="K161" s="2715" t="str">
        <f t="shared" ref="K161" si="79">IF(J161&lt;=0,"",IF(J161&lt;=2,"Muy Baja",IF(J161&lt;=24,"Baja",IF(J161&lt;=500,"Media",IF(J161&lt;=5000,"Alta","Muy Alta")))))</f>
        <v>Baja</v>
      </c>
      <c r="L161" s="2717">
        <f t="shared" ref="L161" si="80">IF(K161="","",IF(K161="Muy Baja",0.2,IF(K161="Baja",0.4,IF(K161="Media",0.6,IF(K161="Alta",0.8,IF(K161="Muy Alta",1,))))))</f>
        <v>0.4</v>
      </c>
      <c r="M161" s="2719" t="s">
        <v>225</v>
      </c>
      <c r="N161" s="2717" t="str">
        <f>IF(NOT(ISERROR(MATCH(M161,'[32]Tabla Impacto'!$B$221:$B$223,0))),'[32]Tabla Impacto'!$F$223&amp;"Por favor no seleccionar los criterios de impacto(Afectación Económica o presupuestal y Pérdida Reputacional)",M161)</f>
        <v xml:space="preserve">     El riesgo afecta la imagen de la entidad con algunos usuarios de relevancia frente al logro de los objetivos</v>
      </c>
      <c r="O161" s="2715" t="str">
        <f>IF(OR(N161='[32]Tabla Impacto'!$C$11,N161='[32]Tabla Impacto'!$D$11),"Leve",IF(OR(N161='[32]Tabla Impacto'!$C$12,N161='[32]Tabla Impacto'!$D$12),"Menor",IF(OR(N161='[32]Tabla Impacto'!$C$13,N161='[32]Tabla Impacto'!$D$13),"Moderado",IF(OR(N161='[32]Tabla Impacto'!$C$14,N161='[32]Tabla Impacto'!$D$14),"Mayor",IF(OR(N161='[32]Tabla Impacto'!$C$15,N161='[32]Tabla Impacto'!$D$15),"Catastrófico","")))))</f>
        <v>Moderado</v>
      </c>
      <c r="P161" s="2717">
        <f t="shared" ref="P161" si="81">IF(O161="","",IF(O161="Leve",0.2,IF(O161="Menor",0.4,IF(O161="Moderado",0.6,IF(O161="Mayor",0.8,IF(O161="Catastrófico",1,))))))</f>
        <v>0.6</v>
      </c>
      <c r="Q161" s="2721" t="str">
        <f t="shared" ref="Q161" si="82">IF(OR(AND(K161="Muy Baja",O161="Leve"),AND(K161="Muy Baja",O161="Menor"),AND(K161="Baja",O161="Leve")),"Bajo",IF(OR(AND(K161="Muy baja",O161="Moderado"),AND(K161="Baja",O161="Menor"),AND(K161="Baja",O161="Moderado"),AND(K161="Media",O161="Leve"),AND(K161="Media",O161="Menor"),AND(K161="Media",O161="Moderado"),AND(K161="Alta",O161="Leve"),AND(K161="Alta",O161="Menor")),"Moderado",IF(OR(AND(K161="Muy Baja",O161="Mayor"),AND(K161="Baja",O161="Mayor"),AND(K161="Media",O161="Mayor"),AND(K161="Alta",O161="Moderado"),AND(K161="Alta",O161="Mayor"),AND(K161="Muy Alta",O161="Leve"),AND(K161="Muy Alta",O161="Menor"),AND(K161="Muy Alta",O161="Moderado"),AND(K161="Muy Alta",O161="Mayor")),"Alto",IF(OR(AND(K161="Muy Baja",O161="Catastrófico"),AND(K161="Baja",O161="Catastrófico"),AND(K161="Media",O161="Catastrófico"),AND(K161="Alta",O161="Catastrófico"),AND(K161="Muy Alta",O161="Catastrófico")),"Extremo",""))))</f>
        <v>Moderado</v>
      </c>
      <c r="R161" s="649">
        <v>1</v>
      </c>
      <c r="S161" s="2771"/>
      <c r="T161" s="2774"/>
      <c r="U161" s="2418"/>
      <c r="V161" s="2418"/>
      <c r="W161" s="2759"/>
      <c r="X161" s="2418"/>
      <c r="Y161" s="2418"/>
      <c r="Z161" s="2418"/>
      <c r="AA161" s="2753"/>
      <c r="AB161" s="2756"/>
      <c r="AC161" s="2759"/>
      <c r="AD161" s="2756"/>
      <c r="AE161" s="2759"/>
      <c r="AF161" s="2762"/>
      <c r="AG161" s="2418"/>
      <c r="AH161" s="2421"/>
      <c r="AI161" s="2421"/>
      <c r="AJ161" s="2424"/>
      <c r="AK161" s="2424"/>
      <c r="AL161" s="2421"/>
      <c r="AM161" s="2786"/>
    </row>
    <row r="162" spans="1:39" ht="69.599999999999994" customHeight="1" x14ac:dyDescent="0.3">
      <c r="A162" s="2606"/>
      <c r="B162" s="2421"/>
      <c r="C162" s="2636"/>
      <c r="D162" s="2615"/>
      <c r="E162" s="2779"/>
      <c r="F162" s="2617"/>
      <c r="G162" s="2765"/>
      <c r="H162" s="2617"/>
      <c r="I162" s="2623"/>
      <c r="J162" s="2714"/>
      <c r="K162" s="2716"/>
      <c r="L162" s="2718"/>
      <c r="M162" s="2720"/>
      <c r="N162" s="2718">
        <f>IF(NOT(ISERROR(MATCH(M162,_xlfn.ANCHORARRAY(F173),0))),L175&amp;"Por favor no seleccionar los criterios de impacto",M162)</f>
        <v>0</v>
      </c>
      <c r="O162" s="2716"/>
      <c r="P162" s="2718"/>
      <c r="Q162" s="2722"/>
      <c r="R162" s="649">
        <v>2</v>
      </c>
      <c r="S162" s="2771"/>
      <c r="T162" s="2774"/>
      <c r="U162" s="2418"/>
      <c r="V162" s="2418"/>
      <c r="W162" s="2759"/>
      <c r="X162" s="2418"/>
      <c r="Y162" s="2418"/>
      <c r="Z162" s="2418"/>
      <c r="AA162" s="2753"/>
      <c r="AB162" s="2756"/>
      <c r="AC162" s="2759"/>
      <c r="AD162" s="2756"/>
      <c r="AE162" s="2759"/>
      <c r="AF162" s="2762"/>
      <c r="AG162" s="2418"/>
      <c r="AH162" s="2421"/>
      <c r="AI162" s="2421"/>
      <c r="AJ162" s="2424"/>
      <c r="AK162" s="2424"/>
      <c r="AL162" s="2421"/>
      <c r="AM162" s="2786"/>
    </row>
    <row r="163" spans="1:39" ht="69.599999999999994" customHeight="1" x14ac:dyDescent="0.3">
      <c r="A163" s="2606"/>
      <c r="B163" s="2421"/>
      <c r="C163" s="2636"/>
      <c r="D163" s="2615"/>
      <c r="E163" s="2779"/>
      <c r="F163" s="2617"/>
      <c r="G163" s="2765"/>
      <c r="H163" s="2617"/>
      <c r="I163" s="2623"/>
      <c r="J163" s="2714"/>
      <c r="K163" s="2716"/>
      <c r="L163" s="2718"/>
      <c r="M163" s="2720"/>
      <c r="N163" s="2718">
        <f>IF(NOT(ISERROR(MATCH(M163,_xlfn.ANCHORARRAY(F174),0))),L176&amp;"Por favor no seleccionar los criterios de impacto",M163)</f>
        <v>0</v>
      </c>
      <c r="O163" s="2716"/>
      <c r="P163" s="2718"/>
      <c r="Q163" s="2722"/>
      <c r="R163" s="649">
        <v>3</v>
      </c>
      <c r="S163" s="2772"/>
      <c r="T163" s="2775"/>
      <c r="U163" s="2419"/>
      <c r="V163" s="2419"/>
      <c r="W163" s="2760"/>
      <c r="X163" s="2419"/>
      <c r="Y163" s="2419"/>
      <c r="Z163" s="2419"/>
      <c r="AA163" s="2754"/>
      <c r="AB163" s="2757"/>
      <c r="AC163" s="2760"/>
      <c r="AD163" s="2757"/>
      <c r="AE163" s="2760"/>
      <c r="AF163" s="2763"/>
      <c r="AG163" s="2419"/>
      <c r="AH163" s="2422"/>
      <c r="AI163" s="2422"/>
      <c r="AJ163" s="2425"/>
      <c r="AK163" s="2425"/>
      <c r="AL163" s="2422"/>
      <c r="AM163" s="2787"/>
    </row>
    <row r="164" spans="1:39" ht="69.599999999999994" customHeight="1" x14ac:dyDescent="0.3">
      <c r="A164" s="2606"/>
      <c r="B164" s="2421"/>
      <c r="C164" s="2636"/>
      <c r="D164" s="2615"/>
      <c r="E164" s="2779"/>
      <c r="F164" s="2617"/>
      <c r="G164" s="2765"/>
      <c r="H164" s="2617"/>
      <c r="I164" s="2623"/>
      <c r="J164" s="2714"/>
      <c r="K164" s="2716"/>
      <c r="L164" s="2718"/>
      <c r="M164" s="2720"/>
      <c r="N164" s="2718">
        <f>IF(NOT(ISERROR(MATCH(M164,_xlfn.ANCHORARRAY(F175),0))),L177&amp;"Por favor no seleccionar los criterios de impacto",M164)</f>
        <v>0</v>
      </c>
      <c r="O164" s="2716"/>
      <c r="P164" s="2718"/>
      <c r="Q164" s="2722"/>
      <c r="R164" s="649">
        <v>4</v>
      </c>
      <c r="S164" s="2770" t="s">
        <v>656</v>
      </c>
      <c r="T164" s="2773" t="str">
        <f t="shared" ref="T164" si="83">IF(OR(U164="Preventivo",U164="Detectivo"),"Probabilidad",IF(U164="Correctivo","Impacto",""))</f>
        <v>Probabilidad</v>
      </c>
      <c r="U164" s="2417" t="s">
        <v>207</v>
      </c>
      <c r="V164" s="2417" t="s">
        <v>201</v>
      </c>
      <c r="W164" s="2758" t="str">
        <f t="shared" ref="W164" si="84">IF(AND(U164="Preventivo",V164="Automático"),"50%",IF(AND(U164="Preventivo",V164="Manual"),"40%",IF(AND(U164="Detectivo",V164="Automático"),"40%",IF(AND(U164="Detectivo",V164="Manual"),"30%",IF(AND(U164="Correctivo",V164="Automático"),"35%",IF(AND(U164="Correctivo",V164="Manual"),"25%",""))))))</f>
        <v>40%</v>
      </c>
      <c r="X164" s="2417" t="s">
        <v>202</v>
      </c>
      <c r="Y164" s="2417" t="s">
        <v>203</v>
      </c>
      <c r="Z164" s="2417" t="s">
        <v>204</v>
      </c>
      <c r="AA164" s="2752">
        <v>0.24</v>
      </c>
      <c r="AB164" s="2755" t="str">
        <f t="shared" ref="AB164:AB166" si="85">IFERROR(IF(AA164="","",IF(AA164&lt;=0.2,"Muy Baja",IF(AA164&lt;=0.4,"Baja",IF(AA164&lt;=0.6,"Media",IF(AA164&lt;=0.8,"Alta","Muy Alta"))))),"")</f>
        <v>Baja</v>
      </c>
      <c r="AC164" s="2758">
        <f t="shared" ref="AC164" si="86">+AA164</f>
        <v>0.24</v>
      </c>
      <c r="AD164" s="2755" t="str">
        <f>IFERROR(IF(AE164="","",IF(AE164&lt;=0.2,"Leve",IF(AE164&lt;=0.4,"Menor",IF(AE164&lt;=0.6,"Moderado",IF(AE164&lt;=0.8,"Mayor","Catastrófico"))))),"")</f>
        <v>Moderado</v>
      </c>
      <c r="AE164" s="2758">
        <v>0.6</v>
      </c>
      <c r="AF164" s="2761" t="str">
        <f t="shared" ref="AF164" si="87">IFERROR(IF(OR(AND(AB164="Muy Baja",AD164="Leve"),AND(AB164="Muy Baja",AD164="Menor"),AND(AB164="Baja",AD164="Leve")),"Bajo",IF(OR(AND(AB164="Muy baja",AD164="Moderado"),AND(AB164="Baja",AD164="Menor"),AND(AB164="Baja",AD164="Moderado"),AND(AB164="Media",AD164="Leve"),AND(AB164="Media",AD164="Menor"),AND(AB164="Media",AD164="Moderado"),AND(AB164="Alta",AD164="Leve"),AND(AB164="Alta",AD164="Menor")),"Moderado",IF(OR(AND(AB164="Muy Baja",AD164="Mayor"),AND(AB164="Baja",AD164="Mayor"),AND(AB164="Media",AD164="Mayor"),AND(AB164="Alta",AD164="Moderado"),AND(AB164="Alta",AD164="Mayor"),AND(AB164="Muy Alta",AD164="Leve"),AND(AB164="Muy Alta",AD164="Menor"),AND(AB164="Muy Alta",AD164="Moderado"),AND(AB164="Muy Alta",AD164="Mayor")),"Alto",IF(OR(AND(AB164="Muy Baja",AD164="Catastrófico"),AND(AB164="Baja",AD164="Catastrófico"),AND(AB164="Media",AD164="Catastrófico"),AND(AB164="Alta",AD164="Catastrófico"),AND(AB164="Muy Alta",AD164="Catastrófico")),"Extremo","")))),"")</f>
        <v>Moderado</v>
      </c>
      <c r="AG164" s="2417" t="s">
        <v>205</v>
      </c>
      <c r="AH164" s="2420" t="s">
        <v>439</v>
      </c>
      <c r="AI164" s="2420" t="s">
        <v>440</v>
      </c>
      <c r="AJ164" s="2423" t="s">
        <v>360</v>
      </c>
      <c r="AK164" s="2423" t="s">
        <v>148</v>
      </c>
      <c r="AL164" s="2420" t="s">
        <v>441</v>
      </c>
      <c r="AM164" s="2785" t="s">
        <v>206</v>
      </c>
    </row>
    <row r="165" spans="1:39" ht="69.599999999999994" customHeight="1" x14ac:dyDescent="0.3">
      <c r="A165" s="2606"/>
      <c r="B165" s="2421"/>
      <c r="C165" s="2636"/>
      <c r="D165" s="2615"/>
      <c r="E165" s="2779"/>
      <c r="F165" s="2617"/>
      <c r="G165" s="2765"/>
      <c r="H165" s="2617"/>
      <c r="I165" s="2623"/>
      <c r="J165" s="2714"/>
      <c r="K165" s="2716"/>
      <c r="L165" s="2718"/>
      <c r="M165" s="2720"/>
      <c r="N165" s="2718">
        <f>IF(NOT(ISERROR(MATCH(M165,_xlfn.ANCHORARRAY(F176),0))),L178&amp;"Por favor no seleccionar los criterios de impacto",M165)</f>
        <v>0</v>
      </c>
      <c r="O165" s="2716"/>
      <c r="P165" s="2718"/>
      <c r="Q165" s="2722"/>
      <c r="R165" s="649">
        <v>5</v>
      </c>
      <c r="S165" s="2771"/>
      <c r="T165" s="2774"/>
      <c r="U165" s="2418"/>
      <c r="V165" s="2418"/>
      <c r="W165" s="2759"/>
      <c r="X165" s="2418"/>
      <c r="Y165" s="2418"/>
      <c r="Z165" s="2418"/>
      <c r="AA165" s="2753"/>
      <c r="AB165" s="2756" t="str">
        <f t="shared" si="85"/>
        <v/>
      </c>
      <c r="AC165" s="2759"/>
      <c r="AD165" s="2756"/>
      <c r="AE165" s="2759"/>
      <c r="AF165" s="2762"/>
      <c r="AG165" s="2418"/>
      <c r="AH165" s="2421"/>
      <c r="AI165" s="2421"/>
      <c r="AJ165" s="2424"/>
      <c r="AK165" s="2424"/>
      <c r="AL165" s="2421"/>
      <c r="AM165" s="2786"/>
    </row>
    <row r="166" spans="1:39" ht="69.599999999999994" customHeight="1" x14ac:dyDescent="0.3">
      <c r="A166" s="2606"/>
      <c r="B166" s="2421"/>
      <c r="C166" s="2776"/>
      <c r="D166" s="2615"/>
      <c r="E166" s="2780"/>
      <c r="F166" s="2617"/>
      <c r="G166" s="2765"/>
      <c r="H166" s="2617"/>
      <c r="I166" s="2783"/>
      <c r="J166" s="2784"/>
      <c r="K166" s="2768"/>
      <c r="L166" s="2766"/>
      <c r="M166" s="2767"/>
      <c r="N166" s="2766">
        <f>IF(NOT(ISERROR(MATCH(M166,_xlfn.ANCHORARRAY(F177),0))),L179&amp;"Por favor no seleccionar los criterios de impacto",M166)</f>
        <v>0</v>
      </c>
      <c r="O166" s="2768"/>
      <c r="P166" s="2766"/>
      <c r="Q166" s="2769"/>
      <c r="R166" s="649">
        <v>6</v>
      </c>
      <c r="S166" s="2771"/>
      <c r="T166" s="2774"/>
      <c r="U166" s="2418"/>
      <c r="V166" s="2418"/>
      <c r="W166" s="2759"/>
      <c r="X166" s="2418"/>
      <c r="Y166" s="2418"/>
      <c r="Z166" s="2418"/>
      <c r="AA166" s="2753"/>
      <c r="AB166" s="2756" t="str">
        <f t="shared" si="85"/>
        <v/>
      </c>
      <c r="AC166" s="2759"/>
      <c r="AD166" s="2756"/>
      <c r="AE166" s="2759"/>
      <c r="AF166" s="2762"/>
      <c r="AG166" s="2418"/>
      <c r="AH166" s="2421"/>
      <c r="AI166" s="2421"/>
      <c r="AJ166" s="2424"/>
      <c r="AK166" s="2424"/>
      <c r="AL166" s="2421"/>
      <c r="AM166" s="2786"/>
    </row>
    <row r="167" spans="1:39" ht="69.599999999999994" customHeight="1" x14ac:dyDescent="0.3">
      <c r="A167" s="2606"/>
      <c r="B167" s="2421"/>
      <c r="C167" s="2635" t="s">
        <v>442</v>
      </c>
      <c r="D167" s="2615"/>
      <c r="E167" s="2778" t="s">
        <v>443</v>
      </c>
      <c r="F167" s="2617"/>
      <c r="G167" s="2765"/>
      <c r="H167" s="2617"/>
      <c r="I167" s="2622" t="s">
        <v>198</v>
      </c>
      <c r="J167" s="2713">
        <v>12</v>
      </c>
      <c r="K167" s="2715" t="str">
        <f t="shared" ref="K167" si="88">IF(J167&lt;=0,"",IF(J167&lt;=2,"Muy Baja",IF(J167&lt;=24,"Baja",IF(J167&lt;=500,"Media",IF(J167&lt;=5000,"Alta","Muy Alta")))))</f>
        <v>Baja</v>
      </c>
      <c r="L167" s="2717">
        <f t="shared" ref="L167" si="89">IF(K167="","",IF(K167="Muy Baja",0.2,IF(K167="Baja",0.4,IF(K167="Media",0.6,IF(K167="Alta",0.8,IF(K167="Muy Alta",1,))))))</f>
        <v>0.4</v>
      </c>
      <c r="M167" s="2719" t="s">
        <v>225</v>
      </c>
      <c r="N167" s="2717" t="str">
        <f>IF(NOT(ISERROR(MATCH(M167,'[32]Tabla Impacto'!$B$221:$B$223,0))),'[32]Tabla Impacto'!$F$223&amp;"Por favor no seleccionar los criterios de impacto(Afectación Económica o presupuestal y Pérdida Reputacional)",M167)</f>
        <v xml:space="preserve">     El riesgo afecta la imagen de la entidad con algunos usuarios de relevancia frente al logro de los objetivos</v>
      </c>
      <c r="O167" s="2715" t="str">
        <f>IF(OR(N167='[32]Tabla Impacto'!$C$11,N167='[32]Tabla Impacto'!$D$11),"Leve",IF(OR(N167='[32]Tabla Impacto'!$C$12,N167='[32]Tabla Impacto'!$D$12),"Menor",IF(OR(N167='[32]Tabla Impacto'!$C$13,N167='[32]Tabla Impacto'!$D$13),"Moderado",IF(OR(N167='[32]Tabla Impacto'!$C$14,N167='[32]Tabla Impacto'!$D$14),"Mayor",IF(OR(N167='[32]Tabla Impacto'!$C$15,N167='[32]Tabla Impacto'!$D$15),"Catastrófico","")))))</f>
        <v>Moderado</v>
      </c>
      <c r="P167" s="2717">
        <f t="shared" ref="P167" si="90">IF(O167="","",IF(O167="Leve",0.2,IF(O167="Menor",0.4,IF(O167="Moderado",0.6,IF(O167="Mayor",0.8,IF(O167="Catastrófico",1,))))))</f>
        <v>0.6</v>
      </c>
      <c r="Q167" s="2721" t="str">
        <f t="shared" ref="Q167" si="91">IF(OR(AND(K167="Muy Baja",O167="Leve"),AND(K167="Muy Baja",O167="Menor"),AND(K167="Baja",O167="Leve")),"Bajo",IF(OR(AND(K167="Muy baja",O167="Moderado"),AND(K167="Baja",O167="Menor"),AND(K167="Baja",O167="Moderado"),AND(K167="Media",O167="Leve"),AND(K167="Media",O167="Menor"),AND(K167="Media",O167="Moderado"),AND(K167="Alta",O167="Leve"),AND(K167="Alta",O167="Menor")),"Moderado",IF(OR(AND(K167="Muy Baja",O167="Mayor"),AND(K167="Baja",O167="Mayor"),AND(K167="Media",O167="Mayor"),AND(K167="Alta",O167="Moderado"),AND(K167="Alta",O167="Mayor"),AND(K167="Muy Alta",O167="Leve"),AND(K167="Muy Alta",O167="Menor"),AND(K167="Muy Alta",O167="Moderado"),AND(K167="Muy Alta",O167="Mayor")),"Alto",IF(OR(AND(K167="Muy Baja",O167="Catastrófico"),AND(K167="Baja",O167="Catastrófico"),AND(K167="Media",O167="Catastrófico"),AND(K167="Alta",O167="Catastrófico"),AND(K167="Muy Alta",O167="Catastrófico")),"Extremo",""))))</f>
        <v>Moderado</v>
      </c>
      <c r="R167" s="649">
        <v>1</v>
      </c>
      <c r="S167" s="2771"/>
      <c r="T167" s="2774"/>
      <c r="U167" s="2418"/>
      <c r="V167" s="2418"/>
      <c r="W167" s="2759"/>
      <c r="X167" s="2418"/>
      <c r="Y167" s="2418"/>
      <c r="Z167" s="2418"/>
      <c r="AA167" s="2753"/>
      <c r="AB167" s="2756" t="str">
        <f>IFERROR(IF(AA167="","",IF(AA167&lt;=0.2,"Muy Baja",IF(AA167&lt;=0.4,"Baja",IF(AA167&lt;=0.6,"Media",IF(AA167&lt;=0.8,"Alta","Muy Alta"))))),"")</f>
        <v/>
      </c>
      <c r="AC167" s="2759"/>
      <c r="AD167" s="2756"/>
      <c r="AE167" s="2759"/>
      <c r="AF167" s="2762"/>
      <c r="AG167" s="2418"/>
      <c r="AH167" s="2421"/>
      <c r="AI167" s="2421"/>
      <c r="AJ167" s="2424"/>
      <c r="AK167" s="2424"/>
      <c r="AL167" s="2421"/>
      <c r="AM167" s="2786"/>
    </row>
    <row r="168" spans="1:39" ht="69.599999999999994" customHeight="1" x14ac:dyDescent="0.3">
      <c r="A168" s="2606"/>
      <c r="B168" s="2421"/>
      <c r="C168" s="2636"/>
      <c r="D168" s="2615"/>
      <c r="E168" s="2779"/>
      <c r="F168" s="2617"/>
      <c r="G168" s="2765"/>
      <c r="H168" s="2617"/>
      <c r="I168" s="2623"/>
      <c r="J168" s="2714"/>
      <c r="K168" s="2716"/>
      <c r="L168" s="2718"/>
      <c r="M168" s="2720"/>
      <c r="N168" s="2718">
        <f>IF(NOT(ISERROR(MATCH(M168,_xlfn.ANCHORARRAY(F179),0))),L181&amp;"Por favor no seleccionar los criterios de impacto",M168)</f>
        <v>0</v>
      </c>
      <c r="O168" s="2716"/>
      <c r="P168" s="2718"/>
      <c r="Q168" s="2722"/>
      <c r="R168" s="649">
        <v>2</v>
      </c>
      <c r="S168" s="2771"/>
      <c r="T168" s="2774"/>
      <c r="U168" s="2418"/>
      <c r="V168" s="2418"/>
      <c r="W168" s="2759"/>
      <c r="X168" s="2418"/>
      <c r="Y168" s="2418"/>
      <c r="Z168" s="2418"/>
      <c r="AA168" s="2753"/>
      <c r="AB168" s="2756" t="str">
        <f t="shared" ref="AB168:AB172" si="92">IFERROR(IF(AA168="","",IF(AA168&lt;=0.2,"Muy Baja",IF(AA168&lt;=0.4,"Baja",IF(AA168&lt;=0.6,"Media",IF(AA168&lt;=0.8,"Alta","Muy Alta"))))),"")</f>
        <v/>
      </c>
      <c r="AC168" s="2759"/>
      <c r="AD168" s="2756"/>
      <c r="AE168" s="2759"/>
      <c r="AF168" s="2762"/>
      <c r="AG168" s="2418"/>
      <c r="AH168" s="2421"/>
      <c r="AI168" s="2421"/>
      <c r="AJ168" s="2424"/>
      <c r="AK168" s="2424"/>
      <c r="AL168" s="2421"/>
      <c r="AM168" s="2786"/>
    </row>
    <row r="169" spans="1:39" ht="69.599999999999994" customHeight="1" x14ac:dyDescent="0.3">
      <c r="A169" s="2606"/>
      <c r="B169" s="2421"/>
      <c r="C169" s="2636"/>
      <c r="D169" s="2615"/>
      <c r="E169" s="2779"/>
      <c r="F169" s="2617"/>
      <c r="G169" s="2765"/>
      <c r="H169" s="2617"/>
      <c r="I169" s="2623"/>
      <c r="J169" s="2714"/>
      <c r="K169" s="2716"/>
      <c r="L169" s="2718"/>
      <c r="M169" s="2720"/>
      <c r="N169" s="2718">
        <f>IF(NOT(ISERROR(MATCH(M169,_xlfn.ANCHORARRAY(F180),0))),L182&amp;"Por favor no seleccionar los criterios de impacto",M169)</f>
        <v>0</v>
      </c>
      <c r="O169" s="2716"/>
      <c r="P169" s="2718"/>
      <c r="Q169" s="2722"/>
      <c r="R169" s="649">
        <v>3</v>
      </c>
      <c r="S169" s="2771"/>
      <c r="T169" s="2774"/>
      <c r="U169" s="2418"/>
      <c r="V169" s="2418"/>
      <c r="W169" s="2759"/>
      <c r="X169" s="2418"/>
      <c r="Y169" s="2418"/>
      <c r="Z169" s="2418"/>
      <c r="AA169" s="2753"/>
      <c r="AB169" s="2756" t="str">
        <f t="shared" si="92"/>
        <v/>
      </c>
      <c r="AC169" s="2759"/>
      <c r="AD169" s="2756"/>
      <c r="AE169" s="2759"/>
      <c r="AF169" s="2762"/>
      <c r="AG169" s="2418"/>
      <c r="AH169" s="2421"/>
      <c r="AI169" s="2421"/>
      <c r="AJ169" s="2424"/>
      <c r="AK169" s="2424"/>
      <c r="AL169" s="2421"/>
      <c r="AM169" s="2786"/>
    </row>
    <row r="170" spans="1:39" ht="69.599999999999994" customHeight="1" x14ac:dyDescent="0.3">
      <c r="A170" s="2606"/>
      <c r="B170" s="2421"/>
      <c r="C170" s="2636"/>
      <c r="D170" s="2615"/>
      <c r="E170" s="2779"/>
      <c r="F170" s="2617"/>
      <c r="G170" s="2765"/>
      <c r="H170" s="2617"/>
      <c r="I170" s="2623"/>
      <c r="J170" s="2714"/>
      <c r="K170" s="2716"/>
      <c r="L170" s="2718"/>
      <c r="M170" s="2720"/>
      <c r="N170" s="2718">
        <f>IF(NOT(ISERROR(MATCH(M170,_xlfn.ANCHORARRAY(F181),0))),L183&amp;"Por favor no seleccionar los criterios de impacto",M170)</f>
        <v>0</v>
      </c>
      <c r="O170" s="2716"/>
      <c r="P170" s="2718"/>
      <c r="Q170" s="2722"/>
      <c r="R170" s="649">
        <v>4</v>
      </c>
      <c r="S170" s="2771"/>
      <c r="T170" s="2774"/>
      <c r="U170" s="2418"/>
      <c r="V170" s="2418"/>
      <c r="W170" s="2759"/>
      <c r="X170" s="2418"/>
      <c r="Y170" s="2418"/>
      <c r="Z170" s="2418"/>
      <c r="AA170" s="2753"/>
      <c r="AB170" s="2756" t="str">
        <f t="shared" si="92"/>
        <v/>
      </c>
      <c r="AC170" s="2759"/>
      <c r="AD170" s="2756"/>
      <c r="AE170" s="2759"/>
      <c r="AF170" s="2762"/>
      <c r="AG170" s="2418"/>
      <c r="AH170" s="2421"/>
      <c r="AI170" s="2421"/>
      <c r="AJ170" s="2424"/>
      <c r="AK170" s="2424"/>
      <c r="AL170" s="2421"/>
      <c r="AM170" s="2786"/>
    </row>
    <row r="171" spans="1:39" ht="69.599999999999994" customHeight="1" x14ac:dyDescent="0.3">
      <c r="A171" s="2606"/>
      <c r="B171" s="2421"/>
      <c r="C171" s="2636"/>
      <c r="D171" s="2615"/>
      <c r="E171" s="2779"/>
      <c r="F171" s="2617"/>
      <c r="G171" s="2765"/>
      <c r="H171" s="2617"/>
      <c r="I171" s="2623"/>
      <c r="J171" s="2714"/>
      <c r="K171" s="2716"/>
      <c r="L171" s="2718"/>
      <c r="M171" s="2720"/>
      <c r="N171" s="2718">
        <f>IF(NOT(ISERROR(MATCH(M171,_xlfn.ANCHORARRAY(F182),0))),L184&amp;"Por favor no seleccionar los criterios de impacto",M171)</f>
        <v>0</v>
      </c>
      <c r="O171" s="2716"/>
      <c r="P171" s="2718"/>
      <c r="Q171" s="2722"/>
      <c r="R171" s="649">
        <v>5</v>
      </c>
      <c r="S171" s="2771"/>
      <c r="T171" s="2774"/>
      <c r="U171" s="2418"/>
      <c r="V171" s="2418"/>
      <c r="W171" s="2759"/>
      <c r="X171" s="2418"/>
      <c r="Y171" s="2418"/>
      <c r="Z171" s="2418"/>
      <c r="AA171" s="2753"/>
      <c r="AB171" s="2756" t="str">
        <f t="shared" si="92"/>
        <v/>
      </c>
      <c r="AC171" s="2759"/>
      <c r="AD171" s="2756"/>
      <c r="AE171" s="2759"/>
      <c r="AF171" s="2762"/>
      <c r="AG171" s="2418"/>
      <c r="AH171" s="2421"/>
      <c r="AI171" s="2421"/>
      <c r="AJ171" s="2424"/>
      <c r="AK171" s="2424"/>
      <c r="AL171" s="2421"/>
      <c r="AM171" s="2786"/>
    </row>
    <row r="172" spans="1:39" ht="69.599999999999994" customHeight="1" x14ac:dyDescent="0.3">
      <c r="A172" s="2607"/>
      <c r="B172" s="2422"/>
      <c r="C172" s="2776"/>
      <c r="D172" s="2777"/>
      <c r="E172" s="2780"/>
      <c r="F172" s="2781"/>
      <c r="G172" s="2782"/>
      <c r="H172" s="2781"/>
      <c r="I172" s="2783"/>
      <c r="J172" s="2784"/>
      <c r="K172" s="2768"/>
      <c r="L172" s="2766"/>
      <c r="M172" s="2767"/>
      <c r="N172" s="2766">
        <f>IF(NOT(ISERROR(MATCH(M172,_xlfn.ANCHORARRAY(F183),0))),L185&amp;"Por favor no seleccionar los criterios de impacto",M172)</f>
        <v>0</v>
      </c>
      <c r="O172" s="2768"/>
      <c r="P172" s="2766"/>
      <c r="Q172" s="2769"/>
      <c r="R172" s="649">
        <v>6</v>
      </c>
      <c r="S172" s="2772"/>
      <c r="T172" s="2775"/>
      <c r="U172" s="2419"/>
      <c r="V172" s="2419"/>
      <c r="W172" s="2760"/>
      <c r="X172" s="2419"/>
      <c r="Y172" s="2419"/>
      <c r="Z172" s="2419"/>
      <c r="AA172" s="2754"/>
      <c r="AB172" s="2757" t="str">
        <f t="shared" si="92"/>
        <v/>
      </c>
      <c r="AC172" s="2760"/>
      <c r="AD172" s="2757"/>
      <c r="AE172" s="2760"/>
      <c r="AF172" s="2763"/>
      <c r="AG172" s="2419"/>
      <c r="AH172" s="2422"/>
      <c r="AI172" s="2422"/>
      <c r="AJ172" s="2425"/>
      <c r="AK172" s="2425"/>
      <c r="AL172" s="2422"/>
      <c r="AM172" s="2787"/>
    </row>
    <row r="173" spans="1:39" ht="69.599999999999994" customHeight="1" x14ac:dyDescent="0.3">
      <c r="A173" s="428"/>
      <c r="B173" s="429"/>
      <c r="C173" s="429"/>
      <c r="D173" s="429"/>
      <c r="E173" s="429"/>
      <c r="F173" s="241"/>
      <c r="G173" s="241"/>
      <c r="H173" s="429"/>
      <c r="I173" s="430"/>
      <c r="J173" s="431"/>
      <c r="K173" s="432"/>
      <c r="L173" s="433"/>
      <c r="M173" s="432"/>
      <c r="N173" s="431"/>
      <c r="O173" s="432"/>
      <c r="P173" s="434"/>
      <c r="Q173" s="239"/>
      <c r="R173" s="435"/>
      <c r="S173" s="436"/>
      <c r="T173" s="437"/>
      <c r="U173" s="437"/>
      <c r="V173" s="438"/>
      <c r="W173" s="437"/>
      <c r="X173" s="437"/>
      <c r="Y173" s="437"/>
      <c r="Z173" s="439"/>
      <c r="AA173" s="440"/>
      <c r="AB173" s="441"/>
      <c r="AC173" s="440"/>
      <c r="AD173" s="441"/>
      <c r="AE173" s="442"/>
      <c r="AF173" s="437"/>
      <c r="AG173" s="429"/>
      <c r="AH173" s="429"/>
      <c r="AI173" s="443"/>
      <c r="AJ173" s="444"/>
      <c r="AK173" s="429"/>
      <c r="AL173" s="430"/>
    </row>
    <row r="174" spans="1:39" ht="69.599999999999994" customHeight="1" x14ac:dyDescent="0.3">
      <c r="A174" s="2337" t="s">
        <v>156</v>
      </c>
      <c r="B174" s="2338"/>
      <c r="C174" s="2338"/>
      <c r="D174" s="2338"/>
      <c r="E174" s="2338"/>
      <c r="F174" s="2338"/>
      <c r="G174" s="2338"/>
      <c r="H174" s="2338"/>
      <c r="I174" s="2338"/>
      <c r="J174" s="2338"/>
      <c r="K174" s="2338"/>
      <c r="L174" s="2338"/>
      <c r="M174" s="2338"/>
      <c r="N174" s="2338"/>
      <c r="O174" s="2338"/>
      <c r="P174" s="2338"/>
      <c r="Q174" s="2338"/>
      <c r="R174" s="2338"/>
      <c r="S174" s="2338"/>
      <c r="T174" s="2338"/>
      <c r="U174" s="2338"/>
      <c r="V174" s="2338"/>
      <c r="W174" s="2338"/>
      <c r="X174" s="2338"/>
      <c r="Y174" s="2338"/>
      <c r="Z174" s="2338"/>
      <c r="AA174" s="2338"/>
      <c r="AB174" s="2338"/>
      <c r="AC174" s="2338"/>
      <c r="AD174" s="2338"/>
      <c r="AE174" s="2338"/>
      <c r="AF174" s="2338"/>
      <c r="AG174" s="2338"/>
      <c r="AH174" s="2338"/>
      <c r="AI174" s="2338"/>
      <c r="AJ174" s="2338"/>
      <c r="AK174" s="2338"/>
      <c r="AL174" s="2338"/>
      <c r="AM174" s="2339"/>
    </row>
    <row r="175" spans="1:39" ht="69.599999999999994" customHeight="1" x14ac:dyDescent="0.3">
      <c r="A175" s="2333"/>
      <c r="B175" s="2327"/>
      <c r="C175" s="2327"/>
      <c r="D175" s="2327"/>
      <c r="E175" s="2327"/>
      <c r="F175" s="2327"/>
      <c r="G175" s="2327"/>
      <c r="H175" s="2327"/>
      <c r="I175" s="2327"/>
      <c r="J175" s="2327"/>
      <c r="K175" s="2327"/>
      <c r="L175" s="2327"/>
      <c r="M175" s="2327"/>
      <c r="N175" s="2327"/>
      <c r="O175" s="2327"/>
      <c r="P175" s="2327"/>
      <c r="Q175" s="2327"/>
      <c r="R175" s="2327"/>
      <c r="S175" s="2327"/>
      <c r="T175" s="2327"/>
      <c r="U175" s="2327"/>
      <c r="V175" s="2327"/>
      <c r="W175" s="2327"/>
      <c r="X175" s="2327"/>
      <c r="Y175" s="2327"/>
      <c r="Z175" s="2327"/>
      <c r="AA175" s="2327"/>
      <c r="AB175" s="2327"/>
      <c r="AC175" s="2327"/>
      <c r="AD175" s="2327"/>
      <c r="AE175" s="2327"/>
      <c r="AF175" s="2327"/>
      <c r="AG175" s="2327"/>
      <c r="AH175" s="2327"/>
      <c r="AI175" s="2327"/>
      <c r="AJ175" s="2327"/>
      <c r="AK175" s="2327"/>
      <c r="AL175" s="2327"/>
      <c r="AM175" s="2318"/>
    </row>
    <row r="177" spans="1:39" ht="69.599999999999994" customHeight="1" x14ac:dyDescent="0.3">
      <c r="A177" s="2340" t="s">
        <v>157</v>
      </c>
      <c r="B177" s="2324"/>
      <c r="C177" s="2341" t="s">
        <v>1100</v>
      </c>
      <c r="D177" s="2324"/>
      <c r="E177" s="2324"/>
      <c r="F177" s="2324"/>
      <c r="G177" s="2324"/>
      <c r="H177" s="2324"/>
      <c r="I177" s="2324"/>
      <c r="J177" s="2324"/>
      <c r="K177" s="2324"/>
      <c r="L177" s="2324"/>
      <c r="M177" s="2324"/>
      <c r="N177" s="2324"/>
      <c r="O177" s="2324"/>
      <c r="P177" s="2324"/>
      <c r="Q177" s="2324"/>
      <c r="R177" s="2324"/>
      <c r="S177" s="2324"/>
      <c r="T177" s="2324"/>
      <c r="U177" s="2324"/>
      <c r="V177" s="2324"/>
      <c r="W177" s="2324"/>
      <c r="X177" s="2324"/>
      <c r="Y177" s="2324"/>
      <c r="Z177" s="2324"/>
      <c r="AA177" s="2324"/>
      <c r="AB177" s="2324"/>
      <c r="AC177" s="2324"/>
      <c r="AD177" s="2324"/>
      <c r="AE177" s="2324"/>
      <c r="AF177" s="2324"/>
      <c r="AG177" s="2324"/>
      <c r="AH177" s="2324"/>
      <c r="AI177" s="2324"/>
      <c r="AJ177" s="2324"/>
      <c r="AK177" s="2324"/>
      <c r="AL177" s="2324"/>
      <c r="AM177" s="2325"/>
    </row>
    <row r="178" spans="1:39" ht="69.599999999999994" customHeight="1" x14ac:dyDescent="0.3">
      <c r="A178" s="2340" t="s">
        <v>158</v>
      </c>
      <c r="B178" s="2324"/>
      <c r="C178" s="2342" t="s">
        <v>659</v>
      </c>
      <c r="D178" s="2324"/>
      <c r="E178" s="2324"/>
      <c r="F178" s="2324"/>
      <c r="G178" s="2324"/>
      <c r="H178" s="2324"/>
      <c r="I178" s="2324"/>
      <c r="J178" s="2324"/>
      <c r="K178" s="2324"/>
      <c r="L178" s="2324"/>
      <c r="M178" s="2324"/>
      <c r="N178" s="2324"/>
      <c r="O178" s="2324"/>
      <c r="P178" s="2324"/>
      <c r="Q178" s="2324"/>
      <c r="R178" s="2324"/>
      <c r="S178" s="2324"/>
      <c r="T178" s="2324"/>
      <c r="U178" s="2324"/>
      <c r="V178" s="2324"/>
      <c r="W178" s="2324"/>
      <c r="X178" s="2324"/>
      <c r="Y178" s="2324"/>
      <c r="Z178" s="2324"/>
      <c r="AA178" s="2324"/>
      <c r="AB178" s="2324"/>
      <c r="AC178" s="2324"/>
      <c r="AD178" s="2324"/>
      <c r="AE178" s="2324"/>
      <c r="AF178" s="2324"/>
      <c r="AG178" s="2324"/>
      <c r="AH178" s="2324"/>
      <c r="AI178" s="2324"/>
      <c r="AJ178" s="2324"/>
      <c r="AK178" s="2324"/>
      <c r="AL178" s="2324"/>
      <c r="AM178" s="2325"/>
    </row>
    <row r="179" spans="1:39" ht="69.599999999999994" customHeight="1" x14ac:dyDescent="0.3">
      <c r="A179" s="2340" t="s">
        <v>159</v>
      </c>
      <c r="B179" s="2324"/>
      <c r="C179" s="2342" t="s">
        <v>660</v>
      </c>
      <c r="D179" s="2324"/>
      <c r="E179" s="2324"/>
      <c r="F179" s="2324"/>
      <c r="G179" s="2324"/>
      <c r="H179" s="2324"/>
      <c r="I179" s="2324"/>
      <c r="J179" s="2324"/>
      <c r="K179" s="2324"/>
      <c r="L179" s="2324"/>
      <c r="M179" s="2324"/>
      <c r="N179" s="2324"/>
      <c r="O179" s="2324"/>
      <c r="P179" s="2324"/>
      <c r="Q179" s="2324"/>
      <c r="R179" s="2324"/>
      <c r="S179" s="2324"/>
      <c r="T179" s="2324"/>
      <c r="U179" s="2324"/>
      <c r="V179" s="2324"/>
      <c r="W179" s="2324"/>
      <c r="X179" s="2324"/>
      <c r="Y179" s="2324"/>
      <c r="Z179" s="2324"/>
      <c r="AA179" s="2324"/>
      <c r="AB179" s="2324"/>
      <c r="AC179" s="2324"/>
      <c r="AD179" s="2324"/>
      <c r="AE179" s="2324"/>
      <c r="AF179" s="2324"/>
      <c r="AG179" s="2324"/>
      <c r="AH179" s="2324"/>
      <c r="AI179" s="2324"/>
      <c r="AJ179" s="2324"/>
      <c r="AK179" s="2324"/>
      <c r="AL179" s="2324"/>
      <c r="AM179" s="2325"/>
    </row>
    <row r="180" spans="1:39" ht="69.599999999999994" customHeight="1" x14ac:dyDescent="0.3">
      <c r="A180" s="2323" t="s">
        <v>160</v>
      </c>
      <c r="B180" s="2324"/>
      <c r="C180" s="2324"/>
      <c r="D180" s="2324"/>
      <c r="E180" s="2324"/>
      <c r="F180" s="2324"/>
      <c r="G180" s="2324"/>
      <c r="H180" s="2324"/>
      <c r="I180" s="2324"/>
      <c r="J180" s="2325"/>
      <c r="K180" s="2326" t="s">
        <v>161</v>
      </c>
      <c r="L180" s="2327"/>
      <c r="M180" s="2327"/>
      <c r="N180" s="2327"/>
      <c r="O180" s="2327"/>
      <c r="P180" s="2327"/>
      <c r="Q180" s="2318"/>
      <c r="R180" s="2326" t="s">
        <v>162</v>
      </c>
      <c r="S180" s="2327"/>
      <c r="T180" s="2327"/>
      <c r="U180" s="2327"/>
      <c r="V180" s="2327"/>
      <c r="W180" s="2327"/>
      <c r="X180" s="2327"/>
      <c r="Y180" s="2327"/>
      <c r="Z180" s="2318"/>
      <c r="AA180" s="2326" t="s">
        <v>163</v>
      </c>
      <c r="AB180" s="2327"/>
      <c r="AC180" s="2327"/>
      <c r="AD180" s="2327"/>
      <c r="AE180" s="2327"/>
      <c r="AF180" s="2327"/>
      <c r="AG180" s="2318"/>
      <c r="AH180" s="2326" t="s">
        <v>164</v>
      </c>
      <c r="AI180" s="2327"/>
      <c r="AJ180" s="2327"/>
      <c r="AK180" s="2327"/>
      <c r="AL180" s="2327"/>
      <c r="AM180" s="2318"/>
    </row>
    <row r="181" spans="1:39" ht="69.599999999999994" customHeight="1" x14ac:dyDescent="0.3">
      <c r="A181" s="2328" t="s">
        <v>165</v>
      </c>
      <c r="B181" s="2329" t="s">
        <v>142</v>
      </c>
      <c r="C181" s="2330" t="s">
        <v>166</v>
      </c>
      <c r="D181" s="2330" t="s">
        <v>167</v>
      </c>
      <c r="E181" s="2305" t="s">
        <v>168</v>
      </c>
      <c r="F181" s="2331" t="s">
        <v>60</v>
      </c>
      <c r="G181" s="697"/>
      <c r="H181" s="697"/>
      <c r="I181" s="2305" t="s">
        <v>169</v>
      </c>
      <c r="J181" s="2330" t="s">
        <v>170</v>
      </c>
      <c r="K181" s="2330" t="s">
        <v>171</v>
      </c>
      <c r="L181" s="2332" t="s">
        <v>172</v>
      </c>
      <c r="M181" s="2305" t="s">
        <v>173</v>
      </c>
      <c r="N181" s="2305" t="s">
        <v>174</v>
      </c>
      <c r="O181" s="2334" t="s">
        <v>175</v>
      </c>
      <c r="P181" s="2332" t="s">
        <v>172</v>
      </c>
      <c r="Q181" s="2330" t="s">
        <v>176</v>
      </c>
      <c r="R181" s="2335" t="s">
        <v>177</v>
      </c>
      <c r="S181" s="2305" t="s">
        <v>178</v>
      </c>
      <c r="T181" s="2305" t="s">
        <v>179</v>
      </c>
      <c r="U181" s="2336" t="s">
        <v>180</v>
      </c>
      <c r="V181" s="2324"/>
      <c r="W181" s="2324"/>
      <c r="X181" s="2324"/>
      <c r="Y181" s="2324"/>
      <c r="Z181" s="2325"/>
      <c r="AA181" s="2335" t="s">
        <v>181</v>
      </c>
      <c r="AB181" s="2335" t="s">
        <v>182</v>
      </c>
      <c r="AC181" s="2335" t="s">
        <v>172</v>
      </c>
      <c r="AD181" s="2335" t="s">
        <v>183</v>
      </c>
      <c r="AE181" s="2335" t="s">
        <v>172</v>
      </c>
      <c r="AF181" s="2335" t="s">
        <v>184</v>
      </c>
      <c r="AG181" s="2335" t="s">
        <v>185</v>
      </c>
      <c r="AH181" s="2305" t="s">
        <v>164</v>
      </c>
      <c r="AI181" s="2305" t="s">
        <v>143</v>
      </c>
      <c r="AJ181" s="2305" t="s">
        <v>186</v>
      </c>
      <c r="AK181" s="2305" t="s">
        <v>187</v>
      </c>
      <c r="AL181" s="2305" t="s">
        <v>188</v>
      </c>
      <c r="AM181" s="2305" t="s">
        <v>189</v>
      </c>
    </row>
    <row r="182" spans="1:39" ht="69.599999999999994" customHeight="1" x14ac:dyDescent="0.3">
      <c r="A182" s="2306"/>
      <c r="B182" s="2306"/>
      <c r="C182" s="2306"/>
      <c r="D182" s="2306"/>
      <c r="E182" s="2308"/>
      <c r="F182" s="2308"/>
      <c r="G182" s="697" t="s">
        <v>511</v>
      </c>
      <c r="H182" s="697" t="s">
        <v>190</v>
      </c>
      <c r="I182" s="2306"/>
      <c r="J182" s="2306"/>
      <c r="K182" s="2306"/>
      <c r="L182" s="2333"/>
      <c r="M182" s="2306"/>
      <c r="N182" s="2306"/>
      <c r="O182" s="2333"/>
      <c r="P182" s="2333"/>
      <c r="Q182" s="2306"/>
      <c r="R182" s="2306"/>
      <c r="S182" s="2306"/>
      <c r="T182" s="2306"/>
      <c r="U182" s="698" t="s">
        <v>191</v>
      </c>
      <c r="V182" s="698" t="s">
        <v>192</v>
      </c>
      <c r="W182" s="698" t="s">
        <v>193</v>
      </c>
      <c r="X182" s="698" t="s">
        <v>194</v>
      </c>
      <c r="Y182" s="698" t="s">
        <v>195</v>
      </c>
      <c r="Z182" s="698" t="s">
        <v>196</v>
      </c>
      <c r="AA182" s="2306"/>
      <c r="AB182" s="2306"/>
      <c r="AC182" s="2306"/>
      <c r="AD182" s="2306"/>
      <c r="AE182" s="2306"/>
      <c r="AF182" s="2306"/>
      <c r="AG182" s="2306"/>
      <c r="AH182" s="2306"/>
      <c r="AI182" s="2306"/>
      <c r="AJ182" s="2306"/>
      <c r="AK182" s="2306"/>
      <c r="AL182" s="2306"/>
      <c r="AM182" s="2306"/>
    </row>
    <row r="183" spans="1:39" ht="69.599999999999994" customHeight="1" x14ac:dyDescent="0.3">
      <c r="A183" s="2307">
        <v>1</v>
      </c>
      <c r="B183" s="2315" t="s">
        <v>209</v>
      </c>
      <c r="C183" s="2315" t="s">
        <v>661</v>
      </c>
      <c r="D183" s="2385" t="s">
        <v>662</v>
      </c>
      <c r="E183" s="2386" t="s">
        <v>396</v>
      </c>
      <c r="F183" s="2315" t="s">
        <v>663</v>
      </c>
      <c r="G183" s="2315" t="s">
        <v>512</v>
      </c>
      <c r="H183" s="2315" t="s">
        <v>664</v>
      </c>
      <c r="I183" s="2316" t="s">
        <v>198</v>
      </c>
      <c r="J183" s="2319">
        <v>36</v>
      </c>
      <c r="K183" s="2320" t="str">
        <f>IF(J183&lt;=0,"",IF(J183&lt;=2,"Muy Baja",IF(J183&lt;=24,"Baja",IF(J183&lt;=500,"Media",IF(J183&lt;=5000,"Alta","Muy Alta")))))</f>
        <v>Media</v>
      </c>
      <c r="L183" s="2321">
        <f>IF(K183="","",IF(K183="Muy Baja",0.2,IF(K183="Baja",0.4,IF(K183="Media",0.6,IF(K183="Alta",0.8,IF(K183="Muy Alta",1,))))))</f>
        <v>0.6</v>
      </c>
      <c r="M183" s="2321" t="s">
        <v>225</v>
      </c>
      <c r="N183" s="2321" t="str">
        <f>IF(NOT(ISERROR(MATCH(M183,'[33]Tabla Impacto'!$B$221:$B$223,0))),'[33]Tabla Impacto'!$F$223&amp;"Por favor no seleccionar los criterios de impacto(Afectación Económica o presupuestal y Pérdida Reputacional)",M183)</f>
        <v xml:space="preserve">     El riesgo afecta la imagen de la entidad con algunos usuarios de relevancia frente al logro de los objetivos</v>
      </c>
      <c r="O183" s="2320" t="str">
        <f>IF(OR(N183='[33]Tabla Impacto'!$C$11,N183='[33]Tabla Impacto'!$D$11),"Leve",IF(OR(N183='[33]Tabla Impacto'!$C$12,N183='[33]Tabla Impacto'!$D$12),"Menor",IF(OR(N183='[33]Tabla Impacto'!$C$13,N183='[33]Tabla Impacto'!$D$13),"Moderado",IF(OR(N183='[33]Tabla Impacto'!$C$14,N183='[33]Tabla Impacto'!$D$14),"Mayor",IF(OR(N183='[33]Tabla Impacto'!$C$15,N183='[33]Tabla Impacto'!$D$15),"Catastrófico","")))))</f>
        <v>Moderado</v>
      </c>
      <c r="P183" s="2321">
        <f>IF(O183="","",IF(O183="Leve",0.2,IF(O183="Menor",0.4,IF(O183="Moderado",0.6,IF(O183="Mayor",0.8,IF(O183="Catastrófico",1,))))))</f>
        <v>0.6</v>
      </c>
      <c r="Q183" s="2322" t="str">
        <f>IF(OR(AND(K183="Muy Baja",O183="Leve"),AND(K183="Muy Baja",O183="Menor"),AND(K183="Baja",O183="Leve")),"Bajo",IF(OR(AND(K183="Muy baja",O183="Moderado"),AND(K183="Baja",O183="Menor"),AND(K183="Baja",O183="Moderado"),AND(K183="Media",O183="Leve"),AND(K183="Media",O183="Menor"),AND(K183="Media",O183="Moderado"),AND(K183="Alta",O183="Leve"),AND(K183="Alta",O183="Menor")),"Moderado",IF(OR(AND(K183="Muy Baja",O183="Mayor"),AND(K183="Baja",O183="Mayor"),AND(K183="Media",O183="Mayor"),AND(K183="Alta",O183="Moderado"),AND(K183="Alta",O183="Mayor"),AND(K183="Muy Alta",O183="Leve"),AND(K183="Muy Alta",O183="Menor"),AND(K183="Muy Alta",O183="Moderado"),AND(K183="Muy Alta",O183="Mayor")),"Alto",IF(OR(AND(K183="Muy Baja",O183="Catastrófico"),AND(K183="Baja",O183="Catastrófico"),AND(K183="Media",O183="Catastrófico"),AND(K183="Alta",O183="Catastrófico"),AND(K183="Muy Alta",O183="Catastrófico")),"Extremo",""))))</f>
        <v>Moderado</v>
      </c>
      <c r="R183" s="2375">
        <v>1</v>
      </c>
      <c r="S183" s="2362" t="s">
        <v>1101</v>
      </c>
      <c r="T183" s="2375" t="s">
        <v>1102</v>
      </c>
      <c r="U183" s="2366" t="s">
        <v>200</v>
      </c>
      <c r="V183" s="2366" t="s">
        <v>201</v>
      </c>
      <c r="W183" s="2369" t="str">
        <f>IF(AND(U183="Preventivo",V183="Automático"),"50%",IF(AND(U183="Preventivo",V183="Manual"),"40%",IF(AND(U183="Detectivo",V183="Automático"),"40%",IF(AND(U183="Detectivo",V183="Manual"),"30%",IF(AND(U183="Correctivo",V183="Automático"),"35%",IF(AND(U183="Correctivo",V183="Manual"),"25%",""))))))</f>
        <v>30%</v>
      </c>
      <c r="X183" s="2366" t="s">
        <v>208</v>
      </c>
      <c r="Y183" s="2366" t="s">
        <v>203</v>
      </c>
      <c r="Z183" s="2366" t="s">
        <v>204</v>
      </c>
      <c r="AA183" s="2367">
        <v>0.42</v>
      </c>
      <c r="AB183" s="2368" t="str">
        <f>IFERROR(IF(AA183="","",IF(AA183&lt;=0.2,"Muy Baja",IF(AA183&lt;=0.4,"Baja",IF(AA183&lt;=0.6,"Media",IF(AA183&lt;=0.8,"Alta","Muy Alta"))))),"")</f>
        <v>Media</v>
      </c>
      <c r="AC183" s="2369">
        <f>+AA183</f>
        <v>0.42</v>
      </c>
      <c r="AD183" s="2368" t="s">
        <v>461</v>
      </c>
      <c r="AE183" s="2369">
        <v>0.6</v>
      </c>
      <c r="AF183" s="2372" t="str">
        <f>IFERROR(IF(OR(AND(AB183="Muy Baja",AD183="Leve"),AND(AB183="Muy Baja",AD183="Menor"),AND(AB183="Baja",AD183="Leve")),"Bajo",IF(OR(AND(AB183="Muy baja",AD183="Moderado"),AND(AB183="Baja",AD183="Menor"),AND(AB183="Baja",AD183="Moderado"),AND(AB183="Media",AD183="Leve"),AND(AB183="Media",AD183="Menor"),AND(AB183="Media",AD183="Moderado"),AND(AB183="Alta",AD183="Leve"),AND(AB183="Alta",AD183="Menor")),"Moderado",IF(OR(AND(AB183="Muy Baja",AD183="Mayor"),AND(AB183="Baja",AD183="Mayor"),AND(AB183="Media",AD183="Mayor"),AND(AB183="Alta",AD183="Moderado"),AND(AB183="Alta",AD183="Mayor"),AND(AB183="Muy Alta",AD183="Leve"),AND(AB183="Muy Alta",AD183="Menor"),AND(AB183="Muy Alta",AD183="Moderado"),AND(AB183="Muy Alta",AD183="Mayor")),"Alto",IF(OR(AND(AB183="Muy Baja",AD183="Catastrófico"),AND(AB183="Baja",AD183="Catastrófico"),AND(AB183="Media",AD183="Catastrófico"),AND(AB183="Alta",AD183="Catastrófico"),AND(AB183="Muy Alta",AD183="Catastrófico")),"Extremo","")))),"")</f>
        <v>Moderado</v>
      </c>
      <c r="AG183" s="2366" t="s">
        <v>205</v>
      </c>
      <c r="AH183" s="2315" t="s">
        <v>666</v>
      </c>
      <c r="AI183" s="2315" t="s">
        <v>667</v>
      </c>
      <c r="AJ183" s="2377">
        <v>45292</v>
      </c>
      <c r="AK183" s="2377" t="s">
        <v>668</v>
      </c>
      <c r="AL183" s="2315" t="s">
        <v>1103</v>
      </c>
      <c r="AM183" s="2319" t="s">
        <v>206</v>
      </c>
    </row>
    <row r="184" spans="1:39" ht="69.599999999999994" customHeight="1" x14ac:dyDescent="0.3">
      <c r="A184" s="2308"/>
      <c r="B184" s="2308"/>
      <c r="C184" s="2308"/>
      <c r="D184" s="2381"/>
      <c r="E184" s="2308"/>
      <c r="F184" s="2308"/>
      <c r="G184" s="2308"/>
      <c r="H184" s="2308"/>
      <c r="I184" s="2317"/>
      <c r="J184" s="2308"/>
      <c r="K184" s="2308"/>
      <c r="L184" s="2308"/>
      <c r="M184" s="2308"/>
      <c r="N184" s="2308"/>
      <c r="O184" s="2308"/>
      <c r="P184" s="2308"/>
      <c r="Q184" s="2308"/>
      <c r="R184" s="2308"/>
      <c r="S184" s="2308"/>
      <c r="T184" s="2308"/>
      <c r="U184" s="2308"/>
      <c r="V184" s="2308"/>
      <c r="W184" s="2308"/>
      <c r="X184" s="2308"/>
      <c r="Y184" s="2308"/>
      <c r="Z184" s="2308"/>
      <c r="AA184" s="2308"/>
      <c r="AB184" s="2308"/>
      <c r="AC184" s="2308"/>
      <c r="AD184" s="2308"/>
      <c r="AE184" s="2308"/>
      <c r="AF184" s="2308"/>
      <c r="AG184" s="2308"/>
      <c r="AH184" s="2308"/>
      <c r="AI184" s="2308"/>
      <c r="AJ184" s="2308"/>
      <c r="AK184" s="2308"/>
      <c r="AL184" s="2308"/>
      <c r="AM184" s="2308"/>
    </row>
    <row r="185" spans="1:39" ht="69.599999999999994" customHeight="1" x14ac:dyDescent="0.3">
      <c r="A185" s="2308"/>
      <c r="B185" s="2308"/>
      <c r="C185" s="2308"/>
      <c r="D185" s="2381"/>
      <c r="E185" s="2308"/>
      <c r="F185" s="2308"/>
      <c r="G185" s="2308"/>
      <c r="H185" s="2308"/>
      <c r="I185" s="2317"/>
      <c r="J185" s="2308"/>
      <c r="K185" s="2308"/>
      <c r="L185" s="2308"/>
      <c r="M185" s="2308"/>
      <c r="N185" s="2308"/>
      <c r="O185" s="2308"/>
      <c r="P185" s="2308"/>
      <c r="Q185" s="2308"/>
      <c r="R185" s="2308"/>
      <c r="S185" s="2308"/>
      <c r="T185" s="2308"/>
      <c r="U185" s="2308"/>
      <c r="V185" s="2308"/>
      <c r="W185" s="2308"/>
      <c r="X185" s="2308"/>
      <c r="Y185" s="2308"/>
      <c r="Z185" s="2308"/>
      <c r="AA185" s="2308"/>
      <c r="AB185" s="2308"/>
      <c r="AC185" s="2308"/>
      <c r="AD185" s="2308"/>
      <c r="AE185" s="2308"/>
      <c r="AF185" s="2308"/>
      <c r="AG185" s="2308"/>
      <c r="AH185" s="2308"/>
      <c r="AI185" s="2308"/>
      <c r="AJ185" s="2308"/>
      <c r="AK185" s="2308"/>
      <c r="AL185" s="2308"/>
      <c r="AM185" s="2308"/>
    </row>
    <row r="186" spans="1:39" ht="69.599999999999994" customHeight="1" x14ac:dyDescent="0.3">
      <c r="A186" s="2308"/>
      <c r="B186" s="2308"/>
      <c r="C186" s="2308"/>
      <c r="D186" s="2381"/>
      <c r="E186" s="2306"/>
      <c r="F186" s="2308"/>
      <c r="G186" s="2308"/>
      <c r="H186" s="2308"/>
      <c r="I186" s="2317"/>
      <c r="J186" s="2308"/>
      <c r="K186" s="2308"/>
      <c r="L186" s="2308"/>
      <c r="M186" s="2308"/>
      <c r="N186" s="2308"/>
      <c r="O186" s="2308"/>
      <c r="P186" s="2308"/>
      <c r="Q186" s="2308"/>
      <c r="R186" s="2306"/>
      <c r="S186" s="2306"/>
      <c r="T186" s="2306"/>
      <c r="U186" s="2306"/>
      <c r="V186" s="2306"/>
      <c r="W186" s="2306"/>
      <c r="X186" s="2306"/>
      <c r="Y186" s="2306"/>
      <c r="Z186" s="2306"/>
      <c r="AA186" s="2306"/>
      <c r="AB186" s="2306"/>
      <c r="AC186" s="2306"/>
      <c r="AD186" s="2306"/>
      <c r="AE186" s="2306"/>
      <c r="AF186" s="2306"/>
      <c r="AG186" s="2306"/>
      <c r="AH186" s="2308"/>
      <c r="AI186" s="2306"/>
      <c r="AJ186" s="2306"/>
      <c r="AK186" s="2306"/>
      <c r="AL186" s="2306"/>
      <c r="AM186" s="2306"/>
    </row>
    <row r="187" spans="1:39" ht="69.599999999999994" customHeight="1" x14ac:dyDescent="0.3">
      <c r="A187" s="2308"/>
      <c r="B187" s="2308"/>
      <c r="C187" s="2308"/>
      <c r="D187" s="2381"/>
      <c r="E187" s="2315" t="s">
        <v>674</v>
      </c>
      <c r="F187" s="2308"/>
      <c r="G187" s="2308"/>
      <c r="H187" s="2308"/>
      <c r="I187" s="2317"/>
      <c r="J187" s="2308"/>
      <c r="K187" s="2308"/>
      <c r="L187" s="2308"/>
      <c r="M187" s="2308"/>
      <c r="N187" s="2308"/>
      <c r="O187" s="2308"/>
      <c r="P187" s="2308"/>
      <c r="Q187" s="2308"/>
      <c r="R187" s="2375">
        <v>2</v>
      </c>
      <c r="S187" s="2376" t="s">
        <v>1104</v>
      </c>
      <c r="T187" s="2375" t="s">
        <v>1102</v>
      </c>
      <c r="U187" s="2366" t="s">
        <v>207</v>
      </c>
      <c r="V187" s="2366" t="s">
        <v>201</v>
      </c>
      <c r="W187" s="2369" t="str">
        <f>IF(AND(U187="Preventivo",V187="Automático"),"50%",IF(AND(U187="Preventivo",V187="Manual"),"40%",IF(AND(U187="Detectivo",V187="Automático"),"40%",IF(AND(U187="Detectivo",V187="Manual"),"30%",IF(AND(U187="Correctivo",V187="Automático"),"35%",IF(AND(U187="Correctivo",V187="Manual"),"25%",""))))))</f>
        <v>40%</v>
      </c>
      <c r="X187" s="2366" t="s">
        <v>208</v>
      </c>
      <c r="Y187" s="2366" t="s">
        <v>203</v>
      </c>
      <c r="Z187" s="2366" t="s">
        <v>204</v>
      </c>
      <c r="AA187" s="2367">
        <v>0.25</v>
      </c>
      <c r="AB187" s="2368" t="str">
        <f>IFERROR(IF(AA187="","",IF(AA187&lt;=0.2,"Muy Baja",IF(AA187&lt;=0.4,"Baja",IF(AA187&lt;=0.6,"Media",IF(AA187&lt;=0.8,"Alta","Muy Alta"))))),"")</f>
        <v>Baja</v>
      </c>
      <c r="AC187" s="2369">
        <f>+AA187</f>
        <v>0.25</v>
      </c>
      <c r="AD187" s="2368" t="s">
        <v>461</v>
      </c>
      <c r="AE187" s="2369">
        <v>0.6</v>
      </c>
      <c r="AF187" s="2372" t="str">
        <f>IFERROR(IF(OR(AND(AB187="Muy Baja",AD187="Leve"),AND(AB187="Muy Baja",AD187="Menor"),AND(AB187="Baja",AD187="Leve")),"Bajo",IF(OR(AND(AB187="Muy baja",AD187="Moderado"),AND(AB187="Baja",AD187="Menor"),AND(AB187="Baja",AD187="Moderado"),AND(AB187="Media",AD187="Leve"),AND(AB187="Media",AD187="Menor"),AND(AB187="Media",AD187="Moderado"),AND(AB187="Alta",AD187="Leve"),AND(AB187="Alta",AD187="Menor")),"Moderado",IF(OR(AND(AB187="Muy Baja",AD187="Mayor"),AND(AB187="Baja",AD187="Mayor"),AND(AB187="Media",AD187="Mayor"),AND(AB187="Alta",AD187="Moderado"),AND(AB187="Alta",AD187="Mayor"),AND(AB187="Muy Alta",AD187="Leve"),AND(AB187="Muy Alta",AD187="Menor"),AND(AB187="Muy Alta",AD187="Moderado"),AND(AB187="Muy Alta",AD187="Mayor")),"Alto",IF(OR(AND(AB187="Muy Baja",AD187="Catastrófico"),AND(AB187="Baja",AD187="Catastrófico"),AND(AB187="Media",AD187="Catastrófico"),AND(AB187="Alta",AD187="Catastrófico"),AND(AB187="Muy Alta",AD187="Catastrófico")),"Extremo","")))),"")</f>
        <v>Moderado</v>
      </c>
      <c r="AG187" s="2366" t="s">
        <v>205</v>
      </c>
      <c r="AH187" s="2308"/>
      <c r="AI187" s="2362" t="s">
        <v>1105</v>
      </c>
      <c r="AJ187" s="2363">
        <v>45292</v>
      </c>
      <c r="AK187" s="2373" t="s">
        <v>1106</v>
      </c>
      <c r="AL187" s="2370" t="s">
        <v>1107</v>
      </c>
      <c r="AM187" s="2378" t="s">
        <v>206</v>
      </c>
    </row>
    <row r="188" spans="1:39" ht="69.599999999999994" customHeight="1" x14ac:dyDescent="0.3">
      <c r="A188" s="2306"/>
      <c r="B188" s="2306"/>
      <c r="C188" s="2306"/>
      <c r="D188" s="2333"/>
      <c r="E188" s="2306"/>
      <c r="F188" s="2306"/>
      <c r="G188" s="2306"/>
      <c r="H188" s="2306"/>
      <c r="I188" s="2318"/>
      <c r="J188" s="2306"/>
      <c r="K188" s="2306"/>
      <c r="L188" s="2306"/>
      <c r="M188" s="2306"/>
      <c r="N188" s="2306"/>
      <c r="O188" s="2306"/>
      <c r="P188" s="2306"/>
      <c r="Q188" s="2306"/>
      <c r="R188" s="2306"/>
      <c r="S188" s="2306"/>
      <c r="T188" s="2306"/>
      <c r="U188" s="2306"/>
      <c r="V188" s="2306"/>
      <c r="W188" s="2306"/>
      <c r="X188" s="2306"/>
      <c r="Y188" s="2306"/>
      <c r="Z188" s="2306"/>
      <c r="AA188" s="2306"/>
      <c r="AB188" s="2306"/>
      <c r="AC188" s="2306"/>
      <c r="AD188" s="2306"/>
      <c r="AE188" s="2306"/>
      <c r="AF188" s="2306"/>
      <c r="AG188" s="2306"/>
      <c r="AH188" s="2306"/>
      <c r="AI188" s="2306"/>
      <c r="AJ188" s="2306"/>
      <c r="AK188" s="2371"/>
      <c r="AL188" s="2371"/>
      <c r="AM188" s="2379"/>
    </row>
    <row r="189" spans="1:39" ht="69.599999999999994" customHeight="1" x14ac:dyDescent="0.3">
      <c r="A189" s="2307">
        <v>2</v>
      </c>
      <c r="B189" s="2362" t="s">
        <v>209</v>
      </c>
      <c r="C189" s="2362" t="s">
        <v>676</v>
      </c>
      <c r="D189" s="2380" t="s">
        <v>677</v>
      </c>
      <c r="E189" s="2362" t="s">
        <v>678</v>
      </c>
      <c r="F189" s="2362" t="s">
        <v>679</v>
      </c>
      <c r="G189" s="2315" t="s">
        <v>597</v>
      </c>
      <c r="H189" s="2362" t="s">
        <v>1108</v>
      </c>
      <c r="I189" s="2382" t="s">
        <v>198</v>
      </c>
      <c r="J189" s="2375">
        <v>365</v>
      </c>
      <c r="K189" s="2383" t="str">
        <f>IF(J189&lt;=0,"",IF(J189&lt;=2,"Muy Baja",IF(J189&lt;=24,"Baja",IF(J189&lt;=500,"Media",IF(J189&lt;=5000,"Alta","Muy Alta")))))</f>
        <v>Media</v>
      </c>
      <c r="L189" s="2384">
        <f>IF(K189="","",IF(K189="Muy Baja",0.2,IF(K189="Baja",0.4,IF(K189="Media",0.6,IF(K189="Alta",0.8,IF(K189="Muy Alta",1,))))))</f>
        <v>0.6</v>
      </c>
      <c r="M189" s="2384" t="s">
        <v>282</v>
      </c>
      <c r="N189" s="2384" t="str">
        <f>IF(NOT(ISERROR(MATCH(M189,'[33]Tabla Impacto'!$B$221:$B$223,0))),'[33]Tabla Impacto'!$F$223&amp;"Por favor no seleccionar los criterios de impacto(Afectación Económica o presupuestal y Pérdida Reputacional)",M189)</f>
        <v xml:space="preserve">     Entre 1000 y 5000 SMLMV </v>
      </c>
      <c r="O189" s="2383" t="str">
        <f>IF(OR(N189='[33]Tabla Impacto'!$C$11,N189='[33]Tabla Impacto'!$D$11),"Leve",IF(OR(N189='[33]Tabla Impacto'!$C$12,N189='[33]Tabla Impacto'!$D$12),"Menor",IF(OR(N189='[33]Tabla Impacto'!$C$13,N189='[33]Tabla Impacto'!$D$13),"Moderado",IF(OR(N189='[33]Tabla Impacto'!$C$14,N189='[33]Tabla Impacto'!$D$14),"Mayor",IF(OR(N189='[33]Tabla Impacto'!$C$15,N189='[33]Tabla Impacto'!$D$15),"Catastrófico","")))))</f>
        <v>Moderado</v>
      </c>
      <c r="P189" s="2384">
        <f>IF(O189="","",IF(O189="Leve",0.2,IF(O189="Menor",0.4,IF(O189="Moderado",0.6,IF(O189="Mayor",0.8,IF(O189="Catastrófico",1,))))))</f>
        <v>0.6</v>
      </c>
      <c r="Q189" s="2374" t="str">
        <f>IF(OR(AND(K189="Muy Baja",O189="Leve"),AND(K189="Muy Baja",O189="Menor"),AND(K189="Baja",O189="Leve")),"Bajo",IF(OR(AND(K189="Muy baja",O189="Moderado"),AND(K189="Baja",O189="Menor"),AND(K189="Baja",O189="Moderado"),AND(K189="Media",O189="Leve"),AND(K189="Media",O189="Menor"),AND(K189="Media",O189="Moderado"),AND(K189="Alta",O189="Leve"),AND(K189="Alta",O189="Menor")),"Moderado",IF(OR(AND(K189="Muy Baja",O189="Mayor"),AND(K189="Baja",O189="Mayor"),AND(K189="Media",O189="Mayor"),AND(K189="Alta",O189="Moderado"),AND(K189="Alta",O189="Mayor"),AND(K189="Muy Alta",O189="Leve"),AND(K189="Muy Alta",O189="Menor"),AND(K189="Muy Alta",O189="Moderado"),AND(K189="Muy Alta",O189="Mayor")),"Alto",IF(OR(AND(K189="Muy Baja",O189="Catastrófico"),AND(K189="Baja",O189="Catastrófico"),AND(K189="Media",O189="Catastrófico"),AND(K189="Alta",O189="Catastrófico"),AND(K189="Muy Alta",O189="Catastrófico")),"Extremo",""))))</f>
        <v>Moderado</v>
      </c>
      <c r="R189" s="2375">
        <v>1</v>
      </c>
      <c r="S189" s="2376" t="s">
        <v>1109</v>
      </c>
      <c r="T189" s="2375" t="s">
        <v>1102</v>
      </c>
      <c r="U189" s="2366" t="s">
        <v>207</v>
      </c>
      <c r="V189" s="2366" t="s">
        <v>201</v>
      </c>
      <c r="W189" s="2369" t="str">
        <f>IF(AND(U189="Preventivo",V189="Automático"),"50%",IF(AND(U189="Preventivo",V189="Manual"),"40%",IF(AND(U189="Detectivo",V189="Automático"),"40%",IF(AND(U189="Detectivo",V189="Manual"),"30%",IF(AND(U189="Correctivo",V189="Automático"),"35%",IF(AND(U189="Correctivo",V189="Manual"),"25%",""))))))</f>
        <v>40%</v>
      </c>
      <c r="X189" s="2366" t="s">
        <v>208</v>
      </c>
      <c r="Y189" s="2366" t="s">
        <v>203</v>
      </c>
      <c r="Z189" s="2366" t="s">
        <v>204</v>
      </c>
      <c r="AA189" s="2367">
        <v>0.36</v>
      </c>
      <c r="AB189" s="2368" t="str">
        <f>IFERROR(IF(AA189="","",IF(AA189&lt;=0.2,"Muy Baja",IF(AA189&lt;=0.4,"Baja",IF(AA189&lt;=0.6,"Media",IF(AA189&lt;=0.8,"Alta","Muy Alta"))))),"")</f>
        <v>Baja</v>
      </c>
      <c r="AC189" s="2369">
        <f>+AA189</f>
        <v>0.36</v>
      </c>
      <c r="AD189" s="2368" t="s">
        <v>461</v>
      </c>
      <c r="AE189" s="2369">
        <v>0.6</v>
      </c>
      <c r="AF189" s="2372" t="str">
        <f>IFERROR(IF(OR(AND(AB189="Muy Baja",AD189="Leve"),AND(AB189="Muy Baja",AD189="Menor"),AND(AB189="Baja",AD189="Leve")),"Bajo",IF(OR(AND(AB189="Muy baja",AD189="Moderado"),AND(AB189="Baja",AD189="Menor"),AND(AB189="Baja",AD189="Moderado"),AND(AB189="Media",AD189="Leve"),AND(AB189="Media",AD189="Menor"),AND(AB189="Media",AD189="Moderado"),AND(AB189="Alta",AD189="Leve"),AND(AB189="Alta",AD189="Menor")),"Moderado",IF(OR(AND(AB189="Muy Baja",AD189="Mayor"),AND(AB189="Baja",AD189="Mayor"),AND(AB189="Media",AD189="Mayor"),AND(AB189="Alta",AD189="Moderado"),AND(AB189="Alta",AD189="Mayor"),AND(AB189="Muy Alta",AD189="Leve"),AND(AB189="Muy Alta",AD189="Menor"),AND(AB189="Muy Alta",AD189="Moderado"),AND(AB189="Muy Alta",AD189="Mayor")),"Alto",IF(OR(AND(AB189="Muy Baja",AD189="Catastrófico"),AND(AB189="Baja",AD189="Catastrófico"),AND(AB189="Media",AD189="Catastrófico"),AND(AB189="Alta",AD189="Catastrófico"),AND(AB189="Muy Alta",AD189="Catastrófico")),"Extremo","")))),"")</f>
        <v>Moderado</v>
      </c>
      <c r="AG189" s="2366" t="s">
        <v>205</v>
      </c>
      <c r="AH189" s="2362" t="s">
        <v>682</v>
      </c>
      <c r="AI189" s="2362" t="s">
        <v>667</v>
      </c>
      <c r="AJ189" s="2363">
        <v>45505</v>
      </c>
      <c r="AK189" s="2364" t="s">
        <v>1110</v>
      </c>
      <c r="AL189" s="2365" t="s">
        <v>1110</v>
      </c>
      <c r="AM189" s="2319" t="s">
        <v>206</v>
      </c>
    </row>
    <row r="190" spans="1:39" ht="69.599999999999994" customHeight="1" x14ac:dyDescent="0.3">
      <c r="A190" s="2308"/>
      <c r="B190" s="2308"/>
      <c r="C190" s="2308"/>
      <c r="D190" s="2381"/>
      <c r="E190" s="2306"/>
      <c r="F190" s="2308"/>
      <c r="G190" s="2308"/>
      <c r="H190" s="2308"/>
      <c r="I190" s="2317"/>
      <c r="J190" s="2308"/>
      <c r="K190" s="2308"/>
      <c r="L190" s="2308"/>
      <c r="M190" s="2308"/>
      <c r="N190" s="2308"/>
      <c r="O190" s="2308"/>
      <c r="P190" s="2308"/>
      <c r="Q190" s="2308"/>
      <c r="R190" s="2308"/>
      <c r="S190" s="2308"/>
      <c r="T190" s="2308"/>
      <c r="U190" s="2308"/>
      <c r="V190" s="2308"/>
      <c r="W190" s="2308"/>
      <c r="X190" s="2308"/>
      <c r="Y190" s="2308"/>
      <c r="Z190" s="2308"/>
      <c r="AA190" s="2308"/>
      <c r="AB190" s="2308"/>
      <c r="AC190" s="2308"/>
      <c r="AD190" s="2308"/>
      <c r="AE190" s="2308"/>
      <c r="AF190" s="2308"/>
      <c r="AG190" s="2308"/>
      <c r="AH190" s="2308"/>
      <c r="AI190" s="2308"/>
      <c r="AJ190" s="2308"/>
      <c r="AK190" s="2308"/>
      <c r="AL190" s="2308"/>
      <c r="AM190" s="2308"/>
    </row>
    <row r="191" spans="1:39" ht="69.599999999999994" customHeight="1" x14ac:dyDescent="0.3">
      <c r="A191" s="2308"/>
      <c r="B191" s="2308"/>
      <c r="C191" s="2308"/>
      <c r="D191" s="2381"/>
      <c r="E191" s="2362" t="s">
        <v>686</v>
      </c>
      <c r="F191" s="2308"/>
      <c r="G191" s="2308"/>
      <c r="H191" s="2308"/>
      <c r="I191" s="2317"/>
      <c r="J191" s="2308"/>
      <c r="K191" s="2308"/>
      <c r="L191" s="2308"/>
      <c r="M191" s="2308"/>
      <c r="N191" s="2308"/>
      <c r="O191" s="2308"/>
      <c r="P191" s="2308"/>
      <c r="Q191" s="2308"/>
      <c r="R191" s="2308"/>
      <c r="S191" s="2308"/>
      <c r="T191" s="2308"/>
      <c r="U191" s="2308"/>
      <c r="V191" s="2308"/>
      <c r="W191" s="2308"/>
      <c r="X191" s="2308"/>
      <c r="Y191" s="2308"/>
      <c r="Z191" s="2308"/>
      <c r="AA191" s="2308"/>
      <c r="AB191" s="2308"/>
      <c r="AC191" s="2308"/>
      <c r="AD191" s="2308"/>
      <c r="AE191" s="2308"/>
      <c r="AF191" s="2308"/>
      <c r="AG191" s="2308"/>
      <c r="AH191" s="2308"/>
      <c r="AI191" s="2308"/>
      <c r="AJ191" s="2308"/>
      <c r="AK191" s="2308"/>
      <c r="AL191" s="2308"/>
      <c r="AM191" s="2308"/>
    </row>
    <row r="192" spans="1:39" ht="69.599999999999994" customHeight="1" x14ac:dyDescent="0.3">
      <c r="A192" s="2308"/>
      <c r="B192" s="2308"/>
      <c r="C192" s="2308"/>
      <c r="D192" s="2381"/>
      <c r="E192" s="2308"/>
      <c r="F192" s="2308"/>
      <c r="G192" s="2308"/>
      <c r="H192" s="2308"/>
      <c r="I192" s="2317"/>
      <c r="J192" s="2308"/>
      <c r="K192" s="2308"/>
      <c r="L192" s="2308"/>
      <c r="M192" s="2308"/>
      <c r="N192" s="2308"/>
      <c r="O192" s="2308"/>
      <c r="P192" s="2308"/>
      <c r="Q192" s="2308"/>
      <c r="R192" s="2308"/>
      <c r="S192" s="2308"/>
      <c r="T192" s="2308"/>
      <c r="U192" s="2308"/>
      <c r="V192" s="2308"/>
      <c r="W192" s="2308"/>
      <c r="X192" s="2308"/>
      <c r="Y192" s="2308"/>
      <c r="Z192" s="2308"/>
      <c r="AA192" s="2308"/>
      <c r="AB192" s="2308"/>
      <c r="AC192" s="2308"/>
      <c r="AD192" s="2308"/>
      <c r="AE192" s="2308"/>
      <c r="AF192" s="2308"/>
      <c r="AG192" s="2308"/>
      <c r="AH192" s="2308"/>
      <c r="AI192" s="2308"/>
      <c r="AJ192" s="2308"/>
      <c r="AK192" s="2308"/>
      <c r="AL192" s="2308"/>
      <c r="AM192" s="2308"/>
    </row>
    <row r="193" spans="1:48" ht="69.599999999999994" customHeight="1" x14ac:dyDescent="0.3">
      <c r="A193" s="2308"/>
      <c r="B193" s="2308"/>
      <c r="C193" s="2308"/>
      <c r="D193" s="2381"/>
      <c r="E193" s="2308"/>
      <c r="F193" s="2308"/>
      <c r="G193" s="2308"/>
      <c r="H193" s="2308"/>
      <c r="I193" s="2317"/>
      <c r="J193" s="2308"/>
      <c r="K193" s="2308"/>
      <c r="L193" s="2308"/>
      <c r="M193" s="2308"/>
      <c r="N193" s="2308"/>
      <c r="O193" s="2308"/>
      <c r="P193" s="2308"/>
      <c r="Q193" s="2308"/>
      <c r="R193" s="2308"/>
      <c r="S193" s="2308"/>
      <c r="T193" s="2308"/>
      <c r="U193" s="2308"/>
      <c r="V193" s="2308"/>
      <c r="W193" s="2308"/>
      <c r="X193" s="2308"/>
      <c r="Y193" s="2308"/>
      <c r="Z193" s="2308"/>
      <c r="AA193" s="2308"/>
      <c r="AB193" s="2308"/>
      <c r="AC193" s="2308"/>
      <c r="AD193" s="2308"/>
      <c r="AE193" s="2308"/>
      <c r="AF193" s="2308"/>
      <c r="AG193" s="2308"/>
      <c r="AH193" s="2308"/>
      <c r="AI193" s="2308"/>
      <c r="AJ193" s="2308"/>
      <c r="AK193" s="2308"/>
      <c r="AL193" s="2308"/>
      <c r="AM193" s="2308"/>
    </row>
    <row r="194" spans="1:48" ht="69.599999999999994" customHeight="1" x14ac:dyDescent="0.3">
      <c r="A194" s="2306"/>
      <c r="B194" s="2306"/>
      <c r="C194" s="2306"/>
      <c r="D194" s="2333"/>
      <c r="E194" s="2306"/>
      <c r="F194" s="2306"/>
      <c r="G194" s="2306"/>
      <c r="H194" s="2306"/>
      <c r="I194" s="2318"/>
      <c r="J194" s="2306"/>
      <c r="K194" s="2306"/>
      <c r="L194" s="2306"/>
      <c r="M194" s="2306"/>
      <c r="N194" s="2306"/>
      <c r="O194" s="2306"/>
      <c r="P194" s="2306"/>
      <c r="Q194" s="2306"/>
      <c r="R194" s="2306"/>
      <c r="S194" s="2306"/>
      <c r="T194" s="2306"/>
      <c r="U194" s="2306"/>
      <c r="V194" s="2306"/>
      <c r="W194" s="2306"/>
      <c r="X194" s="2306"/>
      <c r="Y194" s="2306"/>
      <c r="Z194" s="2306"/>
      <c r="AA194" s="2306"/>
      <c r="AB194" s="2306"/>
      <c r="AC194" s="2306"/>
      <c r="AD194" s="2306"/>
      <c r="AE194" s="2306"/>
      <c r="AF194" s="2306"/>
      <c r="AG194" s="2306"/>
      <c r="AH194" s="2306"/>
      <c r="AI194" s="2306"/>
      <c r="AJ194" s="2306"/>
      <c r="AK194" s="2306"/>
      <c r="AL194" s="2306"/>
      <c r="AM194" s="2306"/>
    </row>
    <row r="195" spans="1:48" ht="69.599999999999994" customHeight="1" x14ac:dyDescent="0.3">
      <c r="A195" s="428"/>
      <c r="B195" s="429"/>
      <c r="C195" s="429"/>
      <c r="D195" s="429"/>
      <c r="E195" s="429"/>
      <c r="F195" s="241"/>
      <c r="G195" s="241"/>
      <c r="H195" s="429"/>
      <c r="I195" s="430"/>
      <c r="J195" s="431"/>
      <c r="K195" s="432"/>
      <c r="L195" s="433"/>
      <c r="M195" s="432"/>
      <c r="N195" s="431"/>
      <c r="O195" s="432"/>
      <c r="P195" s="434"/>
      <c r="Q195" s="239"/>
      <c r="R195" s="435"/>
      <c r="S195" s="436"/>
      <c r="T195" s="437"/>
      <c r="U195" s="437"/>
      <c r="V195" s="438"/>
      <c r="W195" s="437"/>
      <c r="X195" s="437"/>
      <c r="Y195" s="437"/>
      <c r="Z195" s="439"/>
      <c r="AA195" s="440"/>
      <c r="AB195" s="441"/>
      <c r="AC195" s="440"/>
      <c r="AD195" s="441"/>
      <c r="AE195" s="442"/>
      <c r="AF195" s="437"/>
      <c r="AG195" s="429"/>
      <c r="AH195" s="429"/>
      <c r="AI195" s="443"/>
      <c r="AJ195" s="444"/>
      <c r="AK195" s="429"/>
      <c r="AL195" s="430"/>
    </row>
    <row r="196" spans="1:48" ht="69.599999999999994" customHeight="1" x14ac:dyDescent="0.3">
      <c r="A196" s="2343" t="s">
        <v>156</v>
      </c>
      <c r="B196" s="2344"/>
      <c r="C196" s="2344"/>
      <c r="D196" s="2344"/>
      <c r="E196" s="2344"/>
      <c r="F196" s="2344"/>
      <c r="G196" s="2344"/>
      <c r="H196" s="2344"/>
      <c r="I196" s="2344"/>
      <c r="J196" s="2344"/>
      <c r="K196" s="2344"/>
      <c r="L196" s="2344"/>
      <c r="M196" s="2344"/>
      <c r="N196" s="2344"/>
      <c r="O196" s="2344"/>
      <c r="P196" s="2344"/>
      <c r="Q196" s="2344"/>
      <c r="R196" s="2344"/>
      <c r="S196" s="2344"/>
      <c r="T196" s="2344"/>
      <c r="U196" s="2344"/>
      <c r="V196" s="2344"/>
      <c r="W196" s="2344"/>
      <c r="X196" s="2344"/>
      <c r="Y196" s="2344"/>
      <c r="Z196" s="2344"/>
      <c r="AA196" s="2344"/>
      <c r="AB196" s="2344"/>
      <c r="AC196" s="2344"/>
      <c r="AD196" s="2344"/>
      <c r="AE196" s="2344"/>
      <c r="AF196" s="2344"/>
      <c r="AG196" s="2344"/>
      <c r="AH196" s="2344"/>
      <c r="AI196" s="2344"/>
      <c r="AJ196" s="2344"/>
      <c r="AK196" s="2344"/>
      <c r="AL196" s="2344"/>
      <c r="AM196" s="2345"/>
      <c r="AN196" s="699"/>
      <c r="AO196" s="700"/>
      <c r="AP196" s="700"/>
      <c r="AQ196" s="700"/>
      <c r="AR196" s="701"/>
      <c r="AS196" s="700"/>
      <c r="AT196" s="700"/>
      <c r="AU196" s="700"/>
      <c r="AV196" s="700"/>
    </row>
    <row r="197" spans="1:48" ht="69.599999999999994" customHeight="1" x14ac:dyDescent="0.3">
      <c r="A197" s="2346"/>
      <c r="B197" s="2347"/>
      <c r="C197" s="2347"/>
      <c r="D197" s="2347"/>
      <c r="E197" s="2347"/>
      <c r="F197" s="2347"/>
      <c r="G197" s="2347"/>
      <c r="H197" s="2347"/>
      <c r="I197" s="2347"/>
      <c r="J197" s="2347"/>
      <c r="K197" s="2347"/>
      <c r="L197" s="2347"/>
      <c r="M197" s="2347"/>
      <c r="N197" s="2347"/>
      <c r="O197" s="2347"/>
      <c r="P197" s="2347"/>
      <c r="Q197" s="2347"/>
      <c r="R197" s="2347"/>
      <c r="S197" s="2347"/>
      <c r="T197" s="2347"/>
      <c r="U197" s="2347"/>
      <c r="V197" s="2347"/>
      <c r="W197" s="2347"/>
      <c r="X197" s="2347"/>
      <c r="Y197" s="2347"/>
      <c r="Z197" s="2347"/>
      <c r="AA197" s="2347"/>
      <c r="AB197" s="2347"/>
      <c r="AC197" s="2347"/>
      <c r="AD197" s="2347"/>
      <c r="AE197" s="2347"/>
      <c r="AF197" s="2347"/>
      <c r="AG197" s="2347"/>
      <c r="AH197" s="2347"/>
      <c r="AI197" s="2347"/>
      <c r="AJ197" s="2347"/>
      <c r="AK197" s="2347"/>
      <c r="AL197" s="2347"/>
      <c r="AM197" s="2348"/>
      <c r="AN197" s="699"/>
      <c r="AO197" s="702"/>
      <c r="AP197" s="700"/>
      <c r="AQ197" s="700"/>
      <c r="AR197" s="701"/>
      <c r="AS197" s="700"/>
      <c r="AT197" s="700"/>
      <c r="AU197" s="700"/>
      <c r="AV197" s="700"/>
    </row>
    <row r="198" spans="1:48" ht="69.599999999999994" customHeight="1" x14ac:dyDescent="0.3">
      <c r="A198" s="703"/>
      <c r="B198" s="704"/>
      <c r="C198" s="703"/>
      <c r="D198" s="703"/>
      <c r="E198" s="703"/>
      <c r="F198" s="700"/>
      <c r="G198" s="700"/>
      <c r="H198" s="700"/>
      <c r="I198" s="705"/>
      <c r="J198" s="700"/>
      <c r="K198" s="700"/>
      <c r="L198" s="700"/>
      <c r="M198" s="700"/>
      <c r="N198" s="700"/>
      <c r="O198" s="700"/>
      <c r="P198" s="700"/>
      <c r="Q198" s="700"/>
      <c r="R198" s="700"/>
      <c r="S198" s="700"/>
      <c r="T198" s="700"/>
      <c r="U198" s="700"/>
      <c r="V198" s="700"/>
      <c r="W198" s="700"/>
      <c r="X198" s="700"/>
      <c r="Y198" s="700"/>
      <c r="Z198" s="700"/>
      <c r="AA198" s="700"/>
      <c r="AB198" s="700"/>
      <c r="AC198" s="700"/>
      <c r="AD198" s="700"/>
      <c r="AE198" s="700"/>
      <c r="AF198" s="700"/>
      <c r="AG198" s="700"/>
      <c r="AH198" s="700"/>
      <c r="AI198" s="700"/>
      <c r="AJ198" s="700"/>
      <c r="AK198" s="700"/>
      <c r="AL198" s="700"/>
      <c r="AM198" s="700"/>
      <c r="AN198" s="700"/>
      <c r="AO198" s="706"/>
      <c r="AP198" s="700"/>
      <c r="AQ198" s="700"/>
      <c r="AR198" s="701"/>
      <c r="AS198" s="700"/>
      <c r="AT198" s="700"/>
      <c r="AU198" s="700"/>
      <c r="AV198" s="700"/>
    </row>
    <row r="199" spans="1:48" ht="69.599999999999994" customHeight="1" x14ac:dyDescent="0.3">
      <c r="A199" s="2349" t="s">
        <v>157</v>
      </c>
      <c r="B199" s="2350"/>
      <c r="C199" s="2039" t="s">
        <v>705</v>
      </c>
      <c r="D199" s="2039"/>
      <c r="E199" s="2039"/>
      <c r="F199" s="2039"/>
      <c r="G199" s="2039"/>
      <c r="H199" s="2039"/>
      <c r="I199" s="2039"/>
      <c r="J199" s="2039"/>
      <c r="K199" s="2039"/>
      <c r="L199" s="2039"/>
      <c r="M199" s="2039"/>
      <c r="N199" s="2039"/>
      <c r="O199" s="2039"/>
      <c r="P199" s="2039"/>
      <c r="Q199" s="2039"/>
      <c r="R199" s="2039"/>
      <c r="S199" s="2039"/>
      <c r="T199" s="2039"/>
      <c r="U199" s="2039"/>
      <c r="V199" s="2039"/>
      <c r="W199" s="2039"/>
      <c r="X199" s="2039"/>
      <c r="Y199" s="2039"/>
      <c r="Z199" s="2039"/>
      <c r="AA199" s="2039"/>
      <c r="AB199" s="2039"/>
      <c r="AC199" s="2039"/>
      <c r="AD199" s="2039"/>
      <c r="AE199" s="2039"/>
      <c r="AF199" s="2039"/>
      <c r="AG199" s="2039"/>
      <c r="AH199" s="2039"/>
      <c r="AI199" s="2039"/>
      <c r="AJ199" s="2039"/>
      <c r="AK199" s="2039"/>
      <c r="AL199" s="2039"/>
      <c r="AM199" s="2039"/>
      <c r="AN199" s="707"/>
      <c r="AO199" s="700"/>
      <c r="AP199" s="700"/>
      <c r="AQ199" s="700"/>
      <c r="AR199" s="701"/>
      <c r="AS199" s="700"/>
      <c r="AT199" s="700"/>
      <c r="AU199" s="700"/>
      <c r="AV199" s="700"/>
    </row>
    <row r="200" spans="1:48" ht="69.599999999999994" customHeight="1" x14ac:dyDescent="0.3">
      <c r="A200" s="2349" t="s">
        <v>158</v>
      </c>
      <c r="B200" s="2350"/>
      <c r="C200" s="2040" t="s">
        <v>706</v>
      </c>
      <c r="D200" s="2040"/>
      <c r="E200" s="2040"/>
      <c r="F200" s="2040"/>
      <c r="G200" s="2040"/>
      <c r="H200" s="2040"/>
      <c r="I200" s="2040"/>
      <c r="J200" s="2040"/>
      <c r="K200" s="2040"/>
      <c r="L200" s="2040"/>
      <c r="M200" s="2040"/>
      <c r="N200" s="2040"/>
      <c r="O200" s="2040"/>
      <c r="P200" s="2040"/>
      <c r="Q200" s="2040"/>
      <c r="R200" s="2040"/>
      <c r="S200" s="2040"/>
      <c r="T200" s="2040"/>
      <c r="U200" s="2040"/>
      <c r="V200" s="2040"/>
      <c r="W200" s="2040"/>
      <c r="X200" s="2040"/>
      <c r="Y200" s="2040"/>
      <c r="Z200" s="2040"/>
      <c r="AA200" s="2040"/>
      <c r="AB200" s="2040"/>
      <c r="AC200" s="2040"/>
      <c r="AD200" s="2040"/>
      <c r="AE200" s="2040"/>
      <c r="AF200" s="2040"/>
      <c r="AG200" s="2040"/>
      <c r="AH200" s="2040"/>
      <c r="AI200" s="2040"/>
      <c r="AJ200" s="2040"/>
      <c r="AK200" s="2040"/>
      <c r="AL200" s="2040"/>
      <c r="AM200" s="2040"/>
      <c r="AN200" s="708"/>
      <c r="AO200" s="709"/>
      <c r="AP200" s="700"/>
      <c r="AQ200" s="700"/>
      <c r="AR200" s="700"/>
      <c r="AS200" s="700"/>
      <c r="AT200" s="700"/>
      <c r="AU200" s="700"/>
      <c r="AV200" s="700"/>
    </row>
    <row r="201" spans="1:48" ht="69.599999999999994" customHeight="1" x14ac:dyDescent="0.3">
      <c r="A201" s="2349" t="s">
        <v>159</v>
      </c>
      <c r="B201" s="2350"/>
      <c r="C201" s="2040" t="s">
        <v>687</v>
      </c>
      <c r="D201" s="2040"/>
      <c r="E201" s="2040"/>
      <c r="F201" s="2040"/>
      <c r="G201" s="2040"/>
      <c r="H201" s="2040"/>
      <c r="I201" s="2040"/>
      <c r="J201" s="2040"/>
      <c r="K201" s="2040"/>
      <c r="L201" s="2040"/>
      <c r="M201" s="2040"/>
      <c r="N201" s="2040"/>
      <c r="O201" s="2040"/>
      <c r="P201" s="2040"/>
      <c r="Q201" s="2040"/>
      <c r="R201" s="2040"/>
      <c r="S201" s="2040"/>
      <c r="T201" s="2040"/>
      <c r="U201" s="2040"/>
      <c r="V201" s="2040"/>
      <c r="W201" s="2040"/>
      <c r="X201" s="2040"/>
      <c r="Y201" s="2040"/>
      <c r="Z201" s="2040"/>
      <c r="AA201" s="2040"/>
      <c r="AB201" s="2040"/>
      <c r="AC201" s="2040"/>
      <c r="AD201" s="2040"/>
      <c r="AE201" s="2040"/>
      <c r="AF201" s="2040"/>
      <c r="AG201" s="2040"/>
      <c r="AH201" s="2040"/>
      <c r="AI201" s="2040"/>
      <c r="AJ201" s="2040"/>
      <c r="AK201" s="2040"/>
      <c r="AL201" s="2040"/>
      <c r="AM201" s="2040"/>
      <c r="AN201" s="708"/>
      <c r="AO201" s="709"/>
      <c r="AP201" s="700"/>
      <c r="AQ201" s="700"/>
      <c r="AR201" s="701"/>
      <c r="AS201" s="700"/>
      <c r="AT201" s="700"/>
      <c r="AU201" s="700"/>
      <c r="AV201" s="700"/>
    </row>
    <row r="202" spans="1:48" ht="69.599999999999994" customHeight="1" x14ac:dyDescent="0.3">
      <c r="A202" s="2351" t="s">
        <v>160</v>
      </c>
      <c r="B202" s="2352"/>
      <c r="C202" s="2353"/>
      <c r="D202" s="2353"/>
      <c r="E202" s="2353"/>
      <c r="F202" s="2353"/>
      <c r="G202" s="2353"/>
      <c r="H202" s="2353"/>
      <c r="I202" s="2353"/>
      <c r="J202" s="2354"/>
      <c r="K202" s="2101" t="s">
        <v>161</v>
      </c>
      <c r="L202" s="2353"/>
      <c r="M202" s="2353"/>
      <c r="N202" s="2353"/>
      <c r="O202" s="2353"/>
      <c r="P202" s="2353"/>
      <c r="Q202" s="2354"/>
      <c r="R202" s="2101" t="s">
        <v>162</v>
      </c>
      <c r="S202" s="2353"/>
      <c r="T202" s="2353"/>
      <c r="U202" s="2353"/>
      <c r="V202" s="2353"/>
      <c r="W202" s="2353"/>
      <c r="X202" s="2353"/>
      <c r="Y202" s="2353"/>
      <c r="Z202" s="2354"/>
      <c r="AA202" s="2101" t="s">
        <v>163</v>
      </c>
      <c r="AB202" s="2353"/>
      <c r="AC202" s="2353"/>
      <c r="AD202" s="2353"/>
      <c r="AE202" s="2353"/>
      <c r="AF202" s="2353"/>
      <c r="AG202" s="2354"/>
      <c r="AH202" s="2101" t="s">
        <v>164</v>
      </c>
      <c r="AI202" s="2353"/>
      <c r="AJ202" s="2353"/>
      <c r="AK202" s="2353"/>
      <c r="AL202" s="2353"/>
      <c r="AM202" s="2354"/>
      <c r="AN202" s="710"/>
      <c r="AO202" s="711"/>
      <c r="AP202" s="712"/>
      <c r="AQ202" s="712"/>
      <c r="AR202" s="712"/>
      <c r="AS202" s="712"/>
      <c r="AT202" s="700"/>
      <c r="AU202" s="700"/>
      <c r="AV202" s="700"/>
    </row>
    <row r="203" spans="1:48" ht="69.599999999999994" customHeight="1" x14ac:dyDescent="0.3">
      <c r="A203" s="2140" t="s">
        <v>165</v>
      </c>
      <c r="B203" s="2142" t="s">
        <v>142</v>
      </c>
      <c r="C203" s="2042" t="s">
        <v>166</v>
      </c>
      <c r="D203" s="2042" t="s">
        <v>167</v>
      </c>
      <c r="E203" s="2041" t="s">
        <v>168</v>
      </c>
      <c r="F203" s="2103" t="s">
        <v>60</v>
      </c>
      <c r="G203" s="280"/>
      <c r="H203" s="280"/>
      <c r="I203" s="2041" t="s">
        <v>169</v>
      </c>
      <c r="J203" s="2042" t="s">
        <v>170</v>
      </c>
      <c r="K203" s="2105" t="s">
        <v>171</v>
      </c>
      <c r="L203" s="2100" t="s">
        <v>172</v>
      </c>
      <c r="M203" s="2041" t="s">
        <v>173</v>
      </c>
      <c r="N203" s="2041" t="s">
        <v>174</v>
      </c>
      <c r="O203" s="2102" t="s">
        <v>175</v>
      </c>
      <c r="P203" s="2100" t="s">
        <v>172</v>
      </c>
      <c r="Q203" s="2042" t="s">
        <v>176</v>
      </c>
      <c r="R203" s="2161" t="s">
        <v>177</v>
      </c>
      <c r="S203" s="2043" t="s">
        <v>178</v>
      </c>
      <c r="T203" s="2041" t="s">
        <v>179</v>
      </c>
      <c r="U203" s="2043" t="s">
        <v>180</v>
      </c>
      <c r="V203" s="2043"/>
      <c r="W203" s="2043"/>
      <c r="X203" s="2043"/>
      <c r="Y203" s="2043"/>
      <c r="Z203" s="2043"/>
      <c r="AA203" s="2099" t="s">
        <v>181</v>
      </c>
      <c r="AB203" s="2099" t="s">
        <v>182</v>
      </c>
      <c r="AC203" s="2099" t="s">
        <v>172</v>
      </c>
      <c r="AD203" s="2099" t="s">
        <v>183</v>
      </c>
      <c r="AE203" s="2099" t="s">
        <v>172</v>
      </c>
      <c r="AF203" s="2099" t="s">
        <v>184</v>
      </c>
      <c r="AG203" s="2161" t="s">
        <v>185</v>
      </c>
      <c r="AH203" s="2043" t="s">
        <v>164</v>
      </c>
      <c r="AI203" s="2043" t="s">
        <v>143</v>
      </c>
      <c r="AJ203" s="2043" t="s">
        <v>186</v>
      </c>
      <c r="AK203" s="2360" t="s">
        <v>187</v>
      </c>
      <c r="AL203" s="2360" t="s">
        <v>688</v>
      </c>
      <c r="AM203" s="2360" t="s">
        <v>189</v>
      </c>
      <c r="AN203" s="2043" t="s">
        <v>187</v>
      </c>
      <c r="AO203" s="712"/>
      <c r="AP203" s="2043" t="s">
        <v>189</v>
      </c>
      <c r="AQ203" s="2360" t="s">
        <v>187</v>
      </c>
      <c r="AR203" s="713"/>
      <c r="AS203" s="2360" t="s">
        <v>189</v>
      </c>
      <c r="AT203" s="2043" t="s">
        <v>187</v>
      </c>
      <c r="AU203" s="712"/>
      <c r="AV203" s="2043" t="s">
        <v>189</v>
      </c>
    </row>
    <row r="204" spans="1:48" ht="69.599999999999994" customHeight="1" x14ac:dyDescent="0.3">
      <c r="A204" s="2141"/>
      <c r="B204" s="2142"/>
      <c r="C204" s="2043"/>
      <c r="D204" s="2043"/>
      <c r="E204" s="2105"/>
      <c r="F204" s="2104"/>
      <c r="G204" s="280" t="s">
        <v>511</v>
      </c>
      <c r="H204" s="280" t="s">
        <v>190</v>
      </c>
      <c r="I204" s="2042"/>
      <c r="J204" s="2043"/>
      <c r="K204" s="2042"/>
      <c r="L204" s="2101"/>
      <c r="M204" s="2042"/>
      <c r="N204" s="2042"/>
      <c r="O204" s="2101"/>
      <c r="P204" s="2101"/>
      <c r="Q204" s="2043"/>
      <c r="R204" s="2162"/>
      <c r="S204" s="2043"/>
      <c r="T204" s="2042"/>
      <c r="U204" s="281" t="s">
        <v>191</v>
      </c>
      <c r="V204" s="281" t="s">
        <v>192</v>
      </c>
      <c r="W204" s="281" t="s">
        <v>193</v>
      </c>
      <c r="X204" s="281" t="s">
        <v>194</v>
      </c>
      <c r="Y204" s="281" t="s">
        <v>195</v>
      </c>
      <c r="Z204" s="281" t="s">
        <v>196</v>
      </c>
      <c r="AA204" s="2099"/>
      <c r="AB204" s="2099"/>
      <c r="AC204" s="2099"/>
      <c r="AD204" s="2099"/>
      <c r="AE204" s="2099"/>
      <c r="AF204" s="2099"/>
      <c r="AG204" s="2162"/>
      <c r="AH204" s="2043"/>
      <c r="AI204" s="2043"/>
      <c r="AJ204" s="2043"/>
      <c r="AK204" s="2361"/>
      <c r="AL204" s="2360"/>
      <c r="AM204" s="2360"/>
      <c r="AN204" s="2041"/>
      <c r="AO204" s="710" t="s">
        <v>689</v>
      </c>
      <c r="AP204" s="2041"/>
      <c r="AQ204" s="2361"/>
      <c r="AR204" s="714" t="s">
        <v>690</v>
      </c>
      <c r="AS204" s="2360"/>
      <c r="AT204" s="2041"/>
      <c r="AU204" s="710" t="s">
        <v>1111</v>
      </c>
      <c r="AV204" s="2041"/>
    </row>
    <row r="205" spans="1:48" ht="143.4" customHeight="1" x14ac:dyDescent="0.3">
      <c r="A205" s="2112">
        <v>1</v>
      </c>
      <c r="B205" s="2237" t="s">
        <v>209</v>
      </c>
      <c r="C205" s="2234" t="s">
        <v>691</v>
      </c>
      <c r="D205" s="2234" t="s">
        <v>692</v>
      </c>
      <c r="E205" s="715" t="s">
        <v>693</v>
      </c>
      <c r="F205" s="2355" t="s">
        <v>694</v>
      </c>
      <c r="G205" s="2356" t="s">
        <v>512</v>
      </c>
      <c r="H205" s="2355" t="s">
        <v>695</v>
      </c>
      <c r="I205" s="2358" t="s">
        <v>198</v>
      </c>
      <c r="J205" s="2293">
        <v>240</v>
      </c>
      <c r="K205" s="2295" t="str">
        <f>IF(J205&lt;=0,"",IF(J205&lt;=2,"Muy Baja",IF(J205&lt;=24,"Baja",IF(J205&lt;=500,"Media",IF(J205&lt;=5000,"Alta","Muy Alta")))))</f>
        <v>Media</v>
      </c>
      <c r="L205" s="2297">
        <f>IF(K205="","",IF(K205="Muy Baja",0.2,IF(K205="Baja",0.4,IF(K205="Media",0.6,IF(K205="Alta",0.8,IF(K205="Muy Alta",1,))))))</f>
        <v>0.6</v>
      </c>
      <c r="M205" s="2299" t="s">
        <v>199</v>
      </c>
      <c r="N205" s="2297" t="str">
        <f>IF(NOT(ISERROR(MATCH(M205,'[34]Tabla Impacto'!$B$221:$B$223,0))),'[34]Tabla Impacto'!$F$223&amp;"Por favor no seleccionar los criterios de impacto(Afectación Económica o presupuestal y Pérdida Reputacional)",M205)</f>
        <v xml:space="preserve">     El riesgo afecta la imagen de de la entidad con efecto publicitario sostenido a nivel de sector administrativo, nivel departamental o municipal</v>
      </c>
      <c r="O205" s="2295" t="str">
        <f>IF(OR(N205='[34]Tabla Impacto'!$C$11,N205='[34]Tabla Impacto'!$D$11),"Leve",IF(OR(N205='[34]Tabla Impacto'!$C$12,N205='[34]Tabla Impacto'!$D$12),"Menor",IF(OR(N205='[34]Tabla Impacto'!$C$13,N205='[34]Tabla Impacto'!$D$13),"Moderado",IF(OR(N205='[34]Tabla Impacto'!$C$14,N205='[34]Tabla Impacto'!$D$14),"Mayor",IF(OR(N205='[34]Tabla Impacto'!$C$15,N205='[34]Tabla Impacto'!$D$15),"Catastrófico","")))))</f>
        <v>Mayor</v>
      </c>
      <c r="P205" s="2106">
        <f>IF(O205="","",IF(O205="Leve",0.2,IF(O205="Menor",0.4,IF(O205="Moderado",0.6,IF(O205="Mayor",0.8,IF(O205="Catastrófico",1,))))))</f>
        <v>0.8</v>
      </c>
      <c r="Q205" s="2267" t="str">
        <f>IF(OR(AND(K205="Muy Baja",O205="Leve"),AND(K205="Muy Baja",O205="Menor"),AND(K205="Baja",O205="Leve")),"Bajo",IF(OR(AND(K205="Muy baja",O205="Moderado"),AND(K205="Baja",O205="Menor"),AND(K205="Baja",O205="Moderado"),AND(K205="Media",O205="Leve"),AND(K205="Media",O205="Menor"),AND(K205="Media",O205="Moderado"),AND(K205="Alta",O205="Leve"),AND(K205="Alta",O205="Menor")),"Moderado",IF(OR(AND(K205="Muy Baja",O205="Mayor"),AND(K205="Baja",O205="Mayor"),AND(K205="Media",O205="Mayor"),AND(K205="Alta",O205="Moderado"),AND(K205="Alta",O205="Mayor"),AND(K205="Muy Alta",O205="Leve"),AND(K205="Muy Alta",O205="Menor"),AND(K205="Muy Alta",O205="Moderado"),AND(K205="Muy Alta",O205="Mayor")),"Alto",IF(OR(AND(K205="Muy Baja",O205="Catastrófico"),AND(K205="Baja",O205="Catastrófico"),AND(K205="Media",O205="Catastrófico"),AND(K205="Alta",O205="Catastrófico"),AND(K205="Muy Alta",O205="Catastrófico")),"Extremo",""))))</f>
        <v>Alto</v>
      </c>
      <c r="R205" s="716">
        <v>1</v>
      </c>
      <c r="S205" s="717" t="s">
        <v>1112</v>
      </c>
      <c r="T205" s="718" t="str">
        <f>IF(OR(U205="Preventivo",U205="Detectivo"),"Probabilidad",IF(U205="Correctivo","Impacto",""))</f>
        <v>Probabilidad</v>
      </c>
      <c r="U205" s="719" t="s">
        <v>207</v>
      </c>
      <c r="V205" s="719" t="s">
        <v>201</v>
      </c>
      <c r="W205" s="720" t="str">
        <f>IF(AND(U205="Preventivo",V205="Automático"),"50%",IF(AND(U205="Preventivo",V205="Manual"),"40%",IF(AND(U205="Detectivo",V205="Automático"),"40%",IF(AND(U205="Detectivo",V205="Manual"),"30%",IF(AND(U205="Correctivo",V205="Automático"),"35%",IF(AND(U205="Correctivo",V205="Manual"),"25%",""))))))</f>
        <v>40%</v>
      </c>
      <c r="X205" s="719" t="s">
        <v>208</v>
      </c>
      <c r="Y205" s="719" t="s">
        <v>203</v>
      </c>
      <c r="Z205" s="719" t="s">
        <v>204</v>
      </c>
      <c r="AA205" s="721">
        <f>IFERROR(IF(T205="Probabilidad",(L205-(+L205*W205)),IF(T205="Impacto",L205,"")),"")</f>
        <v>0.36</v>
      </c>
      <c r="AB205" s="722" t="str">
        <f>IFERROR(IF(AA205="","",IF(AA205&lt;=0.2,"Muy Baja",IF(AA205&lt;=0.4,"Baja",IF(AA205&lt;=0.6,"Media",IF(AA205&lt;=0.8,"Alta","Muy Alta"))))),"")</f>
        <v>Baja</v>
      </c>
      <c r="AC205" s="723">
        <f>+AA205</f>
        <v>0.36</v>
      </c>
      <c r="AD205" s="722" t="str">
        <f>IFERROR(IF(AE205="","",IF(AE205&lt;=0.2,"Leve",IF(AE205&lt;=0.4,"Menor",IF(AE205&lt;=0.6,"Moderado",IF(AE205&lt;=0.8,"Mayor","Catastrófico"))))),"")</f>
        <v>Mayor</v>
      </c>
      <c r="AE205" s="723">
        <f>IFERROR(IF(T205="Impacto",(P205-(+P205*W205)),IF(T205="Probabilidad",P205,"")),"")</f>
        <v>0.8</v>
      </c>
      <c r="AF205" s="724" t="str">
        <f>IFERROR(IF(OR(AND(AB205="Muy Baja",AD205="Leve"),AND(AB205="Muy Baja",AD205="Menor"),AND(AB205="Baja",AD205="Leve")),"Bajo",IF(OR(AND(AB205="Muy baja",AD205="Moderado"),AND(AB205="Baja",AD205="Menor"),AND(AB205="Baja",AD205="Moderado"),AND(AB205="Media",AD205="Leve"),AND(AB205="Media",AD205="Menor"),AND(AB205="Media",AD205="Moderado"),AND(AB205="Alta",AD205="Leve"),AND(AB205="Alta",AD205="Menor")),"Moderado",IF(OR(AND(AB205="Muy Baja",AD205="Mayor"),AND(AB205="Baja",AD205="Mayor"),AND(AB205="Media",AD205="Mayor"),AND(AB205="Alta",AD205="Moderado"),AND(AB205="Alta",AD205="Mayor"),AND(AB205="Muy Alta",AD205="Leve"),AND(AB205="Muy Alta",AD205="Menor"),AND(AB205="Muy Alta",AD205="Moderado"),AND(AB205="Muy Alta",AD205="Mayor")),"Alto",IF(OR(AND(AB205="Muy Baja",AD205="Catastrófico"),AND(AB205="Baja",AD205="Catastrófico"),AND(AB205="Media",AD205="Catastrófico"),AND(AB205="Alta",AD205="Catastrófico"),AND(AB205="Muy Alta",AD205="Catastrófico")),"Extremo","")))),"")</f>
        <v>Alto</v>
      </c>
      <c r="AG205" s="2282" t="s">
        <v>205</v>
      </c>
      <c r="AH205" s="725" t="s">
        <v>1113</v>
      </c>
      <c r="AI205" s="726" t="s">
        <v>697</v>
      </c>
      <c r="AJ205" s="727">
        <v>45168</v>
      </c>
      <c r="AK205" s="728">
        <v>45338</v>
      </c>
      <c r="AL205" s="729" t="s">
        <v>698</v>
      </c>
      <c r="AM205" s="730" t="s">
        <v>206</v>
      </c>
      <c r="AN205" s="728">
        <v>45412</v>
      </c>
      <c r="AO205" s="731" t="s">
        <v>699</v>
      </c>
      <c r="AP205" s="730" t="s">
        <v>206</v>
      </c>
      <c r="AQ205" s="728">
        <v>45420</v>
      </c>
      <c r="AR205" s="731" t="s">
        <v>700</v>
      </c>
      <c r="AS205" s="730" t="s">
        <v>206</v>
      </c>
      <c r="AT205" s="728">
        <v>45534</v>
      </c>
      <c r="AU205" s="731" t="s">
        <v>1114</v>
      </c>
      <c r="AV205" s="730" t="s">
        <v>206</v>
      </c>
    </row>
    <row r="206" spans="1:48" ht="164.4" customHeight="1" x14ac:dyDescent="0.3">
      <c r="A206" s="2113"/>
      <c r="B206" s="2238"/>
      <c r="C206" s="2235"/>
      <c r="D206" s="2235"/>
      <c r="E206" s="732" t="s">
        <v>701</v>
      </c>
      <c r="F206" s="2355"/>
      <c r="G206" s="2357"/>
      <c r="H206" s="2355"/>
      <c r="I206" s="2359"/>
      <c r="J206" s="2294"/>
      <c r="K206" s="2296"/>
      <c r="L206" s="2298"/>
      <c r="M206" s="2300"/>
      <c r="N206" s="2298">
        <f>IF(NOT(ISERROR(MATCH(M206,_xlfn.ANCHORARRAY(F214),0))),L216&amp;"Por favor no seleccionar los criterios de impacto",M206)</f>
        <v>0</v>
      </c>
      <c r="O206" s="2296"/>
      <c r="P206" s="2107"/>
      <c r="Q206" s="2268"/>
      <c r="R206" s="716">
        <v>2</v>
      </c>
      <c r="S206" s="717" t="s">
        <v>1115</v>
      </c>
      <c r="T206" s="718" t="str">
        <f>IF(OR(U206="Preventivo",U206="Detectivo"),"Probabilidad",IF(U206="Correctivo","Impacto",""))</f>
        <v>Probabilidad</v>
      </c>
      <c r="U206" s="719" t="s">
        <v>207</v>
      </c>
      <c r="V206" s="719" t="s">
        <v>201</v>
      </c>
      <c r="W206" s="720" t="str">
        <f>IF(AND(U206="Preventivo",V206="Automático"),"50%",IF(AND(U206="Preventivo",V206="Manual"),"40%",IF(AND(U206="Detectivo",V206="Automático"),"40%",IF(AND(U206="Detectivo",V206="Manual"),"30%",IF(AND(U206="Correctivo",V206="Automático"),"35%",IF(AND(U206="Correctivo",V206="Manual"),"25%",""))))))</f>
        <v>40%</v>
      </c>
      <c r="X206" s="719" t="s">
        <v>202</v>
      </c>
      <c r="Y206" s="719" t="s">
        <v>203</v>
      </c>
      <c r="Z206" s="719" t="s">
        <v>204</v>
      </c>
      <c r="AA206" s="721">
        <f>IFERROR(IF(AND(T205="Probabilidad",T206="Probabilidad"),(AC205-(+AC205*W206)),IF(AND(T205="Impacto",T206="Probabilidad"),(L205-(+L205*W206)),IF(T206="Impacto",AC205,""))),"")</f>
        <v>0.216</v>
      </c>
      <c r="AB206" s="722" t="str">
        <f t="shared" ref="AB206:AB207" si="93">IFERROR(IF(AA206="","",IF(AA206&lt;=0.2,"Muy Baja",IF(AA206&lt;=0.4,"Baja",IF(AA206&lt;=0.6,"Media",IF(AA206&lt;=0.8,"Alta","Muy Alta"))))),"")</f>
        <v>Baja</v>
      </c>
      <c r="AC206" s="723">
        <f>+AA206</f>
        <v>0.216</v>
      </c>
      <c r="AD206" s="722" t="str">
        <f t="shared" ref="AD206:AD207" si="94">IFERROR(IF(AE206="","",IF(AE206&lt;=0.2,"Leve",IF(AE206&lt;=0.4,"Menor",IF(AE206&lt;=0.6,"Moderado",IF(AE206&lt;=0.8,"Mayor","Catastrófico"))))),"")</f>
        <v>Mayor</v>
      </c>
      <c r="AE206" s="723">
        <f>IFERROR(IF(AND(T205="Impacto",T206="Impacto"),(AE205-(+AE205*W206)),IF(AND(T205="Probabilidad",T206="Impacto"),(P205-(+P205*W206)),IF(T206="Probabilidad",AE205,""))),"")</f>
        <v>0.8</v>
      </c>
      <c r="AF206" s="724" t="str">
        <f t="shared" ref="AF206:AF207" si="95">IFERROR(IF(OR(AND(AB206="Muy Baja",AD206="Leve"),AND(AB206="Muy Baja",AD206="Menor"),AND(AB206="Baja",AD206="Leve")),"Bajo",IF(OR(AND(AB206="Muy baja",AD206="Moderado"),AND(AB206="Baja",AD206="Menor"),AND(AB206="Baja",AD206="Moderado"),AND(AB206="Media",AD206="Leve"),AND(AB206="Media",AD206="Menor"),AND(AB206="Media",AD206="Moderado"),AND(AB206="Alta",AD206="Leve"),AND(AB206="Alta",AD206="Menor")),"Moderado",IF(OR(AND(AB206="Muy Baja",AD206="Mayor"),AND(AB206="Baja",AD206="Mayor"),AND(AB206="Media",AD206="Mayor"),AND(AB206="Alta",AD206="Moderado"),AND(AB206="Alta",AD206="Mayor"),AND(AB206="Muy Alta",AD206="Leve"),AND(AB206="Muy Alta",AD206="Menor"),AND(AB206="Muy Alta",AD206="Moderado"),AND(AB206="Muy Alta",AD206="Mayor")),"Alto",IF(OR(AND(AB206="Muy Baja",AD206="Catastrófico"),AND(AB206="Baja",AD206="Catastrófico"),AND(AB206="Media",AD206="Catastrófico"),AND(AB206="Alta",AD206="Catastrófico"),AND(AB206="Muy Alta",AD206="Catastrófico")),"Extremo","")))),"")</f>
        <v>Alto</v>
      </c>
      <c r="AG206" s="2283"/>
      <c r="AH206" s="725" t="s">
        <v>1116</v>
      </c>
      <c r="AI206" s="726" t="s">
        <v>697</v>
      </c>
      <c r="AJ206" s="727">
        <v>45168</v>
      </c>
      <c r="AK206" s="728">
        <v>45338</v>
      </c>
      <c r="AL206" s="733" t="s">
        <v>702</v>
      </c>
      <c r="AM206" s="730" t="s">
        <v>206</v>
      </c>
      <c r="AN206" s="728">
        <v>45412</v>
      </c>
      <c r="AO206" s="731" t="s">
        <v>699</v>
      </c>
      <c r="AP206" s="730" t="s">
        <v>206</v>
      </c>
      <c r="AQ206" s="728">
        <v>45420</v>
      </c>
      <c r="AR206" s="733" t="s">
        <v>702</v>
      </c>
      <c r="AS206" s="730" t="s">
        <v>206</v>
      </c>
      <c r="AT206" s="728">
        <v>45534</v>
      </c>
      <c r="AU206" s="731" t="s">
        <v>1117</v>
      </c>
      <c r="AV206" s="730" t="s">
        <v>206</v>
      </c>
    </row>
    <row r="207" spans="1:48" ht="153.6" customHeight="1" x14ac:dyDescent="0.3">
      <c r="A207" s="2113"/>
      <c r="B207" s="2238"/>
      <c r="C207" s="2236"/>
      <c r="D207" s="2236"/>
      <c r="E207" s="734" t="s">
        <v>215</v>
      </c>
      <c r="F207" s="2355"/>
      <c r="G207" s="2357"/>
      <c r="H207" s="2355"/>
      <c r="I207" s="2359"/>
      <c r="J207" s="2294"/>
      <c r="K207" s="2296"/>
      <c r="L207" s="2298"/>
      <c r="M207" s="2300"/>
      <c r="N207" s="2298">
        <f>IF(NOT(ISERROR(MATCH(M207,_xlfn.ANCHORARRAY(F215),0))),L217&amp;"Por favor no seleccionar los criterios de impacto",M207)</f>
        <v>0</v>
      </c>
      <c r="O207" s="2296"/>
      <c r="P207" s="2107"/>
      <c r="Q207" s="2268"/>
      <c r="R207" s="716">
        <v>3</v>
      </c>
      <c r="S207" s="717" t="s">
        <v>1118</v>
      </c>
      <c r="T207" s="718" t="str">
        <f>IF(OR(U207="Preventivo",U207="Detectivo"),"Probabilidad",IF(U207="Correctivo","Impacto",""))</f>
        <v>Probabilidad</v>
      </c>
      <c r="U207" s="719" t="s">
        <v>207</v>
      </c>
      <c r="V207" s="719" t="s">
        <v>201</v>
      </c>
      <c r="W207" s="720" t="str">
        <f>IF(AND(U207="Preventivo",V207="Automático"),"50%",IF(AND(U207="Preventivo",V207="Manual"),"40%",IF(AND(U207="Detectivo",V207="Automático"),"40%",IF(AND(U207="Detectivo",V207="Manual"),"30%",IF(AND(U207="Correctivo",V207="Automático"),"35%",IF(AND(U207="Correctivo",V207="Manual"),"25%",""))))))</f>
        <v>40%</v>
      </c>
      <c r="X207" s="719" t="s">
        <v>202</v>
      </c>
      <c r="Y207" s="719" t="s">
        <v>203</v>
      </c>
      <c r="Z207" s="719" t="s">
        <v>204</v>
      </c>
      <c r="AA207" s="721">
        <f>IFERROR(IF(AND(T206="Probabilidad",T207="Probabilidad"),(AC206-(+AC206*W207)),IF(AND(T206="Impacto",T207="Probabilidad"),(AC205-(+AC205*W207)),IF(T207="Impacto",AC206,""))),"")</f>
        <v>0.12959999999999999</v>
      </c>
      <c r="AB207" s="722" t="str">
        <f t="shared" si="93"/>
        <v>Muy Baja</v>
      </c>
      <c r="AC207" s="723">
        <f t="shared" ref="AC207" si="96">+AA207</f>
        <v>0.12959999999999999</v>
      </c>
      <c r="AD207" s="722" t="str">
        <f t="shared" si="94"/>
        <v>Mayor</v>
      </c>
      <c r="AE207" s="723">
        <f t="shared" ref="AE207" si="97">IFERROR(IF(AND(T206="Impacto",T207="Impacto"),(AE206-(+AE206*W207)),IF(AND(T206="Probabilidad",T207="Impacto"),(AE205-(+AE205*W207)),IF(T207="Probabilidad",AE206,""))),"")</f>
        <v>0.8</v>
      </c>
      <c r="AF207" s="724" t="str">
        <f t="shared" si="95"/>
        <v>Alto</v>
      </c>
      <c r="AG207" s="2284"/>
      <c r="AH207" s="725" t="s">
        <v>1119</v>
      </c>
      <c r="AI207" s="726" t="s">
        <v>697</v>
      </c>
      <c r="AJ207" s="727">
        <v>45168</v>
      </c>
      <c r="AK207" s="727">
        <v>45345</v>
      </c>
      <c r="AL207" s="731" t="s">
        <v>703</v>
      </c>
      <c r="AM207" s="730" t="s">
        <v>206</v>
      </c>
      <c r="AN207" s="728">
        <v>45383</v>
      </c>
      <c r="AO207" s="735" t="s">
        <v>704</v>
      </c>
      <c r="AP207" s="730" t="s">
        <v>206</v>
      </c>
      <c r="AQ207" s="728">
        <v>45420</v>
      </c>
      <c r="AR207" s="731" t="s">
        <v>700</v>
      </c>
      <c r="AS207" s="730" t="s">
        <v>206</v>
      </c>
      <c r="AT207" s="728">
        <v>45534</v>
      </c>
      <c r="AU207" s="731" t="s">
        <v>1120</v>
      </c>
      <c r="AV207" s="730" t="s">
        <v>206</v>
      </c>
    </row>
    <row r="209" spans="1:39" ht="69.599999999999994" customHeight="1" x14ac:dyDescent="0.3">
      <c r="A209" s="2343" t="s">
        <v>156</v>
      </c>
      <c r="B209" s="2344"/>
      <c r="C209" s="2344"/>
      <c r="D209" s="2344"/>
      <c r="E209" s="2344"/>
      <c r="F209" s="2344"/>
      <c r="G209" s="2344"/>
      <c r="H209" s="2344"/>
      <c r="I209" s="2344"/>
      <c r="J209" s="2344"/>
      <c r="K209" s="2344"/>
      <c r="L209" s="2344"/>
      <c r="M209" s="2344"/>
      <c r="N209" s="2344"/>
      <c r="O209" s="2344"/>
      <c r="P209" s="2344"/>
      <c r="Q209" s="2344"/>
      <c r="R209" s="2344"/>
      <c r="S209" s="2344"/>
      <c r="T209" s="2344"/>
      <c r="U209" s="2344"/>
      <c r="V209" s="2344"/>
      <c r="W209" s="2344"/>
      <c r="X209" s="2344"/>
      <c r="Y209" s="2344"/>
      <c r="Z209" s="2344"/>
      <c r="AA209" s="2344"/>
      <c r="AB209" s="2344"/>
      <c r="AC209" s="2344"/>
      <c r="AD209" s="2344"/>
      <c r="AE209" s="2344"/>
      <c r="AF209" s="2344"/>
      <c r="AG209" s="2344"/>
      <c r="AH209" s="2344"/>
      <c r="AI209" s="2344"/>
      <c r="AJ209" s="2344"/>
      <c r="AK209" s="2344"/>
      <c r="AL209" s="2344"/>
      <c r="AM209" s="2345"/>
    </row>
    <row r="210" spans="1:39" ht="69.599999999999994" customHeight="1" x14ac:dyDescent="0.3">
      <c r="A210" s="2346"/>
      <c r="B210" s="2347"/>
      <c r="C210" s="2347"/>
      <c r="D210" s="2347"/>
      <c r="E210" s="2347"/>
      <c r="F210" s="2347"/>
      <c r="G210" s="2347"/>
      <c r="H210" s="2347"/>
      <c r="I210" s="2347"/>
      <c r="J210" s="2347"/>
      <c r="K210" s="2347"/>
      <c r="L210" s="2347"/>
      <c r="M210" s="2347"/>
      <c r="N210" s="2347"/>
      <c r="O210" s="2347"/>
      <c r="P210" s="2347"/>
      <c r="Q210" s="2347"/>
      <c r="R210" s="2347"/>
      <c r="S210" s="2347"/>
      <c r="T210" s="2347"/>
      <c r="U210" s="2347"/>
      <c r="V210" s="2347"/>
      <c r="W210" s="2347"/>
      <c r="X210" s="2347"/>
      <c r="Y210" s="2347"/>
      <c r="Z210" s="2347"/>
      <c r="AA210" s="2347"/>
      <c r="AB210" s="2347"/>
      <c r="AC210" s="2347"/>
      <c r="AD210" s="2347"/>
      <c r="AE210" s="2347"/>
      <c r="AF210" s="2347"/>
      <c r="AG210" s="2347"/>
      <c r="AH210" s="2347"/>
      <c r="AI210" s="2347"/>
      <c r="AJ210" s="2347"/>
      <c r="AK210" s="2347"/>
      <c r="AL210" s="2347"/>
      <c r="AM210" s="2348"/>
    </row>
    <row r="211" spans="1:39" ht="69.599999999999994" customHeight="1" x14ac:dyDescent="0.3">
      <c r="A211" s="703"/>
      <c r="B211" s="704"/>
      <c r="C211" s="703"/>
      <c r="D211" s="703"/>
      <c r="E211" s="703"/>
      <c r="F211" s="700"/>
      <c r="G211" s="700"/>
      <c r="H211" s="700"/>
      <c r="I211" s="705"/>
      <c r="J211" s="700"/>
      <c r="K211" s="700"/>
      <c r="L211" s="700"/>
      <c r="M211" s="700"/>
      <c r="N211" s="700"/>
      <c r="O211" s="700"/>
      <c r="P211" s="700"/>
      <c r="Q211" s="700"/>
      <c r="R211" s="700"/>
      <c r="S211" s="700"/>
      <c r="T211" s="700"/>
      <c r="U211" s="700"/>
      <c r="V211" s="700"/>
      <c r="W211" s="700"/>
      <c r="X211" s="700"/>
      <c r="Y211" s="700"/>
      <c r="Z211" s="700"/>
      <c r="AA211" s="700"/>
      <c r="AB211" s="700"/>
      <c r="AC211" s="700"/>
      <c r="AD211" s="700"/>
      <c r="AE211" s="700"/>
      <c r="AF211" s="700"/>
      <c r="AG211" s="700"/>
      <c r="AH211" s="700"/>
      <c r="AI211" s="743"/>
      <c r="AJ211" s="743"/>
      <c r="AK211" s="743"/>
      <c r="AL211" s="700"/>
      <c r="AM211" s="700"/>
    </row>
    <row r="212" spans="1:39" ht="69.599999999999994" customHeight="1" x14ac:dyDescent="0.3">
      <c r="A212" s="2349" t="s">
        <v>157</v>
      </c>
      <c r="B212" s="2350"/>
      <c r="C212" s="2039" t="s">
        <v>299</v>
      </c>
      <c r="D212" s="2039"/>
      <c r="E212" s="2039"/>
      <c r="F212" s="2039"/>
      <c r="G212" s="2039"/>
      <c r="H212" s="2039"/>
      <c r="I212" s="2039"/>
      <c r="J212" s="2039"/>
      <c r="K212" s="2039"/>
      <c r="L212" s="2039"/>
      <c r="M212" s="2039"/>
      <c r="N212" s="2039"/>
      <c r="O212" s="2039"/>
      <c r="P212" s="2039"/>
      <c r="Q212" s="2039"/>
      <c r="R212" s="2039"/>
      <c r="S212" s="2039"/>
      <c r="T212" s="2039"/>
      <c r="U212" s="2039"/>
      <c r="V212" s="2039"/>
      <c r="W212" s="2039"/>
      <c r="X212" s="2039"/>
      <c r="Y212" s="2039"/>
      <c r="Z212" s="2039"/>
      <c r="AA212" s="2039"/>
      <c r="AB212" s="2039"/>
      <c r="AC212" s="2039"/>
      <c r="AD212" s="2039"/>
      <c r="AE212" s="2039"/>
      <c r="AF212" s="2039"/>
      <c r="AG212" s="2039"/>
      <c r="AH212" s="2039"/>
      <c r="AI212" s="2039"/>
      <c r="AJ212" s="2039"/>
      <c r="AK212" s="2039"/>
      <c r="AL212" s="2039"/>
      <c r="AM212" s="2039"/>
    </row>
    <row r="213" spans="1:39" ht="69.599999999999994" customHeight="1" x14ac:dyDescent="0.3">
      <c r="A213" s="2349" t="s">
        <v>158</v>
      </c>
      <c r="B213" s="2350"/>
      <c r="C213" s="2040" t="s">
        <v>1121</v>
      </c>
      <c r="D213" s="2040"/>
      <c r="E213" s="2040"/>
      <c r="F213" s="2040"/>
      <c r="G213" s="2040"/>
      <c r="H213" s="2040"/>
      <c r="I213" s="2040"/>
      <c r="J213" s="2040"/>
      <c r="K213" s="2040"/>
      <c r="L213" s="2040"/>
      <c r="M213" s="2040"/>
      <c r="N213" s="2040"/>
      <c r="O213" s="2040"/>
      <c r="P213" s="2040"/>
      <c r="Q213" s="2040"/>
      <c r="R213" s="2040"/>
      <c r="S213" s="2040"/>
      <c r="T213" s="2040"/>
      <c r="U213" s="2040"/>
      <c r="V213" s="2040"/>
      <c r="W213" s="2040"/>
      <c r="X213" s="2040"/>
      <c r="Y213" s="2040"/>
      <c r="Z213" s="2040"/>
      <c r="AA213" s="2040"/>
      <c r="AB213" s="2040"/>
      <c r="AC213" s="2040"/>
      <c r="AD213" s="2040"/>
      <c r="AE213" s="2040"/>
      <c r="AF213" s="2040"/>
      <c r="AG213" s="2040"/>
      <c r="AH213" s="2040"/>
      <c r="AI213" s="2040"/>
      <c r="AJ213" s="2040"/>
      <c r="AK213" s="2040"/>
      <c r="AL213" s="2040"/>
      <c r="AM213" s="2040"/>
    </row>
    <row r="214" spans="1:39" ht="69.599999999999994" customHeight="1" x14ac:dyDescent="0.3">
      <c r="A214" s="2349" t="s">
        <v>159</v>
      </c>
      <c r="B214" s="2350"/>
      <c r="C214" s="2040" t="s">
        <v>1122</v>
      </c>
      <c r="D214" s="2040"/>
      <c r="E214" s="2040"/>
      <c r="F214" s="2040"/>
      <c r="G214" s="2040"/>
      <c r="H214" s="2040"/>
      <c r="I214" s="2040"/>
      <c r="J214" s="2040"/>
      <c r="K214" s="2040"/>
      <c r="L214" s="2040"/>
      <c r="M214" s="2040"/>
      <c r="N214" s="2040"/>
      <c r="O214" s="2040"/>
      <c r="P214" s="2040"/>
      <c r="Q214" s="2040"/>
      <c r="R214" s="2040"/>
      <c r="S214" s="2040"/>
      <c r="T214" s="2040"/>
      <c r="U214" s="2040"/>
      <c r="V214" s="2040"/>
      <c r="W214" s="2040"/>
      <c r="X214" s="2040"/>
      <c r="Y214" s="2040"/>
      <c r="Z214" s="2040"/>
      <c r="AA214" s="2040"/>
      <c r="AB214" s="2040"/>
      <c r="AC214" s="2040"/>
      <c r="AD214" s="2040"/>
      <c r="AE214" s="2040"/>
      <c r="AF214" s="2040"/>
      <c r="AG214" s="2040"/>
      <c r="AH214" s="2040"/>
      <c r="AI214" s="2040"/>
      <c r="AJ214" s="2040"/>
      <c r="AK214" s="2040"/>
      <c r="AL214" s="2040"/>
      <c r="AM214" s="2040"/>
    </row>
    <row r="215" spans="1:39" ht="69.599999999999994" customHeight="1" x14ac:dyDescent="0.3">
      <c r="A215" s="2351" t="s">
        <v>160</v>
      </c>
      <c r="B215" s="2352"/>
      <c r="C215" s="2353"/>
      <c r="D215" s="2353"/>
      <c r="E215" s="2353"/>
      <c r="F215" s="2353"/>
      <c r="G215" s="2353"/>
      <c r="H215" s="2353"/>
      <c r="I215" s="2353"/>
      <c r="J215" s="2354"/>
      <c r="K215" s="2101" t="s">
        <v>161</v>
      </c>
      <c r="L215" s="2353"/>
      <c r="M215" s="2353"/>
      <c r="N215" s="2353"/>
      <c r="O215" s="2353"/>
      <c r="P215" s="2353"/>
      <c r="Q215" s="2354"/>
      <c r="R215" s="2101" t="s">
        <v>162</v>
      </c>
      <c r="S215" s="2353"/>
      <c r="T215" s="2353"/>
      <c r="U215" s="2353"/>
      <c r="V215" s="2353"/>
      <c r="W215" s="2353"/>
      <c r="X215" s="2353"/>
      <c r="Y215" s="2353"/>
      <c r="Z215" s="2354"/>
      <c r="AA215" s="2101" t="s">
        <v>163</v>
      </c>
      <c r="AB215" s="2353"/>
      <c r="AC215" s="2353"/>
      <c r="AD215" s="2353"/>
      <c r="AE215" s="2353"/>
      <c r="AF215" s="2353"/>
      <c r="AG215" s="2354"/>
      <c r="AH215" s="2101" t="s">
        <v>164</v>
      </c>
      <c r="AI215" s="2353"/>
      <c r="AJ215" s="2353"/>
      <c r="AK215" s="2353"/>
      <c r="AL215" s="2353"/>
      <c r="AM215" s="2354"/>
    </row>
    <row r="216" spans="1:39" ht="69.599999999999994" customHeight="1" x14ac:dyDescent="0.3">
      <c r="A216" s="2140" t="s">
        <v>165</v>
      </c>
      <c r="B216" s="2142" t="s">
        <v>142</v>
      </c>
      <c r="C216" s="2042" t="s">
        <v>166</v>
      </c>
      <c r="D216" s="2042" t="s">
        <v>167</v>
      </c>
      <c r="E216" s="2041" t="s">
        <v>168</v>
      </c>
      <c r="F216" s="2103" t="s">
        <v>60</v>
      </c>
      <c r="G216" s="280"/>
      <c r="H216" s="280"/>
      <c r="I216" s="2041" t="s">
        <v>169</v>
      </c>
      <c r="J216" s="2042" t="s">
        <v>170</v>
      </c>
      <c r="K216" s="2105" t="s">
        <v>171</v>
      </c>
      <c r="L216" s="2100" t="s">
        <v>172</v>
      </c>
      <c r="M216" s="2041" t="s">
        <v>173</v>
      </c>
      <c r="N216" s="2041" t="s">
        <v>174</v>
      </c>
      <c r="O216" s="2102" t="s">
        <v>175</v>
      </c>
      <c r="P216" s="2100" t="s">
        <v>172</v>
      </c>
      <c r="Q216" s="2042" t="s">
        <v>176</v>
      </c>
      <c r="R216" s="2161" t="s">
        <v>177</v>
      </c>
      <c r="S216" s="2043" t="s">
        <v>178</v>
      </c>
      <c r="T216" s="2041" t="s">
        <v>179</v>
      </c>
      <c r="U216" s="2043" t="s">
        <v>180</v>
      </c>
      <c r="V216" s="2043"/>
      <c r="W216" s="2043"/>
      <c r="X216" s="2043"/>
      <c r="Y216" s="2043"/>
      <c r="Z216" s="2043"/>
      <c r="AA216" s="2099" t="s">
        <v>181</v>
      </c>
      <c r="AB216" s="2099" t="s">
        <v>182</v>
      </c>
      <c r="AC216" s="2099" t="s">
        <v>172</v>
      </c>
      <c r="AD216" s="2099" t="s">
        <v>183</v>
      </c>
      <c r="AE216" s="2099" t="s">
        <v>172</v>
      </c>
      <c r="AF216" s="2099" t="s">
        <v>184</v>
      </c>
      <c r="AG216" s="2161" t="s">
        <v>185</v>
      </c>
      <c r="AH216" s="2043" t="s">
        <v>164</v>
      </c>
      <c r="AI216" s="2043" t="s">
        <v>143</v>
      </c>
      <c r="AJ216" s="2043" t="s">
        <v>186</v>
      </c>
      <c r="AK216" s="2043" t="s">
        <v>187</v>
      </c>
      <c r="AL216" s="2043" t="s">
        <v>1123</v>
      </c>
      <c r="AM216" s="2043" t="s">
        <v>189</v>
      </c>
    </row>
    <row r="217" spans="1:39" ht="69.599999999999994" customHeight="1" x14ac:dyDescent="0.3">
      <c r="A217" s="2141"/>
      <c r="B217" s="2142"/>
      <c r="C217" s="2043"/>
      <c r="D217" s="2043"/>
      <c r="E217" s="2105"/>
      <c r="F217" s="2104"/>
      <c r="G217" s="280" t="s">
        <v>511</v>
      </c>
      <c r="H217" s="280" t="s">
        <v>190</v>
      </c>
      <c r="I217" s="2042"/>
      <c r="J217" s="2043"/>
      <c r="K217" s="2042"/>
      <c r="L217" s="2101"/>
      <c r="M217" s="2042"/>
      <c r="N217" s="2042"/>
      <c r="O217" s="2101"/>
      <c r="P217" s="2101"/>
      <c r="Q217" s="2043"/>
      <c r="R217" s="2162"/>
      <c r="S217" s="2043"/>
      <c r="T217" s="2042"/>
      <c r="U217" s="281" t="s">
        <v>191</v>
      </c>
      <c r="V217" s="281" t="s">
        <v>192</v>
      </c>
      <c r="W217" s="281" t="s">
        <v>193</v>
      </c>
      <c r="X217" s="281" t="s">
        <v>194</v>
      </c>
      <c r="Y217" s="281" t="s">
        <v>195</v>
      </c>
      <c r="Z217" s="281" t="s">
        <v>196</v>
      </c>
      <c r="AA217" s="2099"/>
      <c r="AB217" s="2099"/>
      <c r="AC217" s="2099"/>
      <c r="AD217" s="2099"/>
      <c r="AE217" s="2099"/>
      <c r="AF217" s="2099"/>
      <c r="AG217" s="2162"/>
      <c r="AH217" s="2043"/>
      <c r="AI217" s="2043"/>
      <c r="AJ217" s="2043"/>
      <c r="AK217" s="2043"/>
      <c r="AL217" s="2043"/>
      <c r="AM217" s="2043"/>
    </row>
    <row r="218" spans="1:39" ht="194.4" customHeight="1" x14ac:dyDescent="0.3">
      <c r="A218" s="2112">
        <v>1</v>
      </c>
      <c r="B218" s="2155" t="s">
        <v>209</v>
      </c>
      <c r="C218" s="2155" t="s">
        <v>302</v>
      </c>
      <c r="D218" s="2158" t="s">
        <v>707</v>
      </c>
      <c r="E218" s="282" t="s">
        <v>1134</v>
      </c>
      <c r="F218" s="2125" t="s">
        <v>1124</v>
      </c>
      <c r="G218" s="1979" t="s">
        <v>512</v>
      </c>
      <c r="H218" s="2125" t="s">
        <v>710</v>
      </c>
      <c r="I218" s="2126" t="s">
        <v>198</v>
      </c>
      <c r="J218" s="2129">
        <v>365</v>
      </c>
      <c r="K218" s="2109" t="str">
        <f>IF(J218&lt;=0,"",IF(J218&lt;=2,"Muy Baja",IF(J218&lt;=24,"Baja",IF(J218&lt;=500,"Media",IF(J218&lt;=5000,"Alta","Muy Alta")))))</f>
        <v>Media</v>
      </c>
      <c r="L218" s="2106">
        <f>IF(K218="","",IF(K218="Muy Baja",0.2,IF(K218="Baja",0.4,IF(K218="Media",0.6,IF(K218="Alta",0.8,IF(K218="Muy Alta",1,))))))</f>
        <v>0.6</v>
      </c>
      <c r="M218" s="2132" t="s">
        <v>303</v>
      </c>
      <c r="N218" s="2106" t="str">
        <f>IF(NOT(ISERROR(MATCH(M218,'[35]Tabla Impacto'!$B$221:$B$223,0))),'[35]Tabla Impacto'!$F$223&amp;"Por favor no seleccionar los criterios de impacto(Afectación Económica o presupuestal y Pérdida Reputacional)",M218)</f>
        <v xml:space="preserve">     El riesgo afecta la imagen de la entidad a nivel nacional, con efecto publicitarios sostenible a nivel país</v>
      </c>
      <c r="O218" s="2109" t="str">
        <f>IF(OR(N218='[35]Tabla Impacto'!$C$11,N218='[35]Tabla Impacto'!$D$11),"Leve",IF(OR(N218='[35]Tabla Impacto'!$C$12,N218='[35]Tabla Impacto'!$D$12),"Menor",IF(OR(N218='[35]Tabla Impacto'!$C$13,N218='[35]Tabla Impacto'!$D$13),"Moderado",IF(OR(N218='[35]Tabla Impacto'!$C$14,N218='[35]Tabla Impacto'!$D$14),"Mayor",IF(OR(N218='[35]Tabla Impacto'!$C$15,N218='[35]Tabla Impacto'!$D$15),"Catastrófico","")))))</f>
        <v>Catastrófico</v>
      </c>
      <c r="P218" s="2106">
        <f>IF(O218="","",IF(O218="Leve",0.2,IF(O218="Menor",0.4,IF(O218="Moderado",0.6,IF(O218="Mayor",0.8,IF(O218="Catastrófico",1,))))))</f>
        <v>1</v>
      </c>
      <c r="Q218" s="2014" t="str">
        <f>IF(OR(AND(K218="Muy Baja",O218="Leve"),AND(K218="Muy Baja",O218="Menor"),AND(K218="Baja",O218="Leve")),"Bajo",IF(OR(AND(K218="Muy baja",O218="Moderado"),AND(K218="Baja",O218="Menor"),AND(K218="Baja",O218="Moderado"),AND(K218="Media",O218="Leve"),AND(K218="Media",O218="Menor"),AND(K218="Media",O218="Moderado"),AND(K218="Alta",O218="Leve"),AND(K218="Alta",O218="Menor")),"Moderado",IF(OR(AND(K218="Muy Baja",O218="Mayor"),AND(K218="Baja",O218="Mayor"),AND(K218="Media",O218="Mayor"),AND(K218="Alta",O218="Moderado"),AND(K218="Alta",O218="Mayor"),AND(K218="Muy Alta",O218="Leve"),AND(K218="Muy Alta",O218="Menor"),AND(K218="Muy Alta",O218="Moderado"),AND(K218="Muy Alta",O218="Mayor")),"Alto",IF(OR(AND(K218="Muy Baja",O218="Catastrófico"),AND(K218="Baja",O218="Catastrófico"),AND(K218="Media",O218="Catastrófico"),AND(K218="Alta",O218="Catastrófico"),AND(K218="Muy Alta",O218="Catastrófico")),"Extremo",""))))</f>
        <v>Extremo</v>
      </c>
      <c r="R218" s="283">
        <v>1</v>
      </c>
      <c r="S218" s="302" t="s">
        <v>304</v>
      </c>
      <c r="T218" s="285" t="str">
        <f>IF(OR(U218="Preventivo",U218="Detectivo"),"Probabilidad",IF(U218="Correctivo","Impacto",""))</f>
        <v>Probabilidad</v>
      </c>
      <c r="U218" s="286" t="s">
        <v>207</v>
      </c>
      <c r="V218" s="286" t="s">
        <v>201</v>
      </c>
      <c r="W218" s="287" t="str">
        <f>IF(AND(U218="Preventivo",V218="Automático"),"50%",IF(AND(U218="Preventivo",V218="Manual"),"40%",IF(AND(U218="Detectivo",V218="Automático"),"40%",IF(AND(U218="Detectivo",V218="Manual"),"30%",IF(AND(U218="Correctivo",V218="Automático"),"35%",IF(AND(U218="Correctivo",V218="Manual"),"25%",""))))))</f>
        <v>40%</v>
      </c>
      <c r="X218" s="286" t="s">
        <v>208</v>
      </c>
      <c r="Y218" s="286" t="s">
        <v>203</v>
      </c>
      <c r="Z218" s="286" t="s">
        <v>204</v>
      </c>
      <c r="AA218" s="744">
        <f>IFERROR(IF(T218="Probabilidad",(L218-(+L218*W218)),IF(T218="Impacto",L218,"")),"")</f>
        <v>0.36</v>
      </c>
      <c r="AB218" s="288" t="str">
        <f>IFERROR(IF(AA218="","",IF(AA218&lt;=0.2,"Muy Baja",IF(AA218&lt;=0.4,"Baja",IF(AA218&lt;=0.6,"Media",IF(AA218&lt;=0.8,"Alta","Muy Alta"))))),"")</f>
        <v>Baja</v>
      </c>
      <c r="AC218" s="289">
        <f>+AA218</f>
        <v>0.36</v>
      </c>
      <c r="AD218" s="288" t="str">
        <f>IFERROR(IF(AE218="","",IF(AE218&lt;=0.2,"Leve",IF(AE218&lt;=0.4,"Menor",IF(AE218&lt;=0.6,"Moderado",IF(AE218&lt;=0.8,"Mayor","Catastrófico"))))),"")</f>
        <v>Catastrófico</v>
      </c>
      <c r="AE218" s="289">
        <f>IFERROR(IF(T218="Impacto",(P218-(+P218*W218)),IF(T218="Probabilidad",P218,"")),"")</f>
        <v>1</v>
      </c>
      <c r="AF218" s="290" t="str">
        <f>IFERROR(IF(OR(AND(AB218="Muy Baja",AD218="Leve"),AND(AB218="Muy Baja",AD218="Menor"),AND(AB218="Baja",AD218="Leve")),"Bajo",IF(OR(AND(AB218="Muy baja",AD218="Moderado"),AND(AB218="Baja",AD218="Menor"),AND(AB218="Baja",AD218="Moderado"),AND(AB218="Media",AD218="Leve"),AND(AB218="Media",AD218="Menor"),AND(AB218="Media",AD218="Moderado"),AND(AB218="Alta",AD218="Leve"),AND(AB218="Alta",AD218="Menor")),"Moderado",IF(OR(AND(AB218="Muy Baja",AD218="Mayor"),AND(AB218="Baja",AD218="Mayor"),AND(AB218="Media",AD218="Mayor"),AND(AB218="Alta",AD218="Moderado"),AND(AB218="Alta",AD218="Mayor"),AND(AB218="Muy Alta",AD218="Leve"),AND(AB218="Muy Alta",AD218="Menor"),AND(AB218="Muy Alta",AD218="Moderado"),AND(AB218="Muy Alta",AD218="Mayor")),"Alto",IF(OR(AND(AB218="Muy Baja",AD218="Catastrófico"),AND(AB218="Baja",AD218="Catastrófico"),AND(AB218="Media",AD218="Catastrófico"),AND(AB218="Alta",AD218="Catastrófico"),AND(AB218="Muy Alta",AD218="Catastrófico")),"Extremo","")))),"")</f>
        <v>Extremo</v>
      </c>
      <c r="AG218" s="291" t="s">
        <v>205</v>
      </c>
      <c r="AH218" s="745" t="s">
        <v>1125</v>
      </c>
      <c r="AI218" s="292" t="s">
        <v>293</v>
      </c>
      <c r="AJ218" s="746" t="s">
        <v>154</v>
      </c>
      <c r="AK218" s="746">
        <v>45538</v>
      </c>
      <c r="AL218" s="292" t="s">
        <v>1126</v>
      </c>
      <c r="AM218" s="294" t="s">
        <v>206</v>
      </c>
    </row>
    <row r="219" spans="1:39" ht="194.4" customHeight="1" x14ac:dyDescent="0.3">
      <c r="A219" s="2113"/>
      <c r="B219" s="2156"/>
      <c r="C219" s="2156"/>
      <c r="D219" s="2159"/>
      <c r="E219" s="282" t="s">
        <v>1127</v>
      </c>
      <c r="F219" s="2125"/>
      <c r="G219" s="1980"/>
      <c r="H219" s="2125"/>
      <c r="I219" s="2127"/>
      <c r="J219" s="2130"/>
      <c r="K219" s="2110"/>
      <c r="L219" s="2107"/>
      <c r="M219" s="2133"/>
      <c r="N219" s="2107">
        <f>IF(NOT(ISERROR(MATCH(M219,_xlfn.ANCHORARRAY(F228),0))),L230&amp;"Por favor no seleccionar los criterios de impacto",M219)</f>
        <v>0</v>
      </c>
      <c r="O219" s="2110"/>
      <c r="P219" s="2107"/>
      <c r="Q219" s="2015"/>
      <c r="R219" s="283">
        <v>2</v>
      </c>
      <c r="S219" s="302" t="s">
        <v>307</v>
      </c>
      <c r="T219" s="285" t="str">
        <f>IF(OR(U219="Preventivo",U219="Detectivo"),"Probabilidad",IF(U219="Correctivo","Impacto",""))</f>
        <v>Impacto</v>
      </c>
      <c r="U219" s="286" t="s">
        <v>308</v>
      </c>
      <c r="V219" s="286" t="s">
        <v>201</v>
      </c>
      <c r="W219" s="287" t="str">
        <f t="shared" ref="W219:W221" si="98">IF(AND(U219="Preventivo",V219="Automático"),"50%",IF(AND(U219="Preventivo",V219="Manual"),"40%",IF(AND(U219="Detectivo",V219="Automático"),"40%",IF(AND(U219="Detectivo",V219="Manual"),"30%",IF(AND(U219="Correctivo",V219="Automático"),"35%",IF(AND(U219="Correctivo",V219="Manual"),"25%",""))))))</f>
        <v>25%</v>
      </c>
      <c r="X219" s="286" t="s">
        <v>202</v>
      </c>
      <c r="Y219" s="286" t="s">
        <v>203</v>
      </c>
      <c r="Z219" s="286" t="s">
        <v>204</v>
      </c>
      <c r="AA219" s="744">
        <f>IFERROR(IF(AND(T218="Probabilidad",T219="Probabilidad"),(AC218-(+AC218*W219)),IF(AND(T218="Impacto",T219="Probabilidad"),(L218-(+L218*W219)),IF(T219="Impacto",AC218,""))),"")</f>
        <v>0.36</v>
      </c>
      <c r="AB219" s="288" t="str">
        <f t="shared" ref="AB219:AB221" si="99">IFERROR(IF(AA219="","",IF(AA219&lt;=0.2,"Muy Baja",IF(AA219&lt;=0.4,"Baja",IF(AA219&lt;=0.6,"Media",IF(AA219&lt;=0.8,"Alta","Muy Alta"))))),"")</f>
        <v>Baja</v>
      </c>
      <c r="AC219" s="289">
        <f>+AA219</f>
        <v>0.36</v>
      </c>
      <c r="AD219" s="288" t="str">
        <f t="shared" ref="AD219:AD221" si="100">IFERROR(IF(AE219="","",IF(AE219&lt;=0.2,"Leve",IF(AE219&lt;=0.4,"Menor",IF(AE219&lt;=0.6,"Moderado",IF(AE219&lt;=0.8,"Mayor","Catastrófico"))))),"")</f>
        <v>Mayor</v>
      </c>
      <c r="AE219" s="289">
        <f>IFERROR(IF(AND(T218="Impacto",T219="Impacto"),(AE218-(+AE218*W219)),IF(AND(T218="Probabilidad",T219="Impacto"),(P218-(+P218*W219)),IF(T219="Probabilidad",AE218,""))),"")</f>
        <v>0.75</v>
      </c>
      <c r="AF219" s="290" t="str">
        <f t="shared" ref="AF219:AF221" si="101">IFERROR(IF(OR(AND(AB219="Muy Baja",AD219="Leve"),AND(AB219="Muy Baja",AD219="Menor"),AND(AB219="Baja",AD219="Leve")),"Bajo",IF(OR(AND(AB219="Muy baja",AD219="Moderado"),AND(AB219="Baja",AD219="Menor"),AND(AB219="Baja",AD219="Moderado"),AND(AB219="Media",AD219="Leve"),AND(AB219="Media",AD219="Menor"),AND(AB219="Media",AD219="Moderado"),AND(AB219="Alta",AD219="Leve"),AND(AB219="Alta",AD219="Menor")),"Moderado",IF(OR(AND(AB219="Muy Baja",AD219="Mayor"),AND(AB219="Baja",AD219="Mayor"),AND(AB219="Media",AD219="Mayor"),AND(AB219="Alta",AD219="Moderado"),AND(AB219="Alta",AD219="Mayor"),AND(AB219="Muy Alta",AD219="Leve"),AND(AB219="Muy Alta",AD219="Menor"),AND(AB219="Muy Alta",AD219="Moderado"),AND(AB219="Muy Alta",AD219="Mayor")),"Alto",IF(OR(AND(AB219="Muy Baja",AD219="Catastrófico"),AND(AB219="Baja",AD219="Catastrófico"),AND(AB219="Media",AD219="Catastrófico"),AND(AB219="Alta",AD219="Catastrófico"),AND(AB219="Muy Alta",AD219="Catastrófico")),"Extremo","")))),"")</f>
        <v>Alto</v>
      </c>
      <c r="AG219" s="291" t="s">
        <v>205</v>
      </c>
      <c r="AH219" s="747" t="s">
        <v>1128</v>
      </c>
      <c r="AI219" s="296" t="s">
        <v>293</v>
      </c>
      <c r="AJ219" s="748" t="s">
        <v>154</v>
      </c>
      <c r="AK219" s="748">
        <v>45538</v>
      </c>
      <c r="AL219" s="296" t="s">
        <v>1129</v>
      </c>
      <c r="AM219" s="297" t="s">
        <v>206</v>
      </c>
    </row>
    <row r="220" spans="1:39" ht="200.4" customHeight="1" x14ac:dyDescent="0.3">
      <c r="A220" s="2113"/>
      <c r="B220" s="2156"/>
      <c r="C220" s="2156"/>
      <c r="D220" s="2159"/>
      <c r="E220" s="749" t="s">
        <v>1135</v>
      </c>
      <c r="F220" s="2125"/>
      <c r="G220" s="1980"/>
      <c r="H220" s="2125"/>
      <c r="I220" s="2127"/>
      <c r="J220" s="2130"/>
      <c r="K220" s="2110"/>
      <c r="L220" s="2107"/>
      <c r="M220" s="2133"/>
      <c r="N220" s="2107">
        <f>IF(NOT(ISERROR(MATCH(M220,_xlfn.ANCHORARRAY(F229),0))),L231&amp;"Por favor no seleccionar los criterios de impacto",M220)</f>
        <v>0</v>
      </c>
      <c r="O220" s="2110"/>
      <c r="P220" s="2107"/>
      <c r="Q220" s="2015"/>
      <c r="R220" s="283">
        <v>3</v>
      </c>
      <c r="S220" s="750" t="s">
        <v>311</v>
      </c>
      <c r="T220" s="285" t="str">
        <f t="shared" ref="T220:T221" si="102">IF(OR(U220="Preventivo",U220="Detectivo"),"Probabilidad",IF(U220="Correctivo","Impacto",""))</f>
        <v>Impacto</v>
      </c>
      <c r="U220" s="286" t="s">
        <v>308</v>
      </c>
      <c r="V220" s="286" t="s">
        <v>201</v>
      </c>
      <c r="W220" s="287" t="str">
        <f t="shared" si="98"/>
        <v>25%</v>
      </c>
      <c r="X220" s="286" t="s">
        <v>202</v>
      </c>
      <c r="Y220" s="286" t="s">
        <v>203</v>
      </c>
      <c r="Z220" s="286" t="s">
        <v>204</v>
      </c>
      <c r="AA220" s="744">
        <f>IFERROR(IF(AND(T219="Probabilidad",T220="Probabilidad"),(AC219-(+AC219*W220)),IF(AND(T219="Impacto",T220="Probabilidad"),(AC218-(+AC218*W220)),IF(T220="Impacto",AC219,""))),"")</f>
        <v>0.36</v>
      </c>
      <c r="AB220" s="288" t="str">
        <f t="shared" si="99"/>
        <v>Baja</v>
      </c>
      <c r="AC220" s="289">
        <f t="shared" ref="AC220:AC221" si="103">+AA220</f>
        <v>0.36</v>
      </c>
      <c r="AD220" s="288" t="str">
        <f t="shared" si="100"/>
        <v>Moderado</v>
      </c>
      <c r="AE220" s="289">
        <f t="shared" ref="AE220:AE221" si="104">IFERROR(IF(AND(T219="Impacto",T220="Impacto"),(AE219-(+AE219*W220)),IF(AND(T219="Probabilidad",T220="Impacto"),(AE218-(+AE218*W220)),IF(T220="Probabilidad",AE219,""))),"")</f>
        <v>0.5625</v>
      </c>
      <c r="AF220" s="290" t="str">
        <f t="shared" si="101"/>
        <v>Moderado</v>
      </c>
      <c r="AG220" s="291" t="s">
        <v>205</v>
      </c>
      <c r="AH220" s="747" t="s">
        <v>1130</v>
      </c>
      <c r="AI220" s="296" t="s">
        <v>293</v>
      </c>
      <c r="AJ220" s="748" t="s">
        <v>154</v>
      </c>
      <c r="AK220" s="748">
        <v>45538</v>
      </c>
      <c r="AL220" s="296" t="s">
        <v>1131</v>
      </c>
      <c r="AM220" s="297" t="s">
        <v>206</v>
      </c>
    </row>
    <row r="221" spans="1:39" ht="167.4" customHeight="1" x14ac:dyDescent="0.3">
      <c r="A221" s="2113"/>
      <c r="B221" s="2156"/>
      <c r="C221" s="2156"/>
      <c r="D221" s="2159"/>
      <c r="E221" s="749" t="s">
        <v>714</v>
      </c>
      <c r="F221" s="2125"/>
      <c r="G221" s="1980"/>
      <c r="H221" s="2125"/>
      <c r="I221" s="2127"/>
      <c r="J221" s="2130"/>
      <c r="K221" s="2110"/>
      <c r="L221" s="2107"/>
      <c r="M221" s="2133"/>
      <c r="N221" s="2107">
        <f>IF(NOT(ISERROR(MATCH(M221,_xlfn.ANCHORARRAY(F230),0))),L232&amp;"Por favor no seleccionar los criterios de impacto",M221)</f>
        <v>0</v>
      </c>
      <c r="O221" s="2110"/>
      <c r="P221" s="2107"/>
      <c r="Q221" s="2015"/>
      <c r="R221" s="283">
        <v>4</v>
      </c>
      <c r="S221" s="302" t="s">
        <v>314</v>
      </c>
      <c r="T221" s="285" t="str">
        <f t="shared" si="102"/>
        <v>Probabilidad</v>
      </c>
      <c r="U221" s="286" t="s">
        <v>200</v>
      </c>
      <c r="V221" s="286" t="s">
        <v>201</v>
      </c>
      <c r="W221" s="287" t="str">
        <f t="shared" si="98"/>
        <v>30%</v>
      </c>
      <c r="X221" s="286" t="s">
        <v>202</v>
      </c>
      <c r="Y221" s="286" t="s">
        <v>203</v>
      </c>
      <c r="Z221" s="286" t="s">
        <v>204</v>
      </c>
      <c r="AA221" s="744">
        <f t="shared" ref="AA221" si="105">IFERROR(IF(AND(T220="Probabilidad",T221="Probabilidad"),(AC220-(+AC220*W221)),IF(AND(T220="Impacto",T221="Probabilidad"),(AC219-(+AC219*W221)),IF(T221="Impacto",AC220,""))),"")</f>
        <v>0.252</v>
      </c>
      <c r="AB221" s="288" t="str">
        <f t="shared" si="99"/>
        <v>Baja</v>
      </c>
      <c r="AC221" s="289">
        <f t="shared" si="103"/>
        <v>0.252</v>
      </c>
      <c r="AD221" s="288" t="str">
        <f t="shared" si="100"/>
        <v>Moderado</v>
      </c>
      <c r="AE221" s="289">
        <f t="shared" si="104"/>
        <v>0.5625</v>
      </c>
      <c r="AF221" s="290" t="str">
        <f t="shared" si="101"/>
        <v>Moderado</v>
      </c>
      <c r="AG221" s="291" t="s">
        <v>312</v>
      </c>
      <c r="AH221" s="747" t="s">
        <v>1132</v>
      </c>
      <c r="AI221" s="296" t="s">
        <v>293</v>
      </c>
      <c r="AJ221" s="748" t="s">
        <v>154</v>
      </c>
      <c r="AK221" s="748">
        <v>45538</v>
      </c>
      <c r="AL221" s="751" t="s">
        <v>1133</v>
      </c>
      <c r="AM221" s="297" t="s">
        <v>206</v>
      </c>
    </row>
    <row r="222" spans="1:39" ht="69.599999999999994" customHeight="1" x14ac:dyDescent="0.3">
      <c r="A222" s="428"/>
      <c r="B222" s="429"/>
      <c r="C222" s="429"/>
      <c r="D222" s="429"/>
      <c r="E222" s="429"/>
      <c r="F222" s="241"/>
      <c r="G222" s="241"/>
      <c r="H222" s="429"/>
      <c r="I222" s="430"/>
      <c r="J222" s="431"/>
      <c r="K222" s="432"/>
      <c r="L222" s="433"/>
      <c r="M222" s="432"/>
      <c r="N222" s="431"/>
      <c r="O222" s="432"/>
      <c r="P222" s="434"/>
      <c r="Q222" s="239"/>
      <c r="R222" s="435"/>
      <c r="S222" s="436"/>
      <c r="T222" s="437"/>
      <c r="U222" s="437"/>
      <c r="V222" s="438"/>
      <c r="W222" s="437"/>
      <c r="X222" s="437"/>
      <c r="Y222" s="437"/>
      <c r="Z222" s="439"/>
      <c r="AA222" s="440"/>
      <c r="AB222" s="441"/>
      <c r="AC222" s="440"/>
      <c r="AD222" s="441"/>
      <c r="AE222" s="442"/>
      <c r="AF222" s="437"/>
      <c r="AG222" s="429"/>
      <c r="AH222" s="429"/>
      <c r="AI222" s="443"/>
      <c r="AJ222" s="444"/>
      <c r="AK222" s="429"/>
      <c r="AL222" s="430"/>
    </row>
    <row r="223" spans="1:39" ht="69.599999999999994" customHeight="1" x14ac:dyDescent="0.3">
      <c r="A223" s="2788" t="s">
        <v>156</v>
      </c>
      <c r="B223" s="2789"/>
      <c r="C223" s="2789"/>
      <c r="D223" s="2789"/>
      <c r="E223" s="2789"/>
      <c r="F223" s="2789"/>
      <c r="G223" s="2789"/>
      <c r="H223" s="2789"/>
      <c r="I223" s="2789"/>
      <c r="J223" s="2789"/>
      <c r="K223" s="2789"/>
      <c r="L223" s="2789"/>
      <c r="M223" s="2789"/>
      <c r="N223" s="2789"/>
      <c r="O223" s="2789"/>
      <c r="P223" s="2789"/>
      <c r="Q223" s="2789"/>
      <c r="R223" s="2789"/>
      <c r="S223" s="2789"/>
      <c r="T223" s="2789"/>
      <c r="U223" s="2789"/>
      <c r="V223" s="2789"/>
      <c r="W223" s="2789"/>
      <c r="X223" s="2789"/>
      <c r="Y223" s="2789"/>
      <c r="Z223" s="2789"/>
      <c r="AA223" s="2789"/>
      <c r="AB223" s="2789"/>
      <c r="AC223" s="2789"/>
      <c r="AD223" s="2789"/>
      <c r="AE223" s="2789"/>
      <c r="AF223" s="2789"/>
      <c r="AG223" s="2789"/>
      <c r="AH223" s="2789"/>
      <c r="AI223" s="2789"/>
      <c r="AJ223" s="2789"/>
      <c r="AK223" s="2789"/>
      <c r="AL223" s="2789"/>
      <c r="AM223" s="700"/>
    </row>
    <row r="224" spans="1:39" ht="69.599999999999994" customHeight="1" x14ac:dyDescent="0.3">
      <c r="A224" s="2788"/>
      <c r="B224" s="2789"/>
      <c r="C224" s="2789"/>
      <c r="D224" s="2789"/>
      <c r="E224" s="2789"/>
      <c r="F224" s="2789"/>
      <c r="G224" s="2789"/>
      <c r="H224" s="2789"/>
      <c r="I224" s="2789"/>
      <c r="J224" s="2789"/>
      <c r="K224" s="2789"/>
      <c r="L224" s="2789"/>
      <c r="M224" s="2789"/>
      <c r="N224" s="2789"/>
      <c r="O224" s="2789"/>
      <c r="P224" s="2789"/>
      <c r="Q224" s="2789"/>
      <c r="R224" s="2789"/>
      <c r="S224" s="2789"/>
      <c r="T224" s="2789"/>
      <c r="U224" s="2789"/>
      <c r="V224" s="2789"/>
      <c r="W224" s="2789"/>
      <c r="X224" s="2789"/>
      <c r="Y224" s="2789"/>
      <c r="Z224" s="2789"/>
      <c r="AA224" s="2789"/>
      <c r="AB224" s="2789"/>
      <c r="AC224" s="2789"/>
      <c r="AD224" s="2789"/>
      <c r="AE224" s="2789"/>
      <c r="AF224" s="2789"/>
      <c r="AG224" s="2789"/>
      <c r="AH224" s="2789"/>
      <c r="AI224" s="2789"/>
      <c r="AJ224" s="2789"/>
      <c r="AK224" s="2789"/>
      <c r="AL224" s="2789"/>
      <c r="AM224" s="700"/>
    </row>
    <row r="226" spans="1:42" ht="69.599999999999994" customHeight="1" x14ac:dyDescent="0.3">
      <c r="A226" s="2349" t="s">
        <v>157</v>
      </c>
      <c r="B226" s="2350"/>
      <c r="C226" s="2039" t="s">
        <v>379</v>
      </c>
      <c r="D226" s="2039"/>
      <c r="E226" s="2039"/>
      <c r="F226" s="2039"/>
      <c r="G226" s="2039"/>
      <c r="H226" s="2039"/>
      <c r="I226" s="2039"/>
      <c r="J226" s="2039"/>
      <c r="K226" s="2039"/>
      <c r="L226" s="2039"/>
      <c r="M226" s="2039"/>
      <c r="N226" s="2039"/>
      <c r="O226" s="2039"/>
      <c r="P226" s="2039"/>
      <c r="Q226" s="2039"/>
      <c r="R226" s="2039"/>
      <c r="S226" s="2039"/>
      <c r="T226" s="2039"/>
      <c r="U226" s="2039"/>
      <c r="V226" s="2039"/>
      <c r="W226" s="2039"/>
      <c r="X226" s="2039"/>
      <c r="Y226" s="2039"/>
      <c r="Z226" s="2039"/>
      <c r="AA226" s="2039"/>
      <c r="AB226" s="2039"/>
      <c r="AC226" s="2039"/>
      <c r="AD226" s="2039"/>
      <c r="AE226" s="2039"/>
      <c r="AF226" s="2039"/>
      <c r="AG226" s="2039"/>
      <c r="AH226" s="2039"/>
      <c r="AI226" s="2039"/>
      <c r="AJ226" s="2039"/>
      <c r="AK226" s="2039"/>
      <c r="AL226" s="2039"/>
      <c r="AM226" s="700"/>
      <c r="AN226" s="700"/>
      <c r="AO226" s="700"/>
      <c r="AP226" s="700"/>
    </row>
    <row r="227" spans="1:42" ht="69.599999999999994" customHeight="1" x14ac:dyDescent="0.3">
      <c r="A227" s="2349" t="s">
        <v>158</v>
      </c>
      <c r="B227" s="2350"/>
      <c r="C227" s="2039" t="s">
        <v>380</v>
      </c>
      <c r="D227" s="2039"/>
      <c r="E227" s="2039"/>
      <c r="F227" s="2039"/>
      <c r="G227" s="2039"/>
      <c r="H227" s="2039"/>
      <c r="I227" s="2039"/>
      <c r="J227" s="2039"/>
      <c r="K227" s="2039"/>
      <c r="L227" s="2039"/>
      <c r="M227" s="2039"/>
      <c r="N227" s="2039"/>
      <c r="O227" s="2039"/>
      <c r="P227" s="2039"/>
      <c r="Q227" s="2039"/>
      <c r="R227" s="2039"/>
      <c r="S227" s="2039"/>
      <c r="T227" s="2039"/>
      <c r="U227" s="2039"/>
      <c r="V227" s="2039"/>
      <c r="W227" s="2039"/>
      <c r="X227" s="2039"/>
      <c r="Y227" s="2039"/>
      <c r="Z227" s="2039"/>
      <c r="AA227" s="2039"/>
      <c r="AB227" s="2039"/>
      <c r="AC227" s="2039"/>
      <c r="AD227" s="2039"/>
      <c r="AE227" s="2039"/>
      <c r="AF227" s="2039"/>
      <c r="AG227" s="2039"/>
      <c r="AH227" s="2039"/>
      <c r="AI227" s="2039"/>
      <c r="AJ227" s="2039"/>
      <c r="AK227" s="2039"/>
      <c r="AL227" s="2039"/>
      <c r="AM227" s="700"/>
      <c r="AN227" s="700"/>
      <c r="AO227" s="700"/>
      <c r="AP227" s="700"/>
    </row>
    <row r="228" spans="1:42" ht="69.599999999999994" customHeight="1" x14ac:dyDescent="0.3">
      <c r="A228" s="2349" t="s">
        <v>159</v>
      </c>
      <c r="B228" s="2350"/>
      <c r="C228" s="2039" t="s">
        <v>381</v>
      </c>
      <c r="D228" s="2039"/>
      <c r="E228" s="2039"/>
      <c r="F228" s="2039"/>
      <c r="G228" s="2039"/>
      <c r="H228" s="2039"/>
      <c r="I228" s="2039"/>
      <c r="J228" s="2039"/>
      <c r="K228" s="2039"/>
      <c r="L228" s="2039"/>
      <c r="M228" s="2039"/>
      <c r="N228" s="2039"/>
      <c r="O228" s="2039"/>
      <c r="P228" s="2039"/>
      <c r="Q228" s="2039"/>
      <c r="R228" s="2039"/>
      <c r="S228" s="2039"/>
      <c r="T228" s="2039"/>
      <c r="U228" s="2039"/>
      <c r="V228" s="2039"/>
      <c r="W228" s="2039"/>
      <c r="X228" s="2039"/>
      <c r="Y228" s="2039"/>
      <c r="Z228" s="2039"/>
      <c r="AA228" s="2039"/>
      <c r="AB228" s="2039"/>
      <c r="AC228" s="2039"/>
      <c r="AD228" s="2039"/>
      <c r="AE228" s="2039"/>
      <c r="AF228" s="2039"/>
      <c r="AG228" s="2039"/>
      <c r="AH228" s="2039"/>
      <c r="AI228" s="2039"/>
      <c r="AJ228" s="2039"/>
      <c r="AK228" s="2039"/>
      <c r="AL228" s="2039"/>
      <c r="AM228" s="700"/>
      <c r="AN228" s="700"/>
      <c r="AO228" s="700"/>
      <c r="AP228" s="700"/>
    </row>
    <row r="229" spans="1:42" ht="69.599999999999994" customHeight="1" x14ac:dyDescent="0.3">
      <c r="A229" s="752" t="s">
        <v>160</v>
      </c>
      <c r="B229" s="753"/>
      <c r="C229" s="754"/>
      <c r="D229" s="754"/>
      <c r="E229" s="754"/>
      <c r="F229" s="754"/>
      <c r="G229" s="754"/>
      <c r="H229" s="754"/>
      <c r="I229" s="754"/>
      <c r="J229" s="755"/>
      <c r="K229" s="756" t="s">
        <v>161</v>
      </c>
      <c r="L229" s="754"/>
      <c r="M229" s="754"/>
      <c r="N229" s="754"/>
      <c r="O229" s="754"/>
      <c r="P229" s="754"/>
      <c r="Q229" s="755"/>
      <c r="R229" s="756" t="s">
        <v>162</v>
      </c>
      <c r="S229" s="754"/>
      <c r="T229" s="754"/>
      <c r="U229" s="754"/>
      <c r="V229" s="754"/>
      <c r="W229" s="754"/>
      <c r="X229" s="754"/>
      <c r="Y229" s="754"/>
      <c r="Z229" s="755"/>
      <c r="AA229" s="756" t="s">
        <v>163</v>
      </c>
      <c r="AB229" s="754"/>
      <c r="AC229" s="754"/>
      <c r="AD229" s="754"/>
      <c r="AE229" s="754"/>
      <c r="AF229" s="754"/>
      <c r="AG229" s="755"/>
      <c r="AH229" s="756" t="s">
        <v>164</v>
      </c>
      <c r="AI229" s="754"/>
      <c r="AJ229" s="754"/>
      <c r="AK229" s="754"/>
      <c r="AL229" s="754"/>
      <c r="AM229" s="700"/>
      <c r="AN229" s="700"/>
      <c r="AO229" s="700"/>
      <c r="AP229" s="700"/>
    </row>
    <row r="230" spans="1:42" ht="69.599999999999994" customHeight="1" x14ac:dyDescent="0.3">
      <c r="A230" s="2140" t="s">
        <v>165</v>
      </c>
      <c r="B230" s="2142" t="s">
        <v>142</v>
      </c>
      <c r="C230" s="2042" t="s">
        <v>166</v>
      </c>
      <c r="D230" s="2042" t="s">
        <v>167</v>
      </c>
      <c r="E230" s="2041" t="s">
        <v>168</v>
      </c>
      <c r="F230" s="2103" t="s">
        <v>60</v>
      </c>
      <c r="G230" s="2103" t="s">
        <v>610</v>
      </c>
      <c r="H230" s="280"/>
      <c r="I230" s="2041" t="s">
        <v>169</v>
      </c>
      <c r="J230" s="2042" t="s">
        <v>170</v>
      </c>
      <c r="K230" s="2105" t="s">
        <v>171</v>
      </c>
      <c r="L230" s="2100" t="s">
        <v>172</v>
      </c>
      <c r="M230" s="2041" t="s">
        <v>173</v>
      </c>
      <c r="N230" s="2041" t="s">
        <v>174</v>
      </c>
      <c r="O230" s="2102" t="s">
        <v>175</v>
      </c>
      <c r="P230" s="2100" t="s">
        <v>172</v>
      </c>
      <c r="Q230" s="2042" t="s">
        <v>176</v>
      </c>
      <c r="R230" s="2161" t="s">
        <v>177</v>
      </c>
      <c r="S230" s="2043" t="s">
        <v>178</v>
      </c>
      <c r="T230" s="2041" t="s">
        <v>179</v>
      </c>
      <c r="U230" s="2043" t="s">
        <v>180</v>
      </c>
      <c r="V230" s="2043"/>
      <c r="W230" s="2043"/>
      <c r="X230" s="2043"/>
      <c r="Y230" s="2043"/>
      <c r="Z230" s="2043"/>
      <c r="AA230" s="2099" t="s">
        <v>181</v>
      </c>
      <c r="AB230" s="2099" t="s">
        <v>182</v>
      </c>
      <c r="AC230" s="2099" t="s">
        <v>172</v>
      </c>
      <c r="AD230" s="2099" t="s">
        <v>183</v>
      </c>
      <c r="AE230" s="2099" t="s">
        <v>172</v>
      </c>
      <c r="AF230" s="2099" t="s">
        <v>184</v>
      </c>
      <c r="AG230" s="2161" t="s">
        <v>185</v>
      </c>
      <c r="AH230" s="2043" t="s">
        <v>164</v>
      </c>
      <c r="AI230" s="2043" t="s">
        <v>143</v>
      </c>
      <c r="AJ230" s="2043" t="s">
        <v>186</v>
      </c>
      <c r="AK230" s="2043" t="s">
        <v>187</v>
      </c>
      <c r="AL230" s="2041" t="s">
        <v>189</v>
      </c>
      <c r="AM230" s="700"/>
      <c r="AN230" s="700"/>
      <c r="AO230" s="700"/>
      <c r="AP230" s="700"/>
    </row>
    <row r="231" spans="1:42" ht="69.599999999999994" customHeight="1" x14ac:dyDescent="0.3">
      <c r="A231" s="2141"/>
      <c r="B231" s="2142"/>
      <c r="C231" s="2043"/>
      <c r="D231" s="2043"/>
      <c r="E231" s="2105"/>
      <c r="F231" s="2104"/>
      <c r="G231" s="2104"/>
      <c r="H231" s="280" t="s">
        <v>190</v>
      </c>
      <c r="I231" s="2042"/>
      <c r="J231" s="2043"/>
      <c r="K231" s="2042"/>
      <c r="L231" s="2101"/>
      <c r="M231" s="2042"/>
      <c r="N231" s="2042"/>
      <c r="O231" s="2101"/>
      <c r="P231" s="2101"/>
      <c r="Q231" s="2043"/>
      <c r="R231" s="2162"/>
      <c r="S231" s="2043"/>
      <c r="T231" s="2042"/>
      <c r="U231" s="281" t="s">
        <v>191</v>
      </c>
      <c r="V231" s="281" t="s">
        <v>192</v>
      </c>
      <c r="W231" s="281" t="s">
        <v>193</v>
      </c>
      <c r="X231" s="281" t="s">
        <v>194</v>
      </c>
      <c r="Y231" s="281" t="s">
        <v>195</v>
      </c>
      <c r="Z231" s="281" t="s">
        <v>196</v>
      </c>
      <c r="AA231" s="2099"/>
      <c r="AB231" s="2099"/>
      <c r="AC231" s="2099"/>
      <c r="AD231" s="2099"/>
      <c r="AE231" s="2099"/>
      <c r="AF231" s="2099"/>
      <c r="AG231" s="2162"/>
      <c r="AH231" s="2043"/>
      <c r="AI231" s="2043"/>
      <c r="AJ231" s="2043"/>
      <c r="AK231" s="2043"/>
      <c r="AL231" s="2790"/>
      <c r="AM231" s="757" t="s">
        <v>716</v>
      </c>
      <c r="AN231" s="757" t="s">
        <v>717</v>
      </c>
      <c r="AO231" s="757" t="s">
        <v>718</v>
      </c>
      <c r="AP231" s="757" t="s">
        <v>1136</v>
      </c>
    </row>
    <row r="232" spans="1:42" ht="187.2" x14ac:dyDescent="0.3">
      <c r="A232" s="2112">
        <v>1</v>
      </c>
      <c r="B232" s="2155" t="s">
        <v>209</v>
      </c>
      <c r="C232" s="2155" t="s">
        <v>382</v>
      </c>
      <c r="D232" s="2158" t="s">
        <v>719</v>
      </c>
      <c r="E232" s="758" t="s">
        <v>720</v>
      </c>
      <c r="F232" s="2125" t="s">
        <v>721</v>
      </c>
      <c r="G232" s="691"/>
      <c r="H232" s="2125" t="s">
        <v>722</v>
      </c>
      <c r="I232" s="2126" t="s">
        <v>198</v>
      </c>
      <c r="J232" s="2129">
        <v>7162</v>
      </c>
      <c r="K232" s="2109" t="str">
        <f>IF(J232&lt;=0,"",IF(J232&lt;=2,"Muy Baja",IF(J232&lt;=24,"Baja",IF(J232&lt;=500,"Media",IF(J232&lt;=5000,"Alta","Muy Alta")))))</f>
        <v>Muy Alta</v>
      </c>
      <c r="L232" s="2106">
        <f>IF(K232="","",IF(K232="Muy Baja",0.2,IF(K232="Baja",0.4,IF(K232="Media",0.6,IF(K232="Alta",0.8,IF(K232="Muy Alta",1,))))))</f>
        <v>1</v>
      </c>
      <c r="M232" s="2132" t="s">
        <v>199</v>
      </c>
      <c r="N232" s="2106" t="str">
        <f>IF(NOT(ISERROR(MATCH(M232,'[36]Tabla Impacto'!$B$221:$B$223,0))),'[36]Tabla Impacto'!$F$223&amp;"Por favor no seleccionar los criterios de impacto(Afectación Económica o presupuestal y Pérdida Reputacional)",M232)</f>
        <v xml:space="preserve">     El riesgo afecta la imagen de de la entidad con efecto publicitario sostenido a nivel de sector administrativo, nivel departamental o municipal</v>
      </c>
      <c r="O232" s="2109" t="str">
        <f>IF(OR(N232='[36]Tabla Impacto'!$C$11,N232='[36]Tabla Impacto'!$D$11),"Leve",IF(OR(N232='[36]Tabla Impacto'!$C$12,N232='[36]Tabla Impacto'!$D$12),"Menor",IF(OR(N232='[36]Tabla Impacto'!$C$13,N232='[36]Tabla Impacto'!$D$13),"Moderado",IF(OR(N232='[36]Tabla Impacto'!$C$14,N232='[36]Tabla Impacto'!$D$14),"Mayor",IF(OR(N232='[36]Tabla Impacto'!$C$15,N232='[36]Tabla Impacto'!$D$15),"Catastrófico","")))))</f>
        <v>Mayor</v>
      </c>
      <c r="P232" s="2106">
        <f>IF(O232="","",IF(O232="Leve",0.2,IF(O232="Menor",0.4,IF(O232="Moderado",0.6,IF(O232="Mayor",0.8,IF(O232="Catastrófico",1,))))))</f>
        <v>0.8</v>
      </c>
      <c r="Q232" s="2014" t="str">
        <f>IF(OR(AND(K232="Muy Baja",O232="Leve"),AND(K232="Muy Baja",O232="Menor"),AND(K232="Baja",O232="Leve")),"Bajo",IF(OR(AND(K232="Muy baja",O232="Moderado"),AND(K232="Baja",O232="Menor"),AND(K232="Baja",O232="Moderado"),AND(K232="Media",O232="Leve"),AND(K232="Media",O232="Menor"),AND(K232="Media",O232="Moderado"),AND(K232="Alta",O232="Leve"),AND(K232="Alta",O232="Menor")),"Moderado",IF(OR(AND(K232="Muy Baja",O232="Mayor"),AND(K232="Baja",O232="Mayor"),AND(K232="Media",O232="Mayor"),AND(K232="Alta",O232="Moderado"),AND(K232="Alta",O232="Mayor"),AND(K232="Muy Alta",O232="Leve"),AND(K232="Muy Alta",O232="Menor"),AND(K232="Muy Alta",O232="Moderado"),AND(K232="Muy Alta",O232="Mayor")),"Alto",IF(OR(AND(K232="Muy Baja",O232="Catastrófico"),AND(K232="Baja",O232="Catastrófico"),AND(K232="Media",O232="Catastrófico"),AND(K232="Alta",O232="Catastrófico"),AND(K232="Muy Alta",O232="Catastrófico")),"Extremo",""))))</f>
        <v>Alto</v>
      </c>
      <c r="R232" s="283">
        <v>1</v>
      </c>
      <c r="S232" s="759" t="s">
        <v>723</v>
      </c>
      <c r="T232" s="285" t="str">
        <f>IF(OR(U232="Preventivo",U232="Detectivo"),"Probabilidad",IF(U232="Correctivo","Impacto",""))</f>
        <v>Impacto</v>
      </c>
      <c r="U232" s="286" t="s">
        <v>308</v>
      </c>
      <c r="V232" s="286" t="s">
        <v>201</v>
      </c>
      <c r="W232" s="287" t="str">
        <f>IF(AND(U232="Preventivo",V232="Automático"),"50%",IF(AND(U232="Preventivo",V232="Manual"),"40%",IF(AND(U232="Detectivo",V232="Automático"),"40%",IF(AND(U232="Detectivo",V232="Manual"),"30%",IF(AND(U232="Correctivo",V232="Automático"),"35%",IF(AND(U232="Correctivo",V232="Manual"),"25%",""))))))</f>
        <v>25%</v>
      </c>
      <c r="X232" s="286" t="s">
        <v>208</v>
      </c>
      <c r="Y232" s="286" t="s">
        <v>203</v>
      </c>
      <c r="Z232" s="286" t="s">
        <v>204</v>
      </c>
      <c r="AA232" s="744">
        <f>IFERROR(IF(T232="Probabilidad",(L232-(+L232*W232)),IF(T232="Impacto",L232,"")),"")</f>
        <v>1</v>
      </c>
      <c r="AB232" s="288" t="str">
        <f>IFERROR(IF(AA232="","",IF(AA232&lt;=0.2,"Muy Baja",IF(AA232&lt;=0.4,"Baja",IF(AA232&lt;=0.6,"Media",IF(AA232&lt;=0.8,"Alta","Muy Alta"))))),"")</f>
        <v>Muy Alta</v>
      </c>
      <c r="AC232" s="289">
        <f>+AA232</f>
        <v>1</v>
      </c>
      <c r="AD232" s="288" t="str">
        <f>IFERROR(IF(AE232="","",IF(AE232&lt;=0.2,"Leve",IF(AE232&lt;=0.4,"Menor",IF(AE232&lt;=0.6,"Moderado",IF(AE232&lt;=0.8,"Mayor","Catastrófico"))))),"")</f>
        <v>Moderado</v>
      </c>
      <c r="AE232" s="289">
        <f>IFERROR(IF(T232="Impacto",(P232-(+P232*W232)),IF(T232="Probabilidad",P232,"")),"")</f>
        <v>0.60000000000000009</v>
      </c>
      <c r="AF232" s="290" t="str">
        <f>IFERROR(IF(OR(AND(AB232="Muy Baja",AD232="Leve"),AND(AB232="Muy Baja",AD232="Menor"),AND(AB232="Baja",AD232="Leve")),"Bajo",IF(OR(AND(AB232="Muy baja",AD232="Moderado"),AND(AB232="Baja",AD232="Menor"),AND(AB232="Baja",AD232="Moderado"),AND(AB232="Media",AD232="Leve"),AND(AB232="Media",AD232="Menor"),AND(AB232="Media",AD232="Moderado"),AND(AB232="Alta",AD232="Leve"),AND(AB232="Alta",AD232="Menor")),"Moderado",IF(OR(AND(AB232="Muy Baja",AD232="Mayor"),AND(AB232="Baja",AD232="Mayor"),AND(AB232="Media",AD232="Mayor"),AND(AB232="Alta",AD232="Moderado"),AND(AB232="Alta",AD232="Mayor"),AND(AB232="Muy Alta",AD232="Leve"),AND(AB232="Muy Alta",AD232="Menor"),AND(AB232="Muy Alta",AD232="Moderado"),AND(AB232="Muy Alta",AD232="Mayor")),"Alto",IF(OR(AND(AB232="Muy Baja",AD232="Catastrófico"),AND(AB232="Baja",AD232="Catastrófico"),AND(AB232="Media",AD232="Catastrófico"),AND(AB232="Alta",AD232="Catastrófico"),AND(AB232="Muy Alta",AD232="Catastrófico")),"Extremo","")))),"")</f>
        <v>Alto</v>
      </c>
      <c r="AG232" s="291" t="s">
        <v>205</v>
      </c>
      <c r="AH232" s="760" t="s">
        <v>724</v>
      </c>
      <c r="AI232" s="761" t="s">
        <v>383</v>
      </c>
      <c r="AJ232" s="301">
        <v>45292</v>
      </c>
      <c r="AK232" s="301">
        <v>45657</v>
      </c>
      <c r="AL232" s="762" t="s">
        <v>206</v>
      </c>
      <c r="AM232" s="763" t="s">
        <v>725</v>
      </c>
      <c r="AN232" s="764" t="s">
        <v>726</v>
      </c>
      <c r="AO232" s="764" t="s">
        <v>727</v>
      </c>
      <c r="AP232" s="764" t="s">
        <v>1137</v>
      </c>
    </row>
    <row r="233" spans="1:42" ht="138" x14ac:dyDescent="0.3">
      <c r="A233" s="2113"/>
      <c r="B233" s="2156"/>
      <c r="C233" s="2156"/>
      <c r="D233" s="2159"/>
      <c r="E233" s="2791" t="s">
        <v>384</v>
      </c>
      <c r="F233" s="2125"/>
      <c r="G233" s="691"/>
      <c r="H233" s="2125"/>
      <c r="I233" s="2127"/>
      <c r="J233" s="2130"/>
      <c r="K233" s="2110"/>
      <c r="L233" s="2107"/>
      <c r="M233" s="2133"/>
      <c r="N233" s="2107"/>
      <c r="O233" s="2110"/>
      <c r="P233" s="2107"/>
      <c r="Q233" s="2015"/>
      <c r="R233" s="2793">
        <v>2</v>
      </c>
      <c r="S233" s="2155" t="s">
        <v>728</v>
      </c>
      <c r="T233" s="2819" t="str">
        <f>IF(OR(U233="Preventivo",U233="Detectivo"),"Probabilidad",IF(U233="Correctivo","Impacto",""))</f>
        <v>Impacto</v>
      </c>
      <c r="U233" s="2801" t="s">
        <v>308</v>
      </c>
      <c r="V233" s="2801" t="s">
        <v>201</v>
      </c>
      <c r="W233" s="2795" t="str">
        <f>IF(AND(U233="Preventivo",V233="Automático"),"50%",IF(AND(U233="Preventivo",V233="Manual"),"40%",IF(AND(U233="Detectivo",V233="Automático"),"40%",IF(AND(U233="Detectivo",V233="Manual"),"30%",IF(AND(U233="Correctivo",V233="Automático"),"35%",IF(AND(U233="Correctivo",V233="Manual"),"25%",""))))))</f>
        <v>25%</v>
      </c>
      <c r="X233" s="2801" t="s">
        <v>208</v>
      </c>
      <c r="Y233" s="2801" t="s">
        <v>203</v>
      </c>
      <c r="Z233" s="2801" t="s">
        <v>204</v>
      </c>
      <c r="AA233" s="2821">
        <f>IFERROR(IF(AND(T232="Probabilidad",T233="Probabilidad"),(AC232-(+AC232*W233)),IF(AND(T232="Impacto",T233="Probabilidad"),(AC231-(+AC231*W233)),IF(T233="Impacto",AC232,""))),"")</f>
        <v>1</v>
      </c>
      <c r="AB233" s="2797" t="str">
        <f>IFERROR(IF(AA233="","",IF(AA233&lt;=0.2,"Muy Baja",IF(AA233&lt;=0.4,"Baja",IF(AA233&lt;=0.6,"Media",IF(AA233&lt;=0.8,"Alta","Muy Alta"))))),"")</f>
        <v>Muy Alta</v>
      </c>
      <c r="AC233" s="2795">
        <f>+AA233</f>
        <v>1</v>
      </c>
      <c r="AD233" s="2797" t="str">
        <f>IFERROR(IF(AE233="","",IF(AE233&lt;=0.2,"Leve",IF(AE233&lt;=0.4,"Menor",IF(AE233&lt;=0.6,"Moderado",IF(AE233&lt;=0.8,"Mayor","Catastrófico"))))),"")</f>
        <v>Moderado</v>
      </c>
      <c r="AE233" s="2795">
        <f>IFERROR(IF(AND(T232="Impacto",T233="Impacto"),(AE232-(+AE232*W233)),IF(AND(T232="Probabilidad",T233="Impacto"),(AE231-(+AE231*W233)),IF(T233="Probabilidad",AE232,""))),"")</f>
        <v>0.45000000000000007</v>
      </c>
      <c r="AF233" s="2799" t="str">
        <f>IFERROR(IF(OR(AND(AB233="Muy Baja",AD233="Leve"),AND(AB233="Muy Baja",AD233="Menor"),AND(AB233="Baja",AD233="Leve")),"Bajo",IF(OR(AND(AB233="Muy baja",AD233="Moderado"),AND(AB233="Baja",AD233="Menor"),AND(AB233="Baja",AD233="Moderado"),AND(AB233="Media",AD233="Leve"),AND(AB233="Media",AD233="Menor"),AND(AB233="Media",AD233="Moderado"),AND(AB233="Alta",AD233="Leve"),AND(AB233="Alta",AD233="Menor")),"Moderado",IF(OR(AND(AB233="Muy Baja",AD233="Mayor"),AND(AB233="Baja",AD233="Mayor"),AND(AB233="Media",AD233="Mayor"),AND(AB233="Alta",AD233="Moderado"),AND(AB233="Alta",AD233="Mayor"),AND(AB233="Muy Alta",AD233="Leve"),AND(AB233="Muy Alta",AD233="Menor"),AND(AB233="Muy Alta",AD233="Moderado"),AND(AB233="Muy Alta",AD233="Mayor")),"Alto",IF(OR(AND(AB233="Muy Baja",AD233="Catastrófico"),AND(AB233="Baja",AD233="Catastrófico"),AND(AB233="Media",AD233="Catastrófico"),AND(AB233="Alta",AD233="Catastrófico"),AND(AB233="Muy Alta",AD233="Catastrófico")),"Extremo","")))),"")</f>
        <v>Alto</v>
      </c>
      <c r="AG233" s="2801" t="s">
        <v>205</v>
      </c>
      <c r="AH233" s="765" t="s">
        <v>385</v>
      </c>
      <c r="AI233" s="736" t="s">
        <v>383</v>
      </c>
      <c r="AJ233" s="766">
        <v>45292</v>
      </c>
      <c r="AK233" s="766">
        <v>45657</v>
      </c>
      <c r="AL233" s="767" t="s">
        <v>206</v>
      </c>
      <c r="AM233" s="764" t="s">
        <v>729</v>
      </c>
      <c r="AN233" s="764" t="s">
        <v>730</v>
      </c>
      <c r="AO233" s="764" t="s">
        <v>731</v>
      </c>
      <c r="AP233" s="764" t="s">
        <v>1138</v>
      </c>
    </row>
    <row r="234" spans="1:42" ht="15.6" x14ac:dyDescent="0.3">
      <c r="A234" s="2113"/>
      <c r="B234" s="2156"/>
      <c r="C234" s="2156"/>
      <c r="D234" s="2159"/>
      <c r="E234" s="2792"/>
      <c r="F234" s="2125"/>
      <c r="G234" s="691"/>
      <c r="H234" s="2125"/>
      <c r="I234" s="2127"/>
      <c r="J234" s="2130"/>
      <c r="K234" s="2110"/>
      <c r="L234" s="2107"/>
      <c r="M234" s="2133"/>
      <c r="N234" s="2107">
        <f>IF(NOT(ISERROR(MATCH(M234,_xlfn.ANCHORARRAY(F239),0))),L241&amp;"Por favor no seleccionar los criterios de impacto",M234)</f>
        <v>0</v>
      </c>
      <c r="O234" s="2110"/>
      <c r="P234" s="2107"/>
      <c r="Q234" s="2015"/>
      <c r="R234" s="2794"/>
      <c r="S234" s="2157"/>
      <c r="T234" s="2820"/>
      <c r="U234" s="2802"/>
      <c r="V234" s="2802"/>
      <c r="W234" s="2796"/>
      <c r="X234" s="2802"/>
      <c r="Y234" s="2802"/>
      <c r="Z234" s="2802"/>
      <c r="AA234" s="2822"/>
      <c r="AB234" s="2798"/>
      <c r="AC234" s="2796"/>
      <c r="AD234" s="2798"/>
      <c r="AE234" s="2796"/>
      <c r="AF234" s="2800"/>
      <c r="AG234" s="2802"/>
      <c r="AH234" s="2803" t="s">
        <v>732</v>
      </c>
      <c r="AI234" s="2237" t="s">
        <v>383</v>
      </c>
      <c r="AJ234" s="2804">
        <v>45292</v>
      </c>
      <c r="AK234" s="2806">
        <v>45657</v>
      </c>
      <c r="AL234" s="2808" t="s">
        <v>206</v>
      </c>
      <c r="AM234" s="2810" t="s">
        <v>733</v>
      </c>
      <c r="AN234" s="2810" t="s">
        <v>734</v>
      </c>
      <c r="AO234" s="2813" t="s">
        <v>1139</v>
      </c>
      <c r="AP234" s="2810" t="s">
        <v>1140</v>
      </c>
    </row>
    <row r="235" spans="1:42" ht="165.6" customHeight="1" x14ac:dyDescent="0.3">
      <c r="A235" s="2113"/>
      <c r="B235" s="2156"/>
      <c r="C235" s="2156"/>
      <c r="D235" s="2159"/>
      <c r="E235" s="749" t="s">
        <v>386</v>
      </c>
      <c r="F235" s="2125"/>
      <c r="G235" s="691"/>
      <c r="H235" s="2125"/>
      <c r="I235" s="2127"/>
      <c r="J235" s="2130"/>
      <c r="K235" s="2110"/>
      <c r="L235" s="2107"/>
      <c r="M235" s="2133"/>
      <c r="N235" s="2107">
        <f>IF(NOT(ISERROR(MATCH(M235,_xlfn.ANCHORARRAY(F240),0))),L242&amp;"Por favor no seleccionar los criterios de impacto",M235)</f>
        <v>0</v>
      </c>
      <c r="O235" s="2110"/>
      <c r="P235" s="2107"/>
      <c r="Q235" s="2015"/>
      <c r="R235" s="283">
        <v>3</v>
      </c>
      <c r="S235" s="768" t="s">
        <v>387</v>
      </c>
      <c r="T235" s="285" t="str">
        <f t="shared" ref="T235:T236" si="106">IF(OR(U235="Preventivo",U235="Detectivo"),"Probabilidad",IF(U235="Correctivo","Impacto",""))</f>
        <v>Impacto</v>
      </c>
      <c r="U235" s="286" t="s">
        <v>308</v>
      </c>
      <c r="V235" s="286" t="s">
        <v>201</v>
      </c>
      <c r="W235" s="287" t="str">
        <f t="shared" ref="W235:W238" si="107">IF(AND(U235="Preventivo",V235="Automático"),"50%",IF(AND(U235="Preventivo",V235="Manual"),"40%",IF(AND(U235="Detectivo",V235="Automático"),"40%",IF(AND(U235="Detectivo",V235="Manual"),"30%",IF(AND(U235="Correctivo",V235="Automático"),"35%",IF(AND(U235="Correctivo",V235="Manual"),"25%",""))))))</f>
        <v>25%</v>
      </c>
      <c r="X235" s="286" t="s">
        <v>208</v>
      </c>
      <c r="Y235" s="286" t="s">
        <v>203</v>
      </c>
      <c r="Z235" s="286" t="s">
        <v>204</v>
      </c>
      <c r="AA235" s="744">
        <f>IFERROR(IF(AND(T233="Probabilidad",T235="Probabilidad"),(AC233-(+AC233*W235)),IF(AND(T233="Impacto",T235="Probabilidad"),(AC232-(+AC232*W235)),IF(T235="Impacto",AC233,""))),"")</f>
        <v>1</v>
      </c>
      <c r="AB235" s="288" t="str">
        <f t="shared" ref="AB235:AB236" si="108">IFERROR(IF(AA235="","",IF(AA235&lt;=0.2,"Muy Baja",IF(AA235&lt;=0.4,"Baja",IF(AA235&lt;=0.6,"Media",IF(AA235&lt;=0.8,"Alta","Muy Alta"))))),"")</f>
        <v>Muy Alta</v>
      </c>
      <c r="AC235" s="289">
        <f t="shared" ref="AC235:AC236" si="109">+AA235</f>
        <v>1</v>
      </c>
      <c r="AD235" s="288" t="str">
        <f t="shared" ref="AD235:AD236" si="110">IFERROR(IF(AE235="","",IF(AE235&lt;=0.2,"Leve",IF(AE235&lt;=0.4,"Menor",IF(AE235&lt;=0.6,"Moderado",IF(AE235&lt;=0.8,"Mayor","Catastrófico"))))),"")</f>
        <v>Menor</v>
      </c>
      <c r="AE235" s="289">
        <f>IFERROR(IF(AND(T233="Impacto",T235="Impacto"),(AE233-(+AE233*W235)),IF(AND(T233="Probabilidad",T235="Impacto"),(AE232-(+AE232*W235)),IF(T235="Probabilidad",AE233,""))),"")</f>
        <v>0.33750000000000002</v>
      </c>
      <c r="AF235" s="290" t="str">
        <f t="shared" ref="AF235:AF236" si="111">IFERROR(IF(OR(AND(AB235="Muy Baja",AD235="Leve"),AND(AB235="Muy Baja",AD235="Menor"),AND(AB235="Baja",AD235="Leve")),"Bajo",IF(OR(AND(AB235="Muy baja",AD235="Moderado"),AND(AB235="Baja",AD235="Menor"),AND(AB235="Baja",AD235="Moderado"),AND(AB235="Media",AD235="Leve"),AND(AB235="Media",AD235="Menor"),AND(AB235="Media",AD235="Moderado"),AND(AB235="Alta",AD235="Leve"),AND(AB235="Alta",AD235="Menor")),"Moderado",IF(OR(AND(AB235="Muy Baja",AD235="Mayor"),AND(AB235="Baja",AD235="Mayor"),AND(AB235="Media",AD235="Mayor"),AND(AB235="Alta",AD235="Moderado"),AND(AB235="Alta",AD235="Mayor"),AND(AB235="Muy Alta",AD235="Leve"),AND(AB235="Muy Alta",AD235="Menor"),AND(AB235="Muy Alta",AD235="Moderado"),AND(AB235="Muy Alta",AD235="Mayor")),"Alto",IF(OR(AND(AB235="Muy Baja",AD235="Catastrófico"),AND(AB235="Baja",AD235="Catastrófico"),AND(AB235="Media",AD235="Catastrófico"),AND(AB235="Alta",AD235="Catastrófico"),AND(AB235="Muy Alta",AD235="Catastrófico")),"Extremo","")))),"")</f>
        <v>Alto</v>
      </c>
      <c r="AG235" s="291" t="s">
        <v>205</v>
      </c>
      <c r="AH235" s="2286"/>
      <c r="AI235" s="2287"/>
      <c r="AJ235" s="2805"/>
      <c r="AK235" s="2807"/>
      <c r="AL235" s="2809"/>
      <c r="AM235" s="2811"/>
      <c r="AN235" s="2812"/>
      <c r="AO235" s="2814"/>
      <c r="AP235" s="2812"/>
    </row>
    <row r="236" spans="1:42" ht="196.8" customHeight="1" x14ac:dyDescent="0.3">
      <c r="A236" s="2113"/>
      <c r="B236" s="2156"/>
      <c r="C236" s="2156"/>
      <c r="D236" s="2159"/>
      <c r="E236" s="749" t="s">
        <v>388</v>
      </c>
      <c r="F236" s="2125"/>
      <c r="G236" s="691"/>
      <c r="H236" s="2125"/>
      <c r="I236" s="2127"/>
      <c r="J236" s="2130"/>
      <c r="K236" s="2110"/>
      <c r="L236" s="2107"/>
      <c r="M236" s="2133"/>
      <c r="N236" s="2107">
        <f>IF(NOT(ISERROR(MATCH(M236,_xlfn.ANCHORARRAY(F241),0))),L243&amp;"Por favor no seleccionar los criterios de impacto",M236)</f>
        <v>0</v>
      </c>
      <c r="O236" s="2110"/>
      <c r="P236" s="2107"/>
      <c r="Q236" s="2015"/>
      <c r="R236" s="283">
        <v>4</v>
      </c>
      <c r="S236" s="759" t="s">
        <v>389</v>
      </c>
      <c r="T236" s="285" t="str">
        <f t="shared" si="106"/>
        <v>Impacto</v>
      </c>
      <c r="U236" s="286" t="s">
        <v>308</v>
      </c>
      <c r="V236" s="286" t="s">
        <v>201</v>
      </c>
      <c r="W236" s="287" t="str">
        <f t="shared" si="107"/>
        <v>25%</v>
      </c>
      <c r="X236" s="286" t="s">
        <v>208</v>
      </c>
      <c r="Y236" s="286" t="s">
        <v>203</v>
      </c>
      <c r="Z236" s="286" t="s">
        <v>204</v>
      </c>
      <c r="AA236" s="744">
        <f>IFERROR(IF(AND(T235="Probabilidad",T236="Probabilidad"),(AC235-(+AC235*W236)),IF(AND(T235="Impacto",T236="Probabilidad"),(AC233-(+AC233*W236)),IF(T236="Impacto",AC235,""))),"")</f>
        <v>1</v>
      </c>
      <c r="AB236" s="288" t="str">
        <f t="shared" si="108"/>
        <v>Muy Alta</v>
      </c>
      <c r="AC236" s="289">
        <f t="shared" si="109"/>
        <v>1</v>
      </c>
      <c r="AD236" s="288" t="str">
        <f t="shared" si="110"/>
        <v>Menor</v>
      </c>
      <c r="AE236" s="289">
        <f>IFERROR(IF(AND(T235="Impacto",T236="Impacto"),(AE235-(+AE235*W236)),IF(AND(T235="Probabilidad",T236="Impacto"),(AE233-(+AE233*W236)),IF(T236="Probabilidad",AE235,""))),"")</f>
        <v>0.25312500000000004</v>
      </c>
      <c r="AF236" s="290" t="str">
        <f t="shared" si="111"/>
        <v>Alto</v>
      </c>
      <c r="AG236" s="291"/>
      <c r="AH236" s="760" t="s">
        <v>390</v>
      </c>
      <c r="AI236" s="300" t="s">
        <v>383</v>
      </c>
      <c r="AJ236" s="769">
        <v>45292</v>
      </c>
      <c r="AK236" s="769">
        <v>45657</v>
      </c>
      <c r="AL236" s="770" t="s">
        <v>206</v>
      </c>
      <c r="AM236" s="764" t="s">
        <v>736</v>
      </c>
      <c r="AN236" s="764" t="s">
        <v>737</v>
      </c>
      <c r="AO236" s="763" t="s">
        <v>736</v>
      </c>
      <c r="AP236" s="764" t="s">
        <v>1141</v>
      </c>
    </row>
    <row r="237" spans="1:42" ht="234.6" x14ac:dyDescent="0.3">
      <c r="A237" s="2112">
        <v>2</v>
      </c>
      <c r="B237" s="2155" t="s">
        <v>197</v>
      </c>
      <c r="C237" s="2155" t="s">
        <v>739</v>
      </c>
      <c r="D237" s="2815" t="s">
        <v>740</v>
      </c>
      <c r="E237" s="771" t="s">
        <v>391</v>
      </c>
      <c r="F237" s="2125" t="s">
        <v>741</v>
      </c>
      <c r="G237" s="692"/>
      <c r="H237" s="2817" t="s">
        <v>742</v>
      </c>
      <c r="I237" s="2126" t="s">
        <v>392</v>
      </c>
      <c r="J237" s="2090">
        <v>7162</v>
      </c>
      <c r="K237" s="2093" t="str">
        <f>IF(J237&lt;=0,"",IF(J237&lt;=2,"Muy Baja",IF(J237&lt;=24,"Baja",IF(J237&lt;=500,"Media",IF(J237&lt;=5000,"Alta","Muy Alta")))))</f>
        <v>Muy Alta</v>
      </c>
      <c r="L237" s="2087">
        <f>IF(K237="","",IF(K237="Muy Baja",0.2,IF(K237="Baja",0.4,IF(K237="Media",0.6,IF(K237="Alta",0.8,IF(K237="Muy Alta",1,))))))</f>
        <v>1</v>
      </c>
      <c r="M237" s="2096" t="s">
        <v>393</v>
      </c>
      <c r="N237" s="2087" t="str">
        <f>IF(NOT(ISERROR(MATCH(M237,'[36]Tabla Impacto'!$B$221:$B$223,0))),'[36]Tabla Impacto'!$F$223&amp;"Por favor no seleccionar los criterios de impacto(Afectación Económica o presupuestal y Pérdida Reputacional)",M237)</f>
        <v xml:space="preserve">     Entre 200 y 1000 SMLMV</v>
      </c>
      <c r="O237" s="2093" t="str">
        <f>IF(OR(N237='[36]Tabla Impacto'!$C$11,N237='[36]Tabla Impacto'!$D$11),"Leve",IF(OR(N237='[36]Tabla Impacto'!$C$12,N237='[36]Tabla Impacto'!$D$12),"Menor",IF(OR(N237='[36]Tabla Impacto'!$C$13,N237='[36]Tabla Impacto'!$D$13),"Moderado",IF(OR(N237='[36]Tabla Impacto'!$C$14,N237='[36]Tabla Impacto'!$D$14),"Mayor",IF(OR(N237='[36]Tabla Impacto'!$C$15,N237='[36]Tabla Impacto'!$D$15),"Catastrófico","")))))</f>
        <v>Menor</v>
      </c>
      <c r="P237" s="2087">
        <f>IF(O237="","",IF(O237="Leve",0.2,IF(O237="Menor",0.4,IF(O237="Moderado",0.6,IF(O237="Mayor",0.8,IF(O237="Catastrófico",1,))))))</f>
        <v>0.4</v>
      </c>
      <c r="Q237" s="2018" t="str">
        <f>IF(OR(AND(K237="Muy Baja",O237="Leve"),AND(K237="Muy Baja",O237="Menor"),AND(K237="Baja",O237="Leve")),"Bajo",IF(OR(AND(K237="Muy baja",O237="Moderado"),AND(K237="Baja",O237="Menor"),AND(K237="Baja",O237="Moderado"),AND(K237="Media",O237="Leve"),AND(K237="Media",O237="Menor"),AND(K237="Media",O237="Moderado"),AND(K237="Alta",O237="Leve"),AND(K237="Alta",O237="Menor")),"Moderado",IF(OR(AND(K237="Muy Baja",O237="Mayor"),AND(K237="Baja",O237="Mayor"),AND(K237="Media",O237="Mayor"),AND(K237="Alta",O237="Moderado"),AND(K237="Alta",O237="Mayor"),AND(K237="Muy Alta",O237="Leve"),AND(K237="Muy Alta",O237="Menor"),AND(K237="Muy Alta",O237="Moderado"),AND(K237="Muy Alta",O237="Mayor")),"Alto",IF(OR(AND(K237="Muy Baja",O237="Catastrófico"),AND(K237="Baja",O237="Catastrófico"),AND(K237="Media",O237="Catastrófico"),AND(K237="Alta",O237="Catastrófico"),AND(K237="Muy Alta",O237="Catastrófico")),"Extremo",""))))</f>
        <v>Alto</v>
      </c>
      <c r="R237" s="283">
        <v>1</v>
      </c>
      <c r="S237" s="772" t="s">
        <v>743</v>
      </c>
      <c r="T237" s="285" t="str">
        <f>IF(OR(U237="Preventivo",U237="Detectivo"),"Probabilidad",IF(U237="Correctivo","Impacto",""))</f>
        <v>Impacto</v>
      </c>
      <c r="U237" s="286" t="s">
        <v>308</v>
      </c>
      <c r="V237" s="286" t="s">
        <v>201</v>
      </c>
      <c r="W237" s="287" t="str">
        <f t="shared" si="107"/>
        <v>25%</v>
      </c>
      <c r="X237" s="286" t="s">
        <v>208</v>
      </c>
      <c r="Y237" s="286" t="s">
        <v>203</v>
      </c>
      <c r="Z237" s="286" t="s">
        <v>204</v>
      </c>
      <c r="AA237" s="744">
        <f>IFERROR(IF(T237="Probabilidad",(L237-(+L237*W237)),IF(T237="Impacto",L237,"")),"")</f>
        <v>1</v>
      </c>
      <c r="AB237" s="288" t="str">
        <f>IFERROR(IF(AA237="","",IF(AA237&lt;=0.2,"Muy Baja",IF(AA237&lt;=0.4,"Baja",IF(AA237&lt;=0.6,"Media",IF(AA237&lt;=0.8,"Alta","Muy Alta"))))),"")</f>
        <v>Muy Alta</v>
      </c>
      <c r="AC237" s="289">
        <f>+AA237</f>
        <v>1</v>
      </c>
      <c r="AD237" s="288" t="str">
        <f>IFERROR(IF(AE237="","",IF(AE237&lt;=0.2,"Leve",IF(AE237&lt;=0.4,"Menor",IF(AE237&lt;=0.6,"Moderado",IF(AE237&lt;=0.8,"Mayor","Catastrófico"))))),"")</f>
        <v>Menor</v>
      </c>
      <c r="AE237" s="289">
        <f>IFERROR(IF(T237="Impacto",(P237-(+P237*W237)),IF(T237="Probabilidad",P237,"")),"")</f>
        <v>0.30000000000000004</v>
      </c>
      <c r="AF237" s="290" t="str">
        <f>IFERROR(IF(OR(AND(AB237="Muy Baja",AD237="Leve"),AND(AB237="Muy Baja",AD237="Menor"),AND(AB237="Baja",AD237="Leve")),"Bajo",IF(OR(AND(AB237="Muy baja",AD237="Moderado"),AND(AB237="Baja",AD237="Menor"),AND(AB237="Baja",AD237="Moderado"),AND(AB237="Media",AD237="Leve"),AND(AB237="Media",AD237="Menor"),AND(AB237="Media",AD237="Moderado"),AND(AB237="Alta",AD237="Leve"),AND(AB237="Alta",AD237="Menor")),"Moderado",IF(OR(AND(AB237="Muy Baja",AD237="Mayor"),AND(AB237="Baja",AD237="Mayor"),AND(AB237="Media",AD237="Mayor"),AND(AB237="Alta",AD237="Moderado"),AND(AB237="Alta",AD237="Mayor"),AND(AB237="Muy Alta",AD237="Leve"),AND(AB237="Muy Alta",AD237="Menor"),AND(AB237="Muy Alta",AD237="Moderado"),AND(AB237="Muy Alta",AD237="Mayor")),"Alto",IF(OR(AND(AB237="Muy Baja",AD237="Catastrófico"),AND(AB237="Baja",AD237="Catastrófico"),AND(AB237="Media",AD237="Catastrófico"),AND(AB237="Alta",AD237="Catastrófico"),AND(AB237="Muy Alta",AD237="Catastrófico")),"Extremo","")))),"")</f>
        <v>Alto</v>
      </c>
      <c r="AG237" s="773" t="s">
        <v>205</v>
      </c>
      <c r="AH237" s="760" t="s">
        <v>394</v>
      </c>
      <c r="AI237" s="761" t="s">
        <v>383</v>
      </c>
      <c r="AJ237" s="769">
        <v>45292</v>
      </c>
      <c r="AK237" s="769">
        <v>45657</v>
      </c>
      <c r="AL237" s="770" t="s">
        <v>206</v>
      </c>
      <c r="AM237" s="774" t="s">
        <v>744</v>
      </c>
      <c r="AN237" s="764" t="s">
        <v>745</v>
      </c>
      <c r="AO237" s="764" t="s">
        <v>746</v>
      </c>
      <c r="AP237" s="764" t="s">
        <v>1142</v>
      </c>
    </row>
    <row r="238" spans="1:42" ht="386.4" x14ac:dyDescent="0.3">
      <c r="A238" s="2113"/>
      <c r="B238" s="2156"/>
      <c r="C238" s="2156"/>
      <c r="D238" s="2816"/>
      <c r="E238" s="775" t="s">
        <v>747</v>
      </c>
      <c r="F238" s="2125"/>
      <c r="G238" s="693"/>
      <c r="H238" s="2818"/>
      <c r="I238" s="2127"/>
      <c r="J238" s="2091"/>
      <c r="K238" s="2094"/>
      <c r="L238" s="2088"/>
      <c r="M238" s="2097"/>
      <c r="N238" s="2088">
        <f>IF(NOT(ISERROR(MATCH(M238,_xlfn.ANCHORARRAY(F245),0))),L247&amp;"Por favor no seleccionar los criterios de impacto",M238)</f>
        <v>0</v>
      </c>
      <c r="O238" s="2094"/>
      <c r="P238" s="2088"/>
      <c r="Q238" s="2019"/>
      <c r="R238" s="283">
        <v>2</v>
      </c>
      <c r="S238" s="759" t="s">
        <v>748</v>
      </c>
      <c r="T238" s="285" t="str">
        <f>IF(OR(U238="Preventivo",U238="Detectivo"),"Probabilidad",IF(U238="Correctivo","Impacto",""))</f>
        <v>Impacto</v>
      </c>
      <c r="U238" s="286" t="s">
        <v>308</v>
      </c>
      <c r="V238" s="286" t="s">
        <v>201</v>
      </c>
      <c r="W238" s="287" t="str">
        <f t="shared" si="107"/>
        <v>25%</v>
      </c>
      <c r="X238" s="286" t="s">
        <v>208</v>
      </c>
      <c r="Y238" s="286" t="s">
        <v>203</v>
      </c>
      <c r="Z238" s="286" t="s">
        <v>204</v>
      </c>
      <c r="AA238" s="744">
        <f>IFERROR(IF(AND(T237="Probabilidad",T238="Probabilidad"),(AC237-(+AC237*W238)),IF(AND(T237="Impacto",T238="Probabilidad"),(#REF!-(+#REF!*W238)),IF(T238="Impacto",AC237,""))),"")</f>
        <v>1</v>
      </c>
      <c r="AB238" s="288" t="str">
        <f t="shared" ref="AB238" si="112">IFERROR(IF(AA238="","",IF(AA238&lt;=0.2,"Muy Baja",IF(AA238&lt;=0.4,"Baja",IF(AA238&lt;=0.6,"Media",IF(AA238&lt;=0.8,"Alta","Muy Alta"))))),"")</f>
        <v>Muy Alta</v>
      </c>
      <c r="AC238" s="289">
        <f t="shared" ref="AC238" si="113">+AA238</f>
        <v>1</v>
      </c>
      <c r="AD238" s="288" t="str">
        <f t="shared" ref="AD238" si="114">IFERROR(IF(AE238="","",IF(AE238&lt;=0.2,"Leve",IF(AE238&lt;=0.4,"Menor",IF(AE238&lt;=0.6,"Moderado",IF(AE238&lt;=0.8,"Mayor","Catastrófico"))))),"")</f>
        <v>Menor</v>
      </c>
      <c r="AE238" s="289">
        <f>IFERROR(IF(AND(T237="Impacto",T238="Impacto"),(AE237-(+AE237*W238)),IF(AND(T237="Probabilidad",T238="Impacto"),(#REF!-(+#REF!*W238)),IF(T238="Probabilidad",AE237,""))),"")</f>
        <v>0.22500000000000003</v>
      </c>
      <c r="AF238" s="290" t="str">
        <f t="shared" ref="AF238" si="115">IFERROR(IF(OR(AND(AB238="Muy Baja",AD238="Leve"),AND(AB238="Muy Baja",AD238="Menor"),AND(AB238="Baja",AD238="Leve")),"Bajo",IF(OR(AND(AB238="Muy baja",AD238="Moderado"),AND(AB238="Baja",AD238="Menor"),AND(AB238="Baja",AD238="Moderado"),AND(AB238="Media",AD238="Leve"),AND(AB238="Media",AD238="Menor"),AND(AB238="Media",AD238="Moderado"),AND(AB238="Alta",AD238="Leve"),AND(AB238="Alta",AD238="Menor")),"Moderado",IF(OR(AND(AB238="Muy Baja",AD238="Mayor"),AND(AB238="Baja",AD238="Mayor"),AND(AB238="Media",AD238="Mayor"),AND(AB238="Alta",AD238="Moderado"),AND(AB238="Alta",AD238="Mayor"),AND(AB238="Muy Alta",AD238="Leve"),AND(AB238="Muy Alta",AD238="Menor"),AND(AB238="Muy Alta",AD238="Moderado"),AND(AB238="Muy Alta",AD238="Mayor")),"Alto",IF(OR(AND(AB238="Muy Baja",AD238="Catastrófico"),AND(AB238="Baja",AD238="Catastrófico"),AND(AB238="Media",AD238="Catastrófico"),AND(AB238="Alta",AD238="Catastrófico"),AND(AB238="Muy Alta",AD238="Catastrófico")),"Extremo","")))),"")</f>
        <v>Alto</v>
      </c>
      <c r="AG238" s="773" t="s">
        <v>205</v>
      </c>
      <c r="AH238" s="760" t="s">
        <v>749</v>
      </c>
      <c r="AI238" s="761" t="s">
        <v>383</v>
      </c>
      <c r="AJ238" s="769">
        <v>45292</v>
      </c>
      <c r="AK238" s="769">
        <v>45657</v>
      </c>
      <c r="AL238" s="770" t="s">
        <v>206</v>
      </c>
      <c r="AM238" s="764" t="s">
        <v>750</v>
      </c>
      <c r="AN238" s="764" t="s">
        <v>751</v>
      </c>
      <c r="AO238" s="764" t="s">
        <v>752</v>
      </c>
      <c r="AP238" s="764" t="s">
        <v>750</v>
      </c>
    </row>
    <row r="239" spans="1:42" ht="69.599999999999994" customHeight="1" x14ac:dyDescent="0.3">
      <c r="A239" s="428"/>
      <c r="B239" s="429"/>
      <c r="C239" s="429"/>
      <c r="D239" s="429"/>
      <c r="E239" s="429"/>
      <c r="F239" s="241"/>
      <c r="G239" s="241"/>
      <c r="H239" s="429"/>
      <c r="I239" s="430"/>
      <c r="J239" s="431"/>
      <c r="K239" s="432"/>
      <c r="L239" s="433"/>
      <c r="M239" s="432"/>
      <c r="N239" s="431"/>
      <c r="O239" s="432"/>
      <c r="P239" s="434"/>
      <c r="Q239" s="239"/>
      <c r="R239" s="435"/>
      <c r="S239" s="436"/>
      <c r="T239" s="437"/>
      <c r="U239" s="437"/>
      <c r="V239" s="438"/>
      <c r="W239" s="437"/>
      <c r="X239" s="437"/>
      <c r="Y239" s="437"/>
      <c r="Z239" s="439"/>
      <c r="AA239" s="440"/>
      <c r="AB239" s="441"/>
      <c r="AC239" s="440"/>
      <c r="AD239" s="441"/>
      <c r="AE239" s="442"/>
      <c r="AF239" s="437"/>
      <c r="AG239" s="429"/>
      <c r="AH239" s="429"/>
      <c r="AI239" s="443"/>
      <c r="AJ239" s="444"/>
      <c r="AK239" s="429"/>
      <c r="AL239" s="430"/>
    </row>
    <row r="240" spans="1:42" ht="69.599999999999994" customHeight="1" x14ac:dyDescent="0.3">
      <c r="A240" s="2343" t="s">
        <v>156</v>
      </c>
      <c r="B240" s="2344"/>
      <c r="C240" s="2344"/>
      <c r="D240" s="2344"/>
      <c r="E240" s="2344"/>
      <c r="F240" s="2344"/>
      <c r="G240" s="2344"/>
      <c r="H240" s="2344"/>
      <c r="I240" s="2344"/>
      <c r="J240" s="2344"/>
      <c r="K240" s="2344"/>
      <c r="L240" s="2344"/>
      <c r="M240" s="2344"/>
      <c r="N240" s="2344"/>
      <c r="O240" s="2344"/>
      <c r="P240" s="2344"/>
      <c r="Q240" s="2344"/>
      <c r="R240" s="2344"/>
      <c r="S240" s="2344"/>
      <c r="T240" s="2344"/>
      <c r="U240" s="2344"/>
      <c r="V240" s="2344"/>
      <c r="W240" s="2344"/>
      <c r="X240" s="2344"/>
      <c r="Y240" s="2344"/>
      <c r="Z240" s="2344"/>
      <c r="AA240" s="2344"/>
      <c r="AB240" s="2344"/>
      <c r="AC240" s="2344"/>
      <c r="AD240" s="2344"/>
      <c r="AE240" s="2344"/>
      <c r="AF240" s="2344"/>
      <c r="AG240" s="2344"/>
      <c r="AH240" s="2344"/>
      <c r="AI240" s="2344"/>
      <c r="AJ240" s="2344"/>
      <c r="AK240" s="2344"/>
      <c r="AL240" s="2344"/>
      <c r="AM240" s="2345"/>
    </row>
    <row r="241" spans="1:39" ht="69.599999999999994" customHeight="1" x14ac:dyDescent="0.3">
      <c r="A241" s="2346"/>
      <c r="B241" s="2347"/>
      <c r="C241" s="2347"/>
      <c r="D241" s="2347"/>
      <c r="E241" s="2347"/>
      <c r="F241" s="2347"/>
      <c r="G241" s="2347"/>
      <c r="H241" s="2347"/>
      <c r="I241" s="2347"/>
      <c r="J241" s="2347"/>
      <c r="K241" s="2347"/>
      <c r="L241" s="2347"/>
      <c r="M241" s="2347"/>
      <c r="N241" s="2347"/>
      <c r="O241" s="2347"/>
      <c r="P241" s="2347"/>
      <c r="Q241" s="2347"/>
      <c r="R241" s="2347"/>
      <c r="S241" s="2347"/>
      <c r="T241" s="2347"/>
      <c r="U241" s="2347"/>
      <c r="V241" s="2347"/>
      <c r="W241" s="2347"/>
      <c r="X241" s="2347"/>
      <c r="Y241" s="2347"/>
      <c r="Z241" s="2347"/>
      <c r="AA241" s="2347"/>
      <c r="AB241" s="2347"/>
      <c r="AC241" s="2347"/>
      <c r="AD241" s="2347"/>
      <c r="AE241" s="2347"/>
      <c r="AF241" s="2347"/>
      <c r="AG241" s="2347"/>
      <c r="AH241" s="2347"/>
      <c r="AI241" s="2347"/>
      <c r="AJ241" s="2347"/>
      <c r="AK241" s="2347"/>
      <c r="AL241" s="2347"/>
      <c r="AM241" s="2348"/>
    </row>
    <row r="242" spans="1:39" ht="69.599999999999994" customHeight="1" x14ac:dyDescent="0.3">
      <c r="A242" s="703"/>
      <c r="B242" s="704"/>
      <c r="C242" s="703"/>
      <c r="D242" s="703"/>
      <c r="E242" s="703"/>
      <c r="F242" s="700"/>
      <c r="G242" s="700"/>
      <c r="H242" s="700"/>
      <c r="I242" s="705"/>
      <c r="J242" s="700"/>
      <c r="K242" s="700"/>
      <c r="L242" s="700"/>
      <c r="M242" s="700"/>
      <c r="N242" s="700"/>
      <c r="O242" s="700"/>
      <c r="P242" s="700"/>
      <c r="Q242" s="700"/>
      <c r="R242" s="700"/>
      <c r="S242" s="700"/>
      <c r="T242" s="700"/>
      <c r="U242" s="700"/>
      <c r="V242" s="700"/>
      <c r="W242" s="700"/>
      <c r="X242" s="700"/>
      <c r="Y242" s="700"/>
      <c r="Z242" s="700"/>
      <c r="AA242" s="700"/>
      <c r="AB242" s="700"/>
      <c r="AC242" s="700"/>
      <c r="AD242" s="700"/>
      <c r="AE242" s="700"/>
      <c r="AF242" s="700"/>
      <c r="AG242" s="700"/>
      <c r="AH242" s="700"/>
      <c r="AI242" s="700"/>
      <c r="AJ242" s="700"/>
      <c r="AK242" s="700"/>
      <c r="AL242" s="700"/>
      <c r="AM242" s="700"/>
    </row>
    <row r="243" spans="1:39" ht="69.599999999999994" customHeight="1" x14ac:dyDescent="0.3">
      <c r="A243" s="2349" t="s">
        <v>157</v>
      </c>
      <c r="B243" s="2350"/>
      <c r="C243" s="2039" t="s">
        <v>240</v>
      </c>
      <c r="D243" s="2039"/>
      <c r="E243" s="2039"/>
      <c r="F243" s="2039"/>
      <c r="G243" s="2039"/>
      <c r="H243" s="2039"/>
      <c r="I243" s="2039"/>
      <c r="J243" s="2039"/>
      <c r="K243" s="2039"/>
      <c r="L243" s="2039"/>
      <c r="M243" s="2039"/>
      <c r="N243" s="2039"/>
      <c r="O243" s="2039"/>
      <c r="P243" s="2039"/>
      <c r="Q243" s="2039"/>
      <c r="R243" s="2039"/>
      <c r="S243" s="2039"/>
      <c r="T243" s="2039"/>
      <c r="U243" s="2039"/>
      <c r="V243" s="2039"/>
      <c r="W243" s="2039"/>
      <c r="X243" s="2039"/>
      <c r="Y243" s="2039"/>
      <c r="Z243" s="2039"/>
      <c r="AA243" s="2039"/>
      <c r="AB243" s="2039"/>
      <c r="AC243" s="2039"/>
      <c r="AD243" s="2039"/>
      <c r="AE243" s="2039"/>
      <c r="AF243" s="2039"/>
      <c r="AG243" s="2039"/>
      <c r="AH243" s="2039"/>
      <c r="AI243" s="2039"/>
      <c r="AJ243" s="2039"/>
      <c r="AK243" s="2039"/>
      <c r="AL243" s="2039"/>
      <c r="AM243" s="2039"/>
    </row>
    <row r="244" spans="1:39" ht="69.599999999999994" customHeight="1" x14ac:dyDescent="0.3">
      <c r="A244" s="2349" t="s">
        <v>158</v>
      </c>
      <c r="B244" s="2350"/>
      <c r="C244" s="2823" t="s">
        <v>1143</v>
      </c>
      <c r="D244" s="2824"/>
      <c r="E244" s="2824"/>
      <c r="F244" s="2824"/>
      <c r="G244" s="2824"/>
      <c r="H244" s="2824"/>
      <c r="I244" s="2824"/>
      <c r="J244" s="2824"/>
      <c r="K244" s="2824"/>
      <c r="L244" s="2824"/>
      <c r="M244" s="2824"/>
      <c r="N244" s="2824"/>
      <c r="O244" s="2824"/>
      <c r="P244" s="2824"/>
      <c r="Q244" s="2824"/>
      <c r="R244" s="2824"/>
      <c r="S244" s="2824"/>
      <c r="T244" s="2824"/>
      <c r="U244" s="2824"/>
      <c r="V244" s="2824"/>
      <c r="W244" s="2824"/>
      <c r="X244" s="2824"/>
      <c r="Y244" s="2824"/>
      <c r="Z244" s="2824"/>
      <c r="AA244" s="2824"/>
      <c r="AB244" s="2824"/>
      <c r="AC244" s="2824"/>
      <c r="AD244" s="2824"/>
      <c r="AE244" s="2824"/>
      <c r="AF244" s="2824"/>
      <c r="AG244" s="2824"/>
      <c r="AH244" s="2824"/>
      <c r="AI244" s="2824"/>
      <c r="AJ244" s="2824"/>
      <c r="AK244" s="2824"/>
      <c r="AL244" s="2824"/>
      <c r="AM244" s="2825"/>
    </row>
    <row r="245" spans="1:39" ht="69.599999999999994" customHeight="1" x14ac:dyDescent="0.3">
      <c r="A245" s="2349" t="s">
        <v>159</v>
      </c>
      <c r="B245" s="2350"/>
      <c r="C245" s="2823" t="s">
        <v>1144</v>
      </c>
      <c r="D245" s="2824"/>
      <c r="E245" s="2824"/>
      <c r="F245" s="2824"/>
      <c r="G245" s="2824"/>
      <c r="H245" s="2824"/>
      <c r="I245" s="2824"/>
      <c r="J245" s="2824"/>
      <c r="K245" s="2824"/>
      <c r="L245" s="2824"/>
      <c r="M245" s="2824"/>
      <c r="N245" s="2824"/>
      <c r="O245" s="2824"/>
      <c r="P245" s="2824"/>
      <c r="Q245" s="2824"/>
      <c r="R245" s="2824"/>
      <c r="S245" s="2824"/>
      <c r="T245" s="2824"/>
      <c r="U245" s="2824"/>
      <c r="V245" s="2824"/>
      <c r="W245" s="2824"/>
      <c r="X245" s="2824"/>
      <c r="Y245" s="2824"/>
      <c r="Z245" s="2824"/>
      <c r="AA245" s="2824"/>
      <c r="AB245" s="2824"/>
      <c r="AC245" s="2824"/>
      <c r="AD245" s="2824"/>
      <c r="AE245" s="2824"/>
      <c r="AF245" s="2824"/>
      <c r="AG245" s="2824"/>
      <c r="AH245" s="2824"/>
      <c r="AI245" s="2824"/>
      <c r="AJ245" s="2824"/>
      <c r="AK245" s="2824"/>
      <c r="AL245" s="2824"/>
      <c r="AM245" s="2825"/>
    </row>
    <row r="246" spans="1:39" ht="69.599999999999994" customHeight="1" x14ac:dyDescent="0.3">
      <c r="A246" s="2351" t="s">
        <v>160</v>
      </c>
      <c r="B246" s="2352"/>
      <c r="C246" s="2353"/>
      <c r="D246" s="2353"/>
      <c r="E246" s="2353"/>
      <c r="F246" s="2353"/>
      <c r="G246" s="2353"/>
      <c r="H246" s="2353"/>
      <c r="I246" s="2353"/>
      <c r="J246" s="2354"/>
      <c r="K246" s="2101" t="s">
        <v>161</v>
      </c>
      <c r="L246" s="2353"/>
      <c r="M246" s="2353"/>
      <c r="N246" s="2353"/>
      <c r="O246" s="2353"/>
      <c r="P246" s="2353"/>
      <c r="Q246" s="2354"/>
      <c r="R246" s="2101" t="s">
        <v>162</v>
      </c>
      <c r="S246" s="2353"/>
      <c r="T246" s="2353"/>
      <c r="U246" s="2353"/>
      <c r="V246" s="2353"/>
      <c r="W246" s="2353"/>
      <c r="X246" s="2353"/>
      <c r="Y246" s="2353"/>
      <c r="Z246" s="2354"/>
      <c r="AA246" s="2101" t="s">
        <v>163</v>
      </c>
      <c r="AB246" s="2353"/>
      <c r="AC246" s="2353"/>
      <c r="AD246" s="2353"/>
      <c r="AE246" s="2353"/>
      <c r="AF246" s="2353"/>
      <c r="AG246" s="2354"/>
      <c r="AH246" s="2101" t="s">
        <v>164</v>
      </c>
      <c r="AI246" s="2353"/>
      <c r="AJ246" s="2353"/>
      <c r="AK246" s="2353"/>
      <c r="AL246" s="2353"/>
      <c r="AM246" s="2354"/>
    </row>
    <row r="247" spans="1:39" ht="69.599999999999994" customHeight="1" x14ac:dyDescent="0.3">
      <c r="A247" s="2140" t="s">
        <v>165</v>
      </c>
      <c r="B247" s="2142" t="s">
        <v>142</v>
      </c>
      <c r="C247" s="2042" t="s">
        <v>166</v>
      </c>
      <c r="D247" s="2042" t="s">
        <v>167</v>
      </c>
      <c r="E247" s="2041" t="s">
        <v>168</v>
      </c>
      <c r="F247" s="2103" t="s">
        <v>60</v>
      </c>
      <c r="G247" s="280"/>
      <c r="H247" s="280"/>
      <c r="I247" s="2041" t="s">
        <v>169</v>
      </c>
      <c r="J247" s="2042" t="s">
        <v>170</v>
      </c>
      <c r="K247" s="2105" t="s">
        <v>171</v>
      </c>
      <c r="L247" s="2100" t="s">
        <v>172</v>
      </c>
      <c r="M247" s="2041" t="s">
        <v>173</v>
      </c>
      <c r="N247" s="2041" t="s">
        <v>174</v>
      </c>
      <c r="O247" s="2102" t="s">
        <v>175</v>
      </c>
      <c r="P247" s="2100" t="s">
        <v>172</v>
      </c>
      <c r="Q247" s="2042" t="s">
        <v>176</v>
      </c>
      <c r="R247" s="2161" t="s">
        <v>177</v>
      </c>
      <c r="S247" s="2043" t="s">
        <v>178</v>
      </c>
      <c r="T247" s="2041" t="s">
        <v>179</v>
      </c>
      <c r="U247" s="2043" t="s">
        <v>180</v>
      </c>
      <c r="V247" s="2043"/>
      <c r="W247" s="2043"/>
      <c r="X247" s="2043"/>
      <c r="Y247" s="2043"/>
      <c r="Z247" s="2043"/>
      <c r="AA247" s="2099" t="s">
        <v>181</v>
      </c>
      <c r="AB247" s="2099" t="s">
        <v>182</v>
      </c>
      <c r="AC247" s="2099" t="s">
        <v>172</v>
      </c>
      <c r="AD247" s="2099" t="s">
        <v>183</v>
      </c>
      <c r="AE247" s="2099" t="s">
        <v>172</v>
      </c>
      <c r="AF247" s="2099" t="s">
        <v>184</v>
      </c>
      <c r="AG247" s="2161" t="s">
        <v>185</v>
      </c>
      <c r="AH247" s="2043" t="s">
        <v>164</v>
      </c>
      <c r="AI247" s="2043" t="s">
        <v>143</v>
      </c>
      <c r="AJ247" s="2043" t="s">
        <v>186</v>
      </c>
      <c r="AK247" s="2043" t="s">
        <v>187</v>
      </c>
      <c r="AL247" s="2043" t="s">
        <v>753</v>
      </c>
      <c r="AM247" s="2043" t="s">
        <v>189</v>
      </c>
    </row>
    <row r="248" spans="1:39" ht="69.599999999999994" customHeight="1" x14ac:dyDescent="0.3">
      <c r="A248" s="2141"/>
      <c r="B248" s="2142"/>
      <c r="C248" s="2043"/>
      <c r="D248" s="2043"/>
      <c r="E248" s="2105"/>
      <c r="F248" s="2104"/>
      <c r="G248" s="280" t="s">
        <v>610</v>
      </c>
      <c r="H248" s="280" t="s">
        <v>190</v>
      </c>
      <c r="I248" s="2042"/>
      <c r="J248" s="2043"/>
      <c r="K248" s="2042"/>
      <c r="L248" s="2101"/>
      <c r="M248" s="2042"/>
      <c r="N248" s="2042"/>
      <c r="O248" s="2101"/>
      <c r="P248" s="2101"/>
      <c r="Q248" s="2043"/>
      <c r="R248" s="2162"/>
      <c r="S248" s="2043"/>
      <c r="T248" s="2042"/>
      <c r="U248" s="281" t="s">
        <v>191</v>
      </c>
      <c r="V248" s="281" t="s">
        <v>192</v>
      </c>
      <c r="W248" s="281" t="s">
        <v>193</v>
      </c>
      <c r="X248" s="281" t="s">
        <v>194</v>
      </c>
      <c r="Y248" s="281" t="s">
        <v>195</v>
      </c>
      <c r="Z248" s="281" t="s">
        <v>196</v>
      </c>
      <c r="AA248" s="2099"/>
      <c r="AB248" s="2099"/>
      <c r="AC248" s="2099"/>
      <c r="AD248" s="2099"/>
      <c r="AE248" s="2099"/>
      <c r="AF248" s="2099"/>
      <c r="AG248" s="2162"/>
      <c r="AH248" s="2043"/>
      <c r="AI248" s="2043"/>
      <c r="AJ248" s="2043"/>
      <c r="AK248" s="2043"/>
      <c r="AL248" s="2043"/>
      <c r="AM248" s="2043"/>
    </row>
    <row r="249" spans="1:39" ht="330.6" customHeight="1" x14ac:dyDescent="0.3">
      <c r="A249" s="690">
        <v>1</v>
      </c>
      <c r="B249" s="736" t="s">
        <v>209</v>
      </c>
      <c r="C249" s="736" t="s">
        <v>754</v>
      </c>
      <c r="D249" s="792" t="s">
        <v>755</v>
      </c>
      <c r="E249" s="776" t="s">
        <v>756</v>
      </c>
      <c r="F249" s="793" t="s">
        <v>757</v>
      </c>
      <c r="G249" s="737" t="s">
        <v>758</v>
      </c>
      <c r="H249" s="794" t="s">
        <v>759</v>
      </c>
      <c r="I249" s="795" t="s">
        <v>198</v>
      </c>
      <c r="J249" s="738" t="s">
        <v>760</v>
      </c>
      <c r="K249" s="739" t="str">
        <f>IF(J249&lt;=0,"",IF(J249&lt;=2,"Muy Baja",IF(J249&lt;=24,"Baja",IF(J249&lt;=500,"Media",IF(J249&lt;=5000,"Alta","Muy Alta")))))</f>
        <v>Muy Alta</v>
      </c>
      <c r="L249" s="742">
        <f>IF(K249="","",IF(K249="Muy Baja",0.2,IF(K249="Baja",0.4,IF(K249="Media",0.6,IF(K249="Alta",0.8,IF(K249="Muy Alta",1,))))))</f>
        <v>1</v>
      </c>
      <c r="M249" s="741" t="s">
        <v>256</v>
      </c>
      <c r="N249" s="742" t="str">
        <f>IF(NOT(ISERROR(MATCH(M249,'[37]Tabla Impacto'!$B$221:$B$223,0))),'[37]Tabla Impacto'!$F$223&amp;"Por favor no seleccionar los criterios de impacto(Afectación Económica o presupuestal y Pérdida Reputacional)",M249)</f>
        <v xml:space="preserve">     Mayor a 10000 SMLMV</v>
      </c>
      <c r="O249" s="739" t="str">
        <f>IF(OR(N249='[37]Tabla Impacto'!$C$11,N249='[37]Tabla Impacto'!$D$11),"Leve",IF(OR(N249='[37]Tabla Impacto'!$C$12,N249='[37]Tabla Impacto'!$D$12),"Menor",IF(OR(N249='[37]Tabla Impacto'!$C$13,N249='[37]Tabla Impacto'!$D$13),"Moderado",IF(OR(N249='[37]Tabla Impacto'!$C$14,N249='[37]Tabla Impacto'!$D$14),"Mayor",IF(OR(N249='[37]Tabla Impacto'!$C$15,N249='[37]Tabla Impacto'!$D$15),"Catastrófico","")))))</f>
        <v>Catastrófico</v>
      </c>
      <c r="P249" s="742">
        <f>IF(O249="","",IF(O249="Leve",0.2,IF(O249="Menor",0.4,IF(O249="Moderado",0.6,IF(O249="Mayor",0.8,IF(O249="Catastrófico",1,))))))</f>
        <v>1</v>
      </c>
      <c r="Q249" s="740" t="str">
        <f>IF(OR(AND(K249="Muy Baja",O249="Leve"),AND(K249="Muy Baja",O249="Menor"),AND(K249="Baja",O249="Leve")),"Bajo",IF(OR(AND(K249="Muy baja",O249="Moderado"),AND(K249="Baja",O249="Menor"),AND(K249="Baja",O249="Moderado"),AND(K249="Media",O249="Leve"),AND(K249="Media",O249="Menor"),AND(K249="Media",O249="Moderado"),AND(K249="Alta",O249="Leve"),AND(K249="Alta",O249="Menor")),"Moderado",IF(OR(AND(K249="Muy Baja",O249="Mayor"),AND(K249="Baja",O249="Mayor"),AND(K249="Media",O249="Mayor"),AND(K249="Alta",O249="Moderado"),AND(K249="Alta",O249="Mayor"),AND(K249="Muy Alta",O249="Leve"),AND(K249="Muy Alta",O249="Menor"),AND(K249="Muy Alta",O249="Moderado"),AND(K249="Muy Alta",O249="Mayor")),"Alto",IF(OR(AND(K249="Muy Baja",O249="Catastrófico"),AND(K249="Baja",O249="Catastrófico"),AND(K249="Media",O249="Catastrófico"),AND(K249="Alta",O249="Catastrófico"),AND(K249="Muy Alta",O249="Catastrófico")),"Extremo",""))))</f>
        <v>Extremo</v>
      </c>
      <c r="R249" s="716">
        <v>1</v>
      </c>
      <c r="S249" s="796" t="s">
        <v>761</v>
      </c>
      <c r="T249" s="718" t="str">
        <f>IF(OR(U249="Preventivo",U249="Detectivo"),"Probabilidad",IF(U249="Correctivo","Impacto",""))</f>
        <v>Probabilidad</v>
      </c>
      <c r="U249" s="719" t="s">
        <v>200</v>
      </c>
      <c r="V249" s="719" t="s">
        <v>201</v>
      </c>
      <c r="W249" s="720" t="str">
        <f>IF(AND(U249="Preventivo",V249="Automático"),"50%",IF(AND(U249="Preventivo",V249="Manual"),"40%",IF(AND(U249="Detectivo",V249="Automático"),"40%",IF(AND(U249="Detectivo",V249="Manual"),"30%",IF(AND(U249="Correctivo",V249="Automático"),"35%",IF(AND(U249="Correctivo",V249="Manual"),"25%",""))))))</f>
        <v>30%</v>
      </c>
      <c r="X249" s="719" t="s">
        <v>208</v>
      </c>
      <c r="Y249" s="719" t="s">
        <v>203</v>
      </c>
      <c r="Z249" s="719" t="s">
        <v>204</v>
      </c>
      <c r="AA249" s="721">
        <f>IFERROR(IF(T249="Probabilidad",(L249-(+L249*W249)),IF(T249="Impacto",L249,"")),"")</f>
        <v>0.7</v>
      </c>
      <c r="AB249" s="722" t="str">
        <f>IFERROR(IF(AA249="","",IF(AA249&lt;=0.2,"Muy Baja",IF(AA249&lt;=0.4,"Baja",IF(AA249&lt;=0.6,"Media",IF(AA249&lt;=0.8,"Alta","Muy Alta"))))),"")</f>
        <v>Alta</v>
      </c>
      <c r="AC249" s="723">
        <f>+AA249</f>
        <v>0.7</v>
      </c>
      <c r="AD249" s="722" t="str">
        <f>IFERROR(IF(AE249="","",IF(AE249&lt;=0.2,"Leve",IF(AE249&lt;=0.4,"Menor",IF(AE249&lt;=0.6,"Moderado",IF(AE249&lt;=0.8,"Mayor","Catastrófico"))))),"")</f>
        <v>Catastrófico</v>
      </c>
      <c r="AE249" s="723">
        <f>IFERROR(IF(T249="Impacto",(P249-(+P249*W249)),IF(T249="Probabilidad",P249,"")),"")</f>
        <v>1</v>
      </c>
      <c r="AF249" s="724" t="str">
        <f>IFERROR(IF(OR(AND(AB249="Muy Baja",AD249="Leve"),AND(AB249="Muy Baja",AD249="Menor"),AND(AB249="Baja",AD249="Leve")),"Bajo",IF(OR(AND(AB249="Muy baja",AD249="Moderado"),AND(AB249="Baja",AD249="Menor"),AND(AB249="Baja",AD249="Moderado"),AND(AB249="Media",AD249="Leve"),AND(AB249="Media",AD249="Menor"),AND(AB249="Media",AD249="Moderado"),AND(AB249="Alta",AD249="Leve"),AND(AB249="Alta",AD249="Menor")),"Moderado",IF(OR(AND(AB249="Muy Baja",AD249="Mayor"),AND(AB249="Baja",AD249="Mayor"),AND(AB249="Media",AD249="Mayor"),AND(AB249="Alta",AD249="Moderado"),AND(AB249="Alta",AD249="Mayor"),AND(AB249="Muy Alta",AD249="Leve"),AND(AB249="Muy Alta",AD249="Menor"),AND(AB249="Muy Alta",AD249="Moderado"),AND(AB249="Muy Alta",AD249="Mayor")),"Alto",IF(OR(AND(AB249="Muy Baja",AD249="Catastrófico"),AND(AB249="Baja",AD249="Catastrófico"),AND(AB249="Media",AD249="Catastrófico"),AND(AB249="Alta",AD249="Catastrófico"),AND(AB249="Muy Alta",AD249="Catastrófico")),"Extremo","")))),"")</f>
        <v>Extremo</v>
      </c>
      <c r="AG249" s="295" t="s">
        <v>244</v>
      </c>
      <c r="AH249" s="781" t="s">
        <v>762</v>
      </c>
      <c r="AI249" s="300" t="s">
        <v>245</v>
      </c>
      <c r="AJ249" s="769">
        <v>44927</v>
      </c>
      <c r="AK249" s="779" t="s">
        <v>763</v>
      </c>
      <c r="AL249" s="797" t="s">
        <v>764</v>
      </c>
      <c r="AM249" s="730"/>
    </row>
    <row r="250" spans="1:39" ht="166.8" customHeight="1" x14ac:dyDescent="0.3">
      <c r="A250" s="690">
        <v>3</v>
      </c>
      <c r="B250" s="736" t="s">
        <v>395</v>
      </c>
      <c r="C250" s="798" t="s">
        <v>765</v>
      </c>
      <c r="D250" s="798" t="s">
        <v>766</v>
      </c>
      <c r="E250" s="799" t="s">
        <v>767</v>
      </c>
      <c r="F250" s="800" t="s">
        <v>768</v>
      </c>
      <c r="G250" s="801" t="s">
        <v>769</v>
      </c>
      <c r="H250" s="801" t="s">
        <v>770</v>
      </c>
      <c r="I250" s="729" t="s">
        <v>198</v>
      </c>
      <c r="J250" s="782" t="s">
        <v>771</v>
      </c>
      <c r="K250" s="785" t="str">
        <f t="shared" ref="K250:K251" si="116">IF(J250&lt;=0,"",IF(J250&lt;=2,"Muy Baja",IF(J250&lt;=24,"Baja",IF(J250&lt;=500,"Media",IF(J250&lt;=5000,"Alta","Muy Alta")))))</f>
        <v>Muy Alta</v>
      </c>
      <c r="L250" s="783">
        <f t="shared" ref="L250:L251" si="117">IF(K250="","",IF(K250="Muy Baja",0.2,IF(K250="Baja",0.4,IF(K250="Media",0.6,IF(K250="Alta",0.8,IF(K250="Muy Alta",1,))))))</f>
        <v>1</v>
      </c>
      <c r="M250" s="784" t="s">
        <v>256</v>
      </c>
      <c r="N250" s="783" t="str">
        <f>IF(NOT(ISERROR(MATCH(M250,'[37]Tabla Impacto'!$B$221:$B$223,0))),'[37]Tabla Impacto'!$F$223&amp;"Por favor no seleccionar los criterios de impacto(Afectación Económica o presupuestal y Pérdida Reputacional)",M250)</f>
        <v xml:space="preserve">     Mayor a 10000 SMLMV</v>
      </c>
      <c r="O250" s="785" t="str">
        <f>IF(OR(N250='[37]Tabla Impacto'!$C$11,N250='[37]Tabla Impacto'!$D$11),"Leve",IF(OR(N250='[37]Tabla Impacto'!$C$12,N250='[37]Tabla Impacto'!$D$12),"Menor",IF(OR(N250='[37]Tabla Impacto'!$C$13,N250='[37]Tabla Impacto'!$D$13),"Moderado",IF(OR(N250='[37]Tabla Impacto'!$C$14,N250='[37]Tabla Impacto'!$D$14),"Mayor",IF(OR(N250='[37]Tabla Impacto'!$C$15,N250='[37]Tabla Impacto'!$D$15),"Catastrófico","")))))</f>
        <v>Catastrófico</v>
      </c>
      <c r="P250" s="783">
        <f t="shared" ref="P250:P251" si="118">IF(O250="","",IF(O250="Leve",0.2,IF(O250="Menor",0.4,IF(O250="Moderado",0.6,IF(O250="Mayor",0.8,IF(O250="Catastrófico",1,))))))</f>
        <v>1</v>
      </c>
      <c r="Q250" s="786" t="str">
        <f t="shared" ref="Q250:Q251" si="119">IF(OR(AND(K250="Muy Baja",O250="Leve"),AND(K250="Muy Baja",O250="Menor"),AND(K250="Baja",O250="Leve")),"Bajo",IF(OR(AND(K250="Muy baja",O250="Moderado"),AND(K250="Baja",O250="Menor"),AND(K250="Baja",O250="Moderado"),AND(K250="Media",O250="Leve"),AND(K250="Media",O250="Menor"),AND(K250="Media",O250="Moderado"),AND(K250="Alta",O250="Leve"),AND(K250="Alta",O250="Menor")),"Moderado",IF(OR(AND(K250="Muy Baja",O250="Mayor"),AND(K250="Baja",O250="Mayor"),AND(K250="Media",O250="Mayor"),AND(K250="Alta",O250="Moderado"),AND(K250="Alta",O250="Mayor"),AND(K250="Muy Alta",O250="Leve"),AND(K250="Muy Alta",O250="Menor"),AND(K250="Muy Alta",O250="Moderado"),AND(K250="Muy Alta",O250="Mayor")),"Alto",IF(OR(AND(K250="Muy Baja",O250="Catastrófico"),AND(K250="Baja",O250="Catastrófico"),AND(K250="Media",O250="Catastrófico"),AND(K250="Alta",O250="Catastrófico"),AND(K250="Muy Alta",O250="Catastrófico")),"Extremo",""))))</f>
        <v>Extremo</v>
      </c>
      <c r="R250" s="716"/>
      <c r="S250" s="802" t="s">
        <v>772</v>
      </c>
      <c r="T250" s="718" t="s">
        <v>141</v>
      </c>
      <c r="U250" s="787" t="s">
        <v>200</v>
      </c>
      <c r="V250" s="787" t="s">
        <v>201</v>
      </c>
      <c r="W250" s="788">
        <v>0.3</v>
      </c>
      <c r="X250" s="787" t="s">
        <v>208</v>
      </c>
      <c r="Y250" s="787" t="s">
        <v>203</v>
      </c>
      <c r="Z250" s="787" t="s">
        <v>204</v>
      </c>
      <c r="AA250" s="721">
        <v>0.7</v>
      </c>
      <c r="AB250" s="789" t="str">
        <f>IFERROR(IF(AA250="","",IF(AA250&lt;=0.2,"Muy Baja",IF(AA250&lt;=0.4,"Baja",IF(AA250&lt;=0.6,"Media",IF(AA250&lt;=0.8,"Alta","Muy Alta"))))),"")</f>
        <v>Alta</v>
      </c>
      <c r="AC250" s="790">
        <f>+AA250</f>
        <v>0.7</v>
      </c>
      <c r="AD250" s="789" t="str">
        <f>IFERROR(IF(AE250="","",IF(AE250&lt;=0.2,"Leve",IF(AE250&lt;=0.4,"Menor",IF(AE250&lt;=0.6,"Moderado",IF(AE250&lt;=0.8,"Mayor","Catastrófico"))))),"")</f>
        <v>Catastrófico</v>
      </c>
      <c r="AE250" s="790">
        <f>IFERROR(IF(T250="Impacto",(P250-(+P250*W250)),IF(T250="Probabilidad",P250,"")),"")</f>
        <v>1</v>
      </c>
      <c r="AF250" s="791" t="str">
        <f>IFERROR(IF(OR(AND(AB250="Muy Baja",AD250="Leve"),AND(AB250="Muy Baja",AD250="Menor"),AND(AB250="Baja",AD250="Leve")),"Bajo",IF(OR(AND(AB250="Muy baja",AD250="Moderado"),AND(AB250="Baja",AD250="Menor"),AND(AB250="Baja",AD250="Moderado"),AND(AB250="Media",AD250="Leve"),AND(AB250="Media",AD250="Menor"),AND(AB250="Media",AD250="Moderado"),AND(AB250="Alta",AD250="Leve"),AND(AB250="Alta",AD250="Menor")),"Moderado",IF(OR(AND(AB250="Muy Baja",AD250="Mayor"),AND(AB250="Baja",AD250="Mayor"),AND(AB250="Media",AD250="Mayor"),AND(AB250="Alta",AD250="Moderado"),AND(AB250="Alta",AD250="Mayor"),AND(AB250="Muy Alta",AD250="Leve"),AND(AB250="Muy Alta",AD250="Menor"),AND(AB250="Muy Alta",AD250="Moderado"),AND(AB250="Muy Alta",AD250="Mayor")),"Alto",IF(OR(AND(AB250="Muy Baja",AD250="Catastrófico"),AND(AB250="Baja",AD250="Catastrófico"),AND(AB250="Media",AD250="Catastrófico"),AND(AB250="Alta",AD250="Catastrófico"),AND(AB250="Muy Alta",AD250="Catastrófico")),"Extremo","")))),"")</f>
        <v>Extremo</v>
      </c>
      <c r="AG250" s="778"/>
      <c r="AH250" s="803" t="s">
        <v>773</v>
      </c>
      <c r="AI250" s="300" t="s">
        <v>245</v>
      </c>
      <c r="AJ250" s="779">
        <v>45321</v>
      </c>
      <c r="AK250" s="804"/>
      <c r="AL250" s="804" t="s">
        <v>774</v>
      </c>
      <c r="AM250" s="780"/>
    </row>
    <row r="251" spans="1:39" ht="98.4" customHeight="1" x14ac:dyDescent="0.3">
      <c r="A251" s="2112">
        <v>7</v>
      </c>
      <c r="B251" s="2234" t="s">
        <v>395</v>
      </c>
      <c r="C251" s="2234" t="s">
        <v>775</v>
      </c>
      <c r="D251" s="2234" t="s">
        <v>776</v>
      </c>
      <c r="E251" s="2826" t="s">
        <v>777</v>
      </c>
      <c r="F251" s="2247" t="s">
        <v>778</v>
      </c>
      <c r="G251" s="805" t="s">
        <v>769</v>
      </c>
      <c r="H251" s="805" t="s">
        <v>770</v>
      </c>
      <c r="I251" s="2234" t="s">
        <v>198</v>
      </c>
      <c r="J251" s="2249" t="s">
        <v>771</v>
      </c>
      <c r="K251" s="2252" t="str">
        <f t="shared" si="116"/>
        <v>Muy Alta</v>
      </c>
      <c r="L251" s="2255">
        <f t="shared" si="117"/>
        <v>1</v>
      </c>
      <c r="M251" s="2258" t="s">
        <v>256</v>
      </c>
      <c r="N251" s="2255" t="str">
        <f>IF(NOT(ISERROR(MATCH(M251,'[37]Tabla Impacto'!$B$221:$B$223,0))),'[37]Tabla Impacto'!$F$223&amp;"Por favor no seleccionar los criterios de impacto(Afectación Económica o presupuestal y Pérdida Reputacional)",M251)</f>
        <v xml:space="preserve">     Mayor a 10000 SMLMV</v>
      </c>
      <c r="O251" s="2252" t="str">
        <f>IF(OR(N251='[37]Tabla Impacto'!$C$11,N251='[37]Tabla Impacto'!$D$11),"Leve",IF(OR(N251='[37]Tabla Impacto'!$C$12,N251='[37]Tabla Impacto'!$D$12),"Menor",IF(OR(N251='[37]Tabla Impacto'!$C$13,N251='[37]Tabla Impacto'!$D$13),"Moderado",IF(OR(N251='[37]Tabla Impacto'!$C$14,N251='[37]Tabla Impacto'!$D$14),"Mayor",IF(OR(N251='[37]Tabla Impacto'!$C$15,N251='[37]Tabla Impacto'!$D$15),"Catastrófico","")))))</f>
        <v>Catastrófico</v>
      </c>
      <c r="P251" s="2255">
        <f t="shared" si="118"/>
        <v>1</v>
      </c>
      <c r="Q251" s="2261" t="str">
        <f t="shared" si="119"/>
        <v>Extremo</v>
      </c>
      <c r="R251" s="716">
        <v>1</v>
      </c>
      <c r="S251" s="717" t="s">
        <v>779</v>
      </c>
      <c r="T251" s="718" t="s">
        <v>141</v>
      </c>
      <c r="U251" s="787" t="s">
        <v>200</v>
      </c>
      <c r="V251" s="787" t="s">
        <v>201</v>
      </c>
      <c r="W251" s="788">
        <v>0.3</v>
      </c>
      <c r="X251" s="787" t="s">
        <v>208</v>
      </c>
      <c r="Y251" s="787" t="s">
        <v>203</v>
      </c>
      <c r="Z251" s="787" t="s">
        <v>204</v>
      </c>
      <c r="AA251" s="721">
        <v>0.7</v>
      </c>
      <c r="AB251" s="789" t="s">
        <v>647</v>
      </c>
      <c r="AC251" s="790" t="s">
        <v>647</v>
      </c>
      <c r="AD251" s="789" t="s">
        <v>647</v>
      </c>
      <c r="AE251" s="790" t="s">
        <v>647</v>
      </c>
      <c r="AF251" s="791" t="s">
        <v>647</v>
      </c>
      <c r="AG251" s="778"/>
      <c r="AH251" s="300" t="s">
        <v>780</v>
      </c>
      <c r="AI251" s="300" t="s">
        <v>245</v>
      </c>
      <c r="AJ251" s="769">
        <v>45321</v>
      </c>
      <c r="AK251" s="769"/>
      <c r="AL251" s="300" t="s">
        <v>781</v>
      </c>
      <c r="AM251" s="780"/>
    </row>
    <row r="252" spans="1:39" ht="69.599999999999994" customHeight="1" x14ac:dyDescent="0.3">
      <c r="A252" s="2113"/>
      <c r="B252" s="2235"/>
      <c r="C252" s="2235"/>
      <c r="D252" s="2235"/>
      <c r="E252" s="2827"/>
      <c r="F252" s="2247"/>
      <c r="G252" s="805"/>
      <c r="H252" s="805"/>
      <c r="I252" s="2235"/>
      <c r="J252" s="2250"/>
      <c r="K252" s="2253"/>
      <c r="L252" s="2256"/>
      <c r="M252" s="2259"/>
      <c r="N252" s="2256">
        <f>IF(NOT(ISERROR(MATCH(M252,_xlfn.ANCHORARRAY(#REF!),0))),#REF!&amp;"Por favor no seleccionar los criterios de impacto",M252)</f>
        <v>0</v>
      </c>
      <c r="O252" s="2253"/>
      <c r="P252" s="2256"/>
      <c r="Q252" s="2262"/>
      <c r="R252" s="716">
        <v>2</v>
      </c>
      <c r="S252" s="717"/>
      <c r="T252" s="718" t="s">
        <v>647</v>
      </c>
      <c r="U252" s="787"/>
      <c r="V252" s="787"/>
      <c r="W252" s="788" t="s">
        <v>647</v>
      </c>
      <c r="X252" s="787"/>
      <c r="Y252" s="787"/>
      <c r="Z252" s="787"/>
      <c r="AA252" s="721" t="s">
        <v>647</v>
      </c>
      <c r="AB252" s="789" t="s">
        <v>647</v>
      </c>
      <c r="AC252" s="790" t="s">
        <v>647</v>
      </c>
      <c r="AD252" s="789" t="s">
        <v>647</v>
      </c>
      <c r="AE252" s="790" t="s">
        <v>647</v>
      </c>
      <c r="AF252" s="791" t="s">
        <v>647</v>
      </c>
      <c r="AG252" s="778"/>
      <c r="AH252" s="300"/>
      <c r="AI252" s="780"/>
      <c r="AJ252" s="769"/>
      <c r="AK252" s="769"/>
      <c r="AL252" s="300"/>
      <c r="AM252" s="780"/>
    </row>
    <row r="253" spans="1:39" ht="69.599999999999994" customHeight="1" x14ac:dyDescent="0.3">
      <c r="A253" s="2113"/>
      <c r="B253" s="2235"/>
      <c r="C253" s="2235"/>
      <c r="D253" s="2235"/>
      <c r="E253" s="2827"/>
      <c r="F253" s="2247"/>
      <c r="G253" s="805"/>
      <c r="H253" s="805"/>
      <c r="I253" s="2235"/>
      <c r="J253" s="2250"/>
      <c r="K253" s="2253"/>
      <c r="L253" s="2256"/>
      <c r="M253" s="2259"/>
      <c r="N253" s="2256">
        <f>IF(NOT(ISERROR(MATCH(M253,_xlfn.ANCHORARRAY(#REF!),0))),#REF!&amp;"Por favor no seleccionar los criterios de impacto",M253)</f>
        <v>0</v>
      </c>
      <c r="O253" s="2253"/>
      <c r="P253" s="2256"/>
      <c r="Q253" s="2262"/>
      <c r="R253" s="716">
        <v>3</v>
      </c>
      <c r="S253" s="806"/>
      <c r="T253" s="718" t="s">
        <v>647</v>
      </c>
      <c r="U253" s="787"/>
      <c r="V253" s="787"/>
      <c r="W253" s="788" t="s">
        <v>647</v>
      </c>
      <c r="X253" s="787"/>
      <c r="Y253" s="787"/>
      <c r="Z253" s="787"/>
      <c r="AA253" s="721" t="s">
        <v>647</v>
      </c>
      <c r="AB253" s="789" t="s">
        <v>647</v>
      </c>
      <c r="AC253" s="790" t="s">
        <v>647</v>
      </c>
      <c r="AD253" s="789" t="s">
        <v>647</v>
      </c>
      <c r="AE253" s="790" t="s">
        <v>647</v>
      </c>
      <c r="AF253" s="791" t="s">
        <v>647</v>
      </c>
      <c r="AG253" s="778"/>
      <c r="AH253" s="300"/>
      <c r="AI253" s="780"/>
      <c r="AJ253" s="769"/>
      <c r="AK253" s="769"/>
      <c r="AL253" s="300"/>
      <c r="AM253" s="780"/>
    </row>
    <row r="254" spans="1:39" ht="69.599999999999994" customHeight="1" x14ac:dyDescent="0.3">
      <c r="A254" s="2113"/>
      <c r="B254" s="2235"/>
      <c r="C254" s="2235"/>
      <c r="D254" s="2235"/>
      <c r="E254" s="2827"/>
      <c r="F254" s="2247"/>
      <c r="G254" s="805"/>
      <c r="H254" s="805"/>
      <c r="I254" s="2235"/>
      <c r="J254" s="2250"/>
      <c r="K254" s="2253"/>
      <c r="L254" s="2256"/>
      <c r="M254" s="2259"/>
      <c r="N254" s="2256">
        <f>IF(NOT(ISERROR(MATCH(M254,_xlfn.ANCHORARRAY(#REF!),0))),#REF!&amp;"Por favor no seleccionar los criterios de impacto",M254)</f>
        <v>0</v>
      </c>
      <c r="O254" s="2253"/>
      <c r="P254" s="2256"/>
      <c r="Q254" s="2262"/>
      <c r="R254" s="716">
        <v>4</v>
      </c>
      <c r="S254" s="717"/>
      <c r="T254" s="718" t="s">
        <v>647</v>
      </c>
      <c r="U254" s="787"/>
      <c r="V254" s="787"/>
      <c r="W254" s="788" t="s">
        <v>647</v>
      </c>
      <c r="X254" s="787"/>
      <c r="Y254" s="787"/>
      <c r="Z254" s="787"/>
      <c r="AA254" s="721" t="s">
        <v>647</v>
      </c>
      <c r="AB254" s="789" t="s">
        <v>647</v>
      </c>
      <c r="AC254" s="790" t="s">
        <v>647</v>
      </c>
      <c r="AD254" s="789" t="s">
        <v>647</v>
      </c>
      <c r="AE254" s="790" t="s">
        <v>647</v>
      </c>
      <c r="AF254" s="791" t="s">
        <v>647</v>
      </c>
      <c r="AG254" s="778"/>
      <c r="AH254" s="300"/>
      <c r="AI254" s="780"/>
      <c r="AJ254" s="769"/>
      <c r="AK254" s="769"/>
      <c r="AL254" s="300"/>
      <c r="AM254" s="780"/>
    </row>
    <row r="255" spans="1:39" ht="69.599999999999994" customHeight="1" x14ac:dyDescent="0.3">
      <c r="A255" s="2113"/>
      <c r="B255" s="2235"/>
      <c r="C255" s="2235"/>
      <c r="D255" s="2235"/>
      <c r="E255" s="2827"/>
      <c r="F255" s="2247"/>
      <c r="G255" s="805"/>
      <c r="H255" s="805"/>
      <c r="I255" s="2235"/>
      <c r="J255" s="2250"/>
      <c r="K255" s="2253"/>
      <c r="L255" s="2256"/>
      <c r="M255" s="2259"/>
      <c r="N255" s="2256">
        <f>IF(NOT(ISERROR(MATCH(M255,_xlfn.ANCHORARRAY(#REF!),0))),#REF!&amp;"Por favor no seleccionar los criterios de impacto",M255)</f>
        <v>0</v>
      </c>
      <c r="O255" s="2253"/>
      <c r="P255" s="2256"/>
      <c r="Q255" s="2262"/>
      <c r="R255" s="716">
        <v>5</v>
      </c>
      <c r="S255" s="717"/>
      <c r="T255" s="718" t="s">
        <v>647</v>
      </c>
      <c r="U255" s="787"/>
      <c r="V255" s="787"/>
      <c r="W255" s="788" t="s">
        <v>647</v>
      </c>
      <c r="X255" s="787"/>
      <c r="Y255" s="787"/>
      <c r="Z255" s="787"/>
      <c r="AA255" s="721" t="s">
        <v>647</v>
      </c>
      <c r="AB255" s="789" t="s">
        <v>647</v>
      </c>
      <c r="AC255" s="790" t="s">
        <v>647</v>
      </c>
      <c r="AD255" s="789" t="s">
        <v>647</v>
      </c>
      <c r="AE255" s="790" t="s">
        <v>647</v>
      </c>
      <c r="AF255" s="791" t="s">
        <v>647</v>
      </c>
      <c r="AG255" s="778"/>
      <c r="AH255" s="300"/>
      <c r="AI255" s="780"/>
      <c r="AJ255" s="769"/>
      <c r="AK255" s="769"/>
      <c r="AL255" s="300"/>
      <c r="AM255" s="780"/>
    </row>
    <row r="256" spans="1:39" ht="69.599999999999994" customHeight="1" x14ac:dyDescent="0.3">
      <c r="A256" s="2114"/>
      <c r="B256" s="2236"/>
      <c r="C256" s="2236"/>
      <c r="D256" s="2236"/>
      <c r="E256" s="2828"/>
      <c r="F256" s="2248"/>
      <c r="G256" s="807"/>
      <c r="H256" s="807"/>
      <c r="I256" s="2236"/>
      <c r="J256" s="2251"/>
      <c r="K256" s="2254"/>
      <c r="L256" s="2257"/>
      <c r="M256" s="2260"/>
      <c r="N256" s="2257">
        <f>IF(NOT(ISERROR(MATCH(M256,_xlfn.ANCHORARRAY(#REF!),0))),#REF!&amp;"Por favor no seleccionar los criterios de impacto",M256)</f>
        <v>0</v>
      </c>
      <c r="O256" s="2254"/>
      <c r="P256" s="2257"/>
      <c r="Q256" s="2263"/>
      <c r="R256" s="716">
        <v>6</v>
      </c>
      <c r="S256" s="717"/>
      <c r="T256" s="718" t="s">
        <v>647</v>
      </c>
      <c r="U256" s="787"/>
      <c r="V256" s="787"/>
      <c r="W256" s="788" t="s">
        <v>647</v>
      </c>
      <c r="X256" s="787"/>
      <c r="Y256" s="787"/>
      <c r="Z256" s="787"/>
      <c r="AA256" s="721" t="s">
        <v>647</v>
      </c>
      <c r="AB256" s="789" t="s">
        <v>647</v>
      </c>
      <c r="AC256" s="790" t="s">
        <v>647</v>
      </c>
      <c r="AD256" s="789" t="s">
        <v>647</v>
      </c>
      <c r="AE256" s="790" t="s">
        <v>647</v>
      </c>
      <c r="AF256" s="791" t="s">
        <v>647</v>
      </c>
      <c r="AG256" s="778"/>
      <c r="AH256" s="300"/>
      <c r="AI256" s="780"/>
      <c r="AJ256" s="769"/>
      <c r="AK256" s="769"/>
      <c r="AL256" s="300"/>
      <c r="AM256" s="780"/>
    </row>
    <row r="257" spans="1:39" ht="349.8" customHeight="1" x14ac:dyDescent="0.3">
      <c r="A257" s="690">
        <v>8</v>
      </c>
      <c r="B257" s="715" t="s">
        <v>209</v>
      </c>
      <c r="C257" s="715" t="s">
        <v>782</v>
      </c>
      <c r="D257" s="715" t="s">
        <v>783</v>
      </c>
      <c r="E257" s="715" t="s">
        <v>784</v>
      </c>
      <c r="F257" s="781" t="s">
        <v>785</v>
      </c>
      <c r="G257" s="781" t="s">
        <v>769</v>
      </c>
      <c r="H257" s="781" t="s">
        <v>770</v>
      </c>
      <c r="I257" s="715" t="s">
        <v>786</v>
      </c>
      <c r="J257" s="782" t="s">
        <v>787</v>
      </c>
      <c r="K257" s="785" t="str">
        <f t="shared" ref="K257" si="120">IF(J257&lt;=0,"",IF(J257&lt;=2,"Muy Baja",IF(J257&lt;=24,"Baja",IF(J257&lt;=500,"Media",IF(J257&lt;=5000,"Alta","Muy Alta")))))</f>
        <v>Muy Alta</v>
      </c>
      <c r="L257" s="783">
        <f t="shared" ref="L257" si="121">IF(K257="","",IF(K257="Muy Baja",0.2,IF(K257="Baja",0.4,IF(K257="Media",0.6,IF(K257="Alta",0.8,IF(K257="Muy Alta",1,))))))</f>
        <v>1</v>
      </c>
      <c r="M257" s="784" t="s">
        <v>256</v>
      </c>
      <c r="N257" s="783" t="str">
        <f>IF(NOT(ISERROR(MATCH(M257,'[37]Tabla Impacto'!$B$221:$B$223,0))),'[37]Tabla Impacto'!$F$223&amp;"Por favor no seleccionar los criterios de impacto(Afectación Económica o presupuestal y Pérdida Reputacional)",M257)</f>
        <v xml:space="preserve">     Mayor a 10000 SMLMV</v>
      </c>
      <c r="O257" s="785" t="str">
        <f>IF(OR(N257='[37]Tabla Impacto'!$C$11,N257='[37]Tabla Impacto'!$D$11),"Leve",IF(OR(N257='[37]Tabla Impacto'!$C$12,N257='[37]Tabla Impacto'!$D$12),"Menor",IF(OR(N257='[37]Tabla Impacto'!$C$13,N257='[37]Tabla Impacto'!$D$13),"Moderado",IF(OR(N257='[37]Tabla Impacto'!$C$14,N257='[37]Tabla Impacto'!$D$14),"Mayor",IF(OR(N257='[37]Tabla Impacto'!$C$15,N257='[37]Tabla Impacto'!$D$15),"Catastrófico","")))))</f>
        <v>Catastrófico</v>
      </c>
      <c r="P257" s="783">
        <f t="shared" ref="P257" si="122">IF(O257="","",IF(O257="Leve",0.2,IF(O257="Menor",0.4,IF(O257="Moderado",0.6,IF(O257="Mayor",0.8,IF(O257="Catastrófico",1,))))))</f>
        <v>1</v>
      </c>
      <c r="Q257" s="786" t="str">
        <f t="shared" ref="Q257" si="123">IF(OR(AND(K257="Muy Baja",O257="Leve"),AND(K257="Muy Baja",O257="Menor"),AND(K257="Baja",O257="Leve")),"Bajo",IF(OR(AND(K257="Muy baja",O257="Moderado"),AND(K257="Baja",O257="Menor"),AND(K257="Baja",O257="Moderado"),AND(K257="Media",O257="Leve"),AND(K257="Media",O257="Menor"),AND(K257="Media",O257="Moderado"),AND(K257="Alta",O257="Leve"),AND(K257="Alta",O257="Menor")),"Moderado",IF(OR(AND(K257="Muy Baja",O257="Mayor"),AND(K257="Baja",O257="Mayor"),AND(K257="Media",O257="Mayor"),AND(K257="Alta",O257="Moderado"),AND(K257="Alta",O257="Mayor"),AND(K257="Muy Alta",O257="Leve"),AND(K257="Muy Alta",O257="Menor"),AND(K257="Muy Alta",O257="Moderado"),AND(K257="Muy Alta",O257="Mayor")),"Alto",IF(OR(AND(K257="Muy Baja",O257="Catastrófico"),AND(K257="Baja",O257="Catastrófico"),AND(K257="Media",O257="Catastrófico"),AND(K257="Alta",O257="Catastrófico"),AND(K257="Muy Alta",O257="Catastrófico")),"Extremo",""))))</f>
        <v>Extremo</v>
      </c>
      <c r="R257" s="716">
        <v>1</v>
      </c>
      <c r="S257" s="717" t="s">
        <v>788</v>
      </c>
      <c r="T257" s="718" t="s">
        <v>141</v>
      </c>
      <c r="U257" s="787" t="s">
        <v>200</v>
      </c>
      <c r="V257" s="787" t="s">
        <v>201</v>
      </c>
      <c r="W257" s="788" t="str">
        <f>IF(AND(U257="Preventivo",V257="Automático"),"50%",IF(AND(U257="Preventivo",V257="Manual"),"40%",IF(AND(U257="Detectivo",V257="Automático"),"40%",IF(AND(U257="Detectivo",V257="Manual"),"30%",IF(AND(U257="Correctivo",V257="Automático"),"35%",IF(AND(U257="Correctivo",V257="Manual"),"25%",""))))))</f>
        <v>30%</v>
      </c>
      <c r="X257" s="787" t="s">
        <v>208</v>
      </c>
      <c r="Y257" s="787" t="s">
        <v>203</v>
      </c>
      <c r="Z257" s="787" t="s">
        <v>204</v>
      </c>
      <c r="AA257" s="721">
        <f>IFERROR(IF(T257="Probabilidad",(L257-(+L257*W257)),IF(T257="Impacto",L257,"")),"")</f>
        <v>0.7</v>
      </c>
      <c r="AB257" s="789" t="str">
        <f>IFERROR(IF(AA257="","",IF(AA257&lt;=0.2,"Muy Baja",IF(AA257&lt;=0.4,"Baja",IF(AA257&lt;=0.6,"Media",IF(AA257&lt;=0.8,"Alta","Muy Alta"))))),"")</f>
        <v>Alta</v>
      </c>
      <c r="AC257" s="790">
        <f>+AA257</f>
        <v>0.7</v>
      </c>
      <c r="AD257" s="789" t="str">
        <f>IFERROR(IF(AE257="","",IF(AE257&lt;=0.2,"Leve",IF(AE257&lt;=0.4,"Menor",IF(AE257&lt;=0.6,"Moderado",IF(AE257&lt;=0.8,"Mayor","Catastrófico"))))),"")</f>
        <v>Catastrófico</v>
      </c>
      <c r="AE257" s="790">
        <f>IFERROR(IF(T257="Impacto",(P257-(+P257*W257)),IF(T257="Probabilidad",P257,"")),"")</f>
        <v>1</v>
      </c>
      <c r="AF257" s="791" t="str">
        <f>IFERROR(IF(OR(AND(AB257="Muy Baja",AD257="Leve"),AND(AB257="Muy Baja",AD257="Menor"),AND(AB257="Baja",AD257="Leve")),"Bajo",IF(OR(AND(AB257="Muy baja",AD257="Moderado"),AND(AB257="Baja",AD257="Menor"),AND(AB257="Baja",AD257="Moderado"),AND(AB257="Media",AD257="Leve"),AND(AB257="Media",AD257="Menor"),AND(AB257="Media",AD257="Moderado"),AND(AB257="Alta",AD257="Leve"),AND(AB257="Alta",AD257="Menor")),"Moderado",IF(OR(AND(AB257="Muy Baja",AD257="Mayor"),AND(AB257="Baja",AD257="Mayor"),AND(AB257="Media",AD257="Mayor"),AND(AB257="Alta",AD257="Moderado"),AND(AB257="Alta",AD257="Mayor"),AND(AB257="Muy Alta",AD257="Leve"),AND(AB257="Muy Alta",AD257="Menor"),AND(AB257="Muy Alta",AD257="Moderado"),AND(AB257="Muy Alta",AD257="Mayor")),"Alto",IF(OR(AND(AB257="Muy Baja",AD257="Catastrófico"),AND(AB257="Baja",AD257="Catastrófico"),AND(AB257="Media",AD257="Catastrófico"),AND(AB257="Alta",AD257="Catastrófico"),AND(AB257="Muy Alta",AD257="Catastrófico")),"Extremo","")))),"")</f>
        <v>Extremo</v>
      </c>
      <c r="AG257" s="778"/>
      <c r="AH257" s="779" t="s">
        <v>789</v>
      </c>
      <c r="AI257" s="300" t="s">
        <v>245</v>
      </c>
      <c r="AJ257" s="777">
        <v>45321</v>
      </c>
      <c r="AK257" s="769"/>
      <c r="AL257" s="300" t="s">
        <v>781</v>
      </c>
      <c r="AM257" s="780"/>
    </row>
    <row r="258" spans="1:39" ht="69.599999999999994" customHeight="1" x14ac:dyDescent="0.3">
      <c r="A258" s="428"/>
      <c r="B258" s="429"/>
      <c r="C258" s="429"/>
      <c r="D258" s="429"/>
      <c r="E258" s="429"/>
      <c r="F258" s="241"/>
      <c r="G258" s="241"/>
      <c r="H258" s="429"/>
      <c r="I258" s="430"/>
      <c r="J258" s="431"/>
      <c r="K258" s="432"/>
      <c r="L258" s="433"/>
      <c r="M258" s="432"/>
      <c r="N258" s="431"/>
      <c r="O258" s="432"/>
      <c r="P258" s="434"/>
      <c r="Q258" s="239"/>
      <c r="R258" s="435"/>
      <c r="S258" s="436"/>
      <c r="T258" s="437"/>
      <c r="U258" s="437"/>
      <c r="V258" s="438"/>
      <c r="W258" s="437"/>
      <c r="X258" s="437"/>
      <c r="Y258" s="437"/>
      <c r="Z258" s="439"/>
      <c r="AA258" s="440"/>
      <c r="AB258" s="441"/>
      <c r="AC258" s="440"/>
      <c r="AD258" s="441"/>
      <c r="AE258" s="442"/>
      <c r="AF258" s="437"/>
      <c r="AG258" s="429"/>
      <c r="AH258" s="429"/>
      <c r="AI258" s="443"/>
      <c r="AJ258" s="444"/>
      <c r="AK258" s="429"/>
      <c r="AL258" s="430"/>
    </row>
    <row r="259" spans="1:39" ht="69.599999999999994" customHeight="1" x14ac:dyDescent="0.3">
      <c r="A259" s="2343" t="s">
        <v>156</v>
      </c>
      <c r="B259" s="2344"/>
      <c r="C259" s="2344"/>
      <c r="D259" s="2344"/>
      <c r="E259" s="2344"/>
      <c r="F259" s="2344"/>
      <c r="G259" s="2344"/>
      <c r="H259" s="2344"/>
      <c r="I259" s="2344"/>
      <c r="J259" s="2344"/>
      <c r="K259" s="2344"/>
      <c r="L259" s="2344"/>
      <c r="M259" s="2344"/>
      <c r="N259" s="2344"/>
      <c r="O259" s="2344"/>
      <c r="P259" s="2344"/>
      <c r="Q259" s="2344"/>
      <c r="R259" s="2344"/>
      <c r="S259" s="2344"/>
      <c r="T259" s="2344"/>
      <c r="U259" s="2344"/>
      <c r="V259" s="2344"/>
      <c r="W259" s="2344"/>
      <c r="X259" s="2344"/>
      <c r="Y259" s="2344"/>
      <c r="Z259" s="2344"/>
      <c r="AA259" s="2344"/>
      <c r="AB259" s="2344"/>
      <c r="AC259" s="2344"/>
      <c r="AD259" s="2344"/>
      <c r="AE259" s="2344"/>
      <c r="AF259" s="2344"/>
      <c r="AG259" s="2344"/>
      <c r="AH259" s="2344"/>
      <c r="AI259" s="2344"/>
      <c r="AJ259" s="2344"/>
      <c r="AK259" s="2344"/>
      <c r="AL259" s="2344"/>
      <c r="AM259" s="2345"/>
    </row>
    <row r="260" spans="1:39" ht="69.599999999999994" customHeight="1" x14ac:dyDescent="0.3">
      <c r="A260" s="2346"/>
      <c r="B260" s="2347"/>
      <c r="C260" s="2347"/>
      <c r="D260" s="2347"/>
      <c r="E260" s="2347"/>
      <c r="F260" s="2347"/>
      <c r="G260" s="2347"/>
      <c r="H260" s="2347"/>
      <c r="I260" s="2347"/>
      <c r="J260" s="2347"/>
      <c r="K260" s="2347"/>
      <c r="L260" s="2347"/>
      <c r="M260" s="2347"/>
      <c r="N260" s="2347"/>
      <c r="O260" s="2347"/>
      <c r="P260" s="2347"/>
      <c r="Q260" s="2347"/>
      <c r="R260" s="2347"/>
      <c r="S260" s="2347"/>
      <c r="T260" s="2347"/>
      <c r="U260" s="2347"/>
      <c r="V260" s="2347"/>
      <c r="W260" s="2347"/>
      <c r="X260" s="2347"/>
      <c r="Y260" s="2347"/>
      <c r="Z260" s="2347"/>
      <c r="AA260" s="2347"/>
      <c r="AB260" s="2347"/>
      <c r="AC260" s="2347"/>
      <c r="AD260" s="2347"/>
      <c r="AE260" s="2347"/>
      <c r="AF260" s="2347"/>
      <c r="AG260" s="2347"/>
      <c r="AH260" s="2347"/>
      <c r="AI260" s="2347"/>
      <c r="AJ260" s="2347"/>
      <c r="AK260" s="2347"/>
      <c r="AL260" s="2347"/>
      <c r="AM260" s="2348"/>
    </row>
    <row r="261" spans="1:39" ht="69.599999999999994" customHeight="1" x14ac:dyDescent="0.3">
      <c r="A261" s="703"/>
      <c r="B261" s="704"/>
      <c r="C261" s="703"/>
      <c r="D261" s="703"/>
      <c r="E261" s="703"/>
      <c r="F261" s="700"/>
      <c r="G261" s="700"/>
      <c r="H261" s="700"/>
      <c r="I261" s="705"/>
      <c r="J261" s="700"/>
      <c r="K261" s="700"/>
      <c r="L261" s="700"/>
      <c r="M261" s="700"/>
      <c r="N261" s="700"/>
      <c r="O261" s="700"/>
      <c r="P261" s="700"/>
      <c r="Q261" s="700"/>
      <c r="R261" s="700"/>
      <c r="S261" s="700"/>
      <c r="T261" s="700"/>
      <c r="U261" s="700"/>
      <c r="V261" s="700"/>
      <c r="W261" s="700"/>
      <c r="X261" s="700"/>
      <c r="Y261" s="700"/>
      <c r="Z261" s="700"/>
      <c r="AA261" s="700"/>
      <c r="AB261" s="700"/>
      <c r="AC261" s="700"/>
      <c r="AD261" s="700"/>
      <c r="AE261" s="700"/>
      <c r="AF261" s="700"/>
      <c r="AG261" s="700"/>
      <c r="AH261" s="700"/>
      <c r="AI261" s="700"/>
      <c r="AJ261" s="700"/>
      <c r="AK261" s="700"/>
      <c r="AL261" s="700"/>
      <c r="AM261" s="700"/>
    </row>
    <row r="262" spans="1:39" ht="69.599999999999994" customHeight="1" x14ac:dyDescent="0.3">
      <c r="A262" s="2349" t="s">
        <v>157</v>
      </c>
      <c r="B262" s="2350"/>
      <c r="C262" s="2039" t="s">
        <v>790</v>
      </c>
      <c r="D262" s="2039"/>
      <c r="E262" s="2039"/>
      <c r="F262" s="2039"/>
      <c r="G262" s="2039"/>
      <c r="H262" s="2039"/>
      <c r="I262" s="2039"/>
      <c r="J262" s="2039"/>
      <c r="K262" s="2039"/>
      <c r="L262" s="2039"/>
      <c r="M262" s="2039"/>
      <c r="N262" s="2039"/>
      <c r="O262" s="2039"/>
      <c r="P262" s="2039"/>
      <c r="Q262" s="2039"/>
      <c r="R262" s="2039"/>
      <c r="S262" s="2039"/>
      <c r="T262" s="2039"/>
      <c r="U262" s="2039"/>
      <c r="V262" s="2039"/>
      <c r="W262" s="2039"/>
      <c r="X262" s="2039"/>
      <c r="Y262" s="2039"/>
      <c r="Z262" s="2039"/>
      <c r="AA262" s="2039"/>
      <c r="AB262" s="2039"/>
      <c r="AC262" s="2039"/>
      <c r="AD262" s="2039"/>
      <c r="AE262" s="2039"/>
      <c r="AF262" s="2039"/>
      <c r="AG262" s="2039"/>
      <c r="AH262" s="2039"/>
      <c r="AI262" s="2039"/>
      <c r="AJ262" s="2039"/>
      <c r="AK262" s="2039"/>
      <c r="AL262" s="2039"/>
      <c r="AM262" s="2039"/>
    </row>
    <row r="263" spans="1:39" ht="69.599999999999994" customHeight="1" x14ac:dyDescent="0.3">
      <c r="A263" s="2349" t="s">
        <v>158</v>
      </c>
      <c r="B263" s="2350"/>
      <c r="C263" s="2040" t="s">
        <v>791</v>
      </c>
      <c r="D263" s="2040"/>
      <c r="E263" s="2040"/>
      <c r="F263" s="2040"/>
      <c r="G263" s="2040"/>
      <c r="H263" s="2040"/>
      <c r="I263" s="2040"/>
      <c r="J263" s="2040"/>
      <c r="K263" s="2040"/>
      <c r="L263" s="2040"/>
      <c r="M263" s="2040"/>
      <c r="N263" s="2040"/>
      <c r="O263" s="2040"/>
      <c r="P263" s="2040"/>
      <c r="Q263" s="2040"/>
      <c r="R263" s="2040"/>
      <c r="S263" s="2040"/>
      <c r="T263" s="2040"/>
      <c r="U263" s="2040"/>
      <c r="V263" s="2040"/>
      <c r="W263" s="2040"/>
      <c r="X263" s="2040"/>
      <c r="Y263" s="2040"/>
      <c r="Z263" s="2040"/>
      <c r="AA263" s="2040"/>
      <c r="AB263" s="2040"/>
      <c r="AC263" s="2040"/>
      <c r="AD263" s="2040"/>
      <c r="AE263" s="2040"/>
      <c r="AF263" s="2040"/>
      <c r="AG263" s="2040"/>
      <c r="AH263" s="2040"/>
      <c r="AI263" s="2040"/>
      <c r="AJ263" s="2040"/>
      <c r="AK263" s="2040"/>
      <c r="AL263" s="2040"/>
      <c r="AM263" s="2040"/>
    </row>
    <row r="264" spans="1:39" ht="69.599999999999994" customHeight="1" x14ac:dyDescent="0.3">
      <c r="A264" s="2349" t="s">
        <v>159</v>
      </c>
      <c r="B264" s="2350"/>
      <c r="C264" s="2040" t="s">
        <v>792</v>
      </c>
      <c r="D264" s="2040"/>
      <c r="E264" s="2040"/>
      <c r="F264" s="2040"/>
      <c r="G264" s="2040"/>
      <c r="H264" s="2040"/>
      <c r="I264" s="2040"/>
      <c r="J264" s="2040"/>
      <c r="K264" s="2040"/>
      <c r="L264" s="2040"/>
      <c r="M264" s="2040"/>
      <c r="N264" s="2040"/>
      <c r="O264" s="2040"/>
      <c r="P264" s="2040"/>
      <c r="Q264" s="2040"/>
      <c r="R264" s="2040"/>
      <c r="S264" s="2040"/>
      <c r="T264" s="2040"/>
      <c r="U264" s="2040"/>
      <c r="V264" s="2040"/>
      <c r="W264" s="2040"/>
      <c r="X264" s="2040"/>
      <c r="Y264" s="2040"/>
      <c r="Z264" s="2040"/>
      <c r="AA264" s="2040"/>
      <c r="AB264" s="2040"/>
      <c r="AC264" s="2040"/>
      <c r="AD264" s="2040"/>
      <c r="AE264" s="2040"/>
      <c r="AF264" s="2040"/>
      <c r="AG264" s="2040"/>
      <c r="AH264" s="2040"/>
      <c r="AI264" s="2040"/>
      <c r="AJ264" s="2040"/>
      <c r="AK264" s="2040"/>
      <c r="AL264" s="2040"/>
      <c r="AM264" s="2040"/>
    </row>
    <row r="265" spans="1:39" ht="69.599999999999994" customHeight="1" x14ac:dyDescent="0.3">
      <c r="A265" s="2351" t="s">
        <v>160</v>
      </c>
      <c r="B265" s="2352"/>
      <c r="C265" s="2353"/>
      <c r="D265" s="2353"/>
      <c r="E265" s="2353"/>
      <c r="F265" s="2353"/>
      <c r="G265" s="2353"/>
      <c r="H265" s="2353"/>
      <c r="I265" s="2353"/>
      <c r="J265" s="2354"/>
      <c r="K265" s="2101" t="s">
        <v>161</v>
      </c>
      <c r="L265" s="2353"/>
      <c r="M265" s="2353"/>
      <c r="N265" s="2353"/>
      <c r="O265" s="2353"/>
      <c r="P265" s="2353"/>
      <c r="Q265" s="2354"/>
      <c r="R265" s="2101" t="s">
        <v>162</v>
      </c>
      <c r="S265" s="2353"/>
      <c r="T265" s="2353"/>
      <c r="U265" s="2353"/>
      <c r="V265" s="2353"/>
      <c r="W265" s="2353"/>
      <c r="X265" s="2353"/>
      <c r="Y265" s="2353"/>
      <c r="Z265" s="2354"/>
      <c r="AA265" s="2101" t="s">
        <v>163</v>
      </c>
      <c r="AB265" s="2353"/>
      <c r="AC265" s="2353"/>
      <c r="AD265" s="2353"/>
      <c r="AE265" s="2353"/>
      <c r="AF265" s="2353"/>
      <c r="AG265" s="2354"/>
      <c r="AH265" s="2101" t="s">
        <v>164</v>
      </c>
      <c r="AI265" s="2353"/>
      <c r="AJ265" s="2353"/>
      <c r="AK265" s="2353"/>
      <c r="AL265" s="2353"/>
      <c r="AM265" s="2354"/>
    </row>
    <row r="266" spans="1:39" ht="69.599999999999994" customHeight="1" x14ac:dyDescent="0.3">
      <c r="A266" s="2140" t="s">
        <v>165</v>
      </c>
      <c r="B266" s="2142" t="s">
        <v>142</v>
      </c>
      <c r="C266" s="2042" t="s">
        <v>166</v>
      </c>
      <c r="D266" s="2042" t="s">
        <v>167</v>
      </c>
      <c r="E266" s="2041" t="s">
        <v>168</v>
      </c>
      <c r="F266" s="2103" t="s">
        <v>60</v>
      </c>
      <c r="G266" s="280"/>
      <c r="H266" s="280"/>
      <c r="I266" s="2041" t="s">
        <v>169</v>
      </c>
      <c r="J266" s="2042" t="s">
        <v>170</v>
      </c>
      <c r="K266" s="2105" t="s">
        <v>171</v>
      </c>
      <c r="L266" s="2100" t="s">
        <v>172</v>
      </c>
      <c r="M266" s="2041" t="s">
        <v>173</v>
      </c>
      <c r="N266" s="2041" t="s">
        <v>174</v>
      </c>
      <c r="O266" s="2102" t="s">
        <v>175</v>
      </c>
      <c r="P266" s="2100" t="s">
        <v>172</v>
      </c>
      <c r="Q266" s="2042" t="s">
        <v>176</v>
      </c>
      <c r="R266" s="2161" t="s">
        <v>177</v>
      </c>
      <c r="S266" s="2043" t="s">
        <v>178</v>
      </c>
      <c r="T266" s="2041" t="s">
        <v>179</v>
      </c>
      <c r="U266" s="2043" t="s">
        <v>180</v>
      </c>
      <c r="V266" s="2043"/>
      <c r="W266" s="2043"/>
      <c r="X266" s="2043"/>
      <c r="Y266" s="2043"/>
      <c r="Z266" s="2043"/>
      <c r="AA266" s="2099" t="s">
        <v>181</v>
      </c>
      <c r="AB266" s="2099" t="s">
        <v>182</v>
      </c>
      <c r="AC266" s="2099" t="s">
        <v>172</v>
      </c>
      <c r="AD266" s="2099" t="s">
        <v>183</v>
      </c>
      <c r="AE266" s="2099" t="s">
        <v>172</v>
      </c>
      <c r="AF266" s="2099" t="s">
        <v>184</v>
      </c>
      <c r="AG266" s="2161" t="s">
        <v>185</v>
      </c>
      <c r="AH266" s="2043" t="s">
        <v>164</v>
      </c>
      <c r="AI266" s="2043" t="s">
        <v>143</v>
      </c>
      <c r="AJ266" s="2043" t="s">
        <v>186</v>
      </c>
      <c r="AK266" s="2043" t="s">
        <v>187</v>
      </c>
      <c r="AL266" s="2043" t="s">
        <v>188</v>
      </c>
      <c r="AM266" s="2043" t="s">
        <v>189</v>
      </c>
    </row>
    <row r="267" spans="1:39" ht="69.599999999999994" customHeight="1" x14ac:dyDescent="0.3">
      <c r="A267" s="2141"/>
      <c r="B267" s="2142"/>
      <c r="C267" s="2043"/>
      <c r="D267" s="2043"/>
      <c r="E267" s="2105"/>
      <c r="F267" s="2104"/>
      <c r="G267" s="280" t="s">
        <v>511</v>
      </c>
      <c r="H267" s="280" t="s">
        <v>190</v>
      </c>
      <c r="I267" s="2042"/>
      <c r="J267" s="2043"/>
      <c r="K267" s="2042"/>
      <c r="L267" s="2101"/>
      <c r="M267" s="2042"/>
      <c r="N267" s="2042"/>
      <c r="O267" s="2101"/>
      <c r="P267" s="2101"/>
      <c r="Q267" s="2043"/>
      <c r="R267" s="2162"/>
      <c r="S267" s="2043"/>
      <c r="T267" s="2042"/>
      <c r="U267" s="281" t="s">
        <v>191</v>
      </c>
      <c r="V267" s="281" t="s">
        <v>192</v>
      </c>
      <c r="W267" s="281" t="s">
        <v>193</v>
      </c>
      <c r="X267" s="281" t="s">
        <v>194</v>
      </c>
      <c r="Y267" s="281" t="s">
        <v>195</v>
      </c>
      <c r="Z267" s="281" t="s">
        <v>196</v>
      </c>
      <c r="AA267" s="2099"/>
      <c r="AB267" s="2099"/>
      <c r="AC267" s="2099"/>
      <c r="AD267" s="2099"/>
      <c r="AE267" s="2099"/>
      <c r="AF267" s="2099"/>
      <c r="AG267" s="2162"/>
      <c r="AH267" s="2043"/>
      <c r="AI267" s="2043"/>
      <c r="AJ267" s="2043"/>
      <c r="AK267" s="2043"/>
      <c r="AL267" s="2043"/>
      <c r="AM267" s="2043"/>
    </row>
    <row r="268" spans="1:39" ht="99" customHeight="1" x14ac:dyDescent="0.3">
      <c r="A268" s="2112">
        <v>1</v>
      </c>
      <c r="B268" s="2155" t="s">
        <v>209</v>
      </c>
      <c r="C268" s="2155" t="s">
        <v>793</v>
      </c>
      <c r="D268" s="2158" t="s">
        <v>794</v>
      </c>
      <c r="E268" s="808" t="s">
        <v>795</v>
      </c>
      <c r="F268" s="2125" t="s">
        <v>796</v>
      </c>
      <c r="G268" s="1979" t="s">
        <v>512</v>
      </c>
      <c r="H268" s="2125" t="s">
        <v>797</v>
      </c>
      <c r="I268" s="2126" t="s">
        <v>198</v>
      </c>
      <c r="J268" s="2129">
        <v>240</v>
      </c>
      <c r="K268" s="2109" t="str">
        <f>IF(J268&lt;=0,"",IF(J268&lt;=2,"Muy Baja",IF(J268&lt;=24,"Baja",IF(J268&lt;=500,"Media",IF(J268&lt;=5000,"Alta","Muy Alta")))))</f>
        <v>Media</v>
      </c>
      <c r="L268" s="2106">
        <f>IF(K268="","",IF(K268="Muy Baja",0.2,IF(K268="Baja",0.4,IF(K268="Media",0.6,IF(K268="Alta",0.8,IF(K268="Muy Alta",1,))))))</f>
        <v>0.6</v>
      </c>
      <c r="M268" s="2132" t="s">
        <v>199</v>
      </c>
      <c r="N268" s="2106" t="str">
        <f>IF(NOT(ISERROR(MATCH(M268,'[38]Tabla Impacto'!$B$221:$B$223,0))),'[38]Tabla Impacto'!$F$223&amp;"Por favor no seleccionar los criterios de impacto(Afectación Económica o presupuestal y Pérdida Reputacional)",M268)</f>
        <v xml:space="preserve">     El riesgo afecta la imagen de de la entidad con efecto publicitario sostenido a nivel de sector administrativo, nivel departamental o municipal</v>
      </c>
      <c r="O268" s="2109" t="str">
        <f>IF(OR(N268='[38]Tabla Impacto'!$C$11,N268='[38]Tabla Impacto'!$D$11),"Leve",IF(OR(N268='[38]Tabla Impacto'!$C$12,N268='[38]Tabla Impacto'!$D$12),"Menor",IF(OR(N268='[38]Tabla Impacto'!$C$13,N268='[38]Tabla Impacto'!$D$13),"Moderado",IF(OR(N268='[38]Tabla Impacto'!$C$14,N268='[38]Tabla Impacto'!$D$14),"Mayor",IF(OR(N268='[38]Tabla Impacto'!$C$15,N268='[38]Tabla Impacto'!$D$15),"Catastrófico","")))))</f>
        <v>Mayor</v>
      </c>
      <c r="P268" s="2106">
        <f>IF(O268="","",IF(O268="Leve",0.2,IF(O268="Menor",0.4,IF(O268="Moderado",0.6,IF(O268="Mayor",0.8,IF(O268="Catastrófico",1,))))))</f>
        <v>0.8</v>
      </c>
      <c r="Q268" s="2014" t="str">
        <f>IF(OR(AND(K268="Muy Baja",O268="Leve"),AND(K268="Muy Baja",O268="Menor"),AND(K268="Baja",O268="Leve")),"Bajo",IF(OR(AND(K268="Muy baja",O268="Moderado"),AND(K268="Baja",O268="Menor"),AND(K268="Baja",O268="Moderado"),AND(K268="Media",O268="Leve"),AND(K268="Media",O268="Menor"),AND(K268="Media",O268="Moderado"),AND(K268="Alta",O268="Leve"),AND(K268="Alta",O268="Menor")),"Moderado",IF(OR(AND(K268="Muy Baja",O268="Mayor"),AND(K268="Baja",O268="Mayor"),AND(K268="Media",O268="Mayor"),AND(K268="Alta",O268="Moderado"),AND(K268="Alta",O268="Mayor"),AND(K268="Muy Alta",O268="Leve"),AND(K268="Muy Alta",O268="Menor"),AND(K268="Muy Alta",O268="Moderado"),AND(K268="Muy Alta",O268="Mayor")),"Alto",IF(OR(AND(K268="Muy Baja",O268="Catastrófico"),AND(K268="Baja",O268="Catastrófico"),AND(K268="Media",O268="Catastrófico"),AND(K268="Alta",O268="Catastrófico"),AND(K268="Muy Alta",O268="Catastrófico")),"Extremo",""))))</f>
        <v>Alto</v>
      </c>
      <c r="R268" s="283">
        <v>1</v>
      </c>
      <c r="S268" s="284" t="s">
        <v>1145</v>
      </c>
      <c r="T268" s="285" t="str">
        <f>IF(OR(U268="Preventivo",U268="Detectivo"),"Probabilidad",IF(U268="Correctivo","Impacto",""))</f>
        <v>Probabilidad</v>
      </c>
      <c r="U268" s="286" t="s">
        <v>207</v>
      </c>
      <c r="V268" s="286" t="s">
        <v>201</v>
      </c>
      <c r="W268" s="287" t="str">
        <f>IF(AND(U268="Preventivo",V268="Automático"),"50%",IF(AND(U268="Preventivo",V268="Manual"),"40%",IF(AND(U268="Detectivo",V268="Automático"),"40%",IF(AND(U268="Detectivo",V268="Manual"),"30%",IF(AND(U268="Correctivo",V268="Automático"),"35%",IF(AND(U268="Correctivo",V268="Manual"),"25%",""))))))</f>
        <v>40%</v>
      </c>
      <c r="X268" s="286" t="s">
        <v>208</v>
      </c>
      <c r="Y268" s="286" t="s">
        <v>203</v>
      </c>
      <c r="Z268" s="286" t="s">
        <v>204</v>
      </c>
      <c r="AA268" s="744">
        <f>IFERROR(IF(T268="Probabilidad",(L268-(+L268*W268)),IF(T268="Impacto",L268,"")),"")</f>
        <v>0.36</v>
      </c>
      <c r="AB268" s="288" t="str">
        <f>IFERROR(IF(AA268="","",IF(AA268&lt;=0.2,"Muy Baja",IF(AA268&lt;=0.4,"Baja",IF(AA268&lt;=0.6,"Media",IF(AA268&lt;=0.8,"Alta","Muy Alta"))))),"")</f>
        <v>Baja</v>
      </c>
      <c r="AC268" s="289">
        <f>+AA268</f>
        <v>0.36</v>
      </c>
      <c r="AD268" s="288" t="str">
        <f>IFERROR(IF(AE268="","",IF(AE268&lt;=0.2,"Leve",IF(AE268&lt;=0.4,"Menor",IF(AE268&lt;=0.6,"Moderado",IF(AE268&lt;=0.8,"Mayor","Catastrófico"))))),"")</f>
        <v>Mayor</v>
      </c>
      <c r="AE268" s="289">
        <f>IFERROR(IF(T268="Impacto",(P268-(+P268*W268)),IF(T268="Probabilidad",P268,"")),"")</f>
        <v>0.8</v>
      </c>
      <c r="AF268" s="290" t="str">
        <f>IFERROR(IF(OR(AND(AB268="Muy Baja",AD268="Leve"),AND(AB268="Muy Baja",AD268="Menor"),AND(AB268="Baja",AD268="Leve")),"Bajo",IF(OR(AND(AB268="Muy baja",AD268="Moderado"),AND(AB268="Baja",AD268="Menor"),AND(AB268="Baja",AD268="Moderado"),AND(AB268="Media",AD268="Leve"),AND(AB268="Media",AD268="Menor"),AND(AB268="Media",AD268="Moderado"),AND(AB268="Alta",AD268="Leve"),AND(AB268="Alta",AD268="Menor")),"Moderado",IF(OR(AND(AB268="Muy Baja",AD268="Mayor"),AND(AB268="Baja",AD268="Mayor"),AND(AB268="Media",AD268="Mayor"),AND(AB268="Alta",AD268="Moderado"),AND(AB268="Alta",AD268="Mayor"),AND(AB268="Muy Alta",AD268="Leve"),AND(AB268="Muy Alta",AD268="Menor"),AND(AB268="Muy Alta",AD268="Moderado"),AND(AB268="Muy Alta",AD268="Mayor")),"Alto",IF(OR(AND(AB268="Muy Baja",AD268="Catastrófico"),AND(AB268="Baja",AD268="Catastrófico"),AND(AB268="Media",AD268="Catastrófico"),AND(AB268="Alta",AD268="Catastrófico"),AND(AB268="Muy Alta",AD268="Catastrófico")),"Extremo","")))),"")</f>
        <v>Alto</v>
      </c>
      <c r="AG268" s="291"/>
      <c r="AH268" s="2155" t="s">
        <v>799</v>
      </c>
      <c r="AI268" s="2155" t="s">
        <v>800</v>
      </c>
      <c r="AJ268" s="2155" t="s">
        <v>801</v>
      </c>
      <c r="AK268" s="2829">
        <v>45473</v>
      </c>
      <c r="AL268" s="2155" t="s">
        <v>1146</v>
      </c>
      <c r="AM268" s="2129" t="s">
        <v>206</v>
      </c>
    </row>
    <row r="269" spans="1:39" ht="119.4" customHeight="1" x14ac:dyDescent="0.3">
      <c r="A269" s="2113"/>
      <c r="B269" s="2156"/>
      <c r="C269" s="2156"/>
      <c r="D269" s="2159"/>
      <c r="E269" s="808" t="s">
        <v>803</v>
      </c>
      <c r="F269" s="2125"/>
      <c r="G269" s="1980"/>
      <c r="H269" s="2125"/>
      <c r="I269" s="2127"/>
      <c r="J269" s="2130"/>
      <c r="K269" s="2110"/>
      <c r="L269" s="2107"/>
      <c r="M269" s="2133"/>
      <c r="N269" s="2107">
        <f>IF(NOT(ISERROR(MATCH(M269,_xlfn.ANCHORARRAY(F280),0))),L282&amp;"Por favor no seleccionar los criterios de impacto",M269)</f>
        <v>0</v>
      </c>
      <c r="O269" s="2110"/>
      <c r="P269" s="2107"/>
      <c r="Q269" s="2015"/>
      <c r="R269" s="283">
        <v>2</v>
      </c>
      <c r="S269" s="284" t="s">
        <v>804</v>
      </c>
      <c r="T269" s="285" t="str">
        <f>IF(OR(U269="Preventivo",U269="Detectivo"),"Probabilidad",IF(U269="Correctivo","Impacto",""))</f>
        <v>Impacto</v>
      </c>
      <c r="U269" s="286" t="s">
        <v>308</v>
      </c>
      <c r="V269" s="286" t="s">
        <v>201</v>
      </c>
      <c r="W269" s="287" t="str">
        <f t="shared" ref="W269:W273" si="124">IF(AND(U269="Preventivo",V269="Automático"),"50%",IF(AND(U269="Preventivo",V269="Manual"),"40%",IF(AND(U269="Detectivo",V269="Automático"),"40%",IF(AND(U269="Detectivo",V269="Manual"),"30%",IF(AND(U269="Correctivo",V269="Automático"),"35%",IF(AND(U269="Correctivo",V269="Manual"),"25%",""))))))</f>
        <v>25%</v>
      </c>
      <c r="X269" s="286" t="s">
        <v>202</v>
      </c>
      <c r="Y269" s="286" t="s">
        <v>203</v>
      </c>
      <c r="Z269" s="286" t="s">
        <v>204</v>
      </c>
      <c r="AA269" s="744">
        <f>IFERROR(IF(AND(T268="Probabilidad",T269="Probabilidad"),(AC268-(+AC268*W269)),IF(AND(T268="Impacto",T269="Probabilidad"),(L268-(+L268*W269)),IF(T269="Impacto",AC268,""))),"")</f>
        <v>0.36</v>
      </c>
      <c r="AB269" s="288" t="str">
        <f t="shared" ref="AB269:AB273" si="125">IFERROR(IF(AA269="","",IF(AA269&lt;=0.2,"Muy Baja",IF(AA269&lt;=0.4,"Baja",IF(AA269&lt;=0.6,"Media",IF(AA269&lt;=0.8,"Alta","Muy Alta"))))),"")</f>
        <v>Baja</v>
      </c>
      <c r="AC269" s="289">
        <f>+AA269</f>
        <v>0.36</v>
      </c>
      <c r="AD269" s="288" t="str">
        <f t="shared" ref="AD269:AD273" si="126">IFERROR(IF(AE269="","",IF(AE269&lt;=0.2,"Leve",IF(AE269&lt;=0.4,"Menor",IF(AE269&lt;=0.6,"Moderado",IF(AE269&lt;=0.8,"Mayor","Catastrófico"))))),"")</f>
        <v>Moderado</v>
      </c>
      <c r="AE269" s="289">
        <f>IFERROR(IF(AND(T268="Impacto",T269="Impacto"),(AE268-(+AE268*W269)),IF(AND(T268="Probabilidad",T269="Impacto"),(P268-(+P268*W269)),IF(T269="Probabilidad",AE268,""))),"")</f>
        <v>0.60000000000000009</v>
      </c>
      <c r="AF269" s="290" t="str">
        <f t="shared" ref="AF269:AF273" si="127">IFERROR(IF(OR(AND(AB269="Muy Baja",AD269="Leve"),AND(AB269="Muy Baja",AD269="Menor"),AND(AB269="Baja",AD269="Leve")),"Bajo",IF(OR(AND(AB269="Muy baja",AD269="Moderado"),AND(AB269="Baja",AD269="Menor"),AND(AB269="Baja",AD269="Moderado"),AND(AB269="Media",AD269="Leve"),AND(AB269="Media",AD269="Menor"),AND(AB269="Media",AD269="Moderado"),AND(AB269="Alta",AD269="Leve"),AND(AB269="Alta",AD269="Menor")),"Moderado",IF(OR(AND(AB269="Muy Baja",AD269="Mayor"),AND(AB269="Baja",AD269="Mayor"),AND(AB269="Media",AD269="Mayor"),AND(AB269="Alta",AD269="Moderado"),AND(AB269="Alta",AD269="Mayor"),AND(AB269="Muy Alta",AD269="Leve"),AND(AB269="Muy Alta",AD269="Menor"),AND(AB269="Muy Alta",AD269="Moderado"),AND(AB269="Muy Alta",AD269="Mayor")),"Alto",IF(OR(AND(AB269="Muy Baja",AD269="Catastrófico"),AND(AB269="Baja",AD269="Catastrófico"),AND(AB269="Media",AD269="Catastrófico"),AND(AB269="Alta",AD269="Catastrófico"),AND(AB269="Muy Alta",AD269="Catastrófico")),"Extremo","")))),"")</f>
        <v>Moderado</v>
      </c>
      <c r="AG269" s="291"/>
      <c r="AH269" s="2157"/>
      <c r="AI269" s="2157"/>
      <c r="AJ269" s="2157"/>
      <c r="AK269" s="2157"/>
      <c r="AL269" s="2157"/>
      <c r="AM269" s="2131"/>
    </row>
    <row r="270" spans="1:39" ht="69.599999999999994" customHeight="1" x14ac:dyDescent="0.3">
      <c r="A270" s="2113"/>
      <c r="B270" s="2156"/>
      <c r="C270" s="2156"/>
      <c r="D270" s="2159"/>
      <c r="E270" s="809"/>
      <c r="F270" s="2125"/>
      <c r="G270" s="1980"/>
      <c r="H270" s="2125"/>
      <c r="I270" s="2127"/>
      <c r="J270" s="2130"/>
      <c r="K270" s="2110"/>
      <c r="L270" s="2107"/>
      <c r="M270" s="2133"/>
      <c r="N270" s="2107">
        <f>IF(NOT(ISERROR(MATCH(M270,_xlfn.ANCHORARRAY(F281),0))),L283&amp;"Por favor no seleccionar los criterios de impacto",M270)</f>
        <v>0</v>
      </c>
      <c r="O270" s="2110"/>
      <c r="P270" s="2107"/>
      <c r="Q270" s="2015"/>
      <c r="R270" s="283">
        <v>3</v>
      </c>
      <c r="S270" s="299"/>
      <c r="T270" s="285" t="str">
        <f t="shared" ref="T270:T273" si="128">IF(OR(U270="Preventivo",U270="Detectivo"),"Probabilidad",IF(U270="Correctivo","Impacto",""))</f>
        <v/>
      </c>
      <c r="U270" s="286"/>
      <c r="V270" s="286"/>
      <c r="W270" s="287" t="str">
        <f t="shared" si="124"/>
        <v/>
      </c>
      <c r="X270" s="286"/>
      <c r="Y270" s="286"/>
      <c r="Z270" s="286"/>
      <c r="AA270" s="744" t="str">
        <f>IFERROR(IF(AND(T269="Probabilidad",T270="Probabilidad"),(AC269-(+AC269*W270)),IF(AND(T269="Impacto",T270="Probabilidad"),(AC268-(+AC268*W270)),IF(T270="Impacto",AC269,""))),"")</f>
        <v/>
      </c>
      <c r="AB270" s="288" t="str">
        <f t="shared" si="125"/>
        <v/>
      </c>
      <c r="AC270" s="289" t="str">
        <f t="shared" ref="AC270:AC273" si="129">+AA270</f>
        <v/>
      </c>
      <c r="AD270" s="288" t="str">
        <f t="shared" si="126"/>
        <v/>
      </c>
      <c r="AE270" s="289" t="str">
        <f t="shared" ref="AE270:AE273" si="130">IFERROR(IF(AND(T269="Impacto",T270="Impacto"),(AE269-(+AE269*W270)),IF(AND(T269="Probabilidad",T270="Impacto"),(AE268-(+AE268*W270)),IF(T270="Probabilidad",AE269,""))),"")</f>
        <v/>
      </c>
      <c r="AF270" s="290" t="str">
        <f t="shared" si="127"/>
        <v/>
      </c>
      <c r="AG270" s="291"/>
      <c r="AH270" s="296"/>
      <c r="AI270" s="297"/>
      <c r="AJ270" s="303"/>
      <c r="AK270" s="303"/>
      <c r="AL270" s="296"/>
      <c r="AM270" s="297"/>
    </row>
    <row r="271" spans="1:39" ht="69.599999999999994" customHeight="1" x14ac:dyDescent="0.3">
      <c r="A271" s="2113"/>
      <c r="B271" s="2156"/>
      <c r="C271" s="2156"/>
      <c r="D271" s="2159"/>
      <c r="E271" s="298"/>
      <c r="F271" s="2125"/>
      <c r="G271" s="1980"/>
      <c r="H271" s="2125"/>
      <c r="I271" s="2127"/>
      <c r="J271" s="2130"/>
      <c r="K271" s="2110"/>
      <c r="L271" s="2107"/>
      <c r="M271" s="2133"/>
      <c r="N271" s="2107">
        <f>IF(NOT(ISERROR(MATCH(M271,_xlfn.ANCHORARRAY(F282),0))),L284&amp;"Por favor no seleccionar los criterios de impacto",M271)</f>
        <v>0</v>
      </c>
      <c r="O271" s="2110"/>
      <c r="P271" s="2107"/>
      <c r="Q271" s="2015"/>
      <c r="R271" s="283">
        <v>4</v>
      </c>
      <c r="S271" s="302"/>
      <c r="T271" s="285" t="str">
        <f t="shared" si="128"/>
        <v/>
      </c>
      <c r="U271" s="286"/>
      <c r="V271" s="286"/>
      <c r="W271" s="287" t="str">
        <f t="shared" si="124"/>
        <v/>
      </c>
      <c r="X271" s="286"/>
      <c r="Y271" s="286"/>
      <c r="Z271" s="286"/>
      <c r="AA271" s="744" t="str">
        <f t="shared" ref="AA271:AA273" si="131">IFERROR(IF(AND(T270="Probabilidad",T271="Probabilidad"),(AC270-(+AC270*W271)),IF(AND(T270="Impacto",T271="Probabilidad"),(AC269-(+AC269*W271)),IF(T271="Impacto",AC270,""))),"")</f>
        <v/>
      </c>
      <c r="AB271" s="288" t="str">
        <f t="shared" si="125"/>
        <v/>
      </c>
      <c r="AC271" s="289" t="str">
        <f t="shared" si="129"/>
        <v/>
      </c>
      <c r="AD271" s="288" t="str">
        <f t="shared" si="126"/>
        <v/>
      </c>
      <c r="AE271" s="289" t="str">
        <f t="shared" si="130"/>
        <v/>
      </c>
      <c r="AF271" s="290" t="str">
        <f t="shared" si="127"/>
        <v/>
      </c>
      <c r="AG271" s="291"/>
      <c r="AH271" s="296"/>
      <c r="AI271" s="297"/>
      <c r="AJ271" s="303"/>
      <c r="AK271" s="303"/>
      <c r="AL271" s="296"/>
      <c r="AM271" s="297"/>
    </row>
    <row r="272" spans="1:39" ht="69.599999999999994" customHeight="1" x14ac:dyDescent="0.3">
      <c r="A272" s="2113"/>
      <c r="B272" s="2156"/>
      <c r="C272" s="2156"/>
      <c r="D272" s="2159"/>
      <c r="E272" s="298"/>
      <c r="F272" s="2125"/>
      <c r="G272" s="1980"/>
      <c r="H272" s="2125"/>
      <c r="I272" s="2127"/>
      <c r="J272" s="2130"/>
      <c r="K272" s="2110"/>
      <c r="L272" s="2107"/>
      <c r="M272" s="2133"/>
      <c r="N272" s="2107">
        <f>IF(NOT(ISERROR(MATCH(M272,_xlfn.ANCHORARRAY(F283),0))),L285&amp;"Por favor no seleccionar los criterios de impacto",M272)</f>
        <v>0</v>
      </c>
      <c r="O272" s="2110"/>
      <c r="P272" s="2107"/>
      <c r="Q272" s="2015"/>
      <c r="R272" s="283">
        <v>5</v>
      </c>
      <c r="S272" s="302"/>
      <c r="T272" s="285" t="str">
        <f t="shared" si="128"/>
        <v/>
      </c>
      <c r="U272" s="286"/>
      <c r="V272" s="286"/>
      <c r="W272" s="287" t="str">
        <f t="shared" si="124"/>
        <v/>
      </c>
      <c r="X272" s="286"/>
      <c r="Y272" s="286"/>
      <c r="Z272" s="286"/>
      <c r="AA272" s="744" t="str">
        <f t="shared" si="131"/>
        <v/>
      </c>
      <c r="AB272" s="288" t="str">
        <f t="shared" si="125"/>
        <v/>
      </c>
      <c r="AC272" s="289" t="str">
        <f t="shared" si="129"/>
        <v/>
      </c>
      <c r="AD272" s="288" t="str">
        <f t="shared" si="126"/>
        <v/>
      </c>
      <c r="AE272" s="289" t="str">
        <f t="shared" si="130"/>
        <v/>
      </c>
      <c r="AF272" s="290" t="str">
        <f t="shared" si="127"/>
        <v/>
      </c>
      <c r="AG272" s="291"/>
      <c r="AH272" s="296"/>
      <c r="AI272" s="297"/>
      <c r="AJ272" s="303"/>
      <c r="AK272" s="303"/>
      <c r="AL272" s="296"/>
      <c r="AM272" s="297"/>
    </row>
    <row r="273" spans="1:43" ht="69.599999999999994" customHeight="1" x14ac:dyDescent="0.3">
      <c r="A273" s="2114"/>
      <c r="B273" s="2157"/>
      <c r="C273" s="2157"/>
      <c r="D273" s="2160"/>
      <c r="E273" s="298"/>
      <c r="F273" s="2125"/>
      <c r="G273" s="2017"/>
      <c r="H273" s="2125"/>
      <c r="I273" s="2128"/>
      <c r="J273" s="2131"/>
      <c r="K273" s="2111"/>
      <c r="L273" s="2108"/>
      <c r="M273" s="2134"/>
      <c r="N273" s="2108">
        <f>IF(NOT(ISERROR(MATCH(M273,_xlfn.ANCHORARRAY(F284),0))),L286&amp;"Por favor no seleccionar los criterios de impacto",M273)</f>
        <v>0</v>
      </c>
      <c r="O273" s="2111"/>
      <c r="P273" s="2108"/>
      <c r="Q273" s="2016"/>
      <c r="R273" s="283">
        <v>6</v>
      </c>
      <c r="S273" s="302"/>
      <c r="T273" s="285" t="str">
        <f t="shared" si="128"/>
        <v/>
      </c>
      <c r="U273" s="286"/>
      <c r="V273" s="286"/>
      <c r="W273" s="287" t="str">
        <f t="shared" si="124"/>
        <v/>
      </c>
      <c r="X273" s="286"/>
      <c r="Y273" s="286"/>
      <c r="Z273" s="286"/>
      <c r="AA273" s="744" t="str">
        <f t="shared" si="131"/>
        <v/>
      </c>
      <c r="AB273" s="288" t="str">
        <f t="shared" si="125"/>
        <v/>
      </c>
      <c r="AC273" s="289" t="str">
        <f t="shared" si="129"/>
        <v/>
      </c>
      <c r="AD273" s="288" t="str">
        <f t="shared" si="126"/>
        <v/>
      </c>
      <c r="AE273" s="289" t="str">
        <f t="shared" si="130"/>
        <v/>
      </c>
      <c r="AF273" s="290" t="str">
        <f t="shared" si="127"/>
        <v/>
      </c>
      <c r="AG273" s="291"/>
      <c r="AH273" s="296"/>
      <c r="AI273" s="297"/>
      <c r="AJ273" s="303"/>
      <c r="AK273" s="303"/>
      <c r="AL273" s="296"/>
      <c r="AM273" s="297"/>
    </row>
    <row r="274" spans="1:43" ht="69.599999999999994" customHeight="1" x14ac:dyDescent="0.3">
      <c r="A274" s="428"/>
      <c r="B274" s="429"/>
      <c r="C274" s="429"/>
      <c r="D274" s="429"/>
      <c r="E274" s="429"/>
      <c r="F274" s="241"/>
      <c r="G274" s="241"/>
      <c r="H274" s="429"/>
      <c r="I274" s="430"/>
      <c r="J274" s="431"/>
      <c r="K274" s="432"/>
      <c r="L274" s="433"/>
      <c r="M274" s="432"/>
      <c r="N274" s="431"/>
      <c r="O274" s="432"/>
      <c r="P274" s="434"/>
      <c r="Q274" s="239"/>
      <c r="R274" s="435"/>
      <c r="S274" s="436"/>
      <c r="T274" s="437"/>
      <c r="U274" s="437"/>
      <c r="V274" s="438"/>
      <c r="W274" s="437"/>
      <c r="X274" s="437"/>
      <c r="Y274" s="437"/>
      <c r="Z274" s="439"/>
      <c r="AA274" s="440"/>
      <c r="AB274" s="441"/>
      <c r="AC274" s="440"/>
      <c r="AD274" s="441"/>
      <c r="AE274" s="442"/>
      <c r="AF274" s="437"/>
      <c r="AG274" s="429"/>
      <c r="AH274" s="429"/>
      <c r="AI274" s="443"/>
      <c r="AJ274" s="444"/>
      <c r="AK274" s="429"/>
      <c r="AL274" s="430"/>
    </row>
    <row r="275" spans="1:43" ht="69.599999999999994" customHeight="1" x14ac:dyDescent="0.3">
      <c r="A275" s="2343" t="s">
        <v>156</v>
      </c>
      <c r="B275" s="2344"/>
      <c r="C275" s="2344"/>
      <c r="D275" s="2344"/>
      <c r="E275" s="2344"/>
      <c r="F275" s="2344"/>
      <c r="G275" s="2344"/>
      <c r="H275" s="2344"/>
      <c r="I275" s="2344"/>
      <c r="J275" s="2344"/>
      <c r="K275" s="2344"/>
      <c r="L275" s="2344"/>
      <c r="M275" s="2344"/>
      <c r="N275" s="2344"/>
      <c r="O275" s="2344"/>
      <c r="P275" s="2344"/>
      <c r="Q275" s="2344"/>
      <c r="R275" s="2344"/>
      <c r="S275" s="2344"/>
      <c r="T275" s="2344"/>
      <c r="U275" s="2344"/>
      <c r="V275" s="2344"/>
      <c r="W275" s="2344"/>
      <c r="X275" s="2344"/>
      <c r="Y275" s="2344"/>
      <c r="Z275" s="2344"/>
      <c r="AA275" s="2344"/>
      <c r="AB275" s="2344"/>
      <c r="AC275" s="2344"/>
      <c r="AD275" s="2344"/>
      <c r="AE275" s="2344"/>
      <c r="AF275" s="2344"/>
      <c r="AG275" s="2344"/>
      <c r="AH275" s="2344"/>
      <c r="AI275" s="2344"/>
      <c r="AJ275" s="2344"/>
      <c r="AK275" s="2344"/>
      <c r="AL275" s="2345"/>
    </row>
    <row r="276" spans="1:43" ht="69.599999999999994" customHeight="1" x14ac:dyDescent="0.3">
      <c r="A276" s="2346"/>
      <c r="B276" s="2347"/>
      <c r="C276" s="2347"/>
      <c r="D276" s="2347"/>
      <c r="E276" s="2347"/>
      <c r="F276" s="2347"/>
      <c r="G276" s="2347"/>
      <c r="H276" s="2347"/>
      <c r="I276" s="2347"/>
      <c r="J276" s="2347"/>
      <c r="K276" s="2347"/>
      <c r="L276" s="2347"/>
      <c r="M276" s="2347"/>
      <c r="N276" s="2347"/>
      <c r="O276" s="2347"/>
      <c r="P276" s="2347"/>
      <c r="Q276" s="2347"/>
      <c r="R276" s="2347"/>
      <c r="S276" s="2347"/>
      <c r="T276" s="2347"/>
      <c r="U276" s="2347"/>
      <c r="V276" s="2347"/>
      <c r="W276" s="2347"/>
      <c r="X276" s="2347"/>
      <c r="Y276" s="2347"/>
      <c r="Z276" s="2347"/>
      <c r="AA276" s="2347"/>
      <c r="AB276" s="2347"/>
      <c r="AC276" s="2347"/>
      <c r="AD276" s="2347"/>
      <c r="AE276" s="2347"/>
      <c r="AF276" s="2347"/>
      <c r="AG276" s="2347"/>
      <c r="AH276" s="2347"/>
      <c r="AI276" s="2347"/>
      <c r="AJ276" s="2347"/>
      <c r="AK276" s="2347"/>
      <c r="AL276" s="2348"/>
    </row>
    <row r="277" spans="1:43" ht="69.599999999999994" customHeight="1" x14ac:dyDescent="0.3">
      <c r="A277" s="703"/>
      <c r="B277" s="704"/>
      <c r="C277" s="703"/>
      <c r="D277" s="703"/>
      <c r="E277" s="703"/>
      <c r="F277" s="700"/>
      <c r="G277" s="700"/>
      <c r="H277" s="705"/>
      <c r="I277" s="700"/>
      <c r="J277" s="700"/>
      <c r="K277" s="700"/>
      <c r="L277" s="700"/>
      <c r="M277" s="700"/>
      <c r="N277" s="700"/>
      <c r="O277" s="700"/>
      <c r="P277" s="700"/>
      <c r="Q277" s="700"/>
      <c r="R277" s="700"/>
      <c r="S277" s="700"/>
      <c r="T277" s="700"/>
      <c r="U277" s="700"/>
      <c r="V277" s="700"/>
      <c r="W277" s="700"/>
      <c r="X277" s="700"/>
      <c r="Y277" s="700"/>
      <c r="Z277" s="700"/>
      <c r="AA277" s="700"/>
      <c r="AB277" s="700"/>
      <c r="AC277" s="700"/>
      <c r="AD277" s="700"/>
      <c r="AE277" s="700"/>
      <c r="AF277" s="700"/>
      <c r="AG277" s="700"/>
      <c r="AH277" s="700"/>
      <c r="AI277" s="700"/>
      <c r="AJ277" s="700"/>
      <c r="AK277" s="700"/>
      <c r="AL277" s="700"/>
    </row>
    <row r="278" spans="1:43" ht="69.599999999999994" customHeight="1" x14ac:dyDescent="0.3">
      <c r="A278" s="2349" t="s">
        <v>157</v>
      </c>
      <c r="B278" s="2350"/>
      <c r="C278" s="2831" t="s">
        <v>481</v>
      </c>
      <c r="D278" s="2832"/>
      <c r="E278" s="2832"/>
      <c r="F278" s="2832"/>
      <c r="G278" s="2832"/>
      <c r="H278" s="2832"/>
      <c r="I278" s="2832"/>
      <c r="J278" s="2832"/>
      <c r="K278" s="2832"/>
      <c r="L278" s="2832"/>
      <c r="M278" s="2832"/>
      <c r="N278" s="2832"/>
      <c r="O278" s="2832"/>
      <c r="P278" s="2832"/>
      <c r="Q278" s="2832"/>
      <c r="R278" s="2832"/>
      <c r="S278" s="2832"/>
      <c r="T278" s="2832"/>
      <c r="U278" s="2832"/>
      <c r="V278" s="2832"/>
      <c r="W278" s="2832"/>
      <c r="X278" s="2832"/>
      <c r="Y278" s="2832"/>
      <c r="Z278" s="2832"/>
      <c r="AA278" s="2832"/>
      <c r="AB278" s="2832"/>
      <c r="AC278" s="2832"/>
      <c r="AD278" s="2832"/>
      <c r="AE278" s="2832"/>
      <c r="AF278" s="2832"/>
      <c r="AG278" s="2832"/>
      <c r="AH278" s="2832"/>
      <c r="AI278" s="2832"/>
      <c r="AJ278" s="2832"/>
      <c r="AK278" s="2832"/>
      <c r="AL278" s="2833"/>
    </row>
    <row r="279" spans="1:43" ht="69.599999999999994" customHeight="1" x14ac:dyDescent="0.3">
      <c r="A279" s="2349" t="s">
        <v>158</v>
      </c>
      <c r="B279" s="2350"/>
      <c r="C279" s="2039" t="s">
        <v>482</v>
      </c>
      <c r="D279" s="2039"/>
      <c r="E279" s="2039"/>
      <c r="F279" s="2039"/>
      <c r="G279" s="2039"/>
      <c r="H279" s="2039"/>
      <c r="I279" s="2039"/>
      <c r="J279" s="2039"/>
      <c r="K279" s="2039"/>
      <c r="L279" s="2039"/>
      <c r="M279" s="2039"/>
      <c r="N279" s="2039"/>
      <c r="O279" s="2039"/>
      <c r="P279" s="2039"/>
      <c r="Q279" s="2039"/>
      <c r="R279" s="2039"/>
      <c r="S279" s="2039"/>
      <c r="T279" s="2039"/>
      <c r="U279" s="2039"/>
      <c r="V279" s="2039"/>
      <c r="W279" s="2039"/>
      <c r="X279" s="2039"/>
      <c r="Y279" s="2039"/>
      <c r="Z279" s="2039"/>
      <c r="AA279" s="2039"/>
      <c r="AB279" s="2039"/>
      <c r="AC279" s="2039"/>
      <c r="AD279" s="2039"/>
      <c r="AE279" s="2039"/>
      <c r="AF279" s="2039"/>
      <c r="AG279" s="2039"/>
      <c r="AH279" s="2039"/>
      <c r="AI279" s="2039"/>
      <c r="AJ279" s="2039"/>
      <c r="AK279" s="2039"/>
      <c r="AL279" s="2039"/>
    </row>
    <row r="280" spans="1:43" ht="69.599999999999994" customHeight="1" x14ac:dyDescent="0.3">
      <c r="A280" s="2349" t="s">
        <v>159</v>
      </c>
      <c r="B280" s="2350"/>
      <c r="C280" s="2040"/>
      <c r="D280" s="2040"/>
      <c r="E280" s="2040"/>
      <c r="F280" s="2040"/>
      <c r="G280" s="2040"/>
      <c r="H280" s="2040"/>
      <c r="I280" s="2040"/>
      <c r="J280" s="2040"/>
      <c r="K280" s="2040"/>
      <c r="L280" s="2040"/>
      <c r="M280" s="2040"/>
      <c r="N280" s="2040"/>
      <c r="O280" s="2040"/>
      <c r="P280" s="2040"/>
      <c r="Q280" s="2040"/>
      <c r="R280" s="2040"/>
      <c r="S280" s="2040"/>
      <c r="T280" s="2040"/>
      <c r="U280" s="2040"/>
      <c r="V280" s="2040"/>
      <c r="W280" s="2040"/>
      <c r="X280" s="2040"/>
      <c r="Y280" s="2040"/>
      <c r="Z280" s="2040"/>
      <c r="AA280" s="2040"/>
      <c r="AB280" s="2040"/>
      <c r="AC280" s="2040"/>
      <c r="AD280" s="2040"/>
      <c r="AE280" s="2040"/>
      <c r="AF280" s="2040"/>
      <c r="AG280" s="2040"/>
      <c r="AH280" s="2040"/>
      <c r="AI280" s="2040"/>
      <c r="AJ280" s="2040"/>
      <c r="AK280" s="2040"/>
      <c r="AL280" s="2040"/>
    </row>
    <row r="281" spans="1:43" ht="69.599999999999994" customHeight="1" x14ac:dyDescent="0.3">
      <c r="A281" s="2351" t="s">
        <v>160</v>
      </c>
      <c r="B281" s="2352"/>
      <c r="C281" s="2353"/>
      <c r="D281" s="2353"/>
      <c r="E281" s="2353"/>
      <c r="F281" s="2353"/>
      <c r="G281" s="2353"/>
      <c r="H281" s="2353"/>
      <c r="I281" s="2354"/>
      <c r="J281" s="2101" t="s">
        <v>161</v>
      </c>
      <c r="K281" s="2353"/>
      <c r="L281" s="2353"/>
      <c r="M281" s="2353"/>
      <c r="N281" s="2353"/>
      <c r="O281" s="2353"/>
      <c r="P281" s="2354"/>
      <c r="Q281" s="2101" t="s">
        <v>162</v>
      </c>
      <c r="R281" s="2353"/>
      <c r="S281" s="2353"/>
      <c r="T281" s="2353"/>
      <c r="U281" s="2353"/>
      <c r="V281" s="2353"/>
      <c r="W281" s="2353"/>
      <c r="X281" s="2353"/>
      <c r="Y281" s="2354"/>
      <c r="Z281" s="2101" t="s">
        <v>163</v>
      </c>
      <c r="AA281" s="2353"/>
      <c r="AB281" s="2353"/>
      <c r="AC281" s="2353"/>
      <c r="AD281" s="2353"/>
      <c r="AE281" s="2353"/>
      <c r="AF281" s="2354"/>
      <c r="AG281" s="2101" t="s">
        <v>164</v>
      </c>
      <c r="AH281" s="2353"/>
      <c r="AI281" s="2353"/>
      <c r="AJ281" s="2353"/>
      <c r="AK281" s="2353"/>
      <c r="AL281" s="2354"/>
    </row>
    <row r="282" spans="1:43" ht="69.599999999999994" customHeight="1" x14ac:dyDescent="0.3">
      <c r="A282" s="2140" t="s">
        <v>165</v>
      </c>
      <c r="B282" s="2142" t="s">
        <v>142</v>
      </c>
      <c r="C282" s="2042" t="s">
        <v>166</v>
      </c>
      <c r="D282" s="2042" t="s">
        <v>167</v>
      </c>
      <c r="E282" s="2041" t="s">
        <v>168</v>
      </c>
      <c r="F282" s="2103" t="s">
        <v>60</v>
      </c>
      <c r="G282" s="2042" t="s">
        <v>610</v>
      </c>
      <c r="H282" s="280"/>
      <c r="I282" s="2041" t="s">
        <v>169</v>
      </c>
      <c r="J282" s="2042" t="s">
        <v>170</v>
      </c>
      <c r="K282" s="2105" t="s">
        <v>171</v>
      </c>
      <c r="L282" s="2100" t="s">
        <v>172</v>
      </c>
      <c r="M282" s="2041" t="s">
        <v>173</v>
      </c>
      <c r="N282" s="2041" t="s">
        <v>174</v>
      </c>
      <c r="O282" s="2102" t="s">
        <v>175</v>
      </c>
      <c r="P282" s="2100" t="s">
        <v>172</v>
      </c>
      <c r="Q282" s="2042" t="s">
        <v>176</v>
      </c>
      <c r="R282" s="2161" t="s">
        <v>177</v>
      </c>
      <c r="S282" s="2043" t="s">
        <v>178</v>
      </c>
      <c r="T282" s="2041" t="s">
        <v>179</v>
      </c>
      <c r="U282" s="2043" t="s">
        <v>180</v>
      </c>
      <c r="V282" s="2043"/>
      <c r="W282" s="2043"/>
      <c r="X282" s="2043"/>
      <c r="Y282" s="2043"/>
      <c r="Z282" s="2043"/>
      <c r="AA282" s="2099" t="s">
        <v>181</v>
      </c>
      <c r="AB282" s="2099" t="s">
        <v>182</v>
      </c>
      <c r="AC282" s="2099" t="s">
        <v>172</v>
      </c>
      <c r="AD282" s="2099" t="s">
        <v>183</v>
      </c>
      <c r="AE282" s="2099" t="s">
        <v>172</v>
      </c>
      <c r="AF282" s="2099" t="s">
        <v>184</v>
      </c>
      <c r="AG282" s="2161" t="s">
        <v>185</v>
      </c>
      <c r="AH282" s="2043" t="s">
        <v>164</v>
      </c>
      <c r="AI282" s="2043" t="s">
        <v>143</v>
      </c>
      <c r="AJ282" s="2043" t="s">
        <v>186</v>
      </c>
      <c r="AK282" s="2043" t="s">
        <v>187</v>
      </c>
      <c r="AL282" s="2043" t="s">
        <v>188</v>
      </c>
      <c r="AM282" s="2843" t="s">
        <v>189</v>
      </c>
      <c r="AN282" s="2830" t="s">
        <v>805</v>
      </c>
      <c r="AO282" s="2830" t="s">
        <v>806</v>
      </c>
      <c r="AP282" s="2830" t="s">
        <v>807</v>
      </c>
      <c r="AQ282" s="2830" t="s">
        <v>1147</v>
      </c>
    </row>
    <row r="283" spans="1:43" ht="69.599999999999994" customHeight="1" x14ac:dyDescent="0.3">
      <c r="A283" s="2141"/>
      <c r="B283" s="2142"/>
      <c r="C283" s="2043"/>
      <c r="D283" s="2043"/>
      <c r="E283" s="2105"/>
      <c r="F283" s="2104"/>
      <c r="G283" s="2043"/>
      <c r="H283" s="280" t="s">
        <v>190</v>
      </c>
      <c r="I283" s="2042"/>
      <c r="J283" s="2043"/>
      <c r="K283" s="2042"/>
      <c r="L283" s="2101"/>
      <c r="M283" s="2042"/>
      <c r="N283" s="2042"/>
      <c r="O283" s="2101"/>
      <c r="P283" s="2101"/>
      <c r="Q283" s="2043"/>
      <c r="R283" s="2162"/>
      <c r="S283" s="2043"/>
      <c r="T283" s="2042"/>
      <c r="U283" s="281" t="s">
        <v>191</v>
      </c>
      <c r="V283" s="281" t="s">
        <v>192</v>
      </c>
      <c r="W283" s="281" t="s">
        <v>193</v>
      </c>
      <c r="X283" s="281" t="s">
        <v>194</v>
      </c>
      <c r="Y283" s="281" t="s">
        <v>195</v>
      </c>
      <c r="Z283" s="281" t="s">
        <v>196</v>
      </c>
      <c r="AA283" s="2099"/>
      <c r="AB283" s="2099"/>
      <c r="AC283" s="2099"/>
      <c r="AD283" s="2099"/>
      <c r="AE283" s="2099"/>
      <c r="AF283" s="2099"/>
      <c r="AG283" s="2162"/>
      <c r="AH283" s="2043"/>
      <c r="AI283" s="2043"/>
      <c r="AJ283" s="2043"/>
      <c r="AK283" s="2043"/>
      <c r="AL283" s="2043"/>
      <c r="AM283" s="2843"/>
      <c r="AN283" s="2830"/>
      <c r="AO283" s="2830"/>
      <c r="AP283" s="2830"/>
      <c r="AQ283" s="2830"/>
    </row>
    <row r="284" spans="1:43" ht="95.4" customHeight="1" x14ac:dyDescent="0.3">
      <c r="A284" s="2112">
        <v>1</v>
      </c>
      <c r="B284" s="2237" t="s">
        <v>197</v>
      </c>
      <c r="C284" s="2237" t="s">
        <v>483</v>
      </c>
      <c r="D284" s="2355" t="s">
        <v>484</v>
      </c>
      <c r="E284" s="810" t="s">
        <v>396</v>
      </c>
      <c r="F284" s="2355" t="s">
        <v>485</v>
      </c>
      <c r="G284" s="2355"/>
      <c r="H284" s="2355" t="s">
        <v>486</v>
      </c>
      <c r="I284" s="2358" t="s">
        <v>198</v>
      </c>
      <c r="J284" s="2293">
        <v>243</v>
      </c>
      <c r="K284" s="2295" t="str">
        <f>IF(J284&lt;=0,"",IF(J284&lt;=2,"Muy Baja",IF(J284&lt;=24,"Baja",IF(J284&lt;=500,"Media",IF(J284&lt;=5000,"Alta","Muy Alta")))))</f>
        <v>Media</v>
      </c>
      <c r="L284" s="2297">
        <f>IF(K284="","",IF(K284="Muy Baja",0.2,IF(K284="Baja",0.4,IF(K284="Media",0.6,IF(K284="Alta",0.8,IF(K284="Muy Alta",1,))))))</f>
        <v>0.6</v>
      </c>
      <c r="M284" s="2299" t="s">
        <v>225</v>
      </c>
      <c r="N284" s="2297" t="str">
        <f>IF(NOT(ISERROR(MATCH(M284,'[39]Tabla Impacto'!$B$221:$B$223,0))),'[39]Tabla Impacto'!$F$223&amp;"Por favor no seleccionar los criterios de impacto(Afectación Económica o presupuestal y Pérdida Reputacional)",M284)</f>
        <v xml:space="preserve">     El riesgo afecta la imagen de la entidad con algunos usuarios de relevancia frente al logro de los objetivos</v>
      </c>
      <c r="O284" s="2295" t="str">
        <f>IF(OR(N284='[39]Tabla Impacto'!$C$11,N284='[39]Tabla Impacto'!$D$11),"Leve",IF(OR(N284='[39]Tabla Impacto'!$C$12,N284='[39]Tabla Impacto'!$D$12),"Menor",IF(OR(N284='[39]Tabla Impacto'!$C$13,N284='[39]Tabla Impacto'!$D$13),"Moderado",IF(OR(N284='[39]Tabla Impacto'!$C$14,N284='[39]Tabla Impacto'!$D$14),"Mayor",IF(OR(N284='[39]Tabla Impacto'!$C$15,N284='[39]Tabla Impacto'!$D$15),"Catastrófico","")))))</f>
        <v>Moderado</v>
      </c>
      <c r="P284" s="2297">
        <f>IF(O284="","",IF(O284="Leve",0.2,IF(O284="Menor",0.4,IF(O284="Moderado",0.6,IF(O284="Mayor",0.8,IF(O284="Catastrófico",1,))))))</f>
        <v>0.6</v>
      </c>
      <c r="Q284" s="2267" t="str">
        <f>IF(OR(AND(K284="Muy Baja",O284="Leve"),AND(K284="Muy Baja",O284="Menor"),AND(K284="Baja",O284="Leve")),"Bajo",IF(OR(AND(K284="Muy baja",O284="Moderado"),AND(K284="Baja",O284="Menor"),AND(K284="Baja",O284="Moderado"),AND(K284="Media",O284="Leve"),AND(K284="Media",O284="Menor"),AND(K284="Media",O284="Moderado"),AND(K284="Alta",O284="Leve"),AND(K284="Alta",O284="Menor")),"Moderado",IF(OR(AND(K284="Muy Baja",O284="Mayor"),AND(K284="Baja",O284="Mayor"),AND(K284="Media",O284="Mayor"),AND(K284="Alta",O284="Moderado"),AND(K284="Alta",O284="Mayor"),AND(K284="Muy Alta",O284="Leve"),AND(K284="Muy Alta",O284="Menor"),AND(K284="Muy Alta",O284="Moderado"),AND(K284="Muy Alta",O284="Mayor")),"Alto",IF(OR(AND(K284="Muy Baja",O284="Catastrófico"),AND(K284="Baja",O284="Catastrófico"),AND(K284="Media",O284="Catastrófico"),AND(K284="Alta",O284="Catastrófico"),AND(K284="Muy Alta",O284="Catastrófico")),"Extremo",""))))</f>
        <v>Moderado</v>
      </c>
      <c r="R284" s="716">
        <v>1</v>
      </c>
      <c r="S284" s="300" t="s">
        <v>487</v>
      </c>
      <c r="T284" s="718" t="str">
        <f>IF(OR(U284="Preventivo",U284="Detectivo"),"Probabilidad",IF(U284="Correctivo","Impacto",""))</f>
        <v>Probabilidad</v>
      </c>
      <c r="U284" s="719" t="s">
        <v>207</v>
      </c>
      <c r="V284" s="719" t="s">
        <v>201</v>
      </c>
      <c r="W284" s="720" t="str">
        <f>IF(AND(U284="Preventivo",V284="Automático"),"50%",IF(AND(U284="Preventivo",V284="Manual"),"40%",IF(AND(U284="Detectivo",V284="Automático"),"40%",IF(AND(U284="Detectivo",V284="Manual"),"30%",IF(AND(U284="Correctivo",V284="Automático"),"35%",IF(AND(U284="Correctivo",V284="Manual"),"25%",""))))))</f>
        <v>40%</v>
      </c>
      <c r="X284" s="719" t="s">
        <v>208</v>
      </c>
      <c r="Y284" s="719" t="s">
        <v>203</v>
      </c>
      <c r="Z284" s="719" t="s">
        <v>204</v>
      </c>
      <c r="AA284" s="721">
        <f>IFERROR(IF(T284="Probabilidad",(L284-(+L284*W284)),IF(T284="Impacto",L284,"")),"")</f>
        <v>0.36</v>
      </c>
      <c r="AB284" s="722" t="str">
        <f>IFERROR(IF(AA284="","",IF(AA284&lt;=0.2,"Muy Baja",IF(AA284&lt;=0.4,"Baja",IF(AA284&lt;=0.6,"Media",IF(AA284&lt;=0.8,"Alta","Muy Alta"))))),"")</f>
        <v>Baja</v>
      </c>
      <c r="AC284" s="723">
        <f>+AA284</f>
        <v>0.36</v>
      </c>
      <c r="AD284" s="722" t="str">
        <f>IFERROR(IF(AE284="","",IF(AE284&lt;=0.2,"Leve",IF(AE284&lt;=0.4,"Menor",IF(AE284&lt;=0.6,"Moderado",IF(AE284&lt;=0.8,"Mayor","Catastrófico"))))),"")</f>
        <v>Moderado</v>
      </c>
      <c r="AE284" s="723">
        <f>IFERROR(IF(T284="Impacto",(P284-(+P284*W284)),IF(T284="Probabilidad",P284,"")),"")</f>
        <v>0.6</v>
      </c>
      <c r="AF284" s="724" t="str">
        <f>IFERROR(IF(OR(AND(AB284="Muy Baja",AD284="Leve"),AND(AB284="Muy Baja",AD284="Menor"),AND(AB284="Baja",AD284="Leve")),"Bajo",IF(OR(AND(AB284="Muy baja",AD284="Moderado"),AND(AB284="Baja",AD284="Menor"),AND(AB284="Baja",AD284="Moderado"),AND(AB284="Media",AD284="Leve"),AND(AB284="Media",AD284="Menor"),AND(AB284="Media",AD284="Moderado"),AND(AB284="Alta",AD284="Leve"),AND(AB284="Alta",AD284="Menor")),"Moderado",IF(OR(AND(AB284="Muy Baja",AD284="Mayor"),AND(AB284="Baja",AD284="Mayor"),AND(AB284="Media",AD284="Mayor"),AND(AB284="Alta",AD284="Moderado"),AND(AB284="Alta",AD284="Mayor"),AND(AB284="Muy Alta",AD284="Leve"),AND(AB284="Muy Alta",AD284="Menor"),AND(AB284="Muy Alta",AD284="Moderado"),AND(AB284="Muy Alta",AD284="Mayor")),"Alto",IF(OR(AND(AB284="Muy Baja",AD284="Catastrófico"),AND(AB284="Baja",AD284="Catastrófico"),AND(AB284="Media",AD284="Catastrófico"),AND(AB284="Alta",AD284="Catastrófico"),AND(AB284="Muy Alta",AD284="Catastrófico")),"Extremo","")))),"")</f>
        <v>Moderado</v>
      </c>
      <c r="AG284" s="295" t="s">
        <v>205</v>
      </c>
      <c r="AH284" s="761" t="s">
        <v>808</v>
      </c>
      <c r="AI284" s="761" t="s">
        <v>488</v>
      </c>
      <c r="AJ284" s="301" t="s">
        <v>809</v>
      </c>
      <c r="AK284" s="301" t="s">
        <v>147</v>
      </c>
      <c r="AL284" s="761" t="s">
        <v>810</v>
      </c>
      <c r="AM284" s="762" t="s">
        <v>206</v>
      </c>
      <c r="AN284" s="811" t="s">
        <v>811</v>
      </c>
      <c r="AO284" s="811" t="s">
        <v>812</v>
      </c>
      <c r="AP284" s="811" t="s">
        <v>813</v>
      </c>
      <c r="AQ284" s="811" t="s">
        <v>1148</v>
      </c>
    </row>
    <row r="285" spans="1:43" ht="125.4" customHeight="1" x14ac:dyDescent="0.3">
      <c r="A285" s="2113"/>
      <c r="B285" s="2238"/>
      <c r="C285" s="2238"/>
      <c r="D285" s="2355"/>
      <c r="E285" s="810" t="s">
        <v>489</v>
      </c>
      <c r="F285" s="2355"/>
      <c r="G285" s="2355"/>
      <c r="H285" s="2355"/>
      <c r="I285" s="2359"/>
      <c r="J285" s="2294"/>
      <c r="K285" s="2296"/>
      <c r="L285" s="2298"/>
      <c r="M285" s="2300"/>
      <c r="N285" s="2298">
        <f>IF(NOT(ISERROR(MATCH(M285,_xlfn.ANCHORARRAY(G293),0))),L295&amp;"Por favor no seleccionar los criterios de impacto",M285)</f>
        <v>0</v>
      </c>
      <c r="O285" s="2296"/>
      <c r="P285" s="2298"/>
      <c r="Q285" s="2268"/>
      <c r="R285" s="716">
        <v>2</v>
      </c>
      <c r="S285" s="812" t="s">
        <v>490</v>
      </c>
      <c r="T285" s="718" t="str">
        <f>IF(OR(U285="Preventivo",U285="Detectivo"),"Probabilidad",IF(U285="Correctivo","Impacto",""))</f>
        <v>Impacto</v>
      </c>
      <c r="U285" s="719" t="s">
        <v>308</v>
      </c>
      <c r="V285" s="719" t="s">
        <v>201</v>
      </c>
      <c r="W285" s="720" t="str">
        <f t="shared" ref="W285:W286" si="132">IF(AND(U285="Preventivo",V285="Automático"),"50%",IF(AND(U285="Preventivo",V285="Manual"),"40%",IF(AND(U285="Detectivo",V285="Automático"),"40%",IF(AND(U285="Detectivo",V285="Manual"),"30%",IF(AND(U285="Correctivo",V285="Automático"),"35%",IF(AND(U285="Correctivo",V285="Manual"),"25%",""))))))</f>
        <v>25%</v>
      </c>
      <c r="X285" s="719" t="s">
        <v>202</v>
      </c>
      <c r="Y285" s="719" t="s">
        <v>210</v>
      </c>
      <c r="Z285" s="719" t="s">
        <v>298</v>
      </c>
      <c r="AA285" s="721">
        <f>IFERROR(IF(AND(T284="Probabilidad",T285="Probabilidad"),(AC284-(+AC284*W285)),IF(AND(T284="Impacto",T285="Probabilidad"),(L284-(+L284*W285)),IF(T285="Impacto",AC284,""))),"")</f>
        <v>0.36</v>
      </c>
      <c r="AB285" s="722" t="str">
        <f t="shared" ref="AB285:AB286" si="133">IFERROR(IF(AA285="","",IF(AA285&lt;=0.2,"Muy Baja",IF(AA285&lt;=0.4,"Baja",IF(AA285&lt;=0.6,"Media",IF(AA285&lt;=0.8,"Alta","Muy Alta"))))),"")</f>
        <v>Baja</v>
      </c>
      <c r="AC285" s="723">
        <f>+AA285</f>
        <v>0.36</v>
      </c>
      <c r="AD285" s="722" t="str">
        <f t="shared" ref="AD285:AD286" si="134">IFERROR(IF(AE285="","",IF(AE285&lt;=0.2,"Leve",IF(AE285&lt;=0.4,"Menor",IF(AE285&lt;=0.6,"Moderado",IF(AE285&lt;=0.8,"Mayor","Catastrófico"))))),"")</f>
        <v>Moderado</v>
      </c>
      <c r="AE285" s="723">
        <f>IFERROR(IF(AND(T284="Impacto",T285="Impacto"),(AE284-(+AE284*W285)),IF(AND(T284="Probabilidad",T285="Impacto"),(P284-(+P284*W285)),IF(T285="Probabilidad",AE284,""))),"")</f>
        <v>0.44999999999999996</v>
      </c>
      <c r="AF285" s="724" t="str">
        <f t="shared" ref="AF285:AF286" si="135">IFERROR(IF(OR(AND(AB285="Muy Baja",AD285="Leve"),AND(AB285="Muy Baja",AD285="Menor"),AND(AB285="Baja",AD285="Leve")),"Bajo",IF(OR(AND(AB285="Muy baja",AD285="Moderado"),AND(AB285="Baja",AD285="Menor"),AND(AB285="Baja",AD285="Moderado"),AND(AB285="Media",AD285="Leve"),AND(AB285="Media",AD285="Menor"),AND(AB285="Media",AD285="Moderado"),AND(AB285="Alta",AD285="Leve"),AND(AB285="Alta",AD285="Menor")),"Moderado",IF(OR(AND(AB285="Muy Baja",AD285="Mayor"),AND(AB285="Baja",AD285="Mayor"),AND(AB285="Media",AD285="Mayor"),AND(AB285="Alta",AD285="Moderado"),AND(AB285="Alta",AD285="Mayor"),AND(AB285="Muy Alta",AD285="Leve"),AND(AB285="Muy Alta",AD285="Menor"),AND(AB285="Muy Alta",AD285="Moderado"),AND(AB285="Muy Alta",AD285="Mayor")),"Alto",IF(OR(AND(AB285="Muy Baja",AD285="Catastrófico"),AND(AB285="Baja",AD285="Catastrófico"),AND(AB285="Media",AD285="Catastrófico"),AND(AB285="Alta",AD285="Catastrófico"),AND(AB285="Muy Alta",AD285="Catastrófico")),"Extremo","")))),"")</f>
        <v>Moderado</v>
      </c>
      <c r="AG285" s="295" t="s">
        <v>205</v>
      </c>
      <c r="AH285" s="300" t="s">
        <v>491</v>
      </c>
      <c r="AI285" s="761" t="s">
        <v>488</v>
      </c>
      <c r="AJ285" s="301" t="s">
        <v>814</v>
      </c>
      <c r="AK285" s="301" t="s">
        <v>147</v>
      </c>
      <c r="AL285" s="812"/>
      <c r="AM285" s="770" t="s">
        <v>206</v>
      </c>
      <c r="AN285" s="811" t="s">
        <v>815</v>
      </c>
      <c r="AO285" s="811" t="s">
        <v>815</v>
      </c>
      <c r="AP285" s="811" t="s">
        <v>815</v>
      </c>
      <c r="AQ285" s="811" t="s">
        <v>815</v>
      </c>
    </row>
    <row r="286" spans="1:43" ht="209.4" customHeight="1" x14ac:dyDescent="0.3">
      <c r="A286" s="2113"/>
      <c r="B286" s="2238"/>
      <c r="C286" s="2238"/>
      <c r="D286" s="2355"/>
      <c r="E286" s="810" t="s">
        <v>492</v>
      </c>
      <c r="F286" s="2355"/>
      <c r="G286" s="2355"/>
      <c r="H286" s="2355"/>
      <c r="I286" s="2359"/>
      <c r="J286" s="2294"/>
      <c r="K286" s="2296"/>
      <c r="L286" s="2298"/>
      <c r="M286" s="2300"/>
      <c r="N286" s="2298">
        <f>IF(NOT(ISERROR(MATCH(M286,_xlfn.ANCHORARRAY(G294),0))),L296&amp;"Por favor no seleccionar los criterios de impacto",M286)</f>
        <v>0</v>
      </c>
      <c r="O286" s="2296"/>
      <c r="P286" s="2298"/>
      <c r="Q286" s="2268"/>
      <c r="R286" s="716">
        <v>3</v>
      </c>
      <c r="S286" s="780" t="s">
        <v>493</v>
      </c>
      <c r="T286" s="718" t="str">
        <f t="shared" ref="T286" si="136">IF(OR(U286="Preventivo",U286="Detectivo"),"Probabilidad",IF(U286="Correctivo","Impacto",""))</f>
        <v>Probabilidad</v>
      </c>
      <c r="U286" s="719" t="s">
        <v>207</v>
      </c>
      <c r="V286" s="719" t="s">
        <v>201</v>
      </c>
      <c r="W286" s="720" t="str">
        <f t="shared" si="132"/>
        <v>40%</v>
      </c>
      <c r="X286" s="719" t="s">
        <v>202</v>
      </c>
      <c r="Y286" s="719" t="s">
        <v>210</v>
      </c>
      <c r="Z286" s="719" t="s">
        <v>204</v>
      </c>
      <c r="AA286" s="721">
        <f>IFERROR(IF(AND(T285="Probabilidad",T286="Probabilidad"),(AC285-(+AC285*W286)),IF(AND(T285="Impacto",T286="Probabilidad"),(AC284-(+AC284*W286)),IF(T286="Impacto",AC285,""))),"")</f>
        <v>0.216</v>
      </c>
      <c r="AB286" s="722" t="str">
        <f t="shared" si="133"/>
        <v>Baja</v>
      </c>
      <c r="AC286" s="723">
        <f t="shared" ref="AC286" si="137">+AA286</f>
        <v>0.216</v>
      </c>
      <c r="AD286" s="722" t="str">
        <f t="shared" si="134"/>
        <v>Moderado</v>
      </c>
      <c r="AE286" s="723">
        <f t="shared" ref="AE286" si="138">IFERROR(IF(AND(T285="Impacto",T286="Impacto"),(AE285-(+AE285*W286)),IF(AND(T285="Probabilidad",T286="Impacto"),(AE284-(+AE284*W286)),IF(T286="Probabilidad",AE285,""))),"")</f>
        <v>0.44999999999999996</v>
      </c>
      <c r="AF286" s="724" t="str">
        <f t="shared" si="135"/>
        <v>Moderado</v>
      </c>
      <c r="AG286" s="295"/>
      <c r="AH286" s="300" t="s">
        <v>494</v>
      </c>
      <c r="AI286" s="761" t="s">
        <v>488</v>
      </c>
      <c r="AJ286" s="301" t="s">
        <v>814</v>
      </c>
      <c r="AK286" s="301" t="s">
        <v>147</v>
      </c>
      <c r="AL286" s="761" t="s">
        <v>816</v>
      </c>
      <c r="AM286" s="770" t="s">
        <v>206</v>
      </c>
      <c r="AN286" s="811" t="s">
        <v>817</v>
      </c>
      <c r="AO286" s="811" t="s">
        <v>818</v>
      </c>
      <c r="AP286" s="811" t="s">
        <v>819</v>
      </c>
      <c r="AQ286" s="811" t="s">
        <v>1149</v>
      </c>
    </row>
    <row r="287" spans="1:43" ht="69.599999999999994" customHeight="1" x14ac:dyDescent="0.3">
      <c r="A287" s="428"/>
      <c r="B287" s="429"/>
      <c r="C287" s="429"/>
      <c r="D287" s="429"/>
      <c r="E287" s="429"/>
      <c r="F287" s="241"/>
      <c r="G287" s="241"/>
      <c r="H287" s="429"/>
      <c r="I287" s="430"/>
      <c r="J287" s="431"/>
      <c r="K287" s="432"/>
      <c r="L287" s="433"/>
      <c r="M287" s="432"/>
      <c r="N287" s="431"/>
      <c r="O287" s="432"/>
      <c r="P287" s="434"/>
      <c r="Q287" s="239"/>
      <c r="R287" s="435"/>
      <c r="S287" s="436"/>
      <c r="T287" s="437"/>
      <c r="U287" s="437"/>
      <c r="V287" s="438"/>
      <c r="W287" s="437"/>
      <c r="X287" s="437"/>
      <c r="Y287" s="437"/>
      <c r="Z287" s="439"/>
      <c r="AA287" s="440"/>
      <c r="AB287" s="441"/>
      <c r="AC287" s="440"/>
      <c r="AD287" s="441"/>
      <c r="AE287" s="442"/>
      <c r="AF287" s="437"/>
      <c r="AG287" s="429"/>
      <c r="AH287" s="429"/>
      <c r="AI287" s="443"/>
      <c r="AJ287" s="444"/>
      <c r="AK287" s="429"/>
      <c r="AL287" s="430"/>
    </row>
    <row r="288" spans="1:43" ht="33.6" customHeight="1" x14ac:dyDescent="0.3">
      <c r="A288" s="2834" t="s">
        <v>156</v>
      </c>
      <c r="B288" s="2835"/>
      <c r="C288" s="2835"/>
      <c r="D288" s="2835"/>
      <c r="E288" s="2835"/>
      <c r="F288" s="2835"/>
      <c r="G288" s="2835"/>
      <c r="H288" s="2835"/>
      <c r="I288" s="2835"/>
      <c r="J288" s="2835"/>
      <c r="K288" s="2835"/>
      <c r="L288" s="2835"/>
      <c r="M288" s="2835"/>
      <c r="N288" s="2835"/>
      <c r="O288" s="2835"/>
      <c r="P288" s="2835"/>
      <c r="Q288" s="2835"/>
      <c r="R288" s="2835"/>
      <c r="S288" s="2835"/>
      <c r="T288" s="2835"/>
      <c r="U288" s="2835"/>
      <c r="V288" s="2835"/>
      <c r="W288" s="2835"/>
      <c r="X288" s="2835"/>
      <c r="Y288" s="2835"/>
      <c r="Z288" s="2835"/>
      <c r="AA288" s="2835"/>
      <c r="AB288" s="2835"/>
      <c r="AC288" s="2835"/>
      <c r="AD288" s="2835"/>
      <c r="AE288" s="2835"/>
      <c r="AF288" s="2835"/>
      <c r="AG288" s="2835"/>
      <c r="AH288" s="2835"/>
      <c r="AI288" s="2835"/>
      <c r="AJ288" s="2835"/>
      <c r="AK288" s="2835"/>
      <c r="AL288" s="2835"/>
      <c r="AM288" s="2836"/>
      <c r="AN288" s="813"/>
      <c r="AO288" s="814"/>
      <c r="AP288" s="814"/>
      <c r="AQ288" s="814"/>
    </row>
    <row r="289" spans="1:47" ht="62.4" customHeight="1" x14ac:dyDescent="0.3">
      <c r="A289" s="2837"/>
      <c r="B289" s="2838"/>
      <c r="C289" s="2838"/>
      <c r="D289" s="2838"/>
      <c r="E289" s="2838"/>
      <c r="F289" s="2838"/>
      <c r="G289" s="2838"/>
      <c r="H289" s="2838"/>
      <c r="I289" s="2838"/>
      <c r="J289" s="2838"/>
      <c r="K289" s="2838"/>
      <c r="L289" s="2838"/>
      <c r="M289" s="2838"/>
      <c r="N289" s="2838"/>
      <c r="O289" s="2838"/>
      <c r="P289" s="2838"/>
      <c r="Q289" s="2838"/>
      <c r="R289" s="2838"/>
      <c r="S289" s="2838"/>
      <c r="T289" s="2838"/>
      <c r="U289" s="2838"/>
      <c r="V289" s="2838"/>
      <c r="W289" s="2838"/>
      <c r="X289" s="2838"/>
      <c r="Y289" s="2838"/>
      <c r="Z289" s="2838"/>
      <c r="AA289" s="2838"/>
      <c r="AB289" s="2838"/>
      <c r="AC289" s="2838"/>
      <c r="AD289" s="2838"/>
      <c r="AE289" s="2838"/>
      <c r="AF289" s="2838"/>
      <c r="AG289" s="2838"/>
      <c r="AH289" s="2838"/>
      <c r="AI289" s="2838"/>
      <c r="AJ289" s="2838"/>
      <c r="AK289" s="2838"/>
      <c r="AL289" s="2838"/>
      <c r="AM289" s="2839"/>
      <c r="AN289" s="813"/>
      <c r="AO289" s="814"/>
      <c r="AP289" s="814"/>
      <c r="AQ289" s="814"/>
      <c r="AR289" s="814"/>
      <c r="AS289" s="814"/>
      <c r="AT289" s="814"/>
      <c r="AU289" s="814"/>
    </row>
    <row r="290" spans="1:47" x14ac:dyDescent="0.3">
      <c r="A290" s="815"/>
      <c r="B290" s="816"/>
      <c r="C290" s="815"/>
      <c r="D290" s="815"/>
      <c r="E290" s="815"/>
      <c r="F290" s="814"/>
      <c r="G290" s="814"/>
      <c r="H290" s="814"/>
      <c r="I290" s="817"/>
      <c r="J290" s="814"/>
      <c r="K290" s="814"/>
      <c r="L290" s="814"/>
      <c r="M290" s="814"/>
      <c r="N290" s="814"/>
      <c r="O290" s="814"/>
      <c r="P290" s="814"/>
      <c r="Q290" s="814"/>
      <c r="R290" s="814"/>
      <c r="S290" s="814"/>
      <c r="T290" s="814"/>
      <c r="U290" s="814"/>
      <c r="V290" s="814"/>
      <c r="W290" s="814"/>
      <c r="X290" s="814"/>
      <c r="Y290" s="814"/>
      <c r="Z290" s="814"/>
      <c r="AA290" s="814"/>
      <c r="AB290" s="814"/>
      <c r="AC290" s="814"/>
      <c r="AD290" s="814"/>
      <c r="AE290" s="814"/>
      <c r="AF290" s="814"/>
      <c r="AG290" s="814"/>
      <c r="AH290" s="814"/>
      <c r="AI290" s="814"/>
      <c r="AJ290" s="814"/>
      <c r="AK290" s="814"/>
      <c r="AL290" s="814"/>
      <c r="AM290" s="814"/>
      <c r="AN290" s="815"/>
      <c r="AO290" s="814"/>
      <c r="AP290" s="815"/>
      <c r="AQ290" s="814"/>
      <c r="AR290" s="815"/>
      <c r="AS290" s="814"/>
      <c r="AT290" s="815"/>
      <c r="AU290" s="814"/>
    </row>
    <row r="291" spans="1:47" ht="69.599999999999994" customHeight="1" x14ac:dyDescent="0.3">
      <c r="A291" s="2840" t="s">
        <v>157</v>
      </c>
      <c r="B291" s="2841"/>
      <c r="C291" s="2842" t="s">
        <v>246</v>
      </c>
      <c r="D291" s="2842"/>
      <c r="E291" s="2842"/>
      <c r="F291" s="2842"/>
      <c r="G291" s="2842"/>
      <c r="H291" s="2842"/>
      <c r="I291" s="2842"/>
      <c r="J291" s="2842"/>
      <c r="K291" s="2842"/>
      <c r="L291" s="2842"/>
      <c r="M291" s="2842"/>
      <c r="N291" s="2842"/>
      <c r="O291" s="2842"/>
      <c r="P291" s="2842"/>
      <c r="Q291" s="2842"/>
      <c r="R291" s="2842"/>
      <c r="S291" s="2842"/>
      <c r="T291" s="2842"/>
      <c r="U291" s="2842"/>
      <c r="V291" s="2842"/>
      <c r="W291" s="2842"/>
      <c r="X291" s="2842"/>
      <c r="Y291" s="2842"/>
      <c r="Z291" s="2842"/>
      <c r="AA291" s="2842"/>
      <c r="AB291" s="2842"/>
      <c r="AC291" s="2842"/>
      <c r="AD291" s="2842"/>
      <c r="AE291" s="2842"/>
      <c r="AF291" s="2842"/>
      <c r="AG291" s="2842"/>
      <c r="AH291" s="2842"/>
      <c r="AI291" s="2842"/>
      <c r="AJ291" s="2842"/>
      <c r="AK291" s="2842"/>
      <c r="AL291" s="2842"/>
      <c r="AM291" s="2842"/>
      <c r="AN291" s="818"/>
      <c r="AO291" s="814"/>
      <c r="AP291" s="814"/>
      <c r="AQ291" s="814"/>
      <c r="AR291" s="814"/>
      <c r="AS291" s="814"/>
      <c r="AT291" s="814"/>
      <c r="AU291" s="814"/>
    </row>
    <row r="292" spans="1:47" ht="69.599999999999994" customHeight="1" x14ac:dyDescent="0.3">
      <c r="A292" s="2840" t="s">
        <v>158</v>
      </c>
      <c r="B292" s="2841"/>
      <c r="C292" s="2844" t="s">
        <v>247</v>
      </c>
      <c r="D292" s="2844"/>
      <c r="E292" s="2844"/>
      <c r="F292" s="2844"/>
      <c r="G292" s="2844"/>
      <c r="H292" s="2844"/>
      <c r="I292" s="2844"/>
      <c r="J292" s="2844"/>
      <c r="K292" s="2844"/>
      <c r="L292" s="2844"/>
      <c r="M292" s="2844"/>
      <c r="N292" s="2844"/>
      <c r="O292" s="2844"/>
      <c r="P292" s="2844"/>
      <c r="Q292" s="2844"/>
      <c r="R292" s="2844"/>
      <c r="S292" s="2844"/>
      <c r="T292" s="2844"/>
      <c r="U292" s="2844"/>
      <c r="V292" s="2844"/>
      <c r="W292" s="2844"/>
      <c r="X292" s="2844"/>
      <c r="Y292" s="2844"/>
      <c r="Z292" s="2844"/>
      <c r="AA292" s="2844"/>
      <c r="AB292" s="2844"/>
      <c r="AC292" s="2844"/>
      <c r="AD292" s="2844"/>
      <c r="AE292" s="2844"/>
      <c r="AF292" s="2844"/>
      <c r="AG292" s="2844"/>
      <c r="AH292" s="2844"/>
      <c r="AI292" s="2844"/>
      <c r="AJ292" s="2844"/>
      <c r="AK292" s="2844"/>
      <c r="AL292" s="2844"/>
      <c r="AM292" s="2844"/>
      <c r="AN292" s="819"/>
      <c r="AO292" s="814"/>
      <c r="AP292" s="814"/>
      <c r="AQ292" s="814"/>
      <c r="AR292" s="814"/>
      <c r="AS292" s="814"/>
      <c r="AT292" s="814"/>
      <c r="AU292" s="814"/>
    </row>
    <row r="293" spans="1:47" ht="69.599999999999994" customHeight="1" x14ac:dyDescent="0.3">
      <c r="A293" s="2840" t="s">
        <v>159</v>
      </c>
      <c r="B293" s="2841"/>
      <c r="C293" s="2844" t="s">
        <v>248</v>
      </c>
      <c r="D293" s="2844"/>
      <c r="E293" s="2844"/>
      <c r="F293" s="2844"/>
      <c r="G293" s="2844"/>
      <c r="H293" s="2844"/>
      <c r="I293" s="2844"/>
      <c r="J293" s="2844"/>
      <c r="K293" s="2844"/>
      <c r="L293" s="2844"/>
      <c r="M293" s="2844"/>
      <c r="N293" s="2844"/>
      <c r="O293" s="2844"/>
      <c r="P293" s="2844"/>
      <c r="Q293" s="2844"/>
      <c r="R293" s="2844"/>
      <c r="S293" s="2844"/>
      <c r="T293" s="2844"/>
      <c r="U293" s="2844"/>
      <c r="V293" s="2844"/>
      <c r="W293" s="2844"/>
      <c r="X293" s="2844"/>
      <c r="Y293" s="2844"/>
      <c r="Z293" s="2844"/>
      <c r="AA293" s="2844"/>
      <c r="AB293" s="2844"/>
      <c r="AC293" s="2844"/>
      <c r="AD293" s="2844"/>
      <c r="AE293" s="2844"/>
      <c r="AF293" s="2844"/>
      <c r="AG293" s="2844"/>
      <c r="AH293" s="2844"/>
      <c r="AI293" s="2844"/>
      <c r="AJ293" s="2844"/>
      <c r="AK293" s="2844"/>
      <c r="AL293" s="2844"/>
      <c r="AM293" s="2844"/>
      <c r="AN293" s="819"/>
      <c r="AO293" s="814"/>
      <c r="AP293" s="814"/>
      <c r="AQ293" s="814"/>
      <c r="AR293" s="814"/>
      <c r="AS293" s="814"/>
      <c r="AT293" s="814"/>
      <c r="AU293" s="814"/>
    </row>
    <row r="294" spans="1:47" ht="69.599999999999994" customHeight="1" thickBot="1" x14ac:dyDescent="0.35">
      <c r="A294" s="2845" t="s">
        <v>160</v>
      </c>
      <c r="B294" s="2846"/>
      <c r="C294" s="2838"/>
      <c r="D294" s="2838"/>
      <c r="E294" s="2838"/>
      <c r="F294" s="2838"/>
      <c r="G294" s="2838"/>
      <c r="H294" s="2838"/>
      <c r="I294" s="2838"/>
      <c r="J294" s="2839"/>
      <c r="K294" s="2837" t="s">
        <v>161</v>
      </c>
      <c r="L294" s="2838"/>
      <c r="M294" s="2838"/>
      <c r="N294" s="2838"/>
      <c r="O294" s="2838"/>
      <c r="P294" s="2838"/>
      <c r="Q294" s="2839"/>
      <c r="R294" s="2837" t="s">
        <v>162</v>
      </c>
      <c r="S294" s="2838"/>
      <c r="T294" s="2838"/>
      <c r="U294" s="2838"/>
      <c r="V294" s="2838"/>
      <c r="W294" s="2838"/>
      <c r="X294" s="2838"/>
      <c r="Y294" s="2838"/>
      <c r="Z294" s="2839"/>
      <c r="AA294" s="2837" t="s">
        <v>163</v>
      </c>
      <c r="AB294" s="2838"/>
      <c r="AC294" s="2838"/>
      <c r="AD294" s="2838"/>
      <c r="AE294" s="2838"/>
      <c r="AF294" s="2838"/>
      <c r="AG294" s="2839"/>
      <c r="AH294" s="2837" t="s">
        <v>164</v>
      </c>
      <c r="AI294" s="2838"/>
      <c r="AJ294" s="2838"/>
      <c r="AK294" s="2838"/>
      <c r="AL294" s="2838"/>
      <c r="AM294" s="2839"/>
      <c r="AN294" s="813"/>
      <c r="AO294" s="814"/>
      <c r="AP294" s="814"/>
      <c r="AQ294" s="814"/>
      <c r="AR294" s="814"/>
      <c r="AS294" s="814"/>
      <c r="AT294" s="814"/>
      <c r="AU294" s="814"/>
    </row>
    <row r="295" spans="1:47" ht="69.599999999999994" customHeight="1" x14ac:dyDescent="0.3">
      <c r="A295" s="2847" t="s">
        <v>165</v>
      </c>
      <c r="B295" s="2849" t="s">
        <v>142</v>
      </c>
      <c r="C295" s="2850" t="s">
        <v>166</v>
      </c>
      <c r="D295" s="2850" t="s">
        <v>167</v>
      </c>
      <c r="E295" s="2852" t="s">
        <v>168</v>
      </c>
      <c r="F295" s="2850" t="s">
        <v>249</v>
      </c>
      <c r="G295" s="2852" t="s">
        <v>610</v>
      </c>
      <c r="H295" s="820"/>
      <c r="I295" s="2852" t="s">
        <v>169</v>
      </c>
      <c r="J295" s="2850" t="s">
        <v>170</v>
      </c>
      <c r="K295" s="2853" t="s">
        <v>171</v>
      </c>
      <c r="L295" s="2856" t="s">
        <v>172</v>
      </c>
      <c r="M295" s="2852" t="s">
        <v>173</v>
      </c>
      <c r="N295" s="2852" t="s">
        <v>174</v>
      </c>
      <c r="O295" s="2857" t="s">
        <v>175</v>
      </c>
      <c r="P295" s="2856" t="s">
        <v>172</v>
      </c>
      <c r="Q295" s="2850" t="s">
        <v>176</v>
      </c>
      <c r="R295" s="2858" t="s">
        <v>177</v>
      </c>
      <c r="S295" s="2851" t="s">
        <v>178</v>
      </c>
      <c r="T295" s="2852" t="s">
        <v>179</v>
      </c>
      <c r="U295" s="2851" t="s">
        <v>180</v>
      </c>
      <c r="V295" s="2851"/>
      <c r="W295" s="2851"/>
      <c r="X295" s="2851"/>
      <c r="Y295" s="2851"/>
      <c r="Z295" s="2851"/>
      <c r="AA295" s="2860" t="s">
        <v>181</v>
      </c>
      <c r="AB295" s="2860" t="s">
        <v>182</v>
      </c>
      <c r="AC295" s="2860" t="s">
        <v>172</v>
      </c>
      <c r="AD295" s="2860" t="s">
        <v>183</v>
      </c>
      <c r="AE295" s="2860" t="s">
        <v>172</v>
      </c>
      <c r="AF295" s="2860" t="s">
        <v>184</v>
      </c>
      <c r="AG295" s="2858" t="s">
        <v>185</v>
      </c>
      <c r="AH295" s="2851" t="s">
        <v>164</v>
      </c>
      <c r="AI295" s="2851" t="s">
        <v>143</v>
      </c>
      <c r="AJ295" s="2851" t="s">
        <v>186</v>
      </c>
      <c r="AK295" s="2851" t="s">
        <v>187</v>
      </c>
      <c r="AL295" s="2851" t="s">
        <v>188</v>
      </c>
      <c r="AM295" s="2876" t="s">
        <v>189</v>
      </c>
      <c r="AN295" s="2847" t="s">
        <v>165</v>
      </c>
      <c r="AO295" s="2877" t="s">
        <v>820</v>
      </c>
      <c r="AP295" s="2847" t="s">
        <v>165</v>
      </c>
      <c r="AQ295" s="2877" t="s">
        <v>821</v>
      </c>
      <c r="AR295" s="2847" t="s">
        <v>165</v>
      </c>
      <c r="AS295" s="2877" t="s">
        <v>822</v>
      </c>
      <c r="AT295" s="2847" t="s">
        <v>165</v>
      </c>
      <c r="AU295" s="2877" t="s">
        <v>1150</v>
      </c>
    </row>
    <row r="296" spans="1:47" ht="69.599999999999994" customHeight="1" thickBot="1" x14ac:dyDescent="0.35">
      <c r="A296" s="2848"/>
      <c r="B296" s="2849"/>
      <c r="C296" s="2851"/>
      <c r="D296" s="2851"/>
      <c r="E296" s="2853"/>
      <c r="F296" s="2854"/>
      <c r="G296" s="2855"/>
      <c r="H296" s="821" t="s">
        <v>250</v>
      </c>
      <c r="I296" s="2850"/>
      <c r="J296" s="2851"/>
      <c r="K296" s="2850"/>
      <c r="L296" s="2837"/>
      <c r="M296" s="2850"/>
      <c r="N296" s="2850"/>
      <c r="O296" s="2837"/>
      <c r="P296" s="2837"/>
      <c r="Q296" s="2851"/>
      <c r="R296" s="2859"/>
      <c r="S296" s="2851"/>
      <c r="T296" s="2850"/>
      <c r="U296" s="822" t="s">
        <v>191</v>
      </c>
      <c r="V296" s="822" t="s">
        <v>192</v>
      </c>
      <c r="W296" s="822" t="s">
        <v>193</v>
      </c>
      <c r="X296" s="822" t="s">
        <v>194</v>
      </c>
      <c r="Y296" s="822" t="s">
        <v>195</v>
      </c>
      <c r="Z296" s="822" t="s">
        <v>196</v>
      </c>
      <c r="AA296" s="2860"/>
      <c r="AB296" s="2860"/>
      <c r="AC296" s="2860"/>
      <c r="AD296" s="2860"/>
      <c r="AE296" s="2860"/>
      <c r="AF296" s="2860"/>
      <c r="AG296" s="2859"/>
      <c r="AH296" s="2851"/>
      <c r="AI296" s="2851"/>
      <c r="AJ296" s="2851"/>
      <c r="AK296" s="2851"/>
      <c r="AL296" s="2851"/>
      <c r="AM296" s="2876"/>
      <c r="AN296" s="2848"/>
      <c r="AO296" s="2878"/>
      <c r="AP296" s="2848"/>
      <c r="AQ296" s="2878"/>
      <c r="AR296" s="2848"/>
      <c r="AS296" s="2878"/>
      <c r="AT296" s="2848"/>
      <c r="AU296" s="2878"/>
    </row>
    <row r="297" spans="1:47" ht="126.6" customHeight="1" thickBot="1" x14ac:dyDescent="0.35">
      <c r="A297" s="832">
        <v>1</v>
      </c>
      <c r="B297" s="835" t="s">
        <v>209</v>
      </c>
      <c r="C297" s="836" t="s">
        <v>251</v>
      </c>
      <c r="D297" s="837" t="s">
        <v>252</v>
      </c>
      <c r="E297" s="838" t="s">
        <v>253</v>
      </c>
      <c r="F297" s="839" t="s">
        <v>254</v>
      </c>
      <c r="G297" s="839"/>
      <c r="H297" s="840" t="s">
        <v>255</v>
      </c>
      <c r="I297" s="841" t="s">
        <v>198</v>
      </c>
      <c r="J297" s="842">
        <f>11+3</f>
        <v>14</v>
      </c>
      <c r="K297" s="843" t="str">
        <f>IF(J297&lt;=0,"",IF(J297&lt;=2,"Muy Baja",IF(J297&lt;=24,"Baja",IF(J297&lt;=500,"Media",IF(J297&lt;=5000,"Alta","Muy Alta")))))</f>
        <v>Baja</v>
      </c>
      <c r="L297" s="844">
        <f>IF(K297="","",IF(K297="Muy Baja",0.2,IF(K297="Baja",0.4,IF(K297="Media",0.6,IF(K297="Alta",0.8,IF(K297="Muy Alta",1,))))))</f>
        <v>0.4</v>
      </c>
      <c r="M297" s="845" t="s">
        <v>256</v>
      </c>
      <c r="N297" s="844" t="str">
        <f>IF(NOT(ISERROR(MATCH(M297,'[40]Tabla Impacto'!$B$221:$B$223,0))),'[40]Tabla Impacto'!$F$223&amp;"Por favor no seleccionar los criterios de impacto(Afectación Económica o presupuestal y Pérdida Reputacional)",M297)</f>
        <v xml:space="preserve">     Mayor a 10000 SMLMV</v>
      </c>
      <c r="O297" s="843" t="str">
        <f>IF(OR(N297='[40]Tabla Impacto'!$C$11,N297='[40]Tabla Impacto'!$D$11),"Leve",IF(OR(N297='[40]Tabla Impacto'!$C$12,N297='[40]Tabla Impacto'!$D$12),"Menor",IF(OR(N297='[40]Tabla Impacto'!$C$13,N297='[40]Tabla Impacto'!$D$13),"Moderado",IF(OR(N297='[40]Tabla Impacto'!$C$14,N297='[40]Tabla Impacto'!$D$14),"Mayor",IF(OR(N297='[40]Tabla Impacto'!$C$15,N297='[40]Tabla Impacto'!$D$15),"Catastrófico","")))))</f>
        <v>Catastrófico</v>
      </c>
      <c r="P297" s="844">
        <f>IF(O297="","",IF(O297="Leve",0.2,IF(O297="Menor",0.4,IF(O297="Moderado",0.6,IF(O297="Mayor",0.8,IF(O297="Catastrófico",1,))))))</f>
        <v>1</v>
      </c>
      <c r="Q297" s="846" t="str">
        <f>IF(OR(AND(K297="Muy Baja",O297="Leve"),AND(K297="Muy Baja",O297="Menor"),AND(K297="Baja",O297="Leve")),"Bajo",IF(OR(AND(K297="Muy baja",O297="Moderado"),AND(K297="Baja",O297="Menor"),AND(K297="Baja",O297="Moderado"),AND(K297="Media",O297="Leve"),AND(K297="Media",O297="Menor"),AND(K297="Media",O297="Moderado"),AND(K297="Alta",O297="Leve"),AND(K297="Alta",O297="Menor")),"Moderado",IF(OR(AND(K297="Muy Baja",O297="Mayor"),AND(K297="Baja",O297="Mayor"),AND(K297="Media",O297="Mayor"),AND(K297="Alta",O297="Moderado"),AND(K297="Alta",O297="Mayor"),AND(K297="Muy Alta",O297="Leve"),AND(K297="Muy Alta",O297="Menor"),AND(K297="Muy Alta",O297="Moderado"),AND(K297="Muy Alta",O297="Mayor")),"Alto",IF(OR(AND(K297="Muy Baja",O297="Catastrófico"),AND(K297="Baja",O297="Catastrófico"),AND(K297="Media",O297="Catastrófico"),AND(K297="Alta",O297="Catastrófico"),AND(K297="Muy Alta",O297="Catastrófico")),"Extremo",""))))</f>
        <v>Extremo</v>
      </c>
      <c r="R297" s="847">
        <v>1</v>
      </c>
      <c r="S297" s="848" t="s">
        <v>257</v>
      </c>
      <c r="T297" s="849" t="str">
        <f t="shared" ref="T297:T300" si="139">IF(OR(U297="Preventivo",U297="Detectivo"),"Probabilidad",IF(U297="Correctivo","Impacto",""))</f>
        <v>Probabilidad</v>
      </c>
      <c r="U297" s="850" t="s">
        <v>207</v>
      </c>
      <c r="V297" s="850" t="s">
        <v>201</v>
      </c>
      <c r="W297" s="851" t="str">
        <f t="shared" ref="W297:W306" si="140">IF(AND(U297="Preventivo",V297="Automático"),"50%",IF(AND(U297="Preventivo",V297="Manual"),"40%",IF(AND(U297="Detectivo",V297="Automático"),"40%",IF(AND(U297="Detectivo",V297="Manual"),"30%",IF(AND(U297="Correctivo",V297="Automático"),"35%",IF(AND(U297="Correctivo",V297="Manual"),"25%",""))))))</f>
        <v>40%</v>
      </c>
      <c r="X297" s="850" t="s">
        <v>208</v>
      </c>
      <c r="Y297" s="850" t="s">
        <v>203</v>
      </c>
      <c r="Z297" s="850" t="s">
        <v>204</v>
      </c>
      <c r="AA297" s="852">
        <f>IFERROR(IF(T297="Probabilidad",(L297-(+L297*W297)),IF(T297="Impacto",L297,"")),"")</f>
        <v>0.24</v>
      </c>
      <c r="AB297" s="853" t="str">
        <f t="shared" ref="AB297:AB306" si="141">IFERROR(IF(AA297="","",IF(AA297&lt;=0.2,"Muy Baja",IF(AA297&lt;=0.4,"Baja",IF(AA297&lt;=0.6,"Media",IF(AA297&lt;=0.8,"Alta","Muy Alta"))))),"")</f>
        <v>Baja</v>
      </c>
      <c r="AC297" s="834">
        <f t="shared" ref="AC297:AC306" si="142">+AA297</f>
        <v>0.24</v>
      </c>
      <c r="AD297" s="853" t="str">
        <f t="shared" ref="AD297:AD306" si="143">IFERROR(IF(AE297="","",IF(AE297&lt;=0.2,"Leve",IF(AE297&lt;=0.4,"Menor",IF(AE297&lt;=0.6,"Moderado",IF(AE297&lt;=0.8,"Mayor","Catastrófico"))))),"")</f>
        <v>Catastrófico</v>
      </c>
      <c r="AE297" s="834">
        <f>IFERROR(IF(T297="Impacto",(P297-(+P297*W297)),IF(T297="Probabilidad",P297,"")),"")</f>
        <v>1</v>
      </c>
      <c r="AF297" s="854" t="str">
        <f t="shared" ref="AF297:AF306" si="144">IFERROR(IF(OR(AND(AB297="Muy Baja",AD297="Leve"),AND(AB297="Muy Baja",AD297="Menor"),AND(AB297="Baja",AD297="Leve")),"Bajo",IF(OR(AND(AB297="Muy baja",AD297="Moderado"),AND(AB297="Baja",AD297="Menor"),AND(AB297="Baja",AD297="Moderado"),AND(AB297="Media",AD297="Leve"),AND(AB297="Media",AD297="Menor"),AND(AB297="Media",AD297="Moderado"),AND(AB297="Alta",AD297="Leve"),AND(AB297="Alta",AD297="Menor")),"Moderado",IF(OR(AND(AB297="Muy Baja",AD297="Mayor"),AND(AB297="Baja",AD297="Mayor"),AND(AB297="Media",AD297="Mayor"),AND(AB297="Alta",AD297="Moderado"),AND(AB297="Alta",AD297="Mayor"),AND(AB297="Muy Alta",AD297="Leve"),AND(AB297="Muy Alta",AD297="Menor"),AND(AB297="Muy Alta",AD297="Moderado"),AND(AB297="Muy Alta",AD297="Mayor")),"Alto",IF(OR(AND(AB297="Muy Baja",AD297="Catastrófico"),AND(AB297="Baja",AD297="Catastrófico"),AND(AB297="Media",AD297="Catastrófico"),AND(AB297="Alta",AD297="Catastrófico"),AND(AB297="Muy Alta",AD297="Catastrófico")),"Extremo","")))),"")</f>
        <v>Extremo</v>
      </c>
      <c r="AG297" s="833" t="s">
        <v>205</v>
      </c>
      <c r="AH297" s="855" t="s">
        <v>823</v>
      </c>
      <c r="AI297" s="825" t="s">
        <v>258</v>
      </c>
      <c r="AJ297" s="826">
        <v>45352</v>
      </c>
      <c r="AK297" s="827"/>
      <c r="AL297" s="825"/>
      <c r="AM297" s="828" t="s">
        <v>206</v>
      </c>
      <c r="AN297" s="823">
        <v>1</v>
      </c>
      <c r="AO297" s="829" t="s">
        <v>824</v>
      </c>
      <c r="AP297" s="823">
        <v>1</v>
      </c>
      <c r="AQ297" s="829" t="s">
        <v>825</v>
      </c>
      <c r="AR297" s="823">
        <v>1</v>
      </c>
      <c r="AS297" s="829" t="s">
        <v>826</v>
      </c>
      <c r="AT297" s="823">
        <v>1</v>
      </c>
      <c r="AU297" s="829" t="s">
        <v>1151</v>
      </c>
    </row>
    <row r="298" spans="1:47" ht="103.2" customHeight="1" thickBot="1" x14ac:dyDescent="0.35">
      <c r="A298" s="832">
        <v>2</v>
      </c>
      <c r="B298" s="835" t="s">
        <v>209</v>
      </c>
      <c r="C298" s="856" t="s">
        <v>259</v>
      </c>
      <c r="D298" s="857" t="s">
        <v>260</v>
      </c>
      <c r="E298" s="858" t="s">
        <v>261</v>
      </c>
      <c r="F298" s="839" t="s">
        <v>262</v>
      </c>
      <c r="G298" s="839"/>
      <c r="H298" s="839" t="s">
        <v>263</v>
      </c>
      <c r="I298" s="841" t="s">
        <v>198</v>
      </c>
      <c r="J298" s="842">
        <v>120000</v>
      </c>
      <c r="K298" s="843" t="str">
        <f>IF(J298&lt;=0,"",IF(J298&lt;=2,"Muy Baja",IF(J298&lt;=24,"Baja",IF(J298&lt;=500,"Media",IF(J298&lt;=5000,"Alta","Muy Alta")))))</f>
        <v>Muy Alta</v>
      </c>
      <c r="L298" s="844">
        <f>IF(K298="","",IF(K298="Muy Baja",0.2,IF(K298="Baja",0.4,IF(K298="Media",0.6,IF(K298="Alta",0.8,IF(K298="Muy Alta",1,))))))</f>
        <v>1</v>
      </c>
      <c r="M298" s="845" t="s">
        <v>225</v>
      </c>
      <c r="N298" s="844" t="str">
        <f>IF(NOT(ISERROR(MATCH(M298,'[40]Tabla Impacto'!$B$221:$B$223,0))),'[40]Tabla Impacto'!$F$223&amp;"Por favor no seleccionar los criterios de impacto(Afectación Económica o presupuestal y Pérdida Reputacional)",M298)</f>
        <v xml:space="preserve">     El riesgo afecta la imagen de la entidad con algunos usuarios de relevancia frente al logro de los objetivos</v>
      </c>
      <c r="O298" s="843" t="str">
        <f>IF(OR(N298='[40]Tabla Impacto'!$C$11,N298='[40]Tabla Impacto'!$D$11),"Leve",IF(OR(N298='[40]Tabla Impacto'!$C$12,N298='[40]Tabla Impacto'!$D$12),"Menor",IF(OR(N298='[40]Tabla Impacto'!$C$13,N298='[40]Tabla Impacto'!$D$13),"Moderado",IF(OR(N298='[40]Tabla Impacto'!$C$14,N298='[40]Tabla Impacto'!$D$14),"Mayor",IF(OR(N298='[40]Tabla Impacto'!$C$15,N298='[40]Tabla Impacto'!$D$15),"Catastrófico","")))))</f>
        <v>Moderado</v>
      </c>
      <c r="P298" s="844">
        <f>IF(O298="","",IF(O298="Leve",0.2,IF(O298="Menor",0.4,IF(O298="Moderado",0.6,IF(O298="Mayor",0.8,IF(O298="Catastrófico",1,))))))</f>
        <v>0.6</v>
      </c>
      <c r="Q298" s="846" t="str">
        <f>IF(OR(AND(K298="Muy Baja",O298="Leve"),AND(K298="Muy Baja",O298="Menor"),AND(K298="Baja",O298="Leve")),"Bajo",IF(OR(AND(K298="Muy baja",O298="Moderado"),AND(K298="Baja",O298="Menor"),AND(K298="Baja",O298="Moderado"),AND(K298="Media",O298="Leve"),AND(K298="Media",O298="Menor"),AND(K298="Media",O298="Moderado"),AND(K298="Alta",O298="Leve"),AND(K298="Alta",O298="Menor")),"Moderado",IF(OR(AND(K298="Muy Baja",O298="Mayor"),AND(K298="Baja",O298="Mayor"),AND(K298="Media",O298="Mayor"),AND(K298="Alta",O298="Moderado"),AND(K298="Alta",O298="Mayor"),AND(K298="Muy Alta",O298="Leve"),AND(K298="Muy Alta",O298="Menor"),AND(K298="Muy Alta",O298="Moderado"),AND(K298="Muy Alta",O298="Mayor")),"Alto",IF(OR(AND(K298="Muy Baja",O298="Catastrófico"),AND(K298="Baja",O298="Catastrófico"),AND(K298="Media",O298="Catastrófico"),AND(K298="Alta",O298="Catastrófico"),AND(K298="Muy Alta",O298="Catastrófico")),"Extremo",""))))</f>
        <v>Alto</v>
      </c>
      <c r="R298" s="859">
        <v>1</v>
      </c>
      <c r="S298" s="848" t="s">
        <v>264</v>
      </c>
      <c r="T298" s="860" t="str">
        <f t="shared" si="139"/>
        <v>Probabilidad</v>
      </c>
      <c r="U298" s="861" t="s">
        <v>207</v>
      </c>
      <c r="V298" s="861" t="s">
        <v>201</v>
      </c>
      <c r="W298" s="862" t="str">
        <f t="shared" si="140"/>
        <v>40%</v>
      </c>
      <c r="X298" s="863" t="s">
        <v>208</v>
      </c>
      <c r="Y298" s="863" t="s">
        <v>203</v>
      </c>
      <c r="Z298" s="861" t="s">
        <v>204</v>
      </c>
      <c r="AA298" s="864">
        <f>IFERROR(IF(T298="Probabilidad",(L298-(+L298*W298)),IF(T298="Impacto",L298,"")),"")</f>
        <v>0.6</v>
      </c>
      <c r="AB298" s="853" t="str">
        <f t="shared" si="141"/>
        <v>Media</v>
      </c>
      <c r="AC298" s="865">
        <f t="shared" si="142"/>
        <v>0.6</v>
      </c>
      <c r="AD298" s="853" t="str">
        <f t="shared" si="143"/>
        <v>Moderado</v>
      </c>
      <c r="AE298" s="865">
        <f>IFERROR(IF(T298="Impacto",(P298-(+P298*W298)),IF(T298="Probabilidad",P298,"")),"")</f>
        <v>0.6</v>
      </c>
      <c r="AF298" s="854" t="str">
        <f t="shared" si="144"/>
        <v>Moderado</v>
      </c>
      <c r="AG298" s="866" t="s">
        <v>205</v>
      </c>
      <c r="AH298" s="855" t="s">
        <v>827</v>
      </c>
      <c r="AI298" s="825" t="s">
        <v>828</v>
      </c>
      <c r="AJ298" s="826">
        <v>45352</v>
      </c>
      <c r="AK298" s="827"/>
      <c r="AL298" s="825"/>
      <c r="AM298" s="828" t="s">
        <v>206</v>
      </c>
      <c r="AN298" s="823">
        <v>2</v>
      </c>
      <c r="AO298" s="830" t="s">
        <v>829</v>
      </c>
      <c r="AP298" s="823">
        <v>2</v>
      </c>
      <c r="AQ298" s="830" t="s">
        <v>830</v>
      </c>
      <c r="AR298" s="823">
        <v>2</v>
      </c>
      <c r="AS298" s="830" t="s">
        <v>1152</v>
      </c>
      <c r="AT298" s="823">
        <v>2</v>
      </c>
      <c r="AU298" s="830" t="s">
        <v>1153</v>
      </c>
    </row>
    <row r="299" spans="1:47" ht="69.599999999999994" customHeight="1" thickBot="1" x14ac:dyDescent="0.35">
      <c r="A299" s="832">
        <v>3</v>
      </c>
      <c r="B299" s="835" t="s">
        <v>197</v>
      </c>
      <c r="C299" s="836" t="s">
        <v>265</v>
      </c>
      <c r="D299" s="837" t="s">
        <v>266</v>
      </c>
      <c r="E299" s="858" t="s">
        <v>267</v>
      </c>
      <c r="F299" s="839" t="s">
        <v>268</v>
      </c>
      <c r="G299" s="839"/>
      <c r="H299" s="839" t="s">
        <v>269</v>
      </c>
      <c r="I299" s="841" t="s">
        <v>198</v>
      </c>
      <c r="J299" s="842">
        <v>5</v>
      </c>
      <c r="K299" s="843" t="str">
        <f>IF(J299&lt;=0,"",IF(J299&lt;=2,"Muy Baja",IF(J299&lt;=24,"Baja",IF(J299&lt;=500,"Media",IF(J299&lt;=5000,"Alta","Muy Alta")))))</f>
        <v>Baja</v>
      </c>
      <c r="L299" s="844">
        <f>IF(K299="","",IF(K299="Muy Baja",0.2,IF(K299="Baja",0.4,IF(K299="Media",0.6,IF(K299="Alta",0.8,IF(K299="Muy Alta",1,))))))</f>
        <v>0.4</v>
      </c>
      <c r="M299" s="845" t="s">
        <v>225</v>
      </c>
      <c r="N299" s="844" t="str">
        <f>IF(NOT(ISERROR(MATCH(M299,'[40]Tabla Impacto'!$B$221:$B$223,0))),'[40]Tabla Impacto'!$F$223&amp;"Por favor no seleccionar los criterios de impacto(Afectación Económica o presupuestal y Pérdida Reputacional)",M299)</f>
        <v xml:space="preserve">     El riesgo afecta la imagen de la entidad con algunos usuarios de relevancia frente al logro de los objetivos</v>
      </c>
      <c r="O299" s="843" t="str">
        <f>IF(OR(N299='[40]Tabla Impacto'!$C$11,N299='[40]Tabla Impacto'!$D$11),"Leve",IF(OR(N299='[40]Tabla Impacto'!$C$12,N299='[40]Tabla Impacto'!$D$12),"Menor",IF(OR(N299='[40]Tabla Impacto'!$C$13,N299='[40]Tabla Impacto'!$D$13),"Moderado",IF(OR(N299='[40]Tabla Impacto'!$C$14,N299='[40]Tabla Impacto'!$D$14),"Mayor",IF(OR(N299='[40]Tabla Impacto'!$C$15,N299='[40]Tabla Impacto'!$D$15),"Catastrófico","")))))</f>
        <v>Moderado</v>
      </c>
      <c r="P299" s="844">
        <f>IF(O299="","",IF(O299="Leve",0.2,IF(O299="Menor",0.4,IF(O299="Moderado",0.6,IF(O299="Mayor",0.8,IF(O299="Catastrófico",1,))))))</f>
        <v>0.6</v>
      </c>
      <c r="Q299" s="846" t="str">
        <f>IF(OR(AND(K299="Muy Baja",O299="Leve"),AND(K299="Muy Baja",O299="Menor"),AND(K299="Baja",O299="Leve")),"Bajo",IF(OR(AND(K299="Muy baja",O299="Moderado"),AND(K299="Baja",O299="Menor"),AND(K299="Baja",O299="Moderado"),AND(K299="Media",O299="Leve"),AND(K299="Media",O299="Menor"),AND(K299="Media",O299="Moderado"),AND(K299="Alta",O299="Leve"),AND(K299="Alta",O299="Menor")),"Moderado",IF(OR(AND(K299="Muy Baja",O299="Mayor"),AND(K299="Baja",O299="Mayor"),AND(K299="Media",O299="Mayor"),AND(K299="Alta",O299="Moderado"),AND(K299="Alta",O299="Mayor"),AND(K299="Muy Alta",O299="Leve"),AND(K299="Muy Alta",O299="Menor"),AND(K299="Muy Alta",O299="Moderado"),AND(K299="Muy Alta",O299="Mayor")),"Alto",IF(OR(AND(K299="Muy Baja",O299="Catastrófico"),AND(K299="Baja",O299="Catastrófico"),AND(K299="Media",O299="Catastrófico"),AND(K299="Alta",O299="Catastrófico"),AND(K299="Muy Alta",O299="Catastrófico")),"Extremo",""))))</f>
        <v>Moderado</v>
      </c>
      <c r="R299" s="859">
        <v>1</v>
      </c>
      <c r="S299" s="848" t="s">
        <v>270</v>
      </c>
      <c r="T299" s="860" t="str">
        <f t="shared" si="139"/>
        <v>Probabilidad</v>
      </c>
      <c r="U299" s="861" t="s">
        <v>207</v>
      </c>
      <c r="V299" s="861" t="s">
        <v>201</v>
      </c>
      <c r="W299" s="862" t="str">
        <f t="shared" si="140"/>
        <v>40%</v>
      </c>
      <c r="X299" s="863" t="s">
        <v>202</v>
      </c>
      <c r="Y299" s="863" t="s">
        <v>203</v>
      </c>
      <c r="Z299" s="861" t="s">
        <v>204</v>
      </c>
      <c r="AA299" s="864">
        <f>IFERROR(IF(T299="Probabilidad",(L299-(+L299*W299)),IF(T299="Impacto",L299,"")),"")</f>
        <v>0.24</v>
      </c>
      <c r="AB299" s="853" t="str">
        <f t="shared" si="141"/>
        <v>Baja</v>
      </c>
      <c r="AC299" s="865">
        <f t="shared" si="142"/>
        <v>0.24</v>
      </c>
      <c r="AD299" s="853" t="str">
        <f t="shared" si="143"/>
        <v>Moderado</v>
      </c>
      <c r="AE299" s="865">
        <f>IFERROR(IF(T299="Impacto",(P299-(+P299*W299)),IF(T299="Probabilidad",P299,"")),"")</f>
        <v>0.6</v>
      </c>
      <c r="AF299" s="854" t="str">
        <f t="shared" si="144"/>
        <v>Moderado</v>
      </c>
      <c r="AG299" s="866" t="s">
        <v>205</v>
      </c>
      <c r="AH299" s="855" t="s">
        <v>832</v>
      </c>
      <c r="AI299" s="825" t="s">
        <v>271</v>
      </c>
      <c r="AJ299" s="827">
        <v>45352</v>
      </c>
      <c r="AK299" s="827"/>
      <c r="AL299" s="825"/>
      <c r="AM299" s="828" t="s">
        <v>206</v>
      </c>
      <c r="AN299" s="823">
        <v>3</v>
      </c>
      <c r="AO299" s="830" t="s">
        <v>833</v>
      </c>
      <c r="AP299" s="823">
        <v>3</v>
      </c>
      <c r="AQ299" s="830" t="s">
        <v>834</v>
      </c>
      <c r="AR299" s="823">
        <v>3</v>
      </c>
      <c r="AS299" s="830" t="s">
        <v>835</v>
      </c>
      <c r="AT299" s="823">
        <v>3</v>
      </c>
      <c r="AU299" s="830" t="s">
        <v>1154</v>
      </c>
    </row>
    <row r="300" spans="1:47" ht="69.599999999999994" customHeight="1" x14ac:dyDescent="0.3">
      <c r="A300" s="2907">
        <v>4</v>
      </c>
      <c r="B300" s="2882" t="s">
        <v>197</v>
      </c>
      <c r="C300" s="2910" t="s">
        <v>272</v>
      </c>
      <c r="D300" s="2913" t="s">
        <v>273</v>
      </c>
      <c r="E300" s="2916" t="s">
        <v>274</v>
      </c>
      <c r="F300" s="2919" t="s">
        <v>275</v>
      </c>
      <c r="G300" s="867"/>
      <c r="H300" s="2920" t="s">
        <v>276</v>
      </c>
      <c r="I300" s="2923" t="s">
        <v>198</v>
      </c>
      <c r="J300" s="2926">
        <v>1</v>
      </c>
      <c r="K300" s="2901" t="str">
        <f>IF(J300&lt;=0,"",IF(J300&lt;=2,"Muy Baja",IF(J300&lt;=24,"Baja",IF(J300&lt;=500,"Media",IF(J300&lt;=5000,"Alta","Muy Alta")))))</f>
        <v>Muy Baja</v>
      </c>
      <c r="L300" s="2895">
        <f>IF(K300="","",IF(K300="Muy Baja",0.2,IF(K300="Baja",0.4,IF(K300="Media",0.6,IF(K300="Alta",0.8,IF(K300="Muy Alta",1,))))))</f>
        <v>0.2</v>
      </c>
      <c r="M300" s="2898" t="s">
        <v>216</v>
      </c>
      <c r="N300" s="2895" t="str">
        <f>IF(NOT(ISERROR(MATCH(M300,'[40]Tabla Impacto'!$B$221:$B$223,0))),'[40]Tabla Impacto'!$F$223&amp;"Por favor no seleccionar los criterios de impacto(Afectación Económica o presupuestal y Pérdida Reputacional)",M300)</f>
        <v xml:space="preserve">     El riesgo afecta la imagen de alguna área de la organización</v>
      </c>
      <c r="O300" s="2901" t="str">
        <f>IF(OR(N300='[40]Tabla Impacto'!$C$11,N300='[40]Tabla Impacto'!$D$11),"Leve",IF(OR(N300='[40]Tabla Impacto'!$C$12,N300='[40]Tabla Impacto'!$D$12),"Menor",IF(OR(N300='[40]Tabla Impacto'!$C$13,N300='[40]Tabla Impacto'!$D$13),"Moderado",IF(OR(N300='[40]Tabla Impacto'!$C$14,N300='[40]Tabla Impacto'!$D$14),"Mayor",IF(OR(N300='[40]Tabla Impacto'!$C$15,N300='[40]Tabla Impacto'!$D$15),"Catastrófico","")))))</f>
        <v>Leve</v>
      </c>
      <c r="P300" s="2895">
        <f>IF(O300="","",IF(O300="Leve",0.2,IF(O300="Menor",0.4,IF(O300="Moderado",0.6,IF(O300="Mayor",0.8,IF(O300="Catastrófico",1,))))))</f>
        <v>0.2</v>
      </c>
      <c r="Q300" s="2904" t="str">
        <f>IF(OR(AND(K300="Muy Baja",O300="Leve"),AND(K300="Muy Baja",O300="Menor"),AND(K300="Baja",O300="Leve")),"Bajo",IF(OR(AND(K300="Muy baja",O300="Moderado"),AND(K300="Baja",O300="Menor"),AND(K300="Baja",O300="Moderado"),AND(K300="Media",O300="Leve"),AND(K300="Media",O300="Menor"),AND(K300="Media",O300="Moderado"),AND(K300="Alta",O300="Leve"),AND(K300="Alta",O300="Menor")),"Moderado",IF(OR(AND(K300="Muy Baja",O300="Mayor"),AND(K300="Baja",O300="Mayor"),AND(K300="Media",O300="Mayor"),AND(K300="Alta",O300="Moderado"),AND(K300="Alta",O300="Mayor"),AND(K300="Muy Alta",O300="Leve"),AND(K300="Muy Alta",O300="Menor"),AND(K300="Muy Alta",O300="Moderado"),AND(K300="Muy Alta",O300="Mayor")),"Alto",IF(OR(AND(K300="Muy Baja",O300="Catastrófico"),AND(K300="Baja",O300="Catastrófico"),AND(K300="Media",O300="Catastrófico"),AND(K300="Alta",O300="Catastrófico"),AND(K300="Muy Alta",O300="Catastrófico")),"Extremo",""))))</f>
        <v>Bajo</v>
      </c>
      <c r="R300" s="2907">
        <v>1</v>
      </c>
      <c r="S300" s="2929" t="s">
        <v>836</v>
      </c>
      <c r="T300" s="2932" t="str">
        <f t="shared" si="139"/>
        <v>Probabilidad</v>
      </c>
      <c r="U300" s="2861" t="s">
        <v>207</v>
      </c>
      <c r="V300" s="2861" t="s">
        <v>201</v>
      </c>
      <c r="W300" s="2870" t="str">
        <f t="shared" si="140"/>
        <v>40%</v>
      </c>
      <c r="X300" s="2935" t="s">
        <v>202</v>
      </c>
      <c r="Y300" s="2935" t="s">
        <v>203</v>
      </c>
      <c r="Z300" s="2861" t="s">
        <v>204</v>
      </c>
      <c r="AA300" s="2864">
        <f>IFERROR(IF(T300="Probabilidad",(L300-(+L300*W300)),IF(T300="Impacto",L300,"")),"")</f>
        <v>0.12</v>
      </c>
      <c r="AB300" s="2867" t="str">
        <f t="shared" si="141"/>
        <v>Muy Baja</v>
      </c>
      <c r="AC300" s="2870">
        <f t="shared" si="142"/>
        <v>0.12</v>
      </c>
      <c r="AD300" s="2867" t="str">
        <f t="shared" si="143"/>
        <v>Leve</v>
      </c>
      <c r="AE300" s="2870">
        <f>IFERROR(IF(T300="Impacto",(P300-(+P300*W300)),IF(T300="Probabilidad",P300,"")),"")</f>
        <v>0.2</v>
      </c>
      <c r="AF300" s="2879" t="str">
        <f t="shared" si="144"/>
        <v>Bajo</v>
      </c>
      <c r="AG300" s="2861" t="s">
        <v>205</v>
      </c>
      <c r="AH300" s="2882" t="s">
        <v>837</v>
      </c>
      <c r="AI300" s="2885" t="s">
        <v>277</v>
      </c>
      <c r="AJ300" s="2888">
        <v>45352</v>
      </c>
      <c r="AK300" s="827"/>
      <c r="AL300" s="2885"/>
      <c r="AM300" s="2891" t="s">
        <v>206</v>
      </c>
      <c r="AN300" s="2892">
        <v>4</v>
      </c>
      <c r="AO300" s="2873" t="s">
        <v>838</v>
      </c>
      <c r="AP300" s="2892">
        <v>4</v>
      </c>
      <c r="AQ300" s="2873" t="s">
        <v>839</v>
      </c>
      <c r="AR300" s="2892">
        <v>4</v>
      </c>
      <c r="AS300" s="2873" t="s">
        <v>840</v>
      </c>
      <c r="AT300" s="2892">
        <v>4</v>
      </c>
      <c r="AU300" s="2873" t="s">
        <v>1155</v>
      </c>
    </row>
    <row r="301" spans="1:47" ht="69.599999999999994" customHeight="1" x14ac:dyDescent="0.3">
      <c r="A301" s="2908"/>
      <c r="B301" s="2883"/>
      <c r="C301" s="2911"/>
      <c r="D301" s="2914"/>
      <c r="E301" s="2917"/>
      <c r="F301" s="2919"/>
      <c r="G301" s="868"/>
      <c r="H301" s="2921"/>
      <c r="I301" s="2924"/>
      <c r="J301" s="2927"/>
      <c r="K301" s="2902"/>
      <c r="L301" s="2896"/>
      <c r="M301" s="2899"/>
      <c r="N301" s="2896">
        <f>IF(NOT(ISERROR(MATCH(M301,_xlfn.ANCHORARRAY(#REF!),0))),#REF!&amp;"Por favor no seleccionar los criterios de impacto",M301)</f>
        <v>0</v>
      </c>
      <c r="O301" s="2902"/>
      <c r="P301" s="2896"/>
      <c r="Q301" s="2905"/>
      <c r="R301" s="2908"/>
      <c r="S301" s="2930"/>
      <c r="T301" s="2933"/>
      <c r="U301" s="2862"/>
      <c r="V301" s="2862"/>
      <c r="W301" s="2871"/>
      <c r="X301" s="2936"/>
      <c r="Y301" s="2936"/>
      <c r="Z301" s="2862"/>
      <c r="AA301" s="2865"/>
      <c r="AB301" s="2868"/>
      <c r="AC301" s="2871"/>
      <c r="AD301" s="2868"/>
      <c r="AE301" s="2871"/>
      <c r="AF301" s="2880"/>
      <c r="AG301" s="2862"/>
      <c r="AH301" s="2883"/>
      <c r="AI301" s="2886"/>
      <c r="AJ301" s="2889"/>
      <c r="AK301" s="827"/>
      <c r="AL301" s="2886"/>
      <c r="AM301" s="2891"/>
      <c r="AN301" s="2893"/>
      <c r="AO301" s="2874"/>
      <c r="AP301" s="2893"/>
      <c r="AQ301" s="2874"/>
      <c r="AR301" s="2893"/>
      <c r="AS301" s="2874"/>
      <c r="AT301" s="2893"/>
      <c r="AU301" s="2874"/>
    </row>
    <row r="302" spans="1:47" ht="69.599999999999994" customHeight="1" x14ac:dyDescent="0.3">
      <c r="A302" s="2908"/>
      <c r="B302" s="2883"/>
      <c r="C302" s="2911"/>
      <c r="D302" s="2914"/>
      <c r="E302" s="2917"/>
      <c r="F302" s="2919"/>
      <c r="G302" s="868"/>
      <c r="H302" s="2921"/>
      <c r="I302" s="2924"/>
      <c r="J302" s="2927"/>
      <c r="K302" s="2902"/>
      <c r="L302" s="2896"/>
      <c r="M302" s="2899"/>
      <c r="N302" s="2896">
        <f>IF(NOT(ISERROR(MATCH(M302,_xlfn.ANCHORARRAY(#REF!),0))),#REF!&amp;"Por favor no seleccionar los criterios de impacto",M302)</f>
        <v>0</v>
      </c>
      <c r="O302" s="2902"/>
      <c r="P302" s="2896"/>
      <c r="Q302" s="2905"/>
      <c r="R302" s="2908"/>
      <c r="S302" s="2930"/>
      <c r="T302" s="2933"/>
      <c r="U302" s="2862"/>
      <c r="V302" s="2862"/>
      <c r="W302" s="2871"/>
      <c r="X302" s="2936"/>
      <c r="Y302" s="2936"/>
      <c r="Z302" s="2862"/>
      <c r="AA302" s="2865"/>
      <c r="AB302" s="2868"/>
      <c r="AC302" s="2871"/>
      <c r="AD302" s="2868"/>
      <c r="AE302" s="2871"/>
      <c r="AF302" s="2880"/>
      <c r="AG302" s="2862"/>
      <c r="AH302" s="2883"/>
      <c r="AI302" s="2886"/>
      <c r="AJ302" s="2889"/>
      <c r="AK302" s="827"/>
      <c r="AL302" s="2886"/>
      <c r="AM302" s="2891"/>
      <c r="AN302" s="2893"/>
      <c r="AO302" s="2874"/>
      <c r="AP302" s="2893"/>
      <c r="AQ302" s="2874"/>
      <c r="AR302" s="2893"/>
      <c r="AS302" s="2874"/>
      <c r="AT302" s="2893"/>
      <c r="AU302" s="2874"/>
    </row>
    <row r="303" spans="1:47" ht="69.599999999999994" customHeight="1" x14ac:dyDescent="0.3">
      <c r="A303" s="2908"/>
      <c r="B303" s="2883"/>
      <c r="C303" s="2911"/>
      <c r="D303" s="2914"/>
      <c r="E303" s="2917"/>
      <c r="F303" s="2919"/>
      <c r="G303" s="868"/>
      <c r="H303" s="2921"/>
      <c r="I303" s="2924"/>
      <c r="J303" s="2927"/>
      <c r="K303" s="2902"/>
      <c r="L303" s="2896"/>
      <c r="M303" s="2899"/>
      <c r="N303" s="2896">
        <f>IF(NOT(ISERROR(MATCH(M303,_xlfn.ANCHORARRAY(#REF!),0))),#REF!&amp;"Por favor no seleccionar los criterios de impacto",M303)</f>
        <v>0</v>
      </c>
      <c r="O303" s="2902"/>
      <c r="P303" s="2896"/>
      <c r="Q303" s="2905"/>
      <c r="R303" s="2908"/>
      <c r="S303" s="2930"/>
      <c r="T303" s="2933"/>
      <c r="U303" s="2862"/>
      <c r="V303" s="2862"/>
      <c r="W303" s="2871"/>
      <c r="X303" s="2936"/>
      <c r="Y303" s="2936"/>
      <c r="Z303" s="2862"/>
      <c r="AA303" s="2865"/>
      <c r="AB303" s="2868"/>
      <c r="AC303" s="2871"/>
      <c r="AD303" s="2868"/>
      <c r="AE303" s="2871"/>
      <c r="AF303" s="2880"/>
      <c r="AG303" s="2862"/>
      <c r="AH303" s="2883"/>
      <c r="AI303" s="2886"/>
      <c r="AJ303" s="2889"/>
      <c r="AK303" s="827"/>
      <c r="AL303" s="2886"/>
      <c r="AM303" s="2891"/>
      <c r="AN303" s="2893"/>
      <c r="AO303" s="2874"/>
      <c r="AP303" s="2893"/>
      <c r="AQ303" s="2874"/>
      <c r="AR303" s="2893"/>
      <c r="AS303" s="2874"/>
      <c r="AT303" s="2893"/>
      <c r="AU303" s="2874"/>
    </row>
    <row r="304" spans="1:47" ht="69.599999999999994" customHeight="1" x14ac:dyDescent="0.3">
      <c r="A304" s="2908"/>
      <c r="B304" s="2883"/>
      <c r="C304" s="2911"/>
      <c r="D304" s="2914"/>
      <c r="E304" s="2917"/>
      <c r="F304" s="2919"/>
      <c r="G304" s="868"/>
      <c r="H304" s="2921"/>
      <c r="I304" s="2924"/>
      <c r="J304" s="2927"/>
      <c r="K304" s="2902"/>
      <c r="L304" s="2896"/>
      <c r="M304" s="2899"/>
      <c r="N304" s="2896">
        <f>IF(NOT(ISERROR(MATCH(M304,_xlfn.ANCHORARRAY(#REF!),0))),#REF!&amp;"Por favor no seleccionar los criterios de impacto",M304)</f>
        <v>0</v>
      </c>
      <c r="O304" s="2902"/>
      <c r="P304" s="2896"/>
      <c r="Q304" s="2905"/>
      <c r="R304" s="2908"/>
      <c r="S304" s="2930"/>
      <c r="T304" s="2933"/>
      <c r="U304" s="2862"/>
      <c r="V304" s="2862"/>
      <c r="W304" s="2871"/>
      <c r="X304" s="2936"/>
      <c r="Y304" s="2936"/>
      <c r="Z304" s="2862"/>
      <c r="AA304" s="2865"/>
      <c r="AB304" s="2868"/>
      <c r="AC304" s="2871"/>
      <c r="AD304" s="2868"/>
      <c r="AE304" s="2871"/>
      <c r="AF304" s="2880"/>
      <c r="AG304" s="2862"/>
      <c r="AH304" s="2883"/>
      <c r="AI304" s="2886"/>
      <c r="AJ304" s="2889"/>
      <c r="AK304" s="827"/>
      <c r="AL304" s="2886"/>
      <c r="AM304" s="2891"/>
      <c r="AN304" s="2893"/>
      <c r="AO304" s="2874"/>
      <c r="AP304" s="2893"/>
      <c r="AQ304" s="2874"/>
      <c r="AR304" s="2893"/>
      <c r="AS304" s="2874"/>
      <c r="AT304" s="2893"/>
      <c r="AU304" s="2874"/>
    </row>
    <row r="305" spans="1:47" ht="69.599999999999994" customHeight="1" thickBot="1" x14ac:dyDescent="0.35">
      <c r="A305" s="2909"/>
      <c r="B305" s="2884"/>
      <c r="C305" s="2912"/>
      <c r="D305" s="2915"/>
      <c r="E305" s="2918"/>
      <c r="F305" s="2919"/>
      <c r="G305" s="869"/>
      <c r="H305" s="2922"/>
      <c r="I305" s="2925"/>
      <c r="J305" s="2928"/>
      <c r="K305" s="2903"/>
      <c r="L305" s="2897"/>
      <c r="M305" s="2900"/>
      <c r="N305" s="2897">
        <f>IF(NOT(ISERROR(MATCH(M305,_xlfn.ANCHORARRAY(#REF!),0))),#REF!&amp;"Por favor no seleccionar los criterios de impacto",M305)</f>
        <v>0</v>
      </c>
      <c r="O305" s="2903"/>
      <c r="P305" s="2897"/>
      <c r="Q305" s="2906"/>
      <c r="R305" s="2909"/>
      <c r="S305" s="2931"/>
      <c r="T305" s="2934"/>
      <c r="U305" s="2863"/>
      <c r="V305" s="2863"/>
      <c r="W305" s="2872"/>
      <c r="X305" s="2937"/>
      <c r="Y305" s="2937"/>
      <c r="Z305" s="2863"/>
      <c r="AA305" s="2866"/>
      <c r="AB305" s="2869"/>
      <c r="AC305" s="2872"/>
      <c r="AD305" s="2869"/>
      <c r="AE305" s="2872"/>
      <c r="AF305" s="2881"/>
      <c r="AG305" s="2863"/>
      <c r="AH305" s="2884"/>
      <c r="AI305" s="2887"/>
      <c r="AJ305" s="2890"/>
      <c r="AK305" s="827"/>
      <c r="AL305" s="2887"/>
      <c r="AM305" s="2891"/>
      <c r="AN305" s="2894"/>
      <c r="AO305" s="2875"/>
      <c r="AP305" s="2894"/>
      <c r="AQ305" s="2875"/>
      <c r="AR305" s="2894"/>
      <c r="AS305" s="2875"/>
      <c r="AT305" s="2894"/>
      <c r="AU305" s="2875"/>
    </row>
    <row r="306" spans="1:47" ht="69.599999999999994" customHeight="1" x14ac:dyDescent="0.3">
      <c r="A306" s="2907">
        <v>5</v>
      </c>
      <c r="B306" s="2882" t="s">
        <v>209</v>
      </c>
      <c r="C306" s="2910" t="s">
        <v>265</v>
      </c>
      <c r="D306" s="2951" t="s">
        <v>278</v>
      </c>
      <c r="E306" s="2916" t="s">
        <v>279</v>
      </c>
      <c r="F306" s="2919" t="s">
        <v>280</v>
      </c>
      <c r="G306" s="867"/>
      <c r="H306" s="2920" t="s">
        <v>281</v>
      </c>
      <c r="I306" s="2923" t="s">
        <v>198</v>
      </c>
      <c r="J306" s="2926">
        <v>5000</v>
      </c>
      <c r="K306" s="2901" t="str">
        <f>IF(J306&lt;=0,"",IF(J306&lt;=2,"Muy Baja",IF(J306&lt;=24,"Baja",IF(J306&lt;=500,"Media",IF(J306&lt;=5000,"Alta","Muy Alta")))))</f>
        <v>Alta</v>
      </c>
      <c r="L306" s="2895">
        <f>IF(K306="","",IF(K306="Muy Baja",0.2,IF(K306="Baja",0.4,IF(K306="Media",0.6,IF(K306="Alta",0.8,IF(K306="Muy Alta",1,))))))</f>
        <v>0.8</v>
      </c>
      <c r="M306" s="2898" t="s">
        <v>282</v>
      </c>
      <c r="N306" s="2895" t="str">
        <f>IF(NOT(ISERROR(MATCH(M306,'[40]Tabla Impacto'!$B$221:$B$223,0))),'[40]Tabla Impacto'!$F$223&amp;"Por favor no seleccionar los criterios de impacto(Afectación Económica o presupuestal y Pérdida Reputacional)",M306)</f>
        <v xml:space="preserve">     Entre 1000 y 5000 SMLMV </v>
      </c>
      <c r="O306" s="2901" t="str">
        <f>IF(OR(N306='[40]Tabla Impacto'!$C$11,N306='[40]Tabla Impacto'!$D$11),"Leve",IF(OR(N306='[40]Tabla Impacto'!$C$12,N306='[40]Tabla Impacto'!$D$12),"Menor",IF(OR(N306='[40]Tabla Impacto'!$C$13,N306='[40]Tabla Impacto'!$D$13),"Moderado",IF(OR(N306='[40]Tabla Impacto'!$C$14,N306='[40]Tabla Impacto'!$D$14),"Mayor",IF(OR(N306='[40]Tabla Impacto'!$C$15,N306='[40]Tabla Impacto'!$D$15),"Catastrófico","")))))</f>
        <v>Moderado</v>
      </c>
      <c r="P306" s="2895">
        <f>IF(O306="","",IF(O306="Leve",0.2,IF(O306="Menor",0.4,IF(O306="Moderado",0.6,IF(O306="Mayor",0.8,IF(O306="Catastrófico",1,))))))</f>
        <v>0.6</v>
      </c>
      <c r="Q306" s="2904" t="str">
        <f>IF(OR(AND(K306="Muy Baja",O306="Leve"),AND(K306="Muy Baja",O306="Menor"),AND(K306="Baja",O306="Leve")),"Bajo",IF(OR(AND(K306="Muy baja",O306="Moderado"),AND(K306="Baja",O306="Menor"),AND(K306="Baja",O306="Moderado"),AND(K306="Media",O306="Leve"),AND(K306="Media",O306="Menor"),AND(K306="Media",O306="Moderado"),AND(K306="Alta",O306="Leve"),AND(K306="Alta",O306="Menor")),"Moderado",IF(OR(AND(K306="Muy Baja",O306="Mayor"),AND(K306="Baja",O306="Mayor"),AND(K306="Media",O306="Mayor"),AND(K306="Alta",O306="Moderado"),AND(K306="Alta",O306="Mayor"),AND(K306="Muy Alta",O306="Leve"),AND(K306="Muy Alta",O306="Menor"),AND(K306="Muy Alta",O306="Moderado"),AND(K306="Muy Alta",O306="Mayor")),"Alto",IF(OR(AND(K306="Muy Baja",O306="Catastrófico"),AND(K306="Baja",O306="Catastrófico"),AND(K306="Media",O306="Catastrófico"),AND(K306="Alta",O306="Catastrófico"),AND(K306="Muy Alta",O306="Catastrófico")),"Extremo",""))))</f>
        <v>Alto</v>
      </c>
      <c r="R306" s="2907">
        <v>1</v>
      </c>
      <c r="S306" s="2950" t="s">
        <v>283</v>
      </c>
      <c r="T306" s="2932" t="str">
        <f>IF(OR(U306="Preventivo",U306="Detectivo"),"Probabilidad",IF(U306="Correctivo","Impacto",""))</f>
        <v>Probabilidad</v>
      </c>
      <c r="U306" s="2861" t="s">
        <v>207</v>
      </c>
      <c r="V306" s="2861" t="s">
        <v>201</v>
      </c>
      <c r="W306" s="2870" t="str">
        <f t="shared" si="140"/>
        <v>40%</v>
      </c>
      <c r="X306" s="2935" t="s">
        <v>208</v>
      </c>
      <c r="Y306" s="2935" t="s">
        <v>203</v>
      </c>
      <c r="Z306" s="2861" t="s">
        <v>204</v>
      </c>
      <c r="AA306" s="2864">
        <f>IFERROR(IF(T306="Probabilidad",(L306-(+L306*W306)),IF(T306="Impacto",L306,"")),"")</f>
        <v>0.48</v>
      </c>
      <c r="AB306" s="2867" t="str">
        <f t="shared" si="141"/>
        <v>Media</v>
      </c>
      <c r="AC306" s="2870">
        <f t="shared" si="142"/>
        <v>0.48</v>
      </c>
      <c r="AD306" s="2867" t="str">
        <f t="shared" si="143"/>
        <v>Moderado</v>
      </c>
      <c r="AE306" s="2870">
        <f>IFERROR(IF(T306="Impacto",(P306-(+P306*W306)),IF(T306="Probabilidad",P306,"")),"")</f>
        <v>0.6</v>
      </c>
      <c r="AF306" s="2879" t="str">
        <f t="shared" si="144"/>
        <v>Moderado</v>
      </c>
      <c r="AG306" s="2861" t="s">
        <v>205</v>
      </c>
      <c r="AH306" s="2882" t="s">
        <v>284</v>
      </c>
      <c r="AI306" s="2938" t="s">
        <v>285</v>
      </c>
      <c r="AJ306" s="2888">
        <v>45352</v>
      </c>
      <c r="AK306" s="827"/>
      <c r="AL306" s="2885"/>
      <c r="AM306" s="2941" t="s">
        <v>206</v>
      </c>
      <c r="AN306" s="2892">
        <v>5</v>
      </c>
      <c r="AO306" s="2944" t="s">
        <v>841</v>
      </c>
      <c r="AP306" s="2892">
        <v>5</v>
      </c>
      <c r="AQ306" s="2944" t="s">
        <v>842</v>
      </c>
      <c r="AR306" s="2892">
        <v>5</v>
      </c>
      <c r="AS306" s="2944" t="s">
        <v>843</v>
      </c>
      <c r="AT306" s="2892">
        <v>5</v>
      </c>
      <c r="AU306" s="2944" t="s">
        <v>1156</v>
      </c>
    </row>
    <row r="307" spans="1:47" ht="69.599999999999994" customHeight="1" x14ac:dyDescent="0.3">
      <c r="A307" s="2908"/>
      <c r="B307" s="2883"/>
      <c r="C307" s="2911"/>
      <c r="D307" s="2914"/>
      <c r="E307" s="2917"/>
      <c r="F307" s="2919"/>
      <c r="G307" s="868"/>
      <c r="H307" s="2921"/>
      <c r="I307" s="2924"/>
      <c r="J307" s="2927"/>
      <c r="K307" s="2902"/>
      <c r="L307" s="2896"/>
      <c r="M307" s="2899"/>
      <c r="N307" s="2896">
        <f>IF(NOT(ISERROR(MATCH(M307,_xlfn.ANCHORARRAY(#REF!),0))),#REF!&amp;"Por favor no seleccionar los criterios de impacto",M307)</f>
        <v>0</v>
      </c>
      <c r="O307" s="2902"/>
      <c r="P307" s="2896"/>
      <c r="Q307" s="2905"/>
      <c r="R307" s="2908"/>
      <c r="S307" s="2930"/>
      <c r="T307" s="2933"/>
      <c r="U307" s="2862"/>
      <c r="V307" s="2862"/>
      <c r="W307" s="2871"/>
      <c r="X307" s="2936"/>
      <c r="Y307" s="2936"/>
      <c r="Z307" s="2862"/>
      <c r="AA307" s="2865"/>
      <c r="AB307" s="2868"/>
      <c r="AC307" s="2871"/>
      <c r="AD307" s="2868"/>
      <c r="AE307" s="2871"/>
      <c r="AF307" s="2880"/>
      <c r="AG307" s="2862"/>
      <c r="AH307" s="2883"/>
      <c r="AI307" s="2939"/>
      <c r="AJ307" s="2889"/>
      <c r="AK307" s="827"/>
      <c r="AL307" s="2886"/>
      <c r="AM307" s="2942"/>
      <c r="AN307" s="2893"/>
      <c r="AO307" s="2945"/>
      <c r="AP307" s="2893"/>
      <c r="AQ307" s="2945"/>
      <c r="AR307" s="2893"/>
      <c r="AS307" s="2945"/>
      <c r="AT307" s="2893"/>
      <c r="AU307" s="2945"/>
    </row>
    <row r="308" spans="1:47" ht="69.599999999999994" customHeight="1" x14ac:dyDescent="0.3">
      <c r="A308" s="2908"/>
      <c r="B308" s="2883"/>
      <c r="C308" s="2911"/>
      <c r="D308" s="2914"/>
      <c r="E308" s="2917"/>
      <c r="F308" s="2919"/>
      <c r="G308" s="868"/>
      <c r="H308" s="2921"/>
      <c r="I308" s="2924"/>
      <c r="J308" s="2927"/>
      <c r="K308" s="2902"/>
      <c r="L308" s="2896"/>
      <c r="M308" s="2899"/>
      <c r="N308" s="2896">
        <f>IF(NOT(ISERROR(MATCH(M308,_xlfn.ANCHORARRAY(#REF!),0))),#REF!&amp;"Por favor no seleccionar los criterios de impacto",M308)</f>
        <v>0</v>
      </c>
      <c r="O308" s="2902"/>
      <c r="P308" s="2896"/>
      <c r="Q308" s="2905"/>
      <c r="R308" s="2908"/>
      <c r="S308" s="2930"/>
      <c r="T308" s="2933"/>
      <c r="U308" s="2862"/>
      <c r="V308" s="2862"/>
      <c r="W308" s="2871"/>
      <c r="X308" s="2936"/>
      <c r="Y308" s="2936"/>
      <c r="Z308" s="2862"/>
      <c r="AA308" s="2865"/>
      <c r="AB308" s="2868"/>
      <c r="AC308" s="2871"/>
      <c r="AD308" s="2868"/>
      <c r="AE308" s="2871"/>
      <c r="AF308" s="2880"/>
      <c r="AG308" s="2862"/>
      <c r="AH308" s="2883"/>
      <c r="AI308" s="2939"/>
      <c r="AJ308" s="2889"/>
      <c r="AK308" s="827"/>
      <c r="AL308" s="2886"/>
      <c r="AM308" s="2942"/>
      <c r="AN308" s="2893"/>
      <c r="AO308" s="2945"/>
      <c r="AP308" s="2893"/>
      <c r="AQ308" s="2945"/>
      <c r="AR308" s="2893"/>
      <c r="AS308" s="2945"/>
      <c r="AT308" s="2893"/>
      <c r="AU308" s="2945"/>
    </row>
    <row r="309" spans="1:47" ht="69.599999999999994" customHeight="1" x14ac:dyDescent="0.3">
      <c r="A309" s="2908"/>
      <c r="B309" s="2883"/>
      <c r="C309" s="2911"/>
      <c r="D309" s="2914"/>
      <c r="E309" s="2917"/>
      <c r="F309" s="2919"/>
      <c r="G309" s="868"/>
      <c r="H309" s="2921"/>
      <c r="I309" s="2924"/>
      <c r="J309" s="2927"/>
      <c r="K309" s="2902"/>
      <c r="L309" s="2896"/>
      <c r="M309" s="2899"/>
      <c r="N309" s="2896">
        <f>IF(NOT(ISERROR(MATCH(M309,_xlfn.ANCHORARRAY(#REF!),0))),#REF!&amp;"Por favor no seleccionar los criterios de impacto",M309)</f>
        <v>0</v>
      </c>
      <c r="O309" s="2902"/>
      <c r="P309" s="2896"/>
      <c r="Q309" s="2905"/>
      <c r="R309" s="2908"/>
      <c r="S309" s="2930"/>
      <c r="T309" s="2933"/>
      <c r="U309" s="2862"/>
      <c r="V309" s="2862"/>
      <c r="W309" s="2871"/>
      <c r="X309" s="2936"/>
      <c r="Y309" s="2936"/>
      <c r="Z309" s="2862"/>
      <c r="AA309" s="2865"/>
      <c r="AB309" s="2868"/>
      <c r="AC309" s="2871"/>
      <c r="AD309" s="2868"/>
      <c r="AE309" s="2871"/>
      <c r="AF309" s="2880"/>
      <c r="AG309" s="2862"/>
      <c r="AH309" s="2883"/>
      <c r="AI309" s="2939"/>
      <c r="AJ309" s="2889"/>
      <c r="AK309" s="827"/>
      <c r="AL309" s="2886"/>
      <c r="AM309" s="2942"/>
      <c r="AN309" s="2893"/>
      <c r="AO309" s="2945"/>
      <c r="AP309" s="2893"/>
      <c r="AQ309" s="2945"/>
      <c r="AR309" s="2893"/>
      <c r="AS309" s="2945"/>
      <c r="AT309" s="2893"/>
      <c r="AU309" s="2945"/>
    </row>
    <row r="310" spans="1:47" ht="69.599999999999994" customHeight="1" x14ac:dyDescent="0.3">
      <c r="A310" s="2908"/>
      <c r="B310" s="2883"/>
      <c r="C310" s="2911"/>
      <c r="D310" s="2914"/>
      <c r="E310" s="2917"/>
      <c r="F310" s="2919"/>
      <c r="G310" s="868"/>
      <c r="H310" s="2921"/>
      <c r="I310" s="2924"/>
      <c r="J310" s="2927"/>
      <c r="K310" s="2902"/>
      <c r="L310" s="2896"/>
      <c r="M310" s="2899"/>
      <c r="N310" s="2896">
        <f>IF(NOT(ISERROR(MATCH(M310,_xlfn.ANCHORARRAY(#REF!),0))),#REF!&amp;"Por favor no seleccionar los criterios de impacto",M310)</f>
        <v>0</v>
      </c>
      <c r="O310" s="2902"/>
      <c r="P310" s="2896"/>
      <c r="Q310" s="2905"/>
      <c r="R310" s="2908"/>
      <c r="S310" s="2930"/>
      <c r="T310" s="2933"/>
      <c r="U310" s="2862"/>
      <c r="V310" s="2862"/>
      <c r="W310" s="2871"/>
      <c r="X310" s="2936"/>
      <c r="Y310" s="2936"/>
      <c r="Z310" s="2862"/>
      <c r="AA310" s="2865"/>
      <c r="AB310" s="2868"/>
      <c r="AC310" s="2871"/>
      <c r="AD310" s="2868"/>
      <c r="AE310" s="2871"/>
      <c r="AF310" s="2880"/>
      <c r="AG310" s="2862"/>
      <c r="AH310" s="2883"/>
      <c r="AI310" s="2939"/>
      <c r="AJ310" s="2889"/>
      <c r="AK310" s="827"/>
      <c r="AL310" s="2886"/>
      <c r="AM310" s="2942"/>
      <c r="AN310" s="2893"/>
      <c r="AO310" s="2945"/>
      <c r="AP310" s="2893"/>
      <c r="AQ310" s="2945"/>
      <c r="AR310" s="2893"/>
      <c r="AS310" s="2945"/>
      <c r="AT310" s="2893"/>
      <c r="AU310" s="2945"/>
    </row>
    <row r="311" spans="1:47" ht="69.599999999999994" customHeight="1" thickBot="1" x14ac:dyDescent="0.35">
      <c r="A311" s="2909"/>
      <c r="B311" s="2884"/>
      <c r="C311" s="2912"/>
      <c r="D311" s="2915"/>
      <c r="E311" s="2918"/>
      <c r="F311" s="2919"/>
      <c r="G311" s="869"/>
      <c r="H311" s="2922"/>
      <c r="I311" s="2925"/>
      <c r="J311" s="2928"/>
      <c r="K311" s="2903"/>
      <c r="L311" s="2897"/>
      <c r="M311" s="2900"/>
      <c r="N311" s="2897">
        <f>IF(NOT(ISERROR(MATCH(M311,_xlfn.ANCHORARRAY(#REF!),0))),#REF!&amp;"Por favor no seleccionar los criterios de impacto",M311)</f>
        <v>0</v>
      </c>
      <c r="O311" s="2903"/>
      <c r="P311" s="2897"/>
      <c r="Q311" s="2906"/>
      <c r="R311" s="2909"/>
      <c r="S311" s="2931"/>
      <c r="T311" s="2934"/>
      <c r="U311" s="2863"/>
      <c r="V311" s="2863"/>
      <c r="W311" s="2872"/>
      <c r="X311" s="2937"/>
      <c r="Y311" s="2937"/>
      <c r="Z311" s="2863"/>
      <c r="AA311" s="2866"/>
      <c r="AB311" s="2869"/>
      <c r="AC311" s="2872"/>
      <c r="AD311" s="2869"/>
      <c r="AE311" s="2872"/>
      <c r="AF311" s="2881"/>
      <c r="AG311" s="2863"/>
      <c r="AH311" s="2884"/>
      <c r="AI311" s="2940"/>
      <c r="AJ311" s="2890"/>
      <c r="AK311" s="827"/>
      <c r="AL311" s="2887"/>
      <c r="AM311" s="2943"/>
      <c r="AN311" s="2894"/>
      <c r="AO311" s="2946"/>
      <c r="AP311" s="2894"/>
      <c r="AQ311" s="2946"/>
      <c r="AR311" s="2894"/>
      <c r="AS311" s="2946"/>
      <c r="AT311" s="2894"/>
      <c r="AU311" s="2946"/>
    </row>
    <row r="312" spans="1:47" ht="27.6" customHeight="1" thickBot="1" x14ac:dyDescent="0.35">
      <c r="A312" s="824"/>
      <c r="B312" s="831"/>
      <c r="C312" s="831"/>
      <c r="D312" s="831"/>
      <c r="E312" s="831"/>
      <c r="F312" s="831"/>
      <c r="G312" s="831"/>
      <c r="H312" s="831"/>
      <c r="I312" s="831"/>
      <c r="J312" s="831"/>
      <c r="K312" s="831"/>
      <c r="L312" s="831"/>
      <c r="M312" s="831"/>
      <c r="N312" s="831"/>
      <c r="O312" s="831"/>
      <c r="P312" s="831"/>
      <c r="Q312" s="831"/>
      <c r="R312" s="831"/>
      <c r="S312" s="831"/>
      <c r="T312" s="831"/>
      <c r="U312" s="831"/>
      <c r="V312" s="831"/>
      <c r="W312" s="831"/>
      <c r="X312" s="831"/>
      <c r="Y312" s="831"/>
      <c r="Z312" s="831"/>
      <c r="AA312" s="831"/>
      <c r="AB312" s="831"/>
      <c r="AC312" s="831"/>
      <c r="AD312" s="831"/>
      <c r="AE312" s="831"/>
      <c r="AF312" s="831"/>
      <c r="AG312" s="831"/>
      <c r="AH312" s="831"/>
      <c r="AI312" s="831"/>
      <c r="AJ312" s="831"/>
      <c r="AK312" s="831"/>
      <c r="AL312" s="831"/>
      <c r="AM312" s="831"/>
      <c r="AN312" s="824"/>
      <c r="AO312" s="873"/>
      <c r="AP312" s="824"/>
      <c r="AQ312" s="873"/>
      <c r="AR312" s="824"/>
      <c r="AS312" s="873"/>
      <c r="AT312" s="824"/>
      <c r="AU312" s="873"/>
    </row>
    <row r="313" spans="1:47" ht="69.599999999999994" customHeight="1" x14ac:dyDescent="0.3">
      <c r="A313" s="2337" t="s">
        <v>156</v>
      </c>
      <c r="B313" s="2338"/>
      <c r="C313" s="2338"/>
      <c r="D313" s="2338"/>
      <c r="E313" s="2338"/>
      <c r="F313" s="2338"/>
      <c r="G313" s="2338"/>
      <c r="H313" s="2338"/>
      <c r="I313" s="2338"/>
      <c r="J313" s="2338"/>
      <c r="K313" s="2338"/>
      <c r="L313" s="2338"/>
      <c r="M313" s="2338"/>
      <c r="N313" s="2338"/>
      <c r="O313" s="2338"/>
      <c r="P313" s="2338"/>
      <c r="Q313" s="2338"/>
      <c r="R313" s="2338"/>
      <c r="S313" s="2338"/>
      <c r="T313" s="2338"/>
      <c r="U313" s="2338"/>
      <c r="V313" s="2338"/>
      <c r="W313" s="2338"/>
      <c r="X313" s="2338"/>
      <c r="Y313" s="2338"/>
      <c r="Z313" s="2338"/>
      <c r="AA313" s="2338"/>
      <c r="AB313" s="2338"/>
      <c r="AC313" s="2338"/>
      <c r="AD313" s="2338"/>
      <c r="AE313" s="2338"/>
      <c r="AF313" s="2338"/>
      <c r="AG313" s="2338"/>
      <c r="AH313" s="2338"/>
      <c r="AI313" s="2338"/>
      <c r="AJ313" s="2338"/>
      <c r="AK313" s="2338"/>
      <c r="AL313" s="2338"/>
      <c r="AM313" s="2339"/>
    </row>
    <row r="314" spans="1:47" ht="69.599999999999994" customHeight="1" x14ac:dyDescent="0.3">
      <c r="A314" s="2333"/>
      <c r="B314" s="2327"/>
      <c r="C314" s="2327"/>
      <c r="D314" s="2327"/>
      <c r="E314" s="2327"/>
      <c r="F314" s="2327"/>
      <c r="G314" s="2327"/>
      <c r="H314" s="2327"/>
      <c r="I314" s="2327"/>
      <c r="J314" s="2327"/>
      <c r="K314" s="2327"/>
      <c r="L314" s="2327"/>
      <c r="M314" s="2327"/>
      <c r="N314" s="2327"/>
      <c r="O314" s="2327"/>
      <c r="P314" s="2327"/>
      <c r="Q314" s="2327"/>
      <c r="R314" s="2327"/>
      <c r="S314" s="2327"/>
      <c r="T314" s="2327"/>
      <c r="U314" s="2327"/>
      <c r="V314" s="2327"/>
      <c r="W314" s="2327"/>
      <c r="X314" s="2327"/>
      <c r="Y314" s="2327"/>
      <c r="Z314" s="2327"/>
      <c r="AA314" s="2327"/>
      <c r="AB314" s="2327"/>
      <c r="AC314" s="2327"/>
      <c r="AD314" s="2327"/>
      <c r="AE314" s="2327"/>
      <c r="AF314" s="2327"/>
      <c r="AG314" s="2327"/>
      <c r="AH314" s="2327"/>
      <c r="AI314" s="2327"/>
      <c r="AJ314" s="2327"/>
      <c r="AK314" s="2327"/>
      <c r="AL314" s="2327"/>
      <c r="AM314" s="2318"/>
    </row>
    <row r="315" spans="1:47" ht="69.599999999999994" customHeight="1" x14ac:dyDescent="0.3">
      <c r="A315" s="694"/>
      <c r="B315" s="695"/>
      <c r="C315" s="694"/>
      <c r="D315" s="694"/>
      <c r="E315" s="694"/>
      <c r="F315" s="311"/>
      <c r="G315" s="311"/>
      <c r="H315" s="311"/>
      <c r="I315" s="696"/>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row>
    <row r="316" spans="1:47" ht="69.599999999999994" customHeight="1" x14ac:dyDescent="0.3">
      <c r="A316" s="2340" t="s">
        <v>157</v>
      </c>
      <c r="B316" s="2324"/>
      <c r="C316" s="2341" t="s">
        <v>844</v>
      </c>
      <c r="D316" s="2324"/>
      <c r="E316" s="2324"/>
      <c r="F316" s="2324"/>
      <c r="G316" s="2324"/>
      <c r="H316" s="2324"/>
      <c r="I316" s="2324"/>
      <c r="J316" s="2324"/>
      <c r="K316" s="2324"/>
      <c r="L316" s="2324"/>
      <c r="M316" s="2324"/>
      <c r="N316" s="2324"/>
      <c r="O316" s="2324"/>
      <c r="P316" s="2324"/>
      <c r="Q316" s="2324"/>
      <c r="R316" s="2324"/>
      <c r="S316" s="2324"/>
      <c r="T316" s="2324"/>
      <c r="U316" s="2324"/>
      <c r="V316" s="2324"/>
      <c r="W316" s="2324"/>
      <c r="X316" s="2324"/>
      <c r="Y316" s="2324"/>
      <c r="Z316" s="2324"/>
      <c r="AA316" s="2324"/>
      <c r="AB316" s="2324"/>
      <c r="AC316" s="2324"/>
      <c r="AD316" s="2324"/>
      <c r="AE316" s="2324"/>
      <c r="AF316" s="2324"/>
      <c r="AG316" s="2324"/>
      <c r="AH316" s="2324"/>
      <c r="AI316" s="2324"/>
      <c r="AJ316" s="2324"/>
      <c r="AK316" s="2324"/>
      <c r="AL316" s="2324"/>
      <c r="AM316" s="2325"/>
    </row>
    <row r="317" spans="1:47" ht="69.599999999999994" customHeight="1" x14ac:dyDescent="0.3">
      <c r="A317" s="2340" t="s">
        <v>158</v>
      </c>
      <c r="B317" s="2324"/>
      <c r="C317" s="2342" t="s">
        <v>1161</v>
      </c>
      <c r="D317" s="2324"/>
      <c r="E317" s="2324"/>
      <c r="F317" s="2324"/>
      <c r="G317" s="2324"/>
      <c r="H317" s="2324"/>
      <c r="I317" s="2324"/>
      <c r="J317" s="2324"/>
      <c r="K317" s="2324"/>
      <c r="L317" s="2324"/>
      <c r="M317" s="2324"/>
      <c r="N317" s="2324"/>
      <c r="O317" s="2324"/>
      <c r="P317" s="2324"/>
      <c r="Q317" s="2324"/>
      <c r="R317" s="2324"/>
      <c r="S317" s="2324"/>
      <c r="T317" s="2324"/>
      <c r="U317" s="2324"/>
      <c r="V317" s="2324"/>
      <c r="W317" s="2324"/>
      <c r="X317" s="2324"/>
      <c r="Y317" s="2324"/>
      <c r="Z317" s="2324"/>
      <c r="AA317" s="2324"/>
      <c r="AB317" s="2324"/>
      <c r="AC317" s="2324"/>
      <c r="AD317" s="2324"/>
      <c r="AE317" s="2324"/>
      <c r="AF317" s="2324"/>
      <c r="AG317" s="2324"/>
      <c r="AH317" s="2324"/>
      <c r="AI317" s="2324"/>
      <c r="AJ317" s="2324"/>
      <c r="AK317" s="2324"/>
      <c r="AL317" s="2324"/>
      <c r="AM317" s="2325"/>
    </row>
    <row r="318" spans="1:47" ht="69.599999999999994" customHeight="1" x14ac:dyDescent="0.3">
      <c r="A318" s="2340" t="s">
        <v>159</v>
      </c>
      <c r="B318" s="2324"/>
      <c r="C318" s="2342" t="s">
        <v>866</v>
      </c>
      <c r="D318" s="2324"/>
      <c r="E318" s="2324"/>
      <c r="F318" s="2324"/>
      <c r="G318" s="2324"/>
      <c r="H318" s="2324"/>
      <c r="I318" s="2324"/>
      <c r="J318" s="2324"/>
      <c r="K318" s="2324"/>
      <c r="L318" s="2324"/>
      <c r="M318" s="2324"/>
      <c r="N318" s="2324"/>
      <c r="O318" s="2324"/>
      <c r="P318" s="2324"/>
      <c r="Q318" s="2324"/>
      <c r="R318" s="2324"/>
      <c r="S318" s="2324"/>
      <c r="T318" s="2324"/>
      <c r="U318" s="2324"/>
      <c r="V318" s="2324"/>
      <c r="W318" s="2324"/>
      <c r="X318" s="2324"/>
      <c r="Y318" s="2324"/>
      <c r="Z318" s="2324"/>
      <c r="AA318" s="2324"/>
      <c r="AB318" s="2324"/>
      <c r="AC318" s="2324"/>
      <c r="AD318" s="2324"/>
      <c r="AE318" s="2324"/>
      <c r="AF318" s="2324"/>
      <c r="AG318" s="2324"/>
      <c r="AH318" s="2324"/>
      <c r="AI318" s="2324"/>
      <c r="AJ318" s="2324"/>
      <c r="AK318" s="2324"/>
      <c r="AL318" s="2324"/>
      <c r="AM318" s="2325"/>
    </row>
    <row r="319" spans="1:47" ht="69.599999999999994" customHeight="1" x14ac:dyDescent="0.3">
      <c r="A319" s="2323" t="s">
        <v>160</v>
      </c>
      <c r="B319" s="2324"/>
      <c r="C319" s="2324"/>
      <c r="D319" s="2324"/>
      <c r="E319" s="2324"/>
      <c r="F319" s="2324"/>
      <c r="G319" s="2324"/>
      <c r="H319" s="2324"/>
      <c r="I319" s="2324"/>
      <c r="J319" s="2325"/>
      <c r="K319" s="2326" t="s">
        <v>161</v>
      </c>
      <c r="L319" s="2327"/>
      <c r="M319" s="2327"/>
      <c r="N319" s="2327"/>
      <c r="O319" s="2327"/>
      <c r="P319" s="2327"/>
      <c r="Q319" s="2318"/>
      <c r="R319" s="2326" t="s">
        <v>162</v>
      </c>
      <c r="S319" s="2327"/>
      <c r="T319" s="2327"/>
      <c r="U319" s="2327"/>
      <c r="V319" s="2327"/>
      <c r="W319" s="2327"/>
      <c r="X319" s="2327"/>
      <c r="Y319" s="2327"/>
      <c r="Z319" s="2318"/>
      <c r="AA319" s="2326" t="s">
        <v>163</v>
      </c>
      <c r="AB319" s="2327"/>
      <c r="AC319" s="2327"/>
      <c r="AD319" s="2327"/>
      <c r="AE319" s="2327"/>
      <c r="AF319" s="2327"/>
      <c r="AG319" s="2318"/>
      <c r="AH319" s="2326" t="s">
        <v>164</v>
      </c>
      <c r="AI319" s="2327"/>
      <c r="AJ319" s="2327"/>
      <c r="AK319" s="2327"/>
      <c r="AL319" s="2327"/>
      <c r="AM319" s="2318"/>
    </row>
    <row r="320" spans="1:47" ht="69.599999999999994" customHeight="1" x14ac:dyDescent="0.3">
      <c r="A320" s="2328" t="s">
        <v>165</v>
      </c>
      <c r="B320" s="2329" t="s">
        <v>142</v>
      </c>
      <c r="C320" s="2330" t="s">
        <v>166</v>
      </c>
      <c r="D320" s="2330" t="s">
        <v>167</v>
      </c>
      <c r="E320" s="2305" t="s">
        <v>168</v>
      </c>
      <c r="F320" s="2331" t="s">
        <v>60</v>
      </c>
      <c r="G320" s="697"/>
      <c r="H320" s="697"/>
      <c r="I320" s="2305" t="s">
        <v>169</v>
      </c>
      <c r="J320" s="2330" t="s">
        <v>170</v>
      </c>
      <c r="K320" s="2330" t="s">
        <v>171</v>
      </c>
      <c r="L320" s="2332" t="s">
        <v>172</v>
      </c>
      <c r="M320" s="2305" t="s">
        <v>173</v>
      </c>
      <c r="N320" s="2305" t="s">
        <v>174</v>
      </c>
      <c r="O320" s="2334" t="s">
        <v>175</v>
      </c>
      <c r="P320" s="2332" t="s">
        <v>172</v>
      </c>
      <c r="Q320" s="2330" t="s">
        <v>176</v>
      </c>
      <c r="R320" s="2335" t="s">
        <v>177</v>
      </c>
      <c r="S320" s="2305" t="s">
        <v>178</v>
      </c>
      <c r="T320" s="2305" t="s">
        <v>179</v>
      </c>
      <c r="U320" s="2336" t="s">
        <v>180</v>
      </c>
      <c r="V320" s="2324"/>
      <c r="W320" s="2324"/>
      <c r="X320" s="2324"/>
      <c r="Y320" s="2324"/>
      <c r="Z320" s="2325"/>
      <c r="AA320" s="2335" t="s">
        <v>181</v>
      </c>
      <c r="AB320" s="2335" t="s">
        <v>182</v>
      </c>
      <c r="AC320" s="2335" t="s">
        <v>172</v>
      </c>
      <c r="AD320" s="2335" t="s">
        <v>183</v>
      </c>
      <c r="AE320" s="2335" t="s">
        <v>172</v>
      </c>
      <c r="AF320" s="2335" t="s">
        <v>184</v>
      </c>
      <c r="AG320" s="2335" t="s">
        <v>185</v>
      </c>
      <c r="AH320" s="2305" t="s">
        <v>164</v>
      </c>
      <c r="AI320" s="2305" t="s">
        <v>143</v>
      </c>
      <c r="AJ320" s="2305" t="s">
        <v>186</v>
      </c>
      <c r="AK320" s="2305" t="s">
        <v>187</v>
      </c>
      <c r="AL320" s="2305" t="s">
        <v>188</v>
      </c>
      <c r="AM320" s="2305" t="s">
        <v>189</v>
      </c>
    </row>
    <row r="321" spans="1:39" ht="69.599999999999994" customHeight="1" x14ac:dyDescent="0.3">
      <c r="A321" s="2306"/>
      <c r="B321" s="2306"/>
      <c r="C321" s="2306"/>
      <c r="D321" s="2306"/>
      <c r="E321" s="2308"/>
      <c r="F321" s="2308"/>
      <c r="G321" s="697" t="s">
        <v>511</v>
      </c>
      <c r="H321" s="697" t="s">
        <v>190</v>
      </c>
      <c r="I321" s="2306"/>
      <c r="J321" s="2306"/>
      <c r="K321" s="2306"/>
      <c r="L321" s="2333"/>
      <c r="M321" s="2306"/>
      <c r="N321" s="2306"/>
      <c r="O321" s="2333"/>
      <c r="P321" s="2333"/>
      <c r="Q321" s="2306"/>
      <c r="R321" s="2306"/>
      <c r="S321" s="2306"/>
      <c r="T321" s="2306"/>
      <c r="U321" s="698" t="s">
        <v>191</v>
      </c>
      <c r="V321" s="698" t="s">
        <v>192</v>
      </c>
      <c r="W321" s="698" t="s">
        <v>193</v>
      </c>
      <c r="X321" s="698" t="s">
        <v>194</v>
      </c>
      <c r="Y321" s="698" t="s">
        <v>195</v>
      </c>
      <c r="Z321" s="698" t="s">
        <v>196</v>
      </c>
      <c r="AA321" s="2306"/>
      <c r="AB321" s="2306"/>
      <c r="AC321" s="2306"/>
      <c r="AD321" s="2306"/>
      <c r="AE321" s="2306"/>
      <c r="AF321" s="2306"/>
      <c r="AG321" s="2306"/>
      <c r="AH321" s="2306"/>
      <c r="AI321" s="2306"/>
      <c r="AJ321" s="2306"/>
      <c r="AK321" s="2306"/>
      <c r="AL321" s="2306"/>
      <c r="AM321" s="2306"/>
    </row>
    <row r="322" spans="1:39" ht="409.2" customHeight="1" x14ac:dyDescent="0.3">
      <c r="A322" s="2307">
        <v>1</v>
      </c>
      <c r="B322" s="2309" t="s">
        <v>197</v>
      </c>
      <c r="C322" s="2309" t="s">
        <v>374</v>
      </c>
      <c r="D322" s="2312" t="s">
        <v>845</v>
      </c>
      <c r="E322" s="888" t="s">
        <v>846</v>
      </c>
      <c r="F322" s="2309" t="s">
        <v>847</v>
      </c>
      <c r="G322" s="2315" t="s">
        <v>512</v>
      </c>
      <c r="H322" s="2315" t="s">
        <v>848</v>
      </c>
      <c r="I322" s="2316" t="s">
        <v>198</v>
      </c>
      <c r="J322" s="2319">
        <f>254*412</f>
        <v>104648</v>
      </c>
      <c r="K322" s="2320" t="str">
        <f>IF(J322&lt;=0,"",IF(J322&lt;=2,"Muy Baja",IF(J322&lt;=24,"Baja",IF(J322&lt;=500,"Media",IF(J322&lt;=5000,"Alta","Muy Alta")))))</f>
        <v>Muy Alta</v>
      </c>
      <c r="L322" s="2321">
        <f>IF(K322="","",IF(K322="Muy Baja",0.2,IF(K322="Baja",0.4,IF(K322="Media",0.6,IF(K322="Alta",0.8,IF(K322="Muy Alta",1,))))))</f>
        <v>1</v>
      </c>
      <c r="M322" s="2321" t="s">
        <v>199</v>
      </c>
      <c r="N322" s="2321" t="str">
        <f>IF(NOT(ISERROR(MATCH(M322,'[41]Tabla Impacto'!$B$221:$B$223,0))),'[41]Tabla Impacto'!$F$223&amp;"Por favor no seleccionar los criterios de impacto(Afectación Económica o presupuestal y Pérdida Reputacional)",M322)</f>
        <v xml:space="preserve">     El riesgo afecta la imagen de de la entidad con efecto publicitario sostenido a nivel de sector administrativo, nivel departamental o municipal</v>
      </c>
      <c r="O322" s="2320" t="str">
        <f>IF(OR(N322='[41]Tabla Impacto'!$C$11,N322='[41]Tabla Impacto'!$D$11),"Leve",IF(OR(N322='[41]Tabla Impacto'!$C$12,N322='[41]Tabla Impacto'!$D$12),"Menor",IF(OR(N322='[41]Tabla Impacto'!$C$13,N322='[41]Tabla Impacto'!$D$13),"Moderado",IF(OR(N322='[41]Tabla Impacto'!$C$14,N322='[41]Tabla Impacto'!$D$14),"Mayor",IF(OR(N322='[41]Tabla Impacto'!$C$15,N322='[41]Tabla Impacto'!$D$15),"Catastrófico","")))))</f>
        <v>Mayor</v>
      </c>
      <c r="P322" s="2321">
        <f>IF(O322="","",IF(O322="Leve",0.2,IF(O322="Menor",0.4,IF(O322="Moderado",0.6,IF(O322="Mayor",0.8,IF(O322="Catastrófico",1,))))))</f>
        <v>0.8</v>
      </c>
      <c r="Q322" s="2322" t="str">
        <f>IF(OR(AND(K322="Muy Baja",O322="Leve"),AND(K322="Muy Baja",O322="Menor"),AND(K322="Baja",O322="Leve")),"Bajo",IF(OR(AND(K322="Muy baja",O322="Moderado"),AND(K322="Baja",O322="Menor"),AND(K322="Baja",O322="Moderado"),AND(K322="Media",O322="Leve"),AND(K322="Media",O322="Menor"),AND(K322="Media",O322="Moderado"),AND(K322="Alta",O322="Leve"),AND(K322="Alta",O322="Menor")),"Moderado",IF(OR(AND(K322="Muy Baja",O322="Mayor"),AND(K322="Baja",O322="Mayor"),AND(K322="Media",O322="Mayor"),AND(K322="Alta",O322="Moderado"),AND(K322="Alta",O322="Mayor"),AND(K322="Muy Alta",O322="Leve"),AND(K322="Muy Alta",O322="Menor"),AND(K322="Muy Alta",O322="Moderado"),AND(K322="Muy Alta",O322="Mayor")),"Alto",IF(OR(AND(K322="Muy Baja",O322="Catastrófico"),AND(K322="Baja",O322="Catastrófico"),AND(K322="Media",O322="Catastrófico"),AND(K322="Alta",O322="Catastrófico"),AND(K322="Muy Alta",O322="Catastrófico")),"Extremo",""))))</f>
        <v>Alto</v>
      </c>
      <c r="R322" s="877">
        <v>1</v>
      </c>
      <c r="S322" s="878" t="s">
        <v>849</v>
      </c>
      <c r="T322" s="877" t="str">
        <f t="shared" ref="T322:T327" si="145">IF(OR(U322="Preventivo",U322="Detectivo"),"Probabilidad",IF(U322="Correctivo","Impacto",""))</f>
        <v>Probabilidad</v>
      </c>
      <c r="U322" s="879" t="s">
        <v>200</v>
      </c>
      <c r="V322" s="879" t="s">
        <v>201</v>
      </c>
      <c r="W322" s="880" t="str">
        <f t="shared" ref="W322:W327" si="146">IF(AND(U322="Preventivo",V322="Automático"),"50%",IF(AND(U322="Preventivo",V322="Manual"),"40%",IF(AND(U322="Detectivo",V322="Automático"),"40%",IF(AND(U322="Detectivo",V322="Manual"),"30%",IF(AND(U322="Correctivo",V322="Automático"),"35%",IF(AND(U322="Correctivo",V322="Manual"),"25%",""))))))</f>
        <v>30%</v>
      </c>
      <c r="X322" s="879" t="s">
        <v>202</v>
      </c>
      <c r="Y322" s="879" t="s">
        <v>203</v>
      </c>
      <c r="Z322" s="879" t="s">
        <v>204</v>
      </c>
      <c r="AA322" s="881">
        <f>IFERROR(IF(T322="Probabilidad",(L322-(+L322*W322)),IF(T322="Impacto",L322,"")),"")</f>
        <v>0.7</v>
      </c>
      <c r="AB322" s="882" t="str">
        <f t="shared" ref="AB322:AB327" si="147">IFERROR(IF(AA322="","",IF(AA322&lt;=0.2,"Muy Baja",IF(AA322&lt;=0.4,"Baja",IF(AA322&lt;=0.6,"Media",IF(AA322&lt;=0.8,"Alta","Muy Alta"))))),"")</f>
        <v>Alta</v>
      </c>
      <c r="AC322" s="871">
        <f t="shared" ref="AC322:AC327" si="148">+AA322</f>
        <v>0.7</v>
      </c>
      <c r="AD322" s="882" t="str">
        <f t="shared" ref="AD322:AD327" si="149">IFERROR(IF(AE322="","",IF(AE322&lt;=0.2,"Leve",IF(AE322&lt;=0.4,"Menor",IF(AE322&lt;=0.6,"Moderado",IF(AE322&lt;=0.8,"Mayor","Catastrófico"))))),"")</f>
        <v>Mayor</v>
      </c>
      <c r="AE322" s="871">
        <f>IFERROR(IF(T322="Impacto",(P322-(+P322*W322)),IF(T322="Probabilidad",P322,"")),"")</f>
        <v>0.8</v>
      </c>
      <c r="AF322" s="883" t="str">
        <f t="shared" ref="AF322:AF327" si="150">IFERROR(IF(OR(AND(AB322="Muy Baja",AD322="Leve"),AND(AB322="Muy Baja",AD322="Menor"),AND(AB322="Baja",AD322="Leve")),"Bajo",IF(OR(AND(AB322="Muy baja",AD322="Moderado"),AND(AB322="Baja",AD322="Menor"),AND(AB322="Baja",AD322="Moderado"),AND(AB322="Media",AD322="Leve"),AND(AB322="Media",AD322="Menor"),AND(AB322="Media",AD322="Moderado"),AND(AB322="Alta",AD322="Leve"),AND(AB322="Alta",AD322="Menor")),"Moderado",IF(OR(AND(AB322="Muy Baja",AD322="Mayor"),AND(AB322="Baja",AD322="Mayor"),AND(AB322="Media",AD322="Mayor"),AND(AB322="Alta",AD322="Moderado"),AND(AB322="Alta",AD322="Mayor"),AND(AB322="Muy Alta",AD322="Leve"),AND(AB322="Muy Alta",AD322="Menor"),AND(AB322="Muy Alta",AD322="Moderado"),AND(AB322="Muy Alta",AD322="Mayor")),"Alto",IF(OR(AND(AB322="Muy Baja",AD322="Catastrófico"),AND(AB322="Baja",AD322="Catastrófico"),AND(AB322="Media",AD322="Catastrófico"),AND(AB322="Alta",AD322="Catastrófico"),AND(AB322="Muy Alta",AD322="Catastrófico")),"Extremo","")))),"")</f>
        <v>Alto</v>
      </c>
      <c r="AG322" s="870" t="s">
        <v>205</v>
      </c>
      <c r="AH322" s="891" t="s">
        <v>850</v>
      </c>
      <c r="AI322" s="891" t="s">
        <v>375</v>
      </c>
      <c r="AJ322" s="893" t="s">
        <v>851</v>
      </c>
      <c r="AK322" s="890" t="s">
        <v>852</v>
      </c>
      <c r="AL322" s="884" t="s">
        <v>1157</v>
      </c>
      <c r="AM322" s="885"/>
    </row>
    <row r="323" spans="1:39" ht="217.8" customHeight="1" x14ac:dyDescent="0.3">
      <c r="A323" s="2308"/>
      <c r="B323" s="2310"/>
      <c r="C323" s="2310"/>
      <c r="D323" s="2313"/>
      <c r="E323" s="889" t="s">
        <v>854</v>
      </c>
      <c r="F323" s="2308"/>
      <c r="G323" s="2308"/>
      <c r="H323" s="2308"/>
      <c r="I323" s="2317"/>
      <c r="J323" s="2308"/>
      <c r="K323" s="2308"/>
      <c r="L323" s="2308"/>
      <c r="M323" s="2308"/>
      <c r="N323" s="2308"/>
      <c r="O323" s="2308"/>
      <c r="P323" s="2308"/>
      <c r="Q323" s="2308"/>
      <c r="R323" s="877">
        <v>2</v>
      </c>
      <c r="S323" s="886" t="s">
        <v>855</v>
      </c>
      <c r="T323" s="877" t="str">
        <f t="shared" si="145"/>
        <v>Probabilidad</v>
      </c>
      <c r="U323" s="879" t="s">
        <v>207</v>
      </c>
      <c r="V323" s="879" t="s">
        <v>201</v>
      </c>
      <c r="W323" s="880" t="str">
        <f t="shared" si="146"/>
        <v>40%</v>
      </c>
      <c r="X323" s="879" t="s">
        <v>202</v>
      </c>
      <c r="Y323" s="879" t="s">
        <v>210</v>
      </c>
      <c r="Z323" s="879" t="s">
        <v>204</v>
      </c>
      <c r="AA323" s="881">
        <f>IFERROR(IF(AND(T322="Probabilidad",T323="Probabilidad"),(AC322-(+AC322*W323)),IF(AND(T322="Impacto",T323="Probabilidad"),(L322-(+L322*W323)),IF(T323="Impacto",AC322,""))),"")</f>
        <v>0.42</v>
      </c>
      <c r="AB323" s="882" t="str">
        <f t="shared" si="147"/>
        <v>Media</v>
      </c>
      <c r="AC323" s="871">
        <f t="shared" si="148"/>
        <v>0.42</v>
      </c>
      <c r="AD323" s="882" t="str">
        <f t="shared" si="149"/>
        <v>Mayor</v>
      </c>
      <c r="AE323" s="871">
        <f>IFERROR(IF(AND(T322="Impacto",T323="Impacto"),(AE322-(+AE322*W323)),IF(AND(T322="Probabilidad",T323="Impacto"),(P322-(+P322*W323)),IF(T323="Probabilidad",AE322,""))),"")</f>
        <v>0.8</v>
      </c>
      <c r="AF323" s="883" t="str">
        <f t="shared" si="150"/>
        <v>Alto</v>
      </c>
      <c r="AG323" s="870"/>
      <c r="AH323" s="892" t="s">
        <v>856</v>
      </c>
      <c r="AI323" s="892" t="s">
        <v>857</v>
      </c>
      <c r="AJ323" s="893" t="s">
        <v>851</v>
      </c>
      <c r="AK323" s="890" t="s">
        <v>852</v>
      </c>
      <c r="AL323" s="306" t="s">
        <v>1158</v>
      </c>
      <c r="AM323" s="877"/>
    </row>
    <row r="324" spans="1:39" ht="96.6" customHeight="1" x14ac:dyDescent="0.3">
      <c r="A324" s="2308"/>
      <c r="B324" s="2310"/>
      <c r="C324" s="2310"/>
      <c r="D324" s="2313"/>
      <c r="E324" s="884" t="s">
        <v>376</v>
      </c>
      <c r="F324" s="2308"/>
      <c r="G324" s="2308"/>
      <c r="H324" s="2308"/>
      <c r="I324" s="2317"/>
      <c r="J324" s="2308"/>
      <c r="K324" s="2308"/>
      <c r="L324" s="2308"/>
      <c r="M324" s="2308"/>
      <c r="N324" s="2308"/>
      <c r="O324" s="2308"/>
      <c r="P324" s="2308"/>
      <c r="Q324" s="2308"/>
      <c r="R324" s="877">
        <v>3</v>
      </c>
      <c r="S324" s="878" t="s">
        <v>859</v>
      </c>
      <c r="T324" s="877" t="str">
        <f t="shared" si="145"/>
        <v>Probabilidad</v>
      </c>
      <c r="U324" s="879" t="s">
        <v>200</v>
      </c>
      <c r="V324" s="879" t="s">
        <v>201</v>
      </c>
      <c r="W324" s="880" t="str">
        <f t="shared" si="146"/>
        <v>30%</v>
      </c>
      <c r="X324" s="879" t="s">
        <v>202</v>
      </c>
      <c r="Y324" s="879" t="s">
        <v>203</v>
      </c>
      <c r="Z324" s="879" t="s">
        <v>204</v>
      </c>
      <c r="AA324" s="881">
        <f t="shared" ref="AA324:AA327" si="151">IFERROR(IF(AND(T323="Probabilidad",T324="Probabilidad"),(AC323-(+AC323*W324)),IF(AND(T323="Impacto",T324="Probabilidad"),(AC322-(+AC322*W324)),IF(T324="Impacto",AC323,""))),"")</f>
        <v>0.29399999999999998</v>
      </c>
      <c r="AB324" s="882" t="str">
        <f t="shared" si="147"/>
        <v>Baja</v>
      </c>
      <c r="AC324" s="871">
        <f t="shared" si="148"/>
        <v>0.29399999999999998</v>
      </c>
      <c r="AD324" s="882" t="str">
        <f t="shared" si="149"/>
        <v>Mayor</v>
      </c>
      <c r="AE324" s="871">
        <f t="shared" ref="AE324:AE327" si="152">IFERROR(IF(AND(T323="Impacto",T324="Impacto"),(AE323-(+AE323*W324)),IF(AND(T323="Probabilidad",T324="Impacto"),(AE322-(+AE322*W324)),IF(T324="Probabilidad",AE323,""))),"")</f>
        <v>0.8</v>
      </c>
      <c r="AF324" s="883" t="str">
        <f t="shared" si="150"/>
        <v>Alto</v>
      </c>
      <c r="AG324" s="870" t="s">
        <v>205</v>
      </c>
      <c r="AH324" s="892" t="s">
        <v>377</v>
      </c>
      <c r="AI324" s="892" t="s">
        <v>378</v>
      </c>
      <c r="AJ324" s="893" t="s">
        <v>851</v>
      </c>
      <c r="AK324" s="890" t="s">
        <v>852</v>
      </c>
      <c r="AL324" s="306" t="s">
        <v>1159</v>
      </c>
      <c r="AM324" s="877"/>
    </row>
    <row r="325" spans="1:39" ht="301.2" customHeight="1" x14ac:dyDescent="0.3">
      <c r="A325" s="2308"/>
      <c r="B325" s="2310"/>
      <c r="C325" s="2310"/>
      <c r="D325" s="2313"/>
      <c r="E325" s="884" t="s">
        <v>861</v>
      </c>
      <c r="F325" s="2308"/>
      <c r="G325" s="2308"/>
      <c r="H325" s="2308"/>
      <c r="I325" s="2317"/>
      <c r="J325" s="2308"/>
      <c r="K325" s="2308"/>
      <c r="L325" s="2308"/>
      <c r="M325" s="2308"/>
      <c r="N325" s="2308"/>
      <c r="O325" s="2308"/>
      <c r="P325" s="2308"/>
      <c r="Q325" s="2308"/>
      <c r="R325" s="877">
        <v>4</v>
      </c>
      <c r="S325" s="886" t="s">
        <v>862</v>
      </c>
      <c r="T325" s="877" t="str">
        <f t="shared" si="145"/>
        <v>Probabilidad</v>
      </c>
      <c r="U325" s="879" t="s">
        <v>200</v>
      </c>
      <c r="V325" s="879" t="s">
        <v>201</v>
      </c>
      <c r="W325" s="880" t="str">
        <f t="shared" si="146"/>
        <v>30%</v>
      </c>
      <c r="X325" s="879" t="s">
        <v>202</v>
      </c>
      <c r="Y325" s="879" t="s">
        <v>203</v>
      </c>
      <c r="Z325" s="879" t="s">
        <v>204</v>
      </c>
      <c r="AA325" s="881">
        <f t="shared" si="151"/>
        <v>0.20579999999999998</v>
      </c>
      <c r="AB325" s="882" t="str">
        <f t="shared" si="147"/>
        <v>Baja</v>
      </c>
      <c r="AC325" s="871">
        <f t="shared" si="148"/>
        <v>0.20579999999999998</v>
      </c>
      <c r="AD325" s="882" t="str">
        <f t="shared" si="149"/>
        <v>Mayor</v>
      </c>
      <c r="AE325" s="871">
        <f t="shared" si="152"/>
        <v>0.8</v>
      </c>
      <c r="AF325" s="883" t="str">
        <f t="shared" si="150"/>
        <v>Alto</v>
      </c>
      <c r="AG325" s="870" t="s">
        <v>205</v>
      </c>
      <c r="AH325" s="889" t="s">
        <v>863</v>
      </c>
      <c r="AI325" s="894" t="s">
        <v>378</v>
      </c>
      <c r="AJ325" s="893" t="s">
        <v>851</v>
      </c>
      <c r="AK325" s="890" t="s">
        <v>852</v>
      </c>
      <c r="AL325" s="306" t="s">
        <v>1160</v>
      </c>
      <c r="AM325" s="877"/>
    </row>
    <row r="326" spans="1:39" ht="69.599999999999994" customHeight="1" x14ac:dyDescent="0.3">
      <c r="A326" s="2308"/>
      <c r="B326" s="2310"/>
      <c r="C326" s="2310"/>
      <c r="D326" s="2313"/>
      <c r="E326" s="884"/>
      <c r="F326" s="2308"/>
      <c r="G326" s="2308"/>
      <c r="H326" s="2308"/>
      <c r="I326" s="2317"/>
      <c r="J326" s="2308"/>
      <c r="K326" s="2308"/>
      <c r="L326" s="2308"/>
      <c r="M326" s="2308"/>
      <c r="N326" s="2308"/>
      <c r="O326" s="2308"/>
      <c r="P326" s="2308"/>
      <c r="Q326" s="2308"/>
      <c r="R326" s="877">
        <v>5</v>
      </c>
      <c r="S326" s="886"/>
      <c r="T326" s="877" t="str">
        <f t="shared" si="145"/>
        <v/>
      </c>
      <c r="U326" s="879"/>
      <c r="V326" s="879"/>
      <c r="W326" s="880" t="str">
        <f t="shared" si="146"/>
        <v/>
      </c>
      <c r="X326" s="879"/>
      <c r="Y326" s="879"/>
      <c r="Z326" s="879"/>
      <c r="AA326" s="881" t="str">
        <f t="shared" si="151"/>
        <v/>
      </c>
      <c r="AB326" s="882" t="str">
        <f t="shared" si="147"/>
        <v/>
      </c>
      <c r="AC326" s="871" t="str">
        <f t="shared" si="148"/>
        <v/>
      </c>
      <c r="AD326" s="882" t="str">
        <f t="shared" si="149"/>
        <v/>
      </c>
      <c r="AE326" s="871" t="str">
        <f t="shared" si="152"/>
        <v/>
      </c>
      <c r="AF326" s="883" t="str">
        <f t="shared" si="150"/>
        <v/>
      </c>
      <c r="AG326" s="870"/>
      <c r="AH326" s="306"/>
      <c r="AI326" s="877"/>
      <c r="AJ326" s="887"/>
      <c r="AK326" s="887"/>
      <c r="AL326" s="306"/>
      <c r="AM326" s="877"/>
    </row>
    <row r="327" spans="1:39" ht="88.2" customHeight="1" x14ac:dyDescent="0.3">
      <c r="A327" s="2306"/>
      <c r="B327" s="2311"/>
      <c r="C327" s="2311"/>
      <c r="D327" s="2314"/>
      <c r="E327" s="884"/>
      <c r="F327" s="2306"/>
      <c r="G327" s="2306"/>
      <c r="H327" s="2306"/>
      <c r="I327" s="2318"/>
      <c r="J327" s="2306"/>
      <c r="K327" s="2306"/>
      <c r="L327" s="2306"/>
      <c r="M327" s="2306"/>
      <c r="N327" s="2306"/>
      <c r="O327" s="2306"/>
      <c r="P327" s="2306"/>
      <c r="Q327" s="2306"/>
      <c r="R327" s="877">
        <v>6</v>
      </c>
      <c r="S327" s="886"/>
      <c r="T327" s="877" t="str">
        <f t="shared" si="145"/>
        <v/>
      </c>
      <c r="U327" s="879"/>
      <c r="V327" s="879"/>
      <c r="W327" s="880" t="str">
        <f t="shared" si="146"/>
        <v/>
      </c>
      <c r="X327" s="879"/>
      <c r="Y327" s="879"/>
      <c r="Z327" s="879"/>
      <c r="AA327" s="881" t="str">
        <f t="shared" si="151"/>
        <v/>
      </c>
      <c r="AB327" s="882" t="str">
        <f t="shared" si="147"/>
        <v/>
      </c>
      <c r="AC327" s="871" t="str">
        <f t="shared" si="148"/>
        <v/>
      </c>
      <c r="AD327" s="882" t="str">
        <f t="shared" si="149"/>
        <v/>
      </c>
      <c r="AE327" s="871" t="str">
        <f t="shared" si="152"/>
        <v/>
      </c>
      <c r="AF327" s="883" t="str">
        <f t="shared" si="150"/>
        <v/>
      </c>
      <c r="AG327" s="870"/>
      <c r="AH327" s="306"/>
      <c r="AI327" s="877"/>
      <c r="AJ327" s="887"/>
      <c r="AK327" s="887"/>
      <c r="AL327" s="306"/>
      <c r="AM327" s="877"/>
    </row>
    <row r="328" spans="1:39" ht="42.6" customHeight="1" x14ac:dyDescent="0.3">
      <c r="A328" s="428"/>
      <c r="B328" s="429"/>
      <c r="C328" s="429"/>
      <c r="D328" s="429"/>
      <c r="E328" s="429"/>
      <c r="F328" s="241"/>
      <c r="G328" s="241"/>
      <c r="H328" s="429"/>
      <c r="I328" s="430"/>
      <c r="J328" s="431"/>
      <c r="K328" s="432"/>
      <c r="L328" s="433"/>
      <c r="M328" s="432"/>
      <c r="N328" s="431"/>
      <c r="O328" s="432"/>
      <c r="P328" s="434"/>
      <c r="Q328" s="239"/>
      <c r="R328" s="435"/>
      <c r="S328" s="436"/>
      <c r="T328" s="437"/>
      <c r="U328" s="437"/>
      <c r="V328" s="438"/>
      <c r="W328" s="437"/>
      <c r="X328" s="437"/>
      <c r="Y328" s="437"/>
      <c r="Z328" s="439"/>
      <c r="AA328" s="440"/>
      <c r="AB328" s="441"/>
      <c r="AC328" s="440"/>
      <c r="AD328" s="441"/>
      <c r="AE328" s="442"/>
      <c r="AF328" s="437"/>
      <c r="AG328" s="429"/>
      <c r="AH328" s="429"/>
      <c r="AI328" s="443"/>
      <c r="AJ328" s="444"/>
      <c r="AK328" s="429"/>
      <c r="AL328" s="430"/>
    </row>
    <row r="329" spans="1:39" ht="69.599999999999994" customHeight="1" x14ac:dyDescent="0.3">
      <c r="A329" s="2343" t="s">
        <v>156</v>
      </c>
      <c r="B329" s="2344"/>
      <c r="C329" s="2344"/>
      <c r="D329" s="2344"/>
      <c r="E329" s="2344"/>
      <c r="F329" s="2344"/>
      <c r="G329" s="2344"/>
      <c r="H329" s="2344"/>
      <c r="I329" s="2344"/>
      <c r="J329" s="2344"/>
      <c r="K329" s="2344"/>
      <c r="L329" s="2344"/>
      <c r="M329" s="2344"/>
      <c r="N329" s="2344"/>
      <c r="O329" s="2344"/>
      <c r="P329" s="2344"/>
      <c r="Q329" s="2344"/>
      <c r="R329" s="2344"/>
      <c r="S329" s="2344"/>
      <c r="T329" s="2344"/>
      <c r="U329" s="2344"/>
      <c r="V329" s="2344"/>
      <c r="W329" s="2344"/>
      <c r="X329" s="2344"/>
      <c r="Y329" s="2344"/>
      <c r="Z329" s="2344"/>
      <c r="AA329" s="2344"/>
      <c r="AB329" s="2344"/>
      <c r="AC329" s="2344"/>
      <c r="AD329" s="2344"/>
      <c r="AE329" s="2344"/>
      <c r="AF329" s="2344"/>
      <c r="AG329" s="2344"/>
      <c r="AH329" s="2344"/>
      <c r="AI329" s="2344"/>
      <c r="AJ329" s="2344"/>
      <c r="AK329" s="2344"/>
      <c r="AL329" s="2344"/>
    </row>
    <row r="330" spans="1:39" ht="69.599999999999994" customHeight="1" x14ac:dyDescent="0.3">
      <c r="A330" s="2346"/>
      <c r="B330" s="2347"/>
      <c r="C330" s="2347"/>
      <c r="D330" s="2347"/>
      <c r="E330" s="2347"/>
      <c r="F330" s="2347"/>
      <c r="G330" s="2347"/>
      <c r="H330" s="2347"/>
      <c r="I330" s="2347"/>
      <c r="J330" s="2347"/>
      <c r="K330" s="2347"/>
      <c r="L330" s="2347"/>
      <c r="M330" s="2347"/>
      <c r="N330" s="2347"/>
      <c r="O330" s="2347"/>
      <c r="P330" s="2347"/>
      <c r="Q330" s="2347"/>
      <c r="R330" s="2347"/>
      <c r="S330" s="2347"/>
      <c r="T330" s="2347"/>
      <c r="U330" s="2347"/>
      <c r="V330" s="2347"/>
      <c r="W330" s="2347"/>
      <c r="X330" s="2347"/>
      <c r="Y330" s="2347"/>
      <c r="Z330" s="2347"/>
      <c r="AA330" s="2347"/>
      <c r="AB330" s="2347"/>
      <c r="AC330" s="2347"/>
      <c r="AD330" s="2347"/>
      <c r="AE330" s="2347"/>
      <c r="AF330" s="2347"/>
      <c r="AG330" s="2347"/>
      <c r="AH330" s="2347"/>
      <c r="AI330" s="2347"/>
      <c r="AJ330" s="2347"/>
      <c r="AK330" s="2347"/>
      <c r="AL330" s="2347"/>
    </row>
    <row r="331" spans="1:39" ht="43.2" customHeight="1" x14ac:dyDescent="0.3">
      <c r="A331" s="703"/>
      <c r="B331" s="704"/>
      <c r="C331" s="703"/>
      <c r="D331" s="703"/>
      <c r="E331" s="703"/>
      <c r="F331" s="700"/>
      <c r="G331" s="700"/>
      <c r="H331" s="700"/>
      <c r="I331" s="705"/>
      <c r="J331" s="700"/>
      <c r="K331" s="700"/>
      <c r="L331" s="700"/>
      <c r="M331" s="700"/>
      <c r="N331" s="700"/>
      <c r="O331" s="700"/>
      <c r="P331" s="700"/>
      <c r="Q331" s="700"/>
      <c r="R331" s="700"/>
      <c r="S331" s="700"/>
      <c r="T331" s="700"/>
      <c r="U331" s="700"/>
      <c r="V331" s="700"/>
      <c r="W331" s="700"/>
      <c r="X331" s="700"/>
      <c r="Y331" s="700"/>
      <c r="Z331" s="700"/>
      <c r="AA331" s="700"/>
      <c r="AB331" s="700"/>
      <c r="AC331" s="700"/>
      <c r="AD331" s="700"/>
      <c r="AE331" s="700"/>
      <c r="AF331" s="700"/>
      <c r="AG331" s="700"/>
      <c r="AH331" s="700"/>
      <c r="AI331" s="700"/>
      <c r="AJ331" s="700"/>
      <c r="AK331" s="700"/>
      <c r="AL331" s="700"/>
    </row>
    <row r="332" spans="1:39" ht="69.599999999999994" customHeight="1" x14ac:dyDescent="0.3">
      <c r="A332" s="2349" t="s">
        <v>157</v>
      </c>
      <c r="B332" s="2350"/>
      <c r="C332" s="2947" t="s">
        <v>1162</v>
      </c>
      <c r="D332" s="2948"/>
      <c r="E332" s="2948"/>
      <c r="F332" s="2948"/>
      <c r="G332" s="2948"/>
      <c r="H332" s="2948"/>
      <c r="I332" s="2948"/>
      <c r="J332" s="2948"/>
      <c r="K332" s="2948"/>
      <c r="L332" s="2948"/>
      <c r="M332" s="2948"/>
      <c r="N332" s="2948"/>
      <c r="O332" s="2948"/>
      <c r="P332" s="2948"/>
      <c r="Q332" s="2948"/>
      <c r="R332" s="2948"/>
      <c r="S332" s="2948"/>
      <c r="T332" s="2948"/>
      <c r="U332" s="2948"/>
      <c r="V332" s="2948"/>
      <c r="W332" s="2948"/>
      <c r="X332" s="2948"/>
      <c r="Y332" s="2948"/>
      <c r="Z332" s="2948"/>
      <c r="AA332" s="2948"/>
      <c r="AB332" s="2948"/>
      <c r="AC332" s="2948"/>
      <c r="AD332" s="2948"/>
      <c r="AE332" s="2948"/>
      <c r="AF332" s="2948"/>
      <c r="AG332" s="2948"/>
      <c r="AH332" s="2948"/>
      <c r="AI332" s="2948"/>
      <c r="AJ332" s="2948"/>
      <c r="AK332" s="2948"/>
      <c r="AL332" s="2948"/>
    </row>
    <row r="333" spans="1:39" ht="69.599999999999994" customHeight="1" x14ac:dyDescent="0.3">
      <c r="A333" s="2349" t="s">
        <v>158</v>
      </c>
      <c r="B333" s="2350"/>
      <c r="C333" s="2949" t="s">
        <v>1163</v>
      </c>
      <c r="D333" s="2949"/>
      <c r="E333" s="2949"/>
      <c r="F333" s="2949"/>
      <c r="G333" s="2949"/>
      <c r="H333" s="2949"/>
      <c r="I333" s="2949"/>
      <c r="J333" s="2949"/>
      <c r="K333" s="2949"/>
      <c r="L333" s="2949"/>
      <c r="M333" s="2949"/>
      <c r="N333" s="2949"/>
      <c r="O333" s="2949"/>
      <c r="P333" s="2949"/>
      <c r="Q333" s="2949"/>
      <c r="R333" s="2949"/>
      <c r="S333" s="2949"/>
      <c r="T333" s="2949"/>
      <c r="U333" s="2949"/>
      <c r="V333" s="2949"/>
      <c r="W333" s="2949"/>
      <c r="X333" s="2949"/>
      <c r="Y333" s="2949"/>
      <c r="Z333" s="2949"/>
      <c r="AA333" s="2949"/>
      <c r="AB333" s="2949"/>
      <c r="AC333" s="2949"/>
      <c r="AD333" s="2949"/>
      <c r="AE333" s="2949"/>
      <c r="AF333" s="2949"/>
      <c r="AG333" s="2949"/>
      <c r="AH333" s="2949"/>
      <c r="AI333" s="2949"/>
      <c r="AJ333" s="2949"/>
      <c r="AK333" s="2949"/>
      <c r="AL333" s="2949"/>
    </row>
    <row r="334" spans="1:39" ht="69.599999999999994" customHeight="1" x14ac:dyDescent="0.3">
      <c r="A334" s="2349" t="s">
        <v>159</v>
      </c>
      <c r="B334" s="2350"/>
      <c r="C334" s="2949" t="s">
        <v>1164</v>
      </c>
      <c r="D334" s="2949"/>
      <c r="E334" s="2949"/>
      <c r="F334" s="2949"/>
      <c r="G334" s="2949"/>
      <c r="H334" s="2949"/>
      <c r="I334" s="2949"/>
      <c r="J334" s="2949"/>
      <c r="K334" s="2949"/>
      <c r="L334" s="2949"/>
      <c r="M334" s="2949"/>
      <c r="N334" s="2949"/>
      <c r="O334" s="2949"/>
      <c r="P334" s="2949"/>
      <c r="Q334" s="2949"/>
      <c r="R334" s="2949"/>
      <c r="S334" s="2949"/>
      <c r="T334" s="2949"/>
      <c r="U334" s="2949"/>
      <c r="V334" s="2949"/>
      <c r="W334" s="2949"/>
      <c r="X334" s="2949"/>
      <c r="Y334" s="2949"/>
      <c r="Z334" s="2949"/>
      <c r="AA334" s="2949"/>
      <c r="AB334" s="2949"/>
      <c r="AC334" s="2949"/>
      <c r="AD334" s="2949"/>
      <c r="AE334" s="2949"/>
      <c r="AF334" s="2949"/>
      <c r="AG334" s="2949"/>
      <c r="AH334" s="2949"/>
      <c r="AI334" s="2949"/>
      <c r="AJ334" s="2949"/>
      <c r="AK334" s="2949"/>
      <c r="AL334" s="2949"/>
    </row>
    <row r="335" spans="1:39" ht="54.6" customHeight="1" x14ac:dyDescent="0.3">
      <c r="A335" s="2351" t="s">
        <v>160</v>
      </c>
      <c r="B335" s="2352"/>
      <c r="C335" s="2353"/>
      <c r="D335" s="2353"/>
      <c r="E335" s="2353"/>
      <c r="F335" s="2353"/>
      <c r="G335" s="2353"/>
      <c r="H335" s="2353"/>
      <c r="I335" s="2353"/>
      <c r="J335" s="2354"/>
      <c r="K335" s="2101" t="s">
        <v>161</v>
      </c>
      <c r="L335" s="2353"/>
      <c r="M335" s="2353"/>
      <c r="N335" s="2353"/>
      <c r="O335" s="2353"/>
      <c r="P335" s="2353"/>
      <c r="Q335" s="2354"/>
      <c r="R335" s="2101" t="s">
        <v>162</v>
      </c>
      <c r="S335" s="2353"/>
      <c r="T335" s="2353"/>
      <c r="U335" s="2353"/>
      <c r="V335" s="2353"/>
      <c r="W335" s="2353"/>
      <c r="X335" s="2353"/>
      <c r="Y335" s="2353"/>
      <c r="Z335" s="2354"/>
      <c r="AA335" s="2101" t="s">
        <v>163</v>
      </c>
      <c r="AB335" s="2353"/>
      <c r="AC335" s="2353"/>
      <c r="AD335" s="2353"/>
      <c r="AE335" s="2353"/>
      <c r="AF335" s="2353"/>
      <c r="AG335" s="2354"/>
      <c r="AH335" s="2953" t="s">
        <v>1165</v>
      </c>
      <c r="AI335" s="2954"/>
      <c r="AJ335" s="2954"/>
      <c r="AK335" s="2954"/>
      <c r="AL335" s="2954"/>
    </row>
    <row r="336" spans="1:39" ht="69.599999999999994" customHeight="1" x14ac:dyDescent="0.3">
      <c r="A336" s="2140" t="s">
        <v>165</v>
      </c>
      <c r="B336" s="2142" t="s">
        <v>142</v>
      </c>
      <c r="C336" s="2042" t="s">
        <v>166</v>
      </c>
      <c r="D336" s="2042" t="s">
        <v>167</v>
      </c>
      <c r="E336" s="2041" t="s">
        <v>168</v>
      </c>
      <c r="F336" s="2103" t="s">
        <v>60</v>
      </c>
      <c r="G336" s="280"/>
      <c r="H336" s="280"/>
      <c r="I336" s="2041" t="s">
        <v>169</v>
      </c>
      <c r="J336" s="2042" t="s">
        <v>170</v>
      </c>
      <c r="K336" s="2105" t="s">
        <v>171</v>
      </c>
      <c r="L336" s="2100" t="s">
        <v>172</v>
      </c>
      <c r="M336" s="2041" t="s">
        <v>173</v>
      </c>
      <c r="N336" s="2041" t="s">
        <v>174</v>
      </c>
      <c r="O336" s="2102" t="s">
        <v>175</v>
      </c>
      <c r="P336" s="2100" t="s">
        <v>172</v>
      </c>
      <c r="Q336" s="2042" t="s">
        <v>176</v>
      </c>
      <c r="R336" s="2161" t="s">
        <v>177</v>
      </c>
      <c r="S336" s="2043" t="s">
        <v>178</v>
      </c>
      <c r="T336" s="2041" t="s">
        <v>179</v>
      </c>
      <c r="U336" s="2043" t="s">
        <v>180</v>
      </c>
      <c r="V336" s="2043"/>
      <c r="W336" s="2043"/>
      <c r="X336" s="2043"/>
      <c r="Y336" s="2043"/>
      <c r="Z336" s="2043"/>
      <c r="AA336" s="2099" t="s">
        <v>181</v>
      </c>
      <c r="AB336" s="2099" t="s">
        <v>182</v>
      </c>
      <c r="AC336" s="2099" t="s">
        <v>172</v>
      </c>
      <c r="AD336" s="2099" t="s">
        <v>183</v>
      </c>
      <c r="AE336" s="2099" t="s">
        <v>172</v>
      </c>
      <c r="AF336" s="2099" t="s">
        <v>184</v>
      </c>
      <c r="AG336" s="2161" t="s">
        <v>185</v>
      </c>
      <c r="AH336" s="2041" t="s">
        <v>1165</v>
      </c>
      <c r="AI336" s="2041" t="s">
        <v>143</v>
      </c>
      <c r="AJ336" s="2041" t="s">
        <v>1166</v>
      </c>
      <c r="AK336" s="2041" t="s">
        <v>1086</v>
      </c>
      <c r="AL336" s="2041" t="s">
        <v>189</v>
      </c>
    </row>
    <row r="337" spans="1:43" ht="55.2" customHeight="1" x14ac:dyDescent="0.3">
      <c r="A337" s="2141"/>
      <c r="B337" s="2142"/>
      <c r="C337" s="2043"/>
      <c r="D337" s="2043"/>
      <c r="E337" s="2105"/>
      <c r="F337" s="2104"/>
      <c r="G337" s="280" t="s">
        <v>511</v>
      </c>
      <c r="H337" s="280" t="s">
        <v>190</v>
      </c>
      <c r="I337" s="2042"/>
      <c r="J337" s="2043"/>
      <c r="K337" s="2042"/>
      <c r="L337" s="2101"/>
      <c r="M337" s="2042"/>
      <c r="N337" s="2042"/>
      <c r="O337" s="2101"/>
      <c r="P337" s="2101"/>
      <c r="Q337" s="2043"/>
      <c r="R337" s="2162"/>
      <c r="S337" s="2043"/>
      <c r="T337" s="2042"/>
      <c r="U337" s="281" t="s">
        <v>191</v>
      </c>
      <c r="V337" s="281" t="s">
        <v>192</v>
      </c>
      <c r="W337" s="281" t="s">
        <v>193</v>
      </c>
      <c r="X337" s="281" t="s">
        <v>194</v>
      </c>
      <c r="Y337" s="281" t="s">
        <v>195</v>
      </c>
      <c r="Z337" s="281" t="s">
        <v>196</v>
      </c>
      <c r="AA337" s="2099"/>
      <c r="AB337" s="2099"/>
      <c r="AC337" s="2099"/>
      <c r="AD337" s="2099"/>
      <c r="AE337" s="2099"/>
      <c r="AF337" s="2099"/>
      <c r="AG337" s="2162"/>
      <c r="AH337" s="2042"/>
      <c r="AI337" s="2042"/>
      <c r="AJ337" s="2042"/>
      <c r="AK337" s="2042"/>
      <c r="AL337" s="2042"/>
    </row>
    <row r="338" spans="1:43" ht="69.599999999999994" customHeight="1" x14ac:dyDescent="0.3">
      <c r="A338" s="2112">
        <v>1</v>
      </c>
      <c r="B338" s="2237" t="s">
        <v>209</v>
      </c>
      <c r="C338" s="2237" t="s">
        <v>1167</v>
      </c>
      <c r="D338" s="2237" t="s">
        <v>1168</v>
      </c>
      <c r="E338" s="2239" t="s">
        <v>1169</v>
      </c>
      <c r="F338" s="2242" t="s">
        <v>1170</v>
      </c>
      <c r="G338" s="2242" t="s">
        <v>597</v>
      </c>
      <c r="H338" s="2290" t="s">
        <v>1171</v>
      </c>
      <c r="I338" s="2237" t="s">
        <v>198</v>
      </c>
      <c r="J338" s="2293">
        <v>500</v>
      </c>
      <c r="K338" s="2295" t="str">
        <f>IF(J338&lt;=0,"",IF(J338&lt;=2,"Muy Baja",IF(J338&lt;=24,"Baja",IF(J338&lt;=500,"Media",IF(J338&lt;=5000,"Alta","Muy Alta")))))</f>
        <v>Media</v>
      </c>
      <c r="L338" s="2297">
        <f>IF(K338="","",IF(K338="Muy Baja",0.2,IF(K338="Baja",0.4,IF(K338="Media",0.6,IF(K338="Alta",0.8,IF(K338="Muy Alta",1,))))))</f>
        <v>0.6</v>
      </c>
      <c r="M338" s="2299" t="s">
        <v>1172</v>
      </c>
      <c r="N338" s="2297" t="str">
        <f>IF(NOT(ISERROR(MATCH(M338,'[42]Tabla Impacto'!$B$221:$B$223,0))),'[42]Tabla Impacto'!$F$223&amp;"Por favor no seleccionar los criterios de impacto(Afectación Económica o presupuestal y Pérdida Reputacional)",M338)</f>
        <v xml:space="preserve">     Entre 50 y 100 SMLMV </v>
      </c>
      <c r="O338" s="2295" t="str">
        <f>IF(OR(N338='[42]Tabla Impacto'!$C$11,N338='[42]Tabla Impacto'!$D$11),"Leve",IF(OR(N338='[42]Tabla Impacto'!$C$12,N338='[42]Tabla Impacto'!$D$12),"Menor",IF(OR(N338='[42]Tabla Impacto'!$C$13,N338='[42]Tabla Impacto'!$D$13),"Moderado",IF(OR(N338='[42]Tabla Impacto'!$C$14,N338='[42]Tabla Impacto'!$D$14),"Mayor",IF(OR(N338='[42]Tabla Impacto'!$C$15,N338='[42]Tabla Impacto'!$D$15),"Catastrófico","")))))</f>
        <v>Moderado</v>
      </c>
      <c r="P338" s="2297">
        <f>IF(O338="","",IF(O338="Leve",0.2,IF(O338="Menor",0.4,IF(O338="Moderado",0.6,IF(O338="Mayor",0.8,IF(O338="Catastrófico",1,))))))</f>
        <v>0.6</v>
      </c>
      <c r="Q338" s="2267" t="str">
        <f>IF(OR(AND(K338="Muy Baja",O338="Leve"),AND(K338="Muy Baja",O338="Menor"),AND(K338="Baja",O338="Leve")),"Bajo",IF(OR(AND(K338="Muy baja",O338="Moderado"),AND(K338="Baja",O338="Menor"),AND(K338="Baja",O338="Moderado"),AND(K338="Media",O338="Leve"),AND(K338="Media",O338="Menor"),AND(K338="Media",O338="Moderado"),AND(K338="Alta",O338="Leve"),AND(K338="Alta",O338="Menor")),"Moderado",IF(OR(AND(K338="Muy Baja",O338="Mayor"),AND(K338="Baja",O338="Mayor"),AND(K338="Media",O338="Mayor"),AND(K338="Alta",O338="Moderado"),AND(K338="Alta",O338="Mayor"),AND(K338="Muy Alta",O338="Leve"),AND(K338="Muy Alta",O338="Menor"),AND(K338="Muy Alta",O338="Moderado"),AND(K338="Muy Alta",O338="Mayor")),"Alto",IF(OR(AND(K338="Muy Baja",O338="Catastrófico"),AND(K338="Baja",O338="Catastrófico"),AND(K338="Media",O338="Catastrófico"),AND(K338="Alta",O338="Catastrófico"),AND(K338="Muy Alta",O338="Catastrófico")),"Extremo",""))))</f>
        <v>Moderado</v>
      </c>
      <c r="R338" s="716">
        <v>1</v>
      </c>
      <c r="S338" s="717" t="s">
        <v>1173</v>
      </c>
      <c r="T338" s="895" t="str">
        <f>IF(OR(U338="Preventivo",U338="Detectivo"),"Probabilidad",IF(U338="Correctivo","Impacto",""))</f>
        <v>Probabilidad</v>
      </c>
      <c r="U338" s="719" t="s">
        <v>207</v>
      </c>
      <c r="V338" s="719" t="s">
        <v>201</v>
      </c>
      <c r="W338" s="720" t="str">
        <f>IF(AND(U338="Preventivo",V338="Automático"),"50%",IF(AND(U338="Preventivo",V338="Manual"),"40%",IF(AND(U338="Detectivo",V338="Automático"),"40%",IF(AND(U338="Detectivo",V338="Manual"),"30%",IF(AND(U338="Correctivo",V338="Automático"),"35%",IF(AND(U338="Correctivo",V338="Manual"),"25%",""))))))</f>
        <v>40%</v>
      </c>
      <c r="X338" s="719" t="s">
        <v>208</v>
      </c>
      <c r="Y338" s="719" t="s">
        <v>203</v>
      </c>
      <c r="Z338" s="719" t="s">
        <v>204</v>
      </c>
      <c r="AA338" s="896">
        <f>IFERROR(IF(T338="Probabilidad",(L338-(+L338*W338)),IF(T338="Impacto",L338,"")),"")</f>
        <v>0.36</v>
      </c>
      <c r="AB338" s="722" t="str">
        <f>IFERROR(IF(AA338="","",IF(AA338&lt;=0.2,"Muy Baja",IF(AA338&lt;=0.4,"Baja",IF(AA338&lt;=0.6,"Media",IF(AA338&lt;=0.8,"Alta","Muy Alta"))))),"")</f>
        <v>Baja</v>
      </c>
      <c r="AC338" s="723">
        <f>+AA338</f>
        <v>0.36</v>
      </c>
      <c r="AD338" s="722" t="str">
        <f>IFERROR(IF(AE338="","",IF(AE338&lt;=0.2,"Leve",IF(AE338&lt;=0.4,"Menor",IF(AE338&lt;=0.6,"Moderado",IF(AE338&lt;=0.8,"Mayor","Catastrófico"))))),"")</f>
        <v>Moderado</v>
      </c>
      <c r="AE338" s="723">
        <f>IFERROR(IF(T338="Impacto",(P338-(+P338*W338)),IF(T338="Probabilidad",P338,"")),"")</f>
        <v>0.6</v>
      </c>
      <c r="AF338" s="724" t="str">
        <f>IFERROR(IF(OR(AND(AB338="Muy Baja",AD338="Leve"),AND(AB338="Muy Baja",AD338="Menor"),AND(AB338="Baja",AD338="Leve")),"Bajo",IF(OR(AND(AB338="Muy baja",AD338="Moderado"),AND(AB338="Baja",AD338="Menor"),AND(AB338="Baja",AD338="Moderado"),AND(AB338="Media",AD338="Leve"),AND(AB338="Media",AD338="Menor"),AND(AB338="Media",AD338="Moderado"),AND(AB338="Alta",AD338="Leve"),AND(AB338="Alta",AD338="Menor")),"Moderado",IF(OR(AND(AB338="Muy Baja",AD338="Mayor"),AND(AB338="Baja",AD338="Mayor"),AND(AB338="Media",AD338="Mayor"),AND(AB338="Alta",AD338="Moderado"),AND(AB338="Alta",AD338="Mayor"),AND(AB338="Muy Alta",AD338="Leve"),AND(AB338="Muy Alta",AD338="Menor"),AND(AB338="Muy Alta",AD338="Moderado"),AND(AB338="Muy Alta",AD338="Mayor")),"Alto",IF(OR(AND(AB338="Muy Baja",AD338="Catastrófico"),AND(AB338="Baja",AD338="Catastrófico"),AND(AB338="Media",AD338="Catastrófico"),AND(AB338="Alta",AD338="Catastrófico"),AND(AB338="Muy Alta",AD338="Catastrófico")),"Extremo","")))),"")</f>
        <v>Moderado</v>
      </c>
      <c r="AG338" s="295" t="s">
        <v>1174</v>
      </c>
      <c r="AH338" s="765" t="s">
        <v>1175</v>
      </c>
      <c r="AI338" s="736" t="s">
        <v>1176</v>
      </c>
      <c r="AJ338" s="736" t="s">
        <v>1177</v>
      </c>
      <c r="AK338" s="736" t="s">
        <v>1178</v>
      </c>
      <c r="AL338" s="736"/>
    </row>
    <row r="339" spans="1:43" ht="69.599999999999994" customHeight="1" x14ac:dyDescent="0.3">
      <c r="A339" s="2113"/>
      <c r="B339" s="2238"/>
      <c r="C339" s="2238"/>
      <c r="D339" s="2238"/>
      <c r="E339" s="2240"/>
      <c r="F339" s="2243"/>
      <c r="G339" s="2243"/>
      <c r="H339" s="2291"/>
      <c r="I339" s="2238"/>
      <c r="J339" s="2294"/>
      <c r="K339" s="2296"/>
      <c r="L339" s="2298"/>
      <c r="M339" s="2300"/>
      <c r="N339" s="2298">
        <f>IF(NOT(ISERROR(MATCH(M339,_xlfn.ANCHORARRAY(#REF!),0))),#REF!&amp;"Por favor no seleccionar los criterios de impacto",M339)</f>
        <v>0</v>
      </c>
      <c r="O339" s="2296"/>
      <c r="P339" s="2298"/>
      <c r="Q339" s="2268"/>
      <c r="R339" s="2112">
        <v>2</v>
      </c>
      <c r="S339" s="2301" t="s">
        <v>1179</v>
      </c>
      <c r="T339" s="2302" t="str">
        <f>IF(OR(U339="Preventivo",U339="Detectivo"),"Probabilidad",IF(U339="Correctivo","Impacto",""))</f>
        <v>Probabilidad</v>
      </c>
      <c r="U339" s="2282" t="s">
        <v>207</v>
      </c>
      <c r="V339" s="2282" t="s">
        <v>201</v>
      </c>
      <c r="W339" s="2276" t="str">
        <f t="shared" ref="W339" si="153">IF(AND(U339="Preventivo",V339="Automático"),"50%",IF(AND(U339="Preventivo",V339="Manual"),"40%",IF(AND(U339="Detectivo",V339="Automático"),"40%",IF(AND(U339="Detectivo",V339="Manual"),"30%",IF(AND(U339="Correctivo",V339="Automático"),"35%",IF(AND(U339="Correctivo",V339="Manual"),"25%",""))))))</f>
        <v>40%</v>
      </c>
      <c r="X339" s="2282" t="s">
        <v>208</v>
      </c>
      <c r="Y339" s="2282" t="s">
        <v>203</v>
      </c>
      <c r="Z339" s="2282" t="s">
        <v>204</v>
      </c>
      <c r="AA339" s="2219">
        <f>IFERROR(IF(AND(T338="Probabilidad",T339="Probabilidad"),(AC338-(+AC338*W339)),IF(T339="Probabilidad",(L338-(+L338*W339)),IF(T339="Impacto",AC338,""))),"")</f>
        <v>0.216</v>
      </c>
      <c r="AB339" s="2267" t="str">
        <f t="shared" ref="AB339" si="154">IFERROR(IF(AA339="","",IF(AA339&lt;=0.2,"Muy Baja",IF(AA339&lt;=0.4,"Baja",IF(AA339&lt;=0.6,"Media",IF(AA339&lt;=0.8,"Alta","Muy Alta"))))),"")</f>
        <v>Baja</v>
      </c>
      <c r="AC339" s="2270">
        <f t="shared" ref="AC339" si="155">+AA339</f>
        <v>0.216</v>
      </c>
      <c r="AD339" s="2273" t="str">
        <f t="shared" ref="AD339" si="156">IFERROR(IF(AE339="","",IF(AE339&lt;=0.2,"Leve",IF(AE339&lt;=0.4,"Menor",IF(AE339&lt;=0.6,"Moderado",IF(AE339&lt;=0.8,"Mayor","Catastrófico"))))),"")</f>
        <v>Moderado</v>
      </c>
      <c r="AE339" s="2276">
        <f>IFERROR(IF(AND(T338="Impacto",T339="Impacto"),(AE338-(+AE338*W339)),IF(T339="Impacto",(P338-(+P338*W339)),IF(T339="Probabilidad",AE338,""))),"")</f>
        <v>0.6</v>
      </c>
      <c r="AF339" s="2279" t="str">
        <f t="shared" ref="AF339" si="157">IFERROR(IF(OR(AND(AB339="Muy Baja",AD339="Leve"),AND(AB339="Muy Baja",AD339="Menor"),AND(AB339="Baja",AD339="Leve")),"Bajo",IF(OR(AND(AB339="Muy baja",AD339="Moderado"),AND(AB339="Baja",AD339="Menor"),AND(AB339="Baja",AD339="Moderado"),AND(AB339="Media",AD339="Leve"),AND(AB339="Media",AD339="Menor"),AND(AB339="Media",AD339="Moderado"),AND(AB339="Alta",AD339="Leve"),AND(AB339="Alta",AD339="Menor")),"Moderado",IF(OR(AND(AB339="Muy Baja",AD339="Mayor"),AND(AB339="Baja",AD339="Mayor"),AND(AB339="Media",AD339="Mayor"),AND(AB339="Alta",AD339="Moderado"),AND(AB339="Alta",AD339="Mayor"),AND(AB339="Muy Alta",AD339="Leve"),AND(AB339="Muy Alta",AD339="Menor"),AND(AB339="Muy Alta",AD339="Moderado"),AND(AB339="Muy Alta",AD339="Mayor")),"Alto",IF(OR(AND(AB339="Muy Baja",AD339="Catastrófico"),AND(AB339="Baja",AD339="Catastrófico"),AND(AB339="Media",AD339="Catastrófico"),AND(AB339="Alta",AD339="Catastrófico"),AND(AB339="Muy Alta",AD339="Catastrófico")),"Extremo","")))),"")</f>
        <v>Moderado</v>
      </c>
      <c r="AG339" s="2282" t="s">
        <v>1174</v>
      </c>
      <c r="AH339" s="2285" t="s">
        <v>1180</v>
      </c>
      <c r="AI339" s="2238" t="s">
        <v>1181</v>
      </c>
      <c r="AJ339" s="2238" t="s">
        <v>1177</v>
      </c>
      <c r="AK339" s="2238" t="s">
        <v>1178</v>
      </c>
      <c r="AL339" s="2238"/>
    </row>
    <row r="340" spans="1:43" ht="69.599999999999994" customHeight="1" x14ac:dyDescent="0.3">
      <c r="A340" s="2113"/>
      <c r="B340" s="2238"/>
      <c r="C340" s="2238"/>
      <c r="D340" s="2238"/>
      <c r="E340" s="2240" t="s">
        <v>1182</v>
      </c>
      <c r="F340" s="2243"/>
      <c r="G340" s="2243"/>
      <c r="H340" s="2291"/>
      <c r="I340" s="2238"/>
      <c r="J340" s="2294"/>
      <c r="K340" s="2296"/>
      <c r="L340" s="2298"/>
      <c r="M340" s="2300"/>
      <c r="N340" s="2298">
        <f>IF(NOT(ISERROR(MATCH(M340,_xlfn.ANCHORARRAY(#REF!),0))),#REF!&amp;"Por favor no seleccionar los criterios de impacto",M340)</f>
        <v>0</v>
      </c>
      <c r="O340" s="2296"/>
      <c r="P340" s="2298"/>
      <c r="Q340" s="2268"/>
      <c r="R340" s="2113"/>
      <c r="S340" s="2288"/>
      <c r="T340" s="2303"/>
      <c r="U340" s="2283"/>
      <c r="V340" s="2283"/>
      <c r="W340" s="2277"/>
      <c r="X340" s="2283"/>
      <c r="Y340" s="2283"/>
      <c r="Z340" s="2283"/>
      <c r="AA340" s="2220"/>
      <c r="AB340" s="2268"/>
      <c r="AC340" s="2271"/>
      <c r="AD340" s="2274"/>
      <c r="AE340" s="2277"/>
      <c r="AF340" s="2280"/>
      <c r="AG340" s="2283"/>
      <c r="AH340" s="2285"/>
      <c r="AI340" s="2238"/>
      <c r="AJ340" s="2238"/>
      <c r="AK340" s="2238"/>
      <c r="AL340" s="2238"/>
    </row>
    <row r="341" spans="1:43" ht="69.599999999999994" customHeight="1" x14ac:dyDescent="0.3">
      <c r="A341" s="2113"/>
      <c r="B341" s="2238"/>
      <c r="C341" s="2238"/>
      <c r="D341" s="2238"/>
      <c r="E341" s="2241"/>
      <c r="F341" s="2243"/>
      <c r="G341" s="2244"/>
      <c r="H341" s="2292"/>
      <c r="I341" s="2238"/>
      <c r="J341" s="2294"/>
      <c r="K341" s="2296"/>
      <c r="L341" s="2298"/>
      <c r="M341" s="2300"/>
      <c r="N341" s="2298">
        <f>IF(NOT(ISERROR(MATCH(M341,_xlfn.ANCHORARRAY(#REF!),0))),#REF!&amp;"Por favor no seleccionar los criterios de impacto",M341)</f>
        <v>0</v>
      </c>
      <c r="O341" s="2296"/>
      <c r="P341" s="2298"/>
      <c r="Q341" s="2268"/>
      <c r="R341" s="2114"/>
      <c r="S341" s="2289"/>
      <c r="T341" s="2304"/>
      <c r="U341" s="2284"/>
      <c r="V341" s="2284"/>
      <c r="W341" s="2278"/>
      <c r="X341" s="2284"/>
      <c r="Y341" s="2284"/>
      <c r="Z341" s="2284"/>
      <c r="AA341" s="2221"/>
      <c r="AB341" s="2269"/>
      <c r="AC341" s="2272"/>
      <c r="AD341" s="2275"/>
      <c r="AE341" s="2278"/>
      <c r="AF341" s="2281"/>
      <c r="AG341" s="2284"/>
      <c r="AH341" s="2286"/>
      <c r="AI341" s="2287"/>
      <c r="AJ341" s="2287"/>
      <c r="AK341" s="2287"/>
      <c r="AL341" s="2287"/>
    </row>
    <row r="342" spans="1:43" ht="69.599999999999994" customHeight="1" x14ac:dyDescent="0.3">
      <c r="A342" s="2112">
        <v>2</v>
      </c>
      <c r="B342" s="2234" t="s">
        <v>395</v>
      </c>
      <c r="C342" s="2237" t="s">
        <v>1167</v>
      </c>
      <c r="D342" s="2246" t="s">
        <v>1183</v>
      </c>
      <c r="E342" s="897" t="s">
        <v>1184</v>
      </c>
      <c r="F342" s="2242" t="s">
        <v>1185</v>
      </c>
      <c r="G342" s="2242" t="s">
        <v>512</v>
      </c>
      <c r="H342" s="2246" t="s">
        <v>1186</v>
      </c>
      <c r="I342" s="2234" t="s">
        <v>198</v>
      </c>
      <c r="J342" s="2249">
        <v>24</v>
      </c>
      <c r="K342" s="2252" t="str">
        <f>IF(J342&lt;=0,"",IF(J342&lt;=2,"Muy Baja",IF(J342&lt;=24,"Baja",IF(J342&lt;=500,"Media",IF(J342&lt;=5000,"Alta","Muy Alta")))))</f>
        <v>Baja</v>
      </c>
      <c r="L342" s="2255">
        <f>IF(K342="","",IF(K342="Muy Baja",0.2,IF(K342="Baja",0.4,IF(K342="Media",0.6,IF(K342="Alta",0.8,IF(K342="Muy Alta",1,))))))</f>
        <v>0.4</v>
      </c>
      <c r="M342" s="2258" t="s">
        <v>1187</v>
      </c>
      <c r="N342" s="2255" t="str">
        <f>IF(NOT(ISERROR(MATCH(M342,'[42]Tabla Impacto'!$B$221:$B$223,0))),'[42]Tabla Impacto'!$F$223&amp;"Por favor no seleccionar los criterios de impacto(Afectación Económica o presupuestal y Pérdida Reputacional)",M342)</f>
        <v xml:space="preserve">     Entre 10 y 50 SMLMV </v>
      </c>
      <c r="O342" s="2252" t="str">
        <f>IF(OR(N342='[42]Tabla Impacto'!$C$11,N342='[42]Tabla Impacto'!$D$11),"Leve",IF(OR(N342='[42]Tabla Impacto'!$C$12,N342='[42]Tabla Impacto'!$D$12),"Menor",IF(OR(N342='[42]Tabla Impacto'!$C$13,N342='[42]Tabla Impacto'!$D$13),"Moderado",IF(OR(N342='[42]Tabla Impacto'!$C$14,N342='[42]Tabla Impacto'!$D$14),"Mayor",IF(OR(N342='[42]Tabla Impacto'!$C$15,N342='[42]Tabla Impacto'!$D$15),"Catastrófico","")))))</f>
        <v>Menor</v>
      </c>
      <c r="P342" s="2255">
        <f>IF(O342="","",IF(O342="Leve",0.2,IF(O342="Menor",0.4,IF(O342="Moderado",0.6,IF(O342="Mayor",0.8,IF(O342="Catastrófico",1,))))))</f>
        <v>0.4</v>
      </c>
      <c r="Q342" s="2261" t="str">
        <f>IF(OR(AND(K342="Muy Baja",O342="Leve"),AND(K342="Muy Baja",O342="Menor"),AND(K342="Baja",O342="Leve")),"Bajo",IF(OR(AND(K342="Muy baja",O342="Moderado"),AND(K342="Baja",O342="Menor"),AND(K342="Baja",O342="Moderado"),AND(K342="Media",O342="Leve"),AND(K342="Media",O342="Menor"),AND(K342="Media",O342="Moderado"),AND(K342="Alta",O342="Leve"),AND(K342="Alta",O342="Menor")),"Moderado",IF(OR(AND(K342="Muy Baja",O342="Mayor"),AND(K342="Baja",O342="Mayor"),AND(K342="Media",O342="Mayor"),AND(K342="Alta",O342="Moderado"),AND(K342="Alta",O342="Mayor"),AND(K342="Muy Alta",O342="Leve"),AND(K342="Muy Alta",O342="Menor"),AND(K342="Muy Alta",O342="Moderado"),AND(K342="Muy Alta",O342="Mayor")),"Alto",IF(OR(AND(K342="Muy Baja",O342="Catastrófico"),AND(K342="Baja",O342="Catastrófico"),AND(K342="Media",O342="Catastrófico"),AND(K342="Alta",O342="Catastrófico"),AND(K342="Muy Alta",O342="Catastrófico")),"Extremo",""))))</f>
        <v>Moderado</v>
      </c>
      <c r="R342" s="2112">
        <v>1</v>
      </c>
      <c r="S342" s="898" t="s">
        <v>1188</v>
      </c>
      <c r="T342" s="899" t="str">
        <f>IF(OR(U342="Preventivo",U342="Detectivo"),"Probabilidad",IF(U342="Correctivo","Impacto",""))</f>
        <v>Probabilidad</v>
      </c>
      <c r="U342" s="787" t="s">
        <v>207</v>
      </c>
      <c r="V342" s="900" t="s">
        <v>201</v>
      </c>
      <c r="W342" s="900" t="str">
        <f>IF(AND(U342="Preventivo",V342="Automático"),"50%",IF(AND(U342="Preventivo",V342="Manual"),"40%",IF(AND(U342="Detectivo",V342="Automático"),"40%",IF(AND(U342="Detectivo",V342="Manual"),"30%",IF(AND(U342="Correctivo",V342="Automático"),"35%",IF(AND(U342="Correctivo",V342="Manual"),"25%",""))))))</f>
        <v>40%</v>
      </c>
      <c r="X342" s="900" t="s">
        <v>208</v>
      </c>
      <c r="Y342" s="900" t="s">
        <v>203</v>
      </c>
      <c r="Z342" s="900" t="s">
        <v>204</v>
      </c>
      <c r="AA342" s="896">
        <f>IFERROR(IF(T342="Probabilidad",(L342-(+L342*W342)),IF(T342="Impacto",L342,"")),"")</f>
        <v>0.24</v>
      </c>
      <c r="AB342" s="901" t="str">
        <f>IFERROR(IF(AA342="","",IF(AA342&lt;=0.2,"Muy Baja",IF(AA342&lt;=0.4,"Baja",IF(AA342&lt;=0.6,"Media",IF(AA342&lt;=0.8,"Alta","Muy Alta"))))),"")</f>
        <v>Baja</v>
      </c>
      <c r="AC342" s="902">
        <f>+AA342</f>
        <v>0.24</v>
      </c>
      <c r="AD342" s="901" t="str">
        <f>IFERROR(IF(AE342="","",IF(AE342&lt;=0.2,"Leve",IF(AE342&lt;=0.4,"Menor",IF(AE342&lt;=0.6,"Moderado",IF(AE342&lt;=0.8,"Mayor","Catastrófico"))))),"")</f>
        <v>Menor</v>
      </c>
      <c r="AE342" s="902">
        <f>IFERROR(IF(T342="Impacto",(P342-(+P342*W342)),IF(T342="Probabilidad",P342,"")),"")</f>
        <v>0.4</v>
      </c>
      <c r="AF342" s="903" t="str">
        <f>IFERROR(IF(OR(AND(AB342="Muy Baja",AD342="Leve"),AND(AB342="Muy Baja",AD342="Menor"),AND(AB342="Baja",AD342="Leve")),"Bajo",IF(OR(AND(AB342="Muy baja",AD342="Moderado"),AND(AB342="Baja",AD342="Menor"),AND(AB342="Baja",AD342="Moderado"),AND(AB342="Media",AD342="Leve"),AND(AB342="Media",AD342="Menor"),AND(AB342="Media",AD342="Moderado"),AND(AB342="Alta",AD342="Leve"),AND(AB342="Alta",AD342="Menor")),"Moderado",IF(OR(AND(AB342="Muy Baja",AD342="Mayor"),AND(AB342="Baja",AD342="Mayor"),AND(AB342="Media",AD342="Mayor"),AND(AB342="Alta",AD342="Moderado"),AND(AB342="Alta",AD342="Mayor"),AND(AB342="Muy Alta",AD342="Leve"),AND(AB342="Muy Alta",AD342="Menor"),AND(AB342="Muy Alta",AD342="Moderado"),AND(AB342="Muy Alta",AD342="Mayor")),"Alto",IF(OR(AND(AB342="Muy Baja",AD342="Catastrófico"),AND(AB342="Baja",AD342="Catastrófico"),AND(AB342="Media",AD342="Catastrófico"),AND(AB342="Alta",AD342="Catastrófico"),AND(AB342="Muy Alta",AD342="Catastrófico")),"Extremo","")))),"")</f>
        <v>Moderado</v>
      </c>
      <c r="AG342" s="900" t="s">
        <v>1174</v>
      </c>
      <c r="AH342" s="765" t="s">
        <v>1189</v>
      </c>
      <c r="AI342" s="715" t="s">
        <v>1190</v>
      </c>
      <c r="AJ342" s="736" t="s">
        <v>1177</v>
      </c>
      <c r="AK342" s="736" t="s">
        <v>1178</v>
      </c>
      <c r="AL342" s="715"/>
    </row>
    <row r="343" spans="1:43" ht="69.599999999999994" customHeight="1" x14ac:dyDescent="0.3">
      <c r="A343" s="2113"/>
      <c r="B343" s="2235"/>
      <c r="C343" s="2238"/>
      <c r="D343" s="2247"/>
      <c r="E343" s="2288" t="s">
        <v>1191</v>
      </c>
      <c r="F343" s="2243"/>
      <c r="G343" s="2243"/>
      <c r="H343" s="2247"/>
      <c r="I343" s="2235"/>
      <c r="J343" s="2250"/>
      <c r="K343" s="2253"/>
      <c r="L343" s="2256"/>
      <c r="M343" s="2259"/>
      <c r="N343" s="2256">
        <f>IF(NOT(ISERROR(MATCH(M343,_xlfn.ANCHORARRAY(#REF!),0))),#REF!&amp;"Por favor no seleccionar los criterios de impacto",M343)</f>
        <v>0</v>
      </c>
      <c r="O343" s="2253"/>
      <c r="P343" s="2256"/>
      <c r="Q343" s="2262"/>
      <c r="R343" s="2114"/>
      <c r="S343" s="904" t="s">
        <v>1192</v>
      </c>
      <c r="T343" s="2264" t="str">
        <f>IF(OR(U343="Preventivo",U343="Detectivo"),"Probabilidad",IF(U343="Correctivo","Impacto",""))</f>
        <v>Probabilidad</v>
      </c>
      <c r="U343" s="2216" t="s">
        <v>207</v>
      </c>
      <c r="V343" s="2216" t="s">
        <v>201</v>
      </c>
      <c r="W343" s="2216" t="str">
        <f>IF(AND(U343="Preventivo",V343="Automático"),"50%",IF(AND(U343="Preventivo",V343="Manual"),"40%",IF(AND(U343="Detectivo",V343="Automático"),"40%",IF(AND(U343="Detectivo",V343="Manual"),"30%",IF(AND(U343="Correctivo",V343="Automático"),"35%",IF(AND(U343="Correctivo",V343="Manual"),"25%",""))))))</f>
        <v>40%</v>
      </c>
      <c r="X343" s="2216" t="s">
        <v>208</v>
      </c>
      <c r="Y343" s="2216" t="s">
        <v>203</v>
      </c>
      <c r="Z343" s="2216" t="s">
        <v>204</v>
      </c>
      <c r="AA343" s="2219">
        <f>IFERROR(IF(T343="Probabilidad",(L343-(+L343*W343)),IF(T343="Impacto",L343,"")),"")</f>
        <v>0</v>
      </c>
      <c r="AB343" s="2222" t="str">
        <f t="shared" ref="AB343" si="158">IFERROR(IF(AA343="","",IF(AA343&lt;=0.2,"Muy Baja",IF(AA343&lt;=0.4,"Baja",IF(AA343&lt;=0.6,"Media",IF(AA343&lt;=0.8,"Alta","Muy Alta"))))),"")</f>
        <v>Muy Baja</v>
      </c>
      <c r="AC343" s="2225">
        <f t="shared" ref="AC343" si="159">+AA343</f>
        <v>0</v>
      </c>
      <c r="AD343" s="2222" t="str">
        <f t="shared" ref="AD343" si="160">IFERROR(IF(AE343="","",IF(AE343&lt;=0.2,"Leve",IF(AE343&lt;=0.4,"Menor",IF(AE343&lt;=0.6,"Moderado",IF(AE343&lt;=0.8,"Mayor","Catastrófico"))))),"")</f>
        <v>Leve</v>
      </c>
      <c r="AE343" s="2225">
        <f t="shared" ref="AE343" si="161">IFERROR(IF(T343="Impacto",(P343-(+P343*W343)),IF(T343="Probabilidad",P343,"")),"")</f>
        <v>0</v>
      </c>
      <c r="AF343" s="2228" t="str">
        <f t="shared" ref="AF343" si="162">IFERROR(IF(OR(AND(AB343="Muy Baja",AD343="Leve"),AND(AB343="Muy Baja",AD343="Menor"),AND(AB343="Baja",AD343="Leve")),"Bajo",IF(OR(AND(AB343="Muy baja",AD343="Moderado"),AND(AB343="Baja",AD343="Menor"),AND(AB343="Baja",AD343="Moderado"),AND(AB343="Media",AD343="Leve"),AND(AB343="Media",AD343="Menor"),AND(AB343="Media",AD343="Moderado"),AND(AB343="Alta",AD343="Leve"),AND(AB343="Alta",AD343="Menor")),"Moderado",IF(OR(AND(AB343="Muy Baja",AD343="Mayor"),AND(AB343="Baja",AD343="Mayor"),AND(AB343="Media",AD343="Mayor"),AND(AB343="Alta",AD343="Moderado"),AND(AB343="Alta",AD343="Mayor"),AND(AB343="Muy Alta",AD343="Leve"),AND(AB343="Muy Alta",AD343="Menor"),AND(AB343="Muy Alta",AD343="Moderado"),AND(AB343="Muy Alta",AD343="Mayor")),"Alto",IF(OR(AND(AB343="Muy Baja",AD343="Catastrófico"),AND(AB343="Baja",AD343="Catastrófico"),AND(AB343="Media",AD343="Catastrófico"),AND(AB343="Alta",AD343="Catastrófico"),AND(AB343="Muy Alta",AD343="Catastrófico")),"Extremo","")))),"")</f>
        <v>Bajo</v>
      </c>
      <c r="AG343" s="2216" t="s">
        <v>1174</v>
      </c>
      <c r="AH343" s="2232" t="s">
        <v>1193</v>
      </c>
      <c r="AI343" s="2235" t="s">
        <v>1194</v>
      </c>
      <c r="AJ343" s="2235" t="s">
        <v>1177</v>
      </c>
      <c r="AK343" s="2235" t="s">
        <v>1178</v>
      </c>
      <c r="AL343" s="2235"/>
    </row>
    <row r="344" spans="1:43" ht="69.599999999999994" customHeight="1" x14ac:dyDescent="0.3">
      <c r="A344" s="2113"/>
      <c r="B344" s="2235"/>
      <c r="C344" s="2238"/>
      <c r="D344" s="2247"/>
      <c r="E344" s="2288"/>
      <c r="F344" s="2243"/>
      <c r="G344" s="2243"/>
      <c r="H344" s="2247"/>
      <c r="I344" s="2235"/>
      <c r="J344" s="2250"/>
      <c r="K344" s="2253"/>
      <c r="L344" s="2256"/>
      <c r="M344" s="2259"/>
      <c r="N344" s="872"/>
      <c r="O344" s="2253"/>
      <c r="P344" s="2256"/>
      <c r="Q344" s="2262"/>
      <c r="R344" s="2112">
        <v>2</v>
      </c>
      <c r="S344" s="898" t="s">
        <v>1195</v>
      </c>
      <c r="T344" s="2265"/>
      <c r="U344" s="2217"/>
      <c r="V344" s="2217"/>
      <c r="W344" s="2217"/>
      <c r="X344" s="2217"/>
      <c r="Y344" s="2217"/>
      <c r="Z344" s="2217"/>
      <c r="AA344" s="2220"/>
      <c r="AB344" s="2223"/>
      <c r="AC344" s="2226"/>
      <c r="AD344" s="2223"/>
      <c r="AE344" s="2226"/>
      <c r="AF344" s="2229"/>
      <c r="AG344" s="2217"/>
      <c r="AH344" s="2232"/>
      <c r="AI344" s="2235"/>
      <c r="AJ344" s="2235"/>
      <c r="AK344" s="2235"/>
      <c r="AL344" s="2235"/>
    </row>
    <row r="345" spans="1:43" ht="69.599999999999994" customHeight="1" x14ac:dyDescent="0.3">
      <c r="A345" s="2114"/>
      <c r="B345" s="2236"/>
      <c r="C345" s="2238"/>
      <c r="D345" s="2248"/>
      <c r="E345" s="2289"/>
      <c r="F345" s="2244"/>
      <c r="G345" s="2244"/>
      <c r="H345" s="2248"/>
      <c r="I345" s="2236"/>
      <c r="J345" s="2251"/>
      <c r="K345" s="2254"/>
      <c r="L345" s="2257"/>
      <c r="M345" s="2260"/>
      <c r="N345" s="872"/>
      <c r="O345" s="2254"/>
      <c r="P345" s="2257"/>
      <c r="Q345" s="2263"/>
      <c r="R345" s="2114"/>
      <c r="S345" s="904"/>
      <c r="T345" s="2266"/>
      <c r="U345" s="2218"/>
      <c r="V345" s="2218"/>
      <c r="W345" s="2218"/>
      <c r="X345" s="2218"/>
      <c r="Y345" s="2218"/>
      <c r="Z345" s="2218"/>
      <c r="AA345" s="2221"/>
      <c r="AB345" s="2224"/>
      <c r="AC345" s="2227"/>
      <c r="AD345" s="2224"/>
      <c r="AE345" s="2227"/>
      <c r="AF345" s="2230"/>
      <c r="AG345" s="2218"/>
      <c r="AH345" s="2233"/>
      <c r="AI345" s="2236"/>
      <c r="AJ345" s="2236"/>
      <c r="AK345" s="2236"/>
      <c r="AL345" s="2236"/>
    </row>
    <row r="346" spans="1:43" ht="69.599999999999994" customHeight="1" x14ac:dyDescent="0.3">
      <c r="A346" s="2112">
        <v>3</v>
      </c>
      <c r="B346" s="2234" t="s">
        <v>395</v>
      </c>
      <c r="C346" s="2237" t="s">
        <v>1167</v>
      </c>
      <c r="D346" s="2234" t="s">
        <v>1196</v>
      </c>
      <c r="E346" s="2239" t="s">
        <v>292</v>
      </c>
      <c r="F346" s="2242" t="s">
        <v>1197</v>
      </c>
      <c r="G346" s="2242" t="s">
        <v>597</v>
      </c>
      <c r="H346" s="2246" t="s">
        <v>1186</v>
      </c>
      <c r="I346" s="2234" t="s">
        <v>198</v>
      </c>
      <c r="J346" s="2249">
        <v>2</v>
      </c>
      <c r="K346" s="2252" t="str">
        <f>IF(J346&lt;=0,"",IF(J346&lt;=2,"Muy Baja",IF(J346&lt;=24,"Baja",IF(J346&lt;=500,"Media",IF(J346&lt;=5000,"Alta","Muy Alta")))))</f>
        <v>Muy Baja</v>
      </c>
      <c r="L346" s="2255">
        <f>IF(K346="","",IF(K346="Muy Baja",0.2,IF(K346="Baja",0.4,IF(K346="Media",0.6,IF(K346="Alta",0.8,IF(K346="Muy Alta",1,))))))</f>
        <v>0.2</v>
      </c>
      <c r="M346" s="2258" t="s">
        <v>1198</v>
      </c>
      <c r="N346" s="2255" t="str">
        <f>IF(NOT(ISERROR(MATCH(M346,'[42]Tabla Impacto'!$B$221:$B$223,0))),'[42]Tabla Impacto'!$F$223&amp;"Por favor no seleccionar los criterios de impacto(Afectación Económica o presupuestal y Pérdida Reputacional)",M346)</f>
        <v xml:space="preserve">     Afectación menor a 10 SMLMV .</v>
      </c>
      <c r="O346" s="2252" t="str">
        <f>IF(OR(N346='[42]Tabla Impacto'!$C$11,N346='[42]Tabla Impacto'!$D$11),"Leve",IF(OR(N346='[42]Tabla Impacto'!$C$12,N346='[42]Tabla Impacto'!$D$12),"Menor",IF(OR(N346='[42]Tabla Impacto'!$C$13,N346='[42]Tabla Impacto'!$D$13),"Moderado",IF(OR(N346='[42]Tabla Impacto'!$C$14,N346='[42]Tabla Impacto'!$D$14),"Mayor",IF(OR(N346='[42]Tabla Impacto'!$C$15,N346='[42]Tabla Impacto'!$D$15),"Catastrófico","")))))</f>
        <v>Leve</v>
      </c>
      <c r="P346" s="2255">
        <f>IF(O346="","",IF(O346="Leve",0.2,IF(O346="Menor",0.4,IF(O346="Moderado",0.6,IF(O346="Mayor",0.8,IF(O346="Catastrófico",1,))))))</f>
        <v>0.2</v>
      </c>
      <c r="Q346" s="2261" t="str">
        <f>IF(OR(AND(K346="Muy Baja",O346="Leve"),AND(K346="Muy Baja",O346="Menor"),AND(K346="Baja",O346="Leve")),"Bajo",IF(OR(AND(K346="Muy baja",O346="Moderado"),AND(K346="Baja",O346="Menor"),AND(K346="Baja",O346="Moderado"),AND(K346="Media",O346="Leve"),AND(K346="Media",O346="Menor"),AND(K346="Media",O346="Moderado"),AND(K346="Alta",O346="Leve"),AND(K346="Alta",O346="Menor")),"Moderado",IF(OR(AND(K346="Muy Baja",O346="Mayor"),AND(K346="Baja",O346="Mayor"),AND(K346="Media",O346="Mayor"),AND(K346="Alta",O346="Moderado"),AND(K346="Alta",O346="Mayor"),AND(K346="Muy Alta",O346="Leve"),AND(K346="Muy Alta",O346="Menor"),AND(K346="Muy Alta",O346="Moderado"),AND(K346="Muy Alta",O346="Mayor")),"Alto",IF(OR(AND(K346="Muy Baja",O346="Catastrófico"),AND(K346="Baja",O346="Catastrófico"),AND(K346="Media",O346="Catastrófico"),AND(K346="Alta",O346="Catastrófico"),AND(K346="Muy Alta",O346="Catastrófico")),"Extremo",""))))</f>
        <v>Bajo</v>
      </c>
      <c r="R346" s="716">
        <v>1</v>
      </c>
      <c r="S346" s="2239" t="s">
        <v>1199</v>
      </c>
      <c r="T346" s="2264" t="str">
        <f>IF(OR(U346="Preventivo",U346="Detectivo"),"Probabilidad",IF(U346="Correctivo","Impacto",""))</f>
        <v>Probabilidad</v>
      </c>
      <c r="U346" s="2216" t="s">
        <v>207</v>
      </c>
      <c r="V346" s="2216" t="s">
        <v>201</v>
      </c>
      <c r="W346" s="2216" t="str">
        <f>IF(AND(U346="Preventivo",V346="Automático"),"50%",IF(AND(U346="Preventivo",V346="Manual"),"40%",IF(AND(U346="Detectivo",V346="Automático"),"40%",IF(AND(U346="Detectivo",V346="Manual"),"30%",IF(AND(U346="Correctivo",V346="Automático"),"35%",IF(AND(U346="Correctivo",V346="Manual"),"25%",""))))))</f>
        <v>40%</v>
      </c>
      <c r="X346" s="2216" t="s">
        <v>208</v>
      </c>
      <c r="Y346" s="2216" t="s">
        <v>203</v>
      </c>
      <c r="Z346" s="2216" t="s">
        <v>204</v>
      </c>
      <c r="AA346" s="2219">
        <f>IFERROR(IF(T346="Probabilidad",(L346-(+L346*W346)),IF(T346="Impacto",L346,"")),"")</f>
        <v>0.12</v>
      </c>
      <c r="AB346" s="2222" t="str">
        <f>IFERROR(IF(AA346="","",IF(AA346&lt;=0.2,"Muy Baja",IF(AA346&lt;=0.4,"Baja",IF(AA346&lt;=0.6,"Media",IF(AA346&lt;=0.8,"Alta","Muy Alta"))))),"")</f>
        <v>Muy Baja</v>
      </c>
      <c r="AC346" s="2225">
        <f>+AA346</f>
        <v>0.12</v>
      </c>
      <c r="AD346" s="2222" t="str">
        <f>IFERROR(IF(AE346="","",IF(AE346&lt;=0.2,"Leve",IF(AE346&lt;=0.4,"Menor",IF(AE346&lt;=0.6,"Moderado",IF(AE346&lt;=0.8,"Mayor","Catastrófico"))))),"")</f>
        <v>Leve</v>
      </c>
      <c r="AE346" s="2225">
        <f>IFERROR(IF(T346="Impacto",(P346-(+P346*W346)),IF(T346="Probabilidad",P346,"")),"")</f>
        <v>0.2</v>
      </c>
      <c r="AF346" s="2228" t="str">
        <f>IFERROR(IF(OR(AND(AB346="Muy Baja",AD346="Leve"),AND(AB346="Muy Baja",AD346="Menor"),AND(AB346="Baja",AD346="Leve")),"Bajo",IF(OR(AND(AB346="Muy baja",AD346="Moderado"),AND(AB346="Baja",AD346="Menor"),AND(AB346="Baja",AD346="Moderado"),AND(AB346="Media",AD346="Leve"),AND(AB346="Media",AD346="Menor"),AND(AB346="Media",AD346="Moderado"),AND(AB346="Alta",AD346="Leve"),AND(AB346="Alta",AD346="Menor")),"Moderado",IF(OR(AND(AB346="Muy Baja",AD346="Mayor"),AND(AB346="Baja",AD346="Mayor"),AND(AB346="Media",AD346="Mayor"),AND(AB346="Alta",AD346="Moderado"),AND(AB346="Alta",AD346="Mayor"),AND(AB346="Muy Alta",AD346="Leve"),AND(AB346="Muy Alta",AD346="Menor"),AND(AB346="Muy Alta",AD346="Moderado"),AND(AB346="Muy Alta",AD346="Mayor")),"Alto",IF(OR(AND(AB346="Muy Baja",AD346="Catastrófico"),AND(AB346="Baja",AD346="Catastrófico"),AND(AB346="Media",AD346="Catastrófico"),AND(AB346="Alta",AD346="Catastrófico"),AND(AB346="Muy Alta",AD346="Catastrófico")),"Extremo","")))),"")</f>
        <v>Bajo</v>
      </c>
      <c r="AG346" s="2216" t="s">
        <v>1174</v>
      </c>
      <c r="AH346" s="2231" t="s">
        <v>1200</v>
      </c>
      <c r="AI346" s="2234" t="s">
        <v>1201</v>
      </c>
      <c r="AJ346" s="2234" t="s">
        <v>1177</v>
      </c>
      <c r="AK346" s="2234" t="s">
        <v>1178</v>
      </c>
      <c r="AL346" s="2234"/>
    </row>
    <row r="347" spans="1:43" ht="69.599999999999994" customHeight="1" x14ac:dyDescent="0.3">
      <c r="A347" s="2113"/>
      <c r="B347" s="2235"/>
      <c r="C347" s="2238"/>
      <c r="D347" s="2235"/>
      <c r="E347" s="2240"/>
      <c r="F347" s="2243"/>
      <c r="G347" s="2243"/>
      <c r="H347" s="2247"/>
      <c r="I347" s="2235"/>
      <c r="J347" s="2250"/>
      <c r="K347" s="2253"/>
      <c r="L347" s="2256"/>
      <c r="M347" s="2259"/>
      <c r="N347" s="2256"/>
      <c r="O347" s="2253"/>
      <c r="P347" s="2256"/>
      <c r="Q347" s="2262"/>
      <c r="R347" s="716"/>
      <c r="S347" s="2240"/>
      <c r="T347" s="2265"/>
      <c r="U347" s="2217"/>
      <c r="V347" s="2217"/>
      <c r="W347" s="2217"/>
      <c r="X347" s="2217"/>
      <c r="Y347" s="2217"/>
      <c r="Z347" s="2217"/>
      <c r="AA347" s="2220"/>
      <c r="AB347" s="2223"/>
      <c r="AC347" s="2226"/>
      <c r="AD347" s="2223"/>
      <c r="AE347" s="2226"/>
      <c r="AF347" s="2229"/>
      <c r="AG347" s="2217"/>
      <c r="AH347" s="2232"/>
      <c r="AI347" s="2235"/>
      <c r="AJ347" s="2235"/>
      <c r="AK347" s="2235"/>
      <c r="AL347" s="2235"/>
    </row>
    <row r="348" spans="1:43" ht="69.599999999999994" customHeight="1" x14ac:dyDescent="0.3">
      <c r="A348" s="2113"/>
      <c r="B348" s="2235"/>
      <c r="C348" s="2238"/>
      <c r="D348" s="2235"/>
      <c r="E348" s="2240"/>
      <c r="F348" s="2243"/>
      <c r="G348" s="2243"/>
      <c r="H348" s="2247"/>
      <c r="I348" s="2235"/>
      <c r="J348" s="2250"/>
      <c r="K348" s="2253"/>
      <c r="L348" s="2256"/>
      <c r="M348" s="2259"/>
      <c r="N348" s="2256"/>
      <c r="O348" s="2253"/>
      <c r="P348" s="2256"/>
      <c r="Q348" s="2262"/>
      <c r="R348" s="716"/>
      <c r="S348" s="2240"/>
      <c r="T348" s="2265"/>
      <c r="U348" s="2217"/>
      <c r="V348" s="2217"/>
      <c r="W348" s="2217"/>
      <c r="X348" s="2217"/>
      <c r="Y348" s="2217"/>
      <c r="Z348" s="2217"/>
      <c r="AA348" s="2220"/>
      <c r="AB348" s="2223"/>
      <c r="AC348" s="2226"/>
      <c r="AD348" s="2223"/>
      <c r="AE348" s="2226"/>
      <c r="AF348" s="2229"/>
      <c r="AG348" s="2217"/>
      <c r="AH348" s="2232"/>
      <c r="AI348" s="2235"/>
      <c r="AJ348" s="2235"/>
      <c r="AK348" s="2235"/>
      <c r="AL348" s="2235"/>
    </row>
    <row r="349" spans="1:43" ht="69.599999999999994" customHeight="1" x14ac:dyDescent="0.3">
      <c r="A349" s="2113"/>
      <c r="B349" s="2236"/>
      <c r="C349" s="2238"/>
      <c r="D349" s="2236"/>
      <c r="E349" s="2241"/>
      <c r="F349" s="2244"/>
      <c r="G349" s="2245"/>
      <c r="H349" s="2248"/>
      <c r="I349" s="2236"/>
      <c r="J349" s="2251"/>
      <c r="K349" s="2254"/>
      <c r="L349" s="2257"/>
      <c r="M349" s="2260"/>
      <c r="N349" s="2257"/>
      <c r="O349" s="2254"/>
      <c r="P349" s="2257"/>
      <c r="Q349" s="2263"/>
      <c r="R349" s="716"/>
      <c r="S349" s="2241"/>
      <c r="T349" s="2266"/>
      <c r="U349" s="2218"/>
      <c r="V349" s="2218"/>
      <c r="W349" s="2218"/>
      <c r="X349" s="2218"/>
      <c r="Y349" s="2218"/>
      <c r="Z349" s="2218"/>
      <c r="AA349" s="2221"/>
      <c r="AB349" s="2224"/>
      <c r="AC349" s="2227"/>
      <c r="AD349" s="2224"/>
      <c r="AE349" s="2227"/>
      <c r="AF349" s="2230"/>
      <c r="AG349" s="2218"/>
      <c r="AH349" s="2233"/>
      <c r="AI349" s="2236"/>
      <c r="AJ349" s="2236"/>
      <c r="AK349" s="2236"/>
      <c r="AL349" s="2236"/>
    </row>
    <row r="351" spans="1:43" ht="14.4" x14ac:dyDescent="0.3">
      <c r="A351" s="2343" t="s">
        <v>156</v>
      </c>
      <c r="B351" s="2344"/>
      <c r="C351" s="2344"/>
      <c r="D351" s="2344"/>
      <c r="E351" s="2344"/>
      <c r="F351" s="2344"/>
      <c r="G351" s="2344"/>
      <c r="H351" s="2344"/>
      <c r="I351" s="2344"/>
      <c r="J351" s="2344"/>
      <c r="K351" s="2344"/>
      <c r="L351" s="2344"/>
      <c r="M351" s="2344"/>
      <c r="N351" s="2344"/>
      <c r="O351" s="2344"/>
      <c r="P351" s="2344"/>
      <c r="Q351" s="2344"/>
      <c r="R351" s="2344"/>
      <c r="S351" s="2344"/>
      <c r="T351" s="2344"/>
      <c r="U351" s="2344"/>
      <c r="V351" s="2344"/>
      <c r="W351" s="2344"/>
      <c r="X351" s="2344"/>
      <c r="Y351" s="2344"/>
      <c r="Z351" s="2344"/>
      <c r="AA351" s="2344"/>
      <c r="AB351" s="2344"/>
      <c r="AC351" s="2344"/>
      <c r="AD351" s="2344"/>
      <c r="AE351" s="2344"/>
      <c r="AF351" s="2344"/>
      <c r="AG351" s="2344"/>
      <c r="AH351" s="2344"/>
      <c r="AI351" s="2344"/>
      <c r="AJ351" s="2344"/>
      <c r="AK351" s="2344"/>
      <c r="AL351" s="2344"/>
      <c r="AM351" s="2345"/>
      <c r="AN351" s="700"/>
      <c r="AO351" s="700"/>
      <c r="AP351" s="700"/>
      <c r="AQ351" s="700"/>
    </row>
    <row r="352" spans="1:43" ht="14.4" x14ac:dyDescent="0.3">
      <c r="A352" s="2346"/>
      <c r="B352" s="2347"/>
      <c r="C352" s="2347"/>
      <c r="D352" s="2347"/>
      <c r="E352" s="2347"/>
      <c r="F352" s="2347"/>
      <c r="G352" s="2347"/>
      <c r="H352" s="2347"/>
      <c r="I352" s="2347"/>
      <c r="J352" s="2347"/>
      <c r="K352" s="2347"/>
      <c r="L352" s="2347"/>
      <c r="M352" s="2347"/>
      <c r="N352" s="2347"/>
      <c r="O352" s="2347"/>
      <c r="P352" s="2347"/>
      <c r="Q352" s="2347"/>
      <c r="R352" s="2347"/>
      <c r="S352" s="2347"/>
      <c r="T352" s="2347"/>
      <c r="U352" s="2347"/>
      <c r="V352" s="2347"/>
      <c r="W352" s="2347"/>
      <c r="X352" s="2347"/>
      <c r="Y352" s="2347"/>
      <c r="Z352" s="2347"/>
      <c r="AA352" s="2347"/>
      <c r="AB352" s="2347"/>
      <c r="AC352" s="2347"/>
      <c r="AD352" s="2347"/>
      <c r="AE352" s="2347"/>
      <c r="AF352" s="2347"/>
      <c r="AG352" s="2347"/>
      <c r="AH352" s="2347"/>
      <c r="AI352" s="2347"/>
      <c r="AJ352" s="2347"/>
      <c r="AK352" s="2347"/>
      <c r="AL352" s="2347"/>
      <c r="AM352" s="2348"/>
      <c r="AN352" s="700"/>
      <c r="AO352" s="700"/>
      <c r="AP352" s="700"/>
      <c r="AQ352" s="700"/>
    </row>
    <row r="353" spans="1:43" ht="14.4" x14ac:dyDescent="0.3">
      <c r="A353" s="703"/>
      <c r="B353" s="704"/>
      <c r="C353" s="703"/>
      <c r="D353" s="703"/>
      <c r="E353" s="703"/>
      <c r="F353" s="700"/>
      <c r="G353" s="700"/>
      <c r="H353" s="700"/>
      <c r="I353" s="705"/>
      <c r="J353" s="700"/>
      <c r="K353" s="700"/>
      <c r="L353" s="700"/>
      <c r="M353" s="700"/>
      <c r="N353" s="700"/>
      <c r="O353" s="700"/>
      <c r="P353" s="700"/>
      <c r="Q353" s="700"/>
      <c r="R353" s="700"/>
      <c r="S353" s="700"/>
      <c r="T353" s="700"/>
      <c r="U353" s="700"/>
      <c r="V353" s="700"/>
      <c r="W353" s="700"/>
      <c r="X353" s="700"/>
      <c r="Y353" s="700"/>
      <c r="Z353" s="700"/>
      <c r="AA353" s="700"/>
      <c r="AB353" s="700"/>
      <c r="AC353" s="700"/>
      <c r="AD353" s="700"/>
      <c r="AE353" s="700"/>
      <c r="AF353" s="700"/>
      <c r="AG353" s="700"/>
      <c r="AH353" s="700"/>
      <c r="AI353" s="700"/>
      <c r="AJ353" s="700"/>
      <c r="AK353" s="700"/>
      <c r="AL353" s="700"/>
      <c r="AM353" s="700"/>
      <c r="AN353" s="700"/>
      <c r="AO353" s="700"/>
      <c r="AP353" s="700"/>
      <c r="AQ353" s="700"/>
    </row>
    <row r="354" spans="1:43" ht="23.4" x14ac:dyDescent="0.3">
      <c r="A354" s="2349" t="s">
        <v>157</v>
      </c>
      <c r="B354" s="2350"/>
      <c r="C354" s="2039" t="s">
        <v>867</v>
      </c>
      <c r="D354" s="2039"/>
      <c r="E354" s="2039"/>
      <c r="F354" s="2039"/>
      <c r="G354" s="2039"/>
      <c r="H354" s="2039"/>
      <c r="I354" s="2039"/>
      <c r="J354" s="2039"/>
      <c r="K354" s="2039"/>
      <c r="L354" s="2039"/>
      <c r="M354" s="2039"/>
      <c r="N354" s="2039"/>
      <c r="O354" s="2039"/>
      <c r="P354" s="2039"/>
      <c r="Q354" s="2039"/>
      <c r="R354" s="2039"/>
      <c r="S354" s="2039"/>
      <c r="T354" s="2039"/>
      <c r="U354" s="2039"/>
      <c r="V354" s="2039"/>
      <c r="W354" s="2039"/>
      <c r="X354" s="2039"/>
      <c r="Y354" s="2039"/>
      <c r="Z354" s="2039"/>
      <c r="AA354" s="2039"/>
      <c r="AB354" s="2039"/>
      <c r="AC354" s="2039"/>
      <c r="AD354" s="2039"/>
      <c r="AE354" s="2039"/>
      <c r="AF354" s="2039"/>
      <c r="AG354" s="2039"/>
      <c r="AH354" s="2039"/>
      <c r="AI354" s="2039"/>
      <c r="AJ354" s="2039"/>
      <c r="AK354" s="2039"/>
      <c r="AL354" s="2039"/>
      <c r="AM354" s="2039"/>
      <c r="AN354" s="700"/>
      <c r="AO354" s="700"/>
      <c r="AP354" s="700"/>
      <c r="AQ354" s="700"/>
    </row>
    <row r="355" spans="1:43" ht="23.4" x14ac:dyDescent="0.3">
      <c r="A355" s="2349" t="s">
        <v>158</v>
      </c>
      <c r="B355" s="2350"/>
      <c r="C355" s="2040" t="s">
        <v>344</v>
      </c>
      <c r="D355" s="2040"/>
      <c r="E355" s="2040"/>
      <c r="F355" s="2040"/>
      <c r="G355" s="2040"/>
      <c r="H355" s="2040"/>
      <c r="I355" s="2040"/>
      <c r="J355" s="2040"/>
      <c r="K355" s="2040"/>
      <c r="L355" s="2040"/>
      <c r="M355" s="2040"/>
      <c r="N355" s="2040"/>
      <c r="O355" s="2040"/>
      <c r="P355" s="2040"/>
      <c r="Q355" s="2040"/>
      <c r="R355" s="2040"/>
      <c r="S355" s="2040"/>
      <c r="T355" s="2040"/>
      <c r="U355" s="2040"/>
      <c r="V355" s="2040"/>
      <c r="W355" s="2040"/>
      <c r="X355" s="2040"/>
      <c r="Y355" s="2040"/>
      <c r="Z355" s="2040"/>
      <c r="AA355" s="2040"/>
      <c r="AB355" s="2040"/>
      <c r="AC355" s="2040"/>
      <c r="AD355" s="2040"/>
      <c r="AE355" s="2040"/>
      <c r="AF355" s="2040"/>
      <c r="AG355" s="2040"/>
      <c r="AH355" s="2040"/>
      <c r="AI355" s="2040"/>
      <c r="AJ355" s="2040"/>
      <c r="AK355" s="2040"/>
      <c r="AL355" s="2040"/>
      <c r="AM355" s="2040"/>
      <c r="AN355" s="700"/>
      <c r="AO355" s="700"/>
      <c r="AP355" s="700"/>
      <c r="AQ355" s="700"/>
    </row>
    <row r="356" spans="1:43" ht="23.4" x14ac:dyDescent="0.3">
      <c r="A356" s="2349" t="s">
        <v>159</v>
      </c>
      <c r="B356" s="2350"/>
      <c r="C356" s="2952" t="s">
        <v>345</v>
      </c>
      <c r="D356" s="2952"/>
      <c r="E356" s="2952"/>
      <c r="F356" s="2952"/>
      <c r="G356" s="2952"/>
      <c r="H356" s="2952"/>
      <c r="I356" s="2952"/>
      <c r="J356" s="2952"/>
      <c r="K356" s="2952"/>
      <c r="L356" s="2952"/>
      <c r="M356" s="2952"/>
      <c r="N356" s="2952"/>
      <c r="O356" s="2952"/>
      <c r="P356" s="2952"/>
      <c r="Q356" s="2952"/>
      <c r="R356" s="2952"/>
      <c r="S356" s="2952"/>
      <c r="T356" s="2952"/>
      <c r="U356" s="2952"/>
      <c r="V356" s="2952"/>
      <c r="W356" s="2952"/>
      <c r="X356" s="2952"/>
      <c r="Y356" s="2952"/>
      <c r="Z356" s="2952"/>
      <c r="AA356" s="2952"/>
      <c r="AB356" s="2952"/>
      <c r="AC356" s="2952"/>
      <c r="AD356" s="2952"/>
      <c r="AE356" s="2952"/>
      <c r="AF356" s="2952"/>
      <c r="AG356" s="2952"/>
      <c r="AH356" s="2952"/>
      <c r="AI356" s="2952"/>
      <c r="AJ356" s="2952"/>
      <c r="AK356" s="2952"/>
      <c r="AL356" s="2952"/>
      <c r="AM356" s="2952"/>
      <c r="AN356" s="700"/>
      <c r="AO356" s="700"/>
      <c r="AP356" s="700"/>
      <c r="AQ356" s="700"/>
    </row>
    <row r="357" spans="1:43" x14ac:dyDescent="0.3">
      <c r="A357" s="2351" t="s">
        <v>160</v>
      </c>
      <c r="B357" s="2352"/>
      <c r="C357" s="2353"/>
      <c r="D357" s="2353"/>
      <c r="E357" s="2353"/>
      <c r="F357" s="2353"/>
      <c r="G357" s="2353"/>
      <c r="H357" s="2353"/>
      <c r="I357" s="2353"/>
      <c r="J357" s="2354"/>
      <c r="K357" s="2101" t="s">
        <v>161</v>
      </c>
      <c r="L357" s="2353"/>
      <c r="M357" s="2353"/>
      <c r="N357" s="2353"/>
      <c r="O357" s="2353"/>
      <c r="P357" s="2353"/>
      <c r="Q357" s="2354"/>
      <c r="R357" s="2101" t="s">
        <v>162</v>
      </c>
      <c r="S357" s="2353"/>
      <c r="T357" s="2353"/>
      <c r="U357" s="2353"/>
      <c r="V357" s="2353"/>
      <c r="W357" s="2353"/>
      <c r="X357" s="2353"/>
      <c r="Y357" s="2353"/>
      <c r="Z357" s="2354"/>
      <c r="AA357" s="2101" t="s">
        <v>163</v>
      </c>
      <c r="AB357" s="2353"/>
      <c r="AC357" s="2353"/>
      <c r="AD357" s="2353"/>
      <c r="AE357" s="2353"/>
      <c r="AF357" s="2353"/>
      <c r="AG357" s="2354"/>
      <c r="AH357" s="2101" t="s">
        <v>164</v>
      </c>
      <c r="AI357" s="2353"/>
      <c r="AJ357" s="2353"/>
      <c r="AK357" s="2353"/>
      <c r="AL357" s="2353"/>
      <c r="AM357" s="2354"/>
      <c r="AN357" s="2100" t="s">
        <v>868</v>
      </c>
      <c r="AO357" s="2100" t="s">
        <v>869</v>
      </c>
      <c r="AP357" s="2100" t="s">
        <v>870</v>
      </c>
      <c r="AQ357" s="2100" t="s">
        <v>1202</v>
      </c>
    </row>
    <row r="358" spans="1:43" x14ac:dyDescent="0.3">
      <c r="A358" s="2140" t="s">
        <v>165</v>
      </c>
      <c r="B358" s="2142" t="s">
        <v>142</v>
      </c>
      <c r="C358" s="2042" t="s">
        <v>166</v>
      </c>
      <c r="D358" s="2042" t="s">
        <v>167</v>
      </c>
      <c r="E358" s="2041" t="s">
        <v>168</v>
      </c>
      <c r="F358" s="2103" t="s">
        <v>60</v>
      </c>
      <c r="G358" s="280"/>
      <c r="H358" s="280"/>
      <c r="I358" s="2041" t="s">
        <v>169</v>
      </c>
      <c r="J358" s="2042" t="s">
        <v>170</v>
      </c>
      <c r="K358" s="2105" t="s">
        <v>171</v>
      </c>
      <c r="L358" s="2100" t="s">
        <v>172</v>
      </c>
      <c r="M358" s="2041" t="s">
        <v>173</v>
      </c>
      <c r="N358" s="2041" t="s">
        <v>174</v>
      </c>
      <c r="O358" s="2102" t="s">
        <v>175</v>
      </c>
      <c r="P358" s="2100" t="s">
        <v>172</v>
      </c>
      <c r="Q358" s="2042" t="s">
        <v>176</v>
      </c>
      <c r="R358" s="2161" t="s">
        <v>177</v>
      </c>
      <c r="S358" s="2043" t="s">
        <v>178</v>
      </c>
      <c r="T358" s="2041" t="s">
        <v>179</v>
      </c>
      <c r="U358" s="2043" t="s">
        <v>180</v>
      </c>
      <c r="V358" s="2043"/>
      <c r="W358" s="2043"/>
      <c r="X358" s="2043"/>
      <c r="Y358" s="2043"/>
      <c r="Z358" s="2043"/>
      <c r="AA358" s="2099" t="s">
        <v>181</v>
      </c>
      <c r="AB358" s="2099" t="s">
        <v>182</v>
      </c>
      <c r="AC358" s="2099" t="s">
        <v>172</v>
      </c>
      <c r="AD358" s="2099" t="s">
        <v>183</v>
      </c>
      <c r="AE358" s="2099" t="s">
        <v>172</v>
      </c>
      <c r="AF358" s="2099" t="s">
        <v>184</v>
      </c>
      <c r="AG358" s="2161" t="s">
        <v>185</v>
      </c>
      <c r="AH358" s="2043" t="s">
        <v>164</v>
      </c>
      <c r="AI358" s="2043" t="s">
        <v>143</v>
      </c>
      <c r="AJ358" s="2043" t="s">
        <v>186</v>
      </c>
      <c r="AK358" s="2043" t="s">
        <v>187</v>
      </c>
      <c r="AL358" s="2043" t="s">
        <v>188</v>
      </c>
      <c r="AM358" s="2043" t="s">
        <v>189</v>
      </c>
      <c r="AN358" s="2100"/>
      <c r="AO358" s="2100"/>
      <c r="AP358" s="2100"/>
      <c r="AQ358" s="2100"/>
    </row>
    <row r="359" spans="1:43" ht="71.400000000000006" x14ac:dyDescent="0.3">
      <c r="A359" s="2141"/>
      <c r="B359" s="2142"/>
      <c r="C359" s="2043"/>
      <c r="D359" s="2043"/>
      <c r="E359" s="2105"/>
      <c r="F359" s="2104"/>
      <c r="G359" s="280" t="s">
        <v>511</v>
      </c>
      <c r="H359" s="280" t="s">
        <v>190</v>
      </c>
      <c r="I359" s="2042"/>
      <c r="J359" s="2043"/>
      <c r="K359" s="2042"/>
      <c r="L359" s="2101"/>
      <c r="M359" s="2042"/>
      <c r="N359" s="2042"/>
      <c r="O359" s="2101"/>
      <c r="P359" s="2101"/>
      <c r="Q359" s="2043"/>
      <c r="R359" s="2162"/>
      <c r="S359" s="2043"/>
      <c r="T359" s="2042"/>
      <c r="U359" s="281" t="s">
        <v>191</v>
      </c>
      <c r="V359" s="281" t="s">
        <v>192</v>
      </c>
      <c r="W359" s="281" t="s">
        <v>193</v>
      </c>
      <c r="X359" s="281" t="s">
        <v>194</v>
      </c>
      <c r="Y359" s="281" t="s">
        <v>195</v>
      </c>
      <c r="Z359" s="281" t="s">
        <v>196</v>
      </c>
      <c r="AA359" s="2099"/>
      <c r="AB359" s="2099"/>
      <c r="AC359" s="2099"/>
      <c r="AD359" s="2099"/>
      <c r="AE359" s="2099"/>
      <c r="AF359" s="2099"/>
      <c r="AG359" s="2162"/>
      <c r="AH359" s="2043"/>
      <c r="AI359" s="2043"/>
      <c r="AJ359" s="2043"/>
      <c r="AK359" s="2043"/>
      <c r="AL359" s="2043"/>
      <c r="AM359" s="2043"/>
      <c r="AN359" s="2100"/>
      <c r="AO359" s="2100"/>
      <c r="AP359" s="2100"/>
      <c r="AQ359" s="2100"/>
    </row>
    <row r="360" spans="1:43" ht="409.6" x14ac:dyDescent="0.3">
      <c r="A360" s="2112">
        <v>1</v>
      </c>
      <c r="B360" s="2155" t="s">
        <v>209</v>
      </c>
      <c r="C360" s="2155" t="s">
        <v>871</v>
      </c>
      <c r="D360" s="2158" t="s">
        <v>346</v>
      </c>
      <c r="E360" s="898" t="s">
        <v>347</v>
      </c>
      <c r="F360" s="2125" t="s">
        <v>348</v>
      </c>
      <c r="G360" s="1979" t="s">
        <v>512</v>
      </c>
      <c r="H360" s="2125" t="s">
        <v>349</v>
      </c>
      <c r="I360" s="2126" t="s">
        <v>198</v>
      </c>
      <c r="J360" s="2129">
        <v>300</v>
      </c>
      <c r="K360" s="2109" t="str">
        <f>IF(J360&lt;=0,"",IF(J360&lt;=2,"Muy Baja",IF(J360&lt;=24,"Baja",IF(J360&lt;=500,"Media",IF(J360&lt;=5000,"Alta","Muy Alta")))))</f>
        <v>Media</v>
      </c>
      <c r="L360" s="2106">
        <f>IF(K360="","",IF(K360="Muy Baja",0.2,IF(K360="Baja",0.4,IF(K360="Media",0.6,IF(K360="Alta",0.8,IF(K360="Muy Alta",1,))))))</f>
        <v>0.6</v>
      </c>
      <c r="M360" s="2132" t="s">
        <v>216</v>
      </c>
      <c r="N360" s="2106" t="str">
        <f>IF(NOT(ISERROR(MATCH(M360,'[43]Tabla Impacto'!$B$221:$B$223,0))),'[43]Tabla Impacto'!$F$223&amp;"Por favor no seleccionar los criterios de impacto(Afectación Económica o presupuestal y Pérdida Reputacional)",M360)</f>
        <v xml:space="preserve">     El riesgo afecta la imagen de alguna área de la organización</v>
      </c>
      <c r="O360" s="2109" t="str">
        <f>IF(OR(N360='[43]Tabla Impacto'!$C$11,N360='[43]Tabla Impacto'!$D$11),"Leve",IF(OR(N360='[43]Tabla Impacto'!$C$12,N360='[43]Tabla Impacto'!$D$12),"Menor",IF(OR(N360='[43]Tabla Impacto'!$C$13,N360='[43]Tabla Impacto'!$D$13),"Moderado",IF(OR(N360='[43]Tabla Impacto'!$C$14,N360='[43]Tabla Impacto'!$D$14),"Mayor",IF(OR(N360='[43]Tabla Impacto'!$C$15,N360='[43]Tabla Impacto'!$D$15),"Catastrófico","")))))</f>
        <v>Leve</v>
      </c>
      <c r="P360" s="2106">
        <f>IF(O360="","",IF(O360="Leve",0.2,IF(O360="Menor",0.4,IF(O360="Moderado",0.6,IF(O360="Mayor",0.8,IF(O360="Catastrófico",1,))))))</f>
        <v>0.2</v>
      </c>
      <c r="Q360" s="2014" t="str">
        <f>IF(OR(AND(K360="Muy Baja",O360="Leve"),AND(K360="Muy Baja",O360="Menor"),AND(K360="Baja",O360="Leve")),"Bajo",IF(OR(AND(K360="Muy baja",O360="Moderado"),AND(K360="Baja",O360="Menor"),AND(K360="Baja",O360="Moderado"),AND(K360="Media",O360="Leve"),AND(K360="Media",O360="Menor"),AND(K360="Media",O360="Moderado"),AND(K360="Alta",O360="Leve"),AND(K360="Alta",O360="Menor")),"Moderado",IF(OR(AND(K360="Muy Baja",O360="Mayor"),AND(K360="Baja",O360="Mayor"),AND(K360="Media",O360="Mayor"),AND(K360="Alta",O360="Moderado"),AND(K360="Alta",O360="Mayor"),AND(K360="Muy Alta",O360="Leve"),AND(K360="Muy Alta",O360="Menor"),AND(K360="Muy Alta",O360="Moderado"),AND(K360="Muy Alta",O360="Mayor")),"Alto",IF(OR(AND(K360="Muy Baja",O360="Catastrófico"),AND(K360="Baja",O360="Catastrófico"),AND(K360="Media",O360="Catastrófico"),AND(K360="Alta",O360="Catastrófico"),AND(K360="Muy Alta",O360="Catastrófico")),"Extremo",""))))</f>
        <v>Moderado</v>
      </c>
      <c r="R360" s="283">
        <v>1</v>
      </c>
      <c r="S360" s="299">
        <f>+[43]DOFA!E386</f>
        <v>0</v>
      </c>
      <c r="T360" s="285" t="str">
        <f>IF(OR(U360="Preventivo",U360="Detectivo"),"Probabilidad",IF(U360="Correctivo","Impacto",""))</f>
        <v>Probabilidad</v>
      </c>
      <c r="U360" s="286" t="s">
        <v>207</v>
      </c>
      <c r="V360" s="286" t="s">
        <v>201</v>
      </c>
      <c r="W360" s="287" t="str">
        <f>IF(AND(U360="Preventivo",V360="Automático"),"50%",IF(AND(U360="Preventivo",V360="Manual"),"40%",IF(AND(U360="Detectivo",V360="Automático"),"40%",IF(AND(U360="Detectivo",V360="Manual"),"30%",IF(AND(U360="Correctivo",V360="Automático"),"35%",IF(AND(U360="Correctivo",V360="Manual"),"25%",""))))))</f>
        <v>40%</v>
      </c>
      <c r="X360" s="286" t="s">
        <v>208</v>
      </c>
      <c r="Y360" s="286" t="s">
        <v>203</v>
      </c>
      <c r="Z360" s="286" t="s">
        <v>204</v>
      </c>
      <c r="AA360" s="744">
        <f>IFERROR(IF(T360="Probabilidad",(L360-(+L360*W360)),IF(T360="Impacto",L360,"")),"")</f>
        <v>0.36</v>
      </c>
      <c r="AB360" s="288" t="str">
        <f>IFERROR(IF(AA360="","",IF(AA360&lt;=0.2,"Muy Baja",IF(AA360&lt;=0.4,"Baja",IF(AA360&lt;=0.6,"Media",IF(AA360&lt;=0.8,"Alta","Muy Alta"))))),"")</f>
        <v>Baja</v>
      </c>
      <c r="AC360" s="289">
        <f>+AA360</f>
        <v>0.36</v>
      </c>
      <c r="AD360" s="288" t="str">
        <f>IFERROR(IF(AE360="","",IF(AE360&lt;=0.2,"Leve",IF(AE360&lt;=0.4,"Menor",IF(AE360&lt;=0.6,"Moderado",IF(AE360&lt;=0.8,"Mayor","Catastrófico"))))),"")</f>
        <v>Leve</v>
      </c>
      <c r="AE360" s="289">
        <f>IFERROR(IF(T360="Impacto",(P360-(+P360*W360)),IF(T360="Probabilidad",P360,"")),"")</f>
        <v>0.2</v>
      </c>
      <c r="AF360" s="290" t="str">
        <f>IFERROR(IF(OR(AND(AB360="Muy Baja",AD360="Leve"),AND(AB360="Muy Baja",AD360="Menor"),AND(AB360="Baja",AD360="Leve")),"Bajo",IF(OR(AND(AB360="Muy baja",AD360="Moderado"),AND(AB360="Baja",AD360="Menor"),AND(AB360="Baja",AD360="Moderado"),AND(AB360="Media",AD360="Leve"),AND(AB360="Media",AD360="Menor"),AND(AB360="Media",AD360="Moderado"),AND(AB360="Alta",AD360="Leve"),AND(AB360="Alta",AD360="Menor")),"Moderado",IF(OR(AND(AB360="Muy Baja",AD360="Mayor"),AND(AB360="Baja",AD360="Mayor"),AND(AB360="Media",AD360="Mayor"),AND(AB360="Alta",AD360="Moderado"),AND(AB360="Alta",AD360="Mayor"),AND(AB360="Muy Alta",AD360="Leve"),AND(AB360="Muy Alta",AD360="Menor"),AND(AB360="Muy Alta",AD360="Moderado"),AND(AB360="Muy Alta",AD360="Mayor")),"Alto",IF(OR(AND(AB360="Muy Baja",AD360="Catastrófico"),AND(AB360="Baja",AD360="Catastrófico"),AND(AB360="Media",AD360="Catastrófico"),AND(AB360="Alta",AD360="Catastrófico"),AND(AB360="Muy Alta",AD360="Catastrófico")),"Extremo","")))),"")</f>
        <v>Bajo</v>
      </c>
      <c r="AG360" s="291" t="s">
        <v>205</v>
      </c>
      <c r="AH360" s="916" t="s">
        <v>872</v>
      </c>
      <c r="AI360" s="292" t="s">
        <v>873</v>
      </c>
      <c r="AJ360" s="746" t="s">
        <v>874</v>
      </c>
      <c r="AK360" s="746" t="s">
        <v>875</v>
      </c>
      <c r="AL360" s="292"/>
      <c r="AM360" s="917" t="s">
        <v>206</v>
      </c>
      <c r="AN360" s="918" t="s">
        <v>876</v>
      </c>
      <c r="AO360" s="918" t="s">
        <v>877</v>
      </c>
      <c r="AP360" s="919" t="s">
        <v>878</v>
      </c>
      <c r="AQ360" s="919" t="s">
        <v>1203</v>
      </c>
    </row>
    <row r="361" spans="1:43" ht="41.4" x14ac:dyDescent="0.3">
      <c r="A361" s="2113"/>
      <c r="B361" s="2156"/>
      <c r="C361" s="2156"/>
      <c r="D361" s="2159"/>
      <c r="E361" s="920" t="s">
        <v>350</v>
      </c>
      <c r="F361" s="2125"/>
      <c r="G361" s="1980"/>
      <c r="H361" s="2125"/>
      <c r="I361" s="2127"/>
      <c r="J361" s="2130"/>
      <c r="K361" s="2110"/>
      <c r="L361" s="2107"/>
      <c r="M361" s="2133"/>
      <c r="N361" s="2107">
        <f>IF(NOT(ISERROR(MATCH(M361,_xlfn.ANCHORARRAY(F368),0))),#REF!&amp;"Por favor no seleccionar los criterios de impacto",M361)</f>
        <v>0</v>
      </c>
      <c r="O361" s="2110"/>
      <c r="P361" s="2107"/>
      <c r="Q361" s="2015"/>
      <c r="R361" s="283">
        <v>2</v>
      </c>
      <c r="S361" s="302"/>
      <c r="T361" s="285" t="str">
        <f>IF(OR(U361="Preventivo",U361="Detectivo"),"Probabilidad",IF(U361="Correctivo","Impacto",""))</f>
        <v/>
      </c>
      <c r="U361" s="286"/>
      <c r="V361" s="286"/>
      <c r="W361" s="287" t="str">
        <f t="shared" ref="W361:W363" si="163">IF(AND(U361="Preventivo",V361="Automático"),"50%",IF(AND(U361="Preventivo",V361="Manual"),"40%",IF(AND(U361="Detectivo",V361="Automático"),"40%",IF(AND(U361="Detectivo",V361="Manual"),"30%",IF(AND(U361="Correctivo",V361="Automático"),"35%",IF(AND(U361="Correctivo",V361="Manual"),"25%",""))))))</f>
        <v/>
      </c>
      <c r="X361" s="286"/>
      <c r="Y361" s="286"/>
      <c r="Z361" s="286"/>
      <c r="AA361" s="744" t="str">
        <f>IFERROR(IF(AND(T360="Probabilidad",T361="Probabilidad"),(AC360-(+AC360*W361)),IF(AND(T360="Impacto",T361="Probabilidad"),(L360-(+L360*W361)),IF(T361="Impacto",AC360,""))),"")</f>
        <v/>
      </c>
      <c r="AB361" s="288" t="str">
        <f t="shared" ref="AB361:AB363" si="164">IFERROR(IF(AA361="","",IF(AA361&lt;=0.2,"Muy Baja",IF(AA361&lt;=0.4,"Baja",IF(AA361&lt;=0.6,"Media",IF(AA361&lt;=0.8,"Alta","Muy Alta"))))),"")</f>
        <v/>
      </c>
      <c r="AC361" s="289" t="str">
        <f>+AA361</f>
        <v/>
      </c>
      <c r="AD361" s="288" t="str">
        <f t="shared" ref="AD361:AD363" si="165">IFERROR(IF(AE361="","",IF(AE361&lt;=0.2,"Leve",IF(AE361&lt;=0.4,"Menor",IF(AE361&lt;=0.6,"Moderado",IF(AE361&lt;=0.8,"Mayor","Catastrófico"))))),"")</f>
        <v/>
      </c>
      <c r="AE361" s="289" t="str">
        <f>IFERROR(IF(AND(T360="Impacto",T361="Impacto"),(AE360-(+AE360*W361)),IF(AND(T360="Probabilidad",T361="Impacto"),(P360-(+P360*W361)),IF(T361="Probabilidad",AE360,""))),"")</f>
        <v/>
      </c>
      <c r="AF361" s="290" t="str">
        <f t="shared" ref="AF361:AF363" si="166">IFERROR(IF(OR(AND(AB361="Muy Baja",AD361="Leve"),AND(AB361="Muy Baja",AD361="Menor"),AND(AB361="Baja",AD361="Leve")),"Bajo",IF(OR(AND(AB361="Muy baja",AD361="Moderado"),AND(AB361="Baja",AD361="Menor"),AND(AB361="Baja",AD361="Moderado"),AND(AB361="Media",AD361="Leve"),AND(AB361="Media",AD361="Menor"),AND(AB361="Media",AD361="Moderado"),AND(AB361="Alta",AD361="Leve"),AND(AB361="Alta",AD361="Menor")),"Moderado",IF(OR(AND(AB361="Muy Baja",AD361="Mayor"),AND(AB361="Baja",AD361="Mayor"),AND(AB361="Media",AD361="Mayor"),AND(AB361="Alta",AD361="Moderado"),AND(AB361="Alta",AD361="Mayor"),AND(AB361="Muy Alta",AD361="Leve"),AND(AB361="Muy Alta",AD361="Menor"),AND(AB361="Muy Alta",AD361="Moderado"),AND(AB361="Muy Alta",AD361="Mayor")),"Alto",IF(OR(AND(AB361="Muy Baja",AD361="Catastrófico"),AND(AB361="Baja",AD361="Catastrófico"),AND(AB361="Media",AD361="Catastrófico"),AND(AB361="Alta",AD361="Catastrófico"),AND(AB361="Muy Alta",AD361="Catastrófico")),"Extremo","")))),"")</f>
        <v/>
      </c>
      <c r="AG361" s="291"/>
      <c r="AH361" s="916"/>
      <c r="AI361" s="297"/>
      <c r="AJ361" s="303"/>
      <c r="AK361" s="303"/>
      <c r="AL361" s="296"/>
      <c r="AM361" s="921"/>
      <c r="AN361" s="922"/>
      <c r="AO361" s="922"/>
      <c r="AP361" s="922"/>
      <c r="AQ361" s="922"/>
    </row>
    <row r="362" spans="1:43" ht="15.6" x14ac:dyDescent="0.3">
      <c r="A362" s="2113"/>
      <c r="B362" s="2156"/>
      <c r="C362" s="2156"/>
      <c r="D362" s="2159"/>
      <c r="E362" s="2955"/>
      <c r="F362" s="2125"/>
      <c r="G362" s="1980"/>
      <c r="H362" s="2125"/>
      <c r="I362" s="2127"/>
      <c r="J362" s="2130"/>
      <c r="K362" s="2110"/>
      <c r="L362" s="2107"/>
      <c r="M362" s="2133"/>
      <c r="N362" s="2107">
        <f>IF(NOT(ISERROR(MATCH(M362,_xlfn.ANCHORARRAY(F369),0))),#REF!&amp;"Por favor no seleccionar los criterios de impacto",M362)</f>
        <v>0</v>
      </c>
      <c r="O362" s="2110"/>
      <c r="P362" s="2107"/>
      <c r="Q362" s="2015"/>
      <c r="R362" s="283">
        <v>3</v>
      </c>
      <c r="S362" s="299"/>
      <c r="T362" s="285" t="str">
        <f t="shared" ref="T362:T363" si="167">IF(OR(U362="Preventivo",U362="Detectivo"),"Probabilidad",IF(U362="Correctivo","Impacto",""))</f>
        <v/>
      </c>
      <c r="U362" s="286"/>
      <c r="V362" s="286"/>
      <c r="W362" s="287" t="str">
        <f t="shared" si="163"/>
        <v/>
      </c>
      <c r="X362" s="286"/>
      <c r="Y362" s="286"/>
      <c r="Z362" s="286"/>
      <c r="AA362" s="744" t="str">
        <f>IFERROR(IF(AND(T361="Probabilidad",T362="Probabilidad"),(AC361-(+AC361*W362)),IF(AND(T361="Impacto",T362="Probabilidad"),(AC360-(+AC360*W362)),IF(T362="Impacto",AC361,""))),"")</f>
        <v/>
      </c>
      <c r="AB362" s="288" t="str">
        <f t="shared" si="164"/>
        <v/>
      </c>
      <c r="AC362" s="289" t="str">
        <f t="shared" ref="AC362:AC363" si="168">+AA362</f>
        <v/>
      </c>
      <c r="AD362" s="288" t="str">
        <f t="shared" si="165"/>
        <v/>
      </c>
      <c r="AE362" s="289" t="str">
        <f t="shared" ref="AE362:AE363" si="169">IFERROR(IF(AND(T361="Impacto",T362="Impacto"),(AE361-(+AE361*W362)),IF(AND(T361="Probabilidad",T362="Impacto"),(AE360-(+AE360*W362)),IF(T362="Probabilidad",AE361,""))),"")</f>
        <v/>
      </c>
      <c r="AF362" s="290" t="str">
        <f t="shared" si="166"/>
        <v/>
      </c>
      <c r="AG362" s="291"/>
      <c r="AH362" s="916"/>
      <c r="AI362" s="297"/>
      <c r="AJ362" s="303"/>
      <c r="AK362" s="303"/>
      <c r="AL362" s="296"/>
      <c r="AM362" s="921"/>
      <c r="AN362" s="922"/>
      <c r="AO362" s="922"/>
      <c r="AP362" s="922"/>
      <c r="AQ362" s="922"/>
    </row>
    <row r="363" spans="1:43" ht="15.6" x14ac:dyDescent="0.3">
      <c r="A363" s="2113"/>
      <c r="B363" s="2156"/>
      <c r="C363" s="2156"/>
      <c r="D363" s="2159"/>
      <c r="E363" s="2956"/>
      <c r="F363" s="2125"/>
      <c r="G363" s="1980"/>
      <c r="H363" s="2125"/>
      <c r="I363" s="2127"/>
      <c r="J363" s="2130"/>
      <c r="K363" s="2110"/>
      <c r="L363" s="2107"/>
      <c r="M363" s="2133"/>
      <c r="N363" s="2107">
        <f>IF(NOT(ISERROR(MATCH(M363,_xlfn.ANCHORARRAY(#REF!),0))),#REF!&amp;"Por favor no seleccionar los criterios de impacto",M363)</f>
        <v>0</v>
      </c>
      <c r="O363" s="2110"/>
      <c r="P363" s="2107"/>
      <c r="Q363" s="2015"/>
      <c r="R363" s="283">
        <v>4</v>
      </c>
      <c r="S363" s="302"/>
      <c r="T363" s="285" t="str">
        <f t="shared" si="167"/>
        <v/>
      </c>
      <c r="U363" s="286"/>
      <c r="V363" s="286"/>
      <c r="W363" s="287" t="str">
        <f t="shared" si="163"/>
        <v/>
      </c>
      <c r="X363" s="286"/>
      <c r="Y363" s="286"/>
      <c r="Z363" s="286"/>
      <c r="AA363" s="744" t="str">
        <f t="shared" ref="AA363" si="170">IFERROR(IF(AND(T362="Probabilidad",T363="Probabilidad"),(AC362-(+AC362*W363)),IF(AND(T362="Impacto",T363="Probabilidad"),(AC361-(+AC361*W363)),IF(T363="Impacto",AC362,""))),"")</f>
        <v/>
      </c>
      <c r="AB363" s="288" t="str">
        <f t="shared" si="164"/>
        <v/>
      </c>
      <c r="AC363" s="289" t="str">
        <f t="shared" si="168"/>
        <v/>
      </c>
      <c r="AD363" s="288" t="str">
        <f t="shared" si="165"/>
        <v/>
      </c>
      <c r="AE363" s="289" t="str">
        <f t="shared" si="169"/>
        <v/>
      </c>
      <c r="AF363" s="290" t="str">
        <f t="shared" si="166"/>
        <v/>
      </c>
      <c r="AG363" s="291"/>
      <c r="AH363" s="916"/>
      <c r="AI363" s="297"/>
      <c r="AJ363" s="303"/>
      <c r="AK363" s="303"/>
      <c r="AL363" s="296"/>
      <c r="AM363" s="921"/>
      <c r="AN363" s="922"/>
      <c r="AO363" s="922"/>
      <c r="AP363" s="922"/>
      <c r="AQ363" s="922"/>
    </row>
    <row r="364" spans="1:43" ht="145.80000000000001" x14ac:dyDescent="0.3">
      <c r="A364" s="2112">
        <v>2</v>
      </c>
      <c r="B364" s="2115" t="s">
        <v>209</v>
      </c>
      <c r="C364" s="2115" t="s">
        <v>351</v>
      </c>
      <c r="D364" s="2118" t="s">
        <v>879</v>
      </c>
      <c r="E364" s="304" t="s">
        <v>352</v>
      </c>
      <c r="F364" s="2121" t="s">
        <v>880</v>
      </c>
      <c r="G364" s="1979" t="s">
        <v>512</v>
      </c>
      <c r="H364" s="923" t="s">
        <v>881</v>
      </c>
      <c r="I364" s="2122" t="s">
        <v>198</v>
      </c>
      <c r="J364" s="2090">
        <v>500</v>
      </c>
      <c r="K364" s="2093" t="str">
        <f>IF(J364&lt;=0,"",IF(J364&lt;=2,"Muy Baja",IF(J364&lt;=24,"Baja",IF(J364&lt;=500,"Media",IF(J364&lt;=5000,"Alta","Muy Alta")))))</f>
        <v>Media</v>
      </c>
      <c r="L364" s="2087">
        <f>IF(K364="","",IF(K364="Muy Baja",0.2,IF(K364="Baja",0.4,IF(K364="Media",0.6,IF(K364="Alta",0.8,IF(K364="Muy Alta",1,))))))</f>
        <v>0.6</v>
      </c>
      <c r="M364" s="2096" t="s">
        <v>216</v>
      </c>
      <c r="N364" s="2087" t="str">
        <f>IF(NOT(ISERROR(MATCH(M364,'[43]Tabla Impacto'!$B$221:$B$223,0))),'[43]Tabla Impacto'!$F$223&amp;"Por favor no seleccionar los criterios de impacto(Afectación Económica o presupuestal y Pérdida Reputacional)",M364)</f>
        <v xml:space="preserve">     El riesgo afecta la imagen de alguna área de la organización</v>
      </c>
      <c r="O364" s="2093" t="str">
        <f>IF(OR(N364='[43]Tabla Impacto'!$C$11,N364='[43]Tabla Impacto'!$D$11),"Leve",IF(OR(N364='[43]Tabla Impacto'!$C$12,N364='[43]Tabla Impacto'!$D$12),"Menor",IF(OR(N364='[43]Tabla Impacto'!$C$13,N364='[43]Tabla Impacto'!$D$13),"Moderado",IF(OR(N364='[43]Tabla Impacto'!$C$14,N364='[43]Tabla Impacto'!$D$14),"Mayor",IF(OR(N364='[43]Tabla Impacto'!$C$15,N364='[43]Tabla Impacto'!$D$15),"Catastrófico","")))))</f>
        <v>Leve</v>
      </c>
      <c r="P364" s="2087">
        <f>IF(O364="","",IF(O364="Leve",0.2,IF(O364="Menor",0.4,IF(O364="Moderado",0.6,IF(O364="Mayor",0.8,IF(O364="Catastrófico",1,))))))</f>
        <v>0.2</v>
      </c>
      <c r="Q364" s="2018" t="str">
        <f>IF(OR(AND(K364="Muy Baja",O364="Leve"),AND(K364="Muy Baja",O364="Menor"),AND(K364="Baja",O364="Leve")),"Bajo",IF(OR(AND(K364="Muy baja",O364="Moderado"),AND(K364="Baja",O364="Menor"),AND(K364="Baja",O364="Moderado"),AND(K364="Media",O364="Leve"),AND(K364="Media",O364="Menor"),AND(K364="Media",O364="Moderado"),AND(K364="Alta",O364="Leve"),AND(K364="Alta",O364="Menor")),"Moderado",IF(OR(AND(K364="Muy Baja",O364="Mayor"),AND(K364="Baja",O364="Mayor"),AND(K364="Media",O364="Mayor"),AND(K364="Alta",O364="Moderado"),AND(K364="Alta",O364="Mayor"),AND(K364="Muy Alta",O364="Leve"),AND(K364="Muy Alta",O364="Menor"),AND(K364="Muy Alta",O364="Moderado"),AND(K364="Muy Alta",O364="Mayor")),"Alto",IF(OR(AND(K364="Muy Baja",O364="Catastrófico"),AND(K364="Baja",O364="Catastrófico"),AND(K364="Media",O364="Catastrófico"),AND(K364="Alta",O364="Catastrófico"),AND(K364="Muy Alta",O364="Catastrófico")),"Extremo",""))))</f>
        <v>Moderado</v>
      </c>
      <c r="R364" s="283">
        <v>1</v>
      </c>
      <c r="S364" s="302" t="s">
        <v>353</v>
      </c>
      <c r="T364" s="285" t="str">
        <f>IF(OR(U364="Preventivo",U364="Detectivo"),"Probabilidad",IF(U364="Correctivo","Impacto",""))</f>
        <v>Probabilidad</v>
      </c>
      <c r="U364" s="286" t="s">
        <v>207</v>
      </c>
      <c r="V364" s="286" t="s">
        <v>201</v>
      </c>
      <c r="W364" s="287" t="str">
        <f>IF(AND(U364="Preventivo",V364="Automático"),"50%",IF(AND(U364="Preventivo",V364="Manual"),"40%",IF(AND(U364="Detectivo",V364="Automático"),"40%",IF(AND(U364="Detectivo",V364="Manual"),"30%",IF(AND(U364="Correctivo",V364="Automático"),"35%",IF(AND(U364="Correctivo",V364="Manual"),"25%",""))))))</f>
        <v>40%</v>
      </c>
      <c r="X364" s="286" t="s">
        <v>208</v>
      </c>
      <c r="Y364" s="286" t="s">
        <v>203</v>
      </c>
      <c r="Z364" s="286" t="s">
        <v>204</v>
      </c>
      <c r="AA364" s="744">
        <f>IFERROR(IF(T364="Probabilidad",(L364-(+L364*W364)),IF(T364="Impacto",L364,"")),"")</f>
        <v>0.36</v>
      </c>
      <c r="AB364" s="288" t="str">
        <f>IFERROR(IF(AA364="","",IF(AA364&lt;=0.2,"Muy Baja",IF(AA364&lt;=0.4,"Baja",IF(AA364&lt;=0.6,"Media",IF(AA364&lt;=0.8,"Alta","Muy Alta"))))),"")</f>
        <v>Baja</v>
      </c>
      <c r="AC364" s="289">
        <f>+AA364</f>
        <v>0.36</v>
      </c>
      <c r="AD364" s="288" t="str">
        <f>IFERROR(IF(AE364="","",IF(AE364&lt;=0.2,"Leve",IF(AE364&lt;=0.4,"Menor",IF(AE364&lt;=0.6,"Moderado",IF(AE364&lt;=0.8,"Mayor","Catastrófico"))))),"")</f>
        <v>Leve</v>
      </c>
      <c r="AE364" s="289">
        <f>IFERROR(IF(T364="Impacto",(P364-(+P364*W364)),IF(T364="Probabilidad",P364,"")),"")</f>
        <v>0.2</v>
      </c>
      <c r="AF364" s="290" t="str">
        <f>IFERROR(IF(OR(AND(AB364="Muy Baja",AD364="Leve"),AND(AB364="Muy Baja",AD364="Menor"),AND(AB364="Baja",AD364="Leve")),"Bajo",IF(OR(AND(AB364="Muy baja",AD364="Moderado"),AND(AB364="Baja",AD364="Menor"),AND(AB364="Baja",AD364="Moderado"),AND(AB364="Media",AD364="Leve"),AND(AB364="Media",AD364="Menor"),AND(AB364="Media",AD364="Moderado"),AND(AB364="Alta",AD364="Leve"),AND(AB364="Alta",AD364="Menor")),"Moderado",IF(OR(AND(AB364="Muy Baja",AD364="Mayor"),AND(AB364="Baja",AD364="Mayor"),AND(AB364="Media",AD364="Mayor"),AND(AB364="Alta",AD364="Moderado"),AND(AB364="Alta",AD364="Mayor"),AND(AB364="Muy Alta",AD364="Leve"),AND(AB364="Muy Alta",AD364="Menor"),AND(AB364="Muy Alta",AD364="Moderado"),AND(AB364="Muy Alta",AD364="Mayor")),"Alto",IF(OR(AND(AB364="Muy Baja",AD364="Catastrófico"),AND(AB364="Baja",AD364="Catastrófico"),AND(AB364="Media",AD364="Catastrófico"),AND(AB364="Alta",AD364="Catastrófico"),AND(AB364="Muy Alta",AD364="Catastrófico")),"Extremo","")))),"")</f>
        <v>Bajo</v>
      </c>
      <c r="AG364" s="291"/>
      <c r="AH364" s="2957" t="s">
        <v>882</v>
      </c>
      <c r="AI364" s="2249" t="s">
        <v>873</v>
      </c>
      <c r="AJ364" s="746" t="s">
        <v>874</v>
      </c>
      <c r="AK364" s="746" t="s">
        <v>875</v>
      </c>
      <c r="AL364" s="296"/>
      <c r="AM364" s="921"/>
      <c r="AN364" s="924" t="s">
        <v>883</v>
      </c>
      <c r="AO364" s="924" t="s">
        <v>884</v>
      </c>
      <c r="AP364" s="924" t="s">
        <v>885</v>
      </c>
      <c r="AQ364" s="924" t="s">
        <v>1204</v>
      </c>
    </row>
    <row r="365" spans="1:43" ht="145.80000000000001" x14ac:dyDescent="0.3">
      <c r="A365" s="2113"/>
      <c r="B365" s="2116"/>
      <c r="C365" s="2116"/>
      <c r="D365" s="2119"/>
      <c r="E365" s="304" t="s">
        <v>354</v>
      </c>
      <c r="F365" s="2121"/>
      <c r="G365" s="1980"/>
      <c r="H365" s="923" t="s">
        <v>886</v>
      </c>
      <c r="I365" s="2123"/>
      <c r="J365" s="2091"/>
      <c r="K365" s="2094"/>
      <c r="L365" s="2088"/>
      <c r="M365" s="2097"/>
      <c r="N365" s="2088">
        <f>IF(NOT(ISERROR(MATCH(M365,_xlfn.ANCHORARRAY(F371),0))),L373&amp;"Por favor no seleccionar los criterios de impacto",M365)</f>
        <v>0</v>
      </c>
      <c r="O365" s="2094"/>
      <c r="P365" s="2088"/>
      <c r="Q365" s="2019"/>
      <c r="R365" s="283">
        <v>2</v>
      </c>
      <c r="S365" s="302" t="s">
        <v>355</v>
      </c>
      <c r="T365" s="285" t="str">
        <f>IF(OR(U365="Preventivo",U365="Detectivo"),"Probabilidad",IF(U365="Correctivo","Impacto",""))</f>
        <v>Probabilidad</v>
      </c>
      <c r="U365" s="286" t="s">
        <v>207</v>
      </c>
      <c r="V365" s="286" t="s">
        <v>201</v>
      </c>
      <c r="W365" s="287" t="str">
        <f t="shared" ref="W365:W367" si="171">IF(AND(U365="Preventivo",V365="Automático"),"50%",IF(AND(U365="Preventivo",V365="Manual"),"40%",IF(AND(U365="Detectivo",V365="Automático"),"40%",IF(AND(U365="Detectivo",V365="Manual"),"30%",IF(AND(U365="Correctivo",V365="Automático"),"35%",IF(AND(U365="Correctivo",V365="Manual"),"25%",""))))))</f>
        <v>40%</v>
      </c>
      <c r="X365" s="286" t="s">
        <v>208</v>
      </c>
      <c r="Y365" s="286" t="s">
        <v>203</v>
      </c>
      <c r="Z365" s="286" t="s">
        <v>204</v>
      </c>
      <c r="AA365" s="744">
        <f>IFERROR(IF(AND(T364="Probabilidad",T365="Probabilidad"),(AC364-(+AC364*W365)),IF(AND(T364="Impacto",T365="Probabilidad"),(L364-(+L364*W365)),IF(T365="Impacto",AC364,""))),"")</f>
        <v>0.216</v>
      </c>
      <c r="AB365" s="288" t="str">
        <f t="shared" ref="AB365:AB367" si="172">IFERROR(IF(AA365="","",IF(AA365&lt;=0.2,"Muy Baja",IF(AA365&lt;=0.4,"Baja",IF(AA365&lt;=0.6,"Media",IF(AA365&lt;=0.8,"Alta","Muy Alta"))))),"")</f>
        <v>Baja</v>
      </c>
      <c r="AC365" s="289">
        <f>+AA365</f>
        <v>0.216</v>
      </c>
      <c r="AD365" s="288" t="str">
        <f t="shared" ref="AD365:AD367" si="173">IFERROR(IF(AE365="","",IF(AE365&lt;=0.2,"Leve",IF(AE365&lt;=0.4,"Menor",IF(AE365&lt;=0.6,"Moderado",IF(AE365&lt;=0.8,"Mayor","Catastrófico"))))),"")</f>
        <v>Leve</v>
      </c>
      <c r="AE365" s="289">
        <f>IFERROR(IF(AND(T364="Impacto",T365="Impacto"),(AE364-(+AE364*W365)),IF(AND(T364="Probabilidad",T365="Impacto"),(P364-(+P364*W365)),IF(T365="Probabilidad",AE364,""))),"")</f>
        <v>0.2</v>
      </c>
      <c r="AF365" s="290" t="str">
        <f t="shared" ref="AF365:AF367" si="174">IFERROR(IF(OR(AND(AB365="Muy Baja",AD365="Leve"),AND(AB365="Muy Baja",AD365="Menor"),AND(AB365="Baja",AD365="Leve")),"Bajo",IF(OR(AND(AB365="Muy baja",AD365="Moderado"),AND(AB365="Baja",AD365="Menor"),AND(AB365="Baja",AD365="Moderado"),AND(AB365="Media",AD365="Leve"),AND(AB365="Media",AD365="Menor"),AND(AB365="Media",AD365="Moderado"),AND(AB365="Alta",AD365="Leve"),AND(AB365="Alta",AD365="Menor")),"Moderado",IF(OR(AND(AB365="Muy Baja",AD365="Mayor"),AND(AB365="Baja",AD365="Mayor"),AND(AB365="Media",AD365="Mayor"),AND(AB365="Alta",AD365="Moderado"),AND(AB365="Alta",AD365="Mayor"),AND(AB365="Muy Alta",AD365="Leve"),AND(AB365="Muy Alta",AD365="Menor"),AND(AB365="Muy Alta",AD365="Moderado"),AND(AB365="Muy Alta",AD365="Mayor")),"Alto",IF(OR(AND(AB365="Muy Baja",AD365="Catastrófico"),AND(AB365="Baja",AD365="Catastrófico"),AND(AB365="Media",AD365="Catastrófico"),AND(AB365="Alta",AD365="Catastrófico"),AND(AB365="Muy Alta",AD365="Catastrófico")),"Extremo","")))),"")</f>
        <v>Bajo</v>
      </c>
      <c r="AG365" s="291"/>
      <c r="AH365" s="2958"/>
      <c r="AI365" s="2251"/>
      <c r="AJ365" s="303"/>
      <c r="AK365" s="303"/>
      <c r="AL365" s="296"/>
      <c r="AM365" s="921"/>
      <c r="AN365" s="924" t="s">
        <v>887</v>
      </c>
      <c r="AO365" s="924" t="s">
        <v>888</v>
      </c>
      <c r="AP365" s="924" t="s">
        <v>889</v>
      </c>
      <c r="AQ365" s="924" t="s">
        <v>1205</v>
      </c>
    </row>
    <row r="366" spans="1:43" ht="15.6" x14ac:dyDescent="0.3">
      <c r="A366" s="2113"/>
      <c r="B366" s="2116"/>
      <c r="C366" s="2116"/>
      <c r="D366" s="2119"/>
      <c r="E366" s="304"/>
      <c r="F366" s="2121"/>
      <c r="G366" s="1980"/>
      <c r="H366" s="305"/>
      <c r="I366" s="2123"/>
      <c r="J366" s="2091"/>
      <c r="K366" s="2094"/>
      <c r="L366" s="2088"/>
      <c r="M366" s="2097"/>
      <c r="N366" s="2088">
        <f>IF(NOT(ISERROR(MATCH(M366,_xlfn.ANCHORARRAY(F372),0))),#REF!&amp;"Por favor no seleccionar los criterios de impacto",M366)</f>
        <v>0</v>
      </c>
      <c r="O366" s="2094"/>
      <c r="P366" s="2088"/>
      <c r="Q366" s="2019"/>
      <c r="R366" s="283">
        <v>3</v>
      </c>
      <c r="S366" s="299"/>
      <c r="T366" s="285" t="str">
        <f t="shared" ref="T366:T367" si="175">IF(OR(U366="Preventivo",U366="Detectivo"),"Probabilidad",IF(U366="Correctivo","Impacto",""))</f>
        <v/>
      </c>
      <c r="U366" s="286"/>
      <c r="V366" s="286"/>
      <c r="W366" s="287" t="str">
        <f t="shared" si="171"/>
        <v/>
      </c>
      <c r="X366" s="286"/>
      <c r="Y366" s="286"/>
      <c r="Z366" s="286"/>
      <c r="AA366" s="744" t="str">
        <f>IFERROR(IF(AND(T365="Probabilidad",T366="Probabilidad"),(AC365-(+AC365*W366)),IF(AND(T365="Impacto",T366="Probabilidad"),(AC364-(+AC364*W366)),IF(T366="Impacto",AC365,""))),"")</f>
        <v/>
      </c>
      <c r="AB366" s="288" t="str">
        <f t="shared" si="172"/>
        <v/>
      </c>
      <c r="AC366" s="289" t="str">
        <f t="shared" ref="AC366:AC367" si="176">+AA366</f>
        <v/>
      </c>
      <c r="AD366" s="288" t="str">
        <f t="shared" si="173"/>
        <v/>
      </c>
      <c r="AE366" s="289" t="str">
        <f t="shared" ref="AE366:AE367" si="177">IFERROR(IF(AND(T365="Impacto",T366="Impacto"),(AE365-(+AE365*W366)),IF(AND(T365="Probabilidad",T366="Impacto"),(AE364-(+AE364*W366)),IF(T366="Probabilidad",AE365,""))),"")</f>
        <v/>
      </c>
      <c r="AF366" s="290" t="str">
        <f t="shared" si="174"/>
        <v/>
      </c>
      <c r="AG366" s="291"/>
      <c r="AH366" s="916"/>
      <c r="AI366" s="297"/>
      <c r="AJ366" s="303"/>
      <c r="AK366" s="303"/>
      <c r="AL366" s="296"/>
      <c r="AM366" s="921"/>
      <c r="AN366" s="922"/>
      <c r="AO366" s="922"/>
      <c r="AP366" s="922"/>
      <c r="AQ366" s="922"/>
    </row>
    <row r="367" spans="1:43" ht="15.6" x14ac:dyDescent="0.3">
      <c r="A367" s="2113"/>
      <c r="B367" s="2116"/>
      <c r="C367" s="2116"/>
      <c r="D367" s="2119"/>
      <c r="E367" s="304"/>
      <c r="F367" s="2121"/>
      <c r="G367" s="1980"/>
      <c r="H367" s="305"/>
      <c r="I367" s="2123"/>
      <c r="J367" s="2091"/>
      <c r="K367" s="2094"/>
      <c r="L367" s="2088"/>
      <c r="M367" s="2097"/>
      <c r="N367" s="2088">
        <f>IF(NOT(ISERROR(MATCH(M367,_xlfn.ANCHORARRAY(F373),0))),#REF!&amp;"Por favor no seleccionar los criterios de impacto",M367)</f>
        <v>0</v>
      </c>
      <c r="O367" s="2094"/>
      <c r="P367" s="2088"/>
      <c r="Q367" s="2019"/>
      <c r="R367" s="283">
        <v>4</v>
      </c>
      <c r="S367" s="302"/>
      <c r="T367" s="285" t="str">
        <f t="shared" si="175"/>
        <v/>
      </c>
      <c r="U367" s="286"/>
      <c r="V367" s="286"/>
      <c r="W367" s="287" t="str">
        <f t="shared" si="171"/>
        <v/>
      </c>
      <c r="X367" s="286"/>
      <c r="Y367" s="286"/>
      <c r="Z367" s="286"/>
      <c r="AA367" s="744" t="str">
        <f t="shared" ref="AA367" si="178">IFERROR(IF(AND(T366="Probabilidad",T367="Probabilidad"),(AC366-(+AC366*W367)),IF(AND(T366="Impacto",T367="Probabilidad"),(AC365-(+AC365*W367)),IF(T367="Impacto",AC366,""))),"")</f>
        <v/>
      </c>
      <c r="AB367" s="288" t="str">
        <f t="shared" si="172"/>
        <v/>
      </c>
      <c r="AC367" s="289" t="str">
        <f t="shared" si="176"/>
        <v/>
      </c>
      <c r="AD367" s="288" t="str">
        <f t="shared" si="173"/>
        <v/>
      </c>
      <c r="AE367" s="289" t="str">
        <f t="shared" si="177"/>
        <v/>
      </c>
      <c r="AF367" s="290" t="str">
        <f t="shared" si="174"/>
        <v/>
      </c>
      <c r="AG367" s="291"/>
      <c r="AH367" s="916"/>
      <c r="AI367" s="297"/>
      <c r="AJ367" s="303"/>
      <c r="AK367" s="303"/>
      <c r="AL367" s="296"/>
      <c r="AM367" s="921"/>
      <c r="AN367" s="922"/>
      <c r="AO367" s="922"/>
      <c r="AP367" s="922"/>
      <c r="AQ367" s="922"/>
    </row>
    <row r="368" spans="1:43" ht="118.8" x14ac:dyDescent="0.3">
      <c r="A368" s="2112">
        <v>3</v>
      </c>
      <c r="B368" s="2115" t="s">
        <v>395</v>
      </c>
      <c r="C368" s="2115" t="s">
        <v>890</v>
      </c>
      <c r="D368" s="2959" t="s">
        <v>891</v>
      </c>
      <c r="E368" s="925" t="s">
        <v>892</v>
      </c>
      <c r="F368" s="2121" t="s">
        <v>893</v>
      </c>
      <c r="G368" s="2356" t="s">
        <v>597</v>
      </c>
      <c r="H368" s="2963" t="s">
        <v>894</v>
      </c>
      <c r="I368" s="2122" t="s">
        <v>198</v>
      </c>
      <c r="J368" s="2090">
        <v>12</v>
      </c>
      <c r="K368" s="2093" t="str">
        <f t="shared" ref="K368" si="179">IF(J368&lt;=0,"",IF(J368&lt;=2,"Muy Baja",IF(J368&lt;=24,"Baja",IF(J368&lt;=500,"Media",IF(J368&lt;=5000,"Alta","Muy Alta")))))</f>
        <v>Baja</v>
      </c>
      <c r="L368" s="2087">
        <f t="shared" ref="L368" si="180">IF(K368="","",IF(K368="Muy Baja",0.2,IF(K368="Baja",0.4,IF(K368="Media",0.6,IF(K368="Alta",0.8,IF(K368="Muy Alta",1,))))))</f>
        <v>0.4</v>
      </c>
      <c r="M368" s="2096"/>
      <c r="N368" s="2087">
        <f>IF(NOT(ISERROR(MATCH(M368,'[43]Tabla Impacto'!$B$221:$B$223,0))),'[43]Tabla Impacto'!$F$223&amp;"Por favor no seleccionar los criterios de impacto(Afectación Económica o presupuestal y Pérdida Reputacional)",M368)</f>
        <v>0</v>
      </c>
      <c r="O368" s="2093" t="str">
        <f>IF(OR(N368='[43]Tabla Impacto'!$C$11,N368='[43]Tabla Impacto'!$D$11),"Leve",IF(OR(N368='[43]Tabla Impacto'!$C$12,N368='[43]Tabla Impacto'!$D$12),"Menor",IF(OR(N368='[43]Tabla Impacto'!$C$13,N368='[43]Tabla Impacto'!$D$13),"Moderado",IF(OR(N368='[43]Tabla Impacto'!$C$14,N368='[43]Tabla Impacto'!$D$14),"Mayor",IF(OR(N368='[43]Tabla Impacto'!$C$15,N368='[43]Tabla Impacto'!$D$15),"Catastrófico","")))))</f>
        <v/>
      </c>
      <c r="P368" s="2087" t="str">
        <f t="shared" ref="P368" si="181">IF(O368="","",IF(O368="Leve",0.2,IF(O368="Menor",0.4,IF(O368="Moderado",0.6,IF(O368="Mayor",0.8,IF(O368="Catastrófico",1,))))))</f>
        <v/>
      </c>
      <c r="Q368" s="2018" t="str">
        <f t="shared" ref="Q368" si="182">IF(OR(AND(K368="Muy Baja",O368="Leve"),AND(K368="Muy Baja",O368="Menor"),AND(K368="Baja",O368="Leve")),"Bajo",IF(OR(AND(K368="Muy baja",O368="Moderado"),AND(K368="Baja",O368="Menor"),AND(K368="Baja",O368="Moderado"),AND(K368="Media",O368="Leve"),AND(K368="Media",O368="Menor"),AND(K368="Media",O368="Moderado"),AND(K368="Alta",O368="Leve"),AND(K368="Alta",O368="Menor")),"Moderado",IF(OR(AND(K368="Muy Baja",O368="Mayor"),AND(K368="Baja",O368="Mayor"),AND(K368="Media",O368="Mayor"),AND(K368="Alta",O368="Moderado"),AND(K368="Alta",O368="Mayor"),AND(K368="Muy Alta",O368="Leve"),AND(K368="Muy Alta",O368="Menor"),AND(K368="Muy Alta",O368="Moderado"),AND(K368="Muy Alta",O368="Mayor")),"Alto",IF(OR(AND(K368="Muy Baja",O368="Catastrófico"),AND(K368="Baja",O368="Catastrófico"),AND(K368="Media",O368="Catastrófico"),AND(K368="Alta",O368="Catastrófico"),AND(K368="Muy Alta",O368="Catastrófico")),"Extremo",""))))</f>
        <v/>
      </c>
      <c r="R368" s="283">
        <v>1</v>
      </c>
      <c r="S368" s="302" t="s">
        <v>895</v>
      </c>
      <c r="T368" s="285" t="str">
        <f>IF(OR(U368="Preventivo",U368="Detectivo"),"Probabilidad",IF(U368="Correctivo","Impacto",""))</f>
        <v>Probabilidad</v>
      </c>
      <c r="U368" s="286" t="s">
        <v>207</v>
      </c>
      <c r="V368" s="286" t="s">
        <v>201</v>
      </c>
      <c r="W368" s="287" t="str">
        <f>IF(AND(U368="Preventivo",V368="Automático"),"50%",IF(AND(U368="Preventivo",V368="Manual"),"40%",IF(AND(U368="Detectivo",V368="Automático"),"40%",IF(AND(U368="Detectivo",V368="Manual"),"30%",IF(AND(U368="Correctivo",V368="Automático"),"35%",IF(AND(U368="Correctivo",V368="Manual"),"25%",""))))))</f>
        <v>40%</v>
      </c>
      <c r="X368" s="286" t="s">
        <v>208</v>
      </c>
      <c r="Y368" s="286" t="s">
        <v>203</v>
      </c>
      <c r="Z368" s="286" t="s">
        <v>204</v>
      </c>
      <c r="AA368" s="744">
        <f>IFERROR(IF(T368="Probabilidad",(L368-(+L368*W368)),IF(T368="Impacto",L368,"")),"")</f>
        <v>0.24</v>
      </c>
      <c r="AB368" s="288" t="str">
        <f>IFERROR(IF(AA368="","",IF(AA368&lt;=0.2,"Muy Baja",IF(AA368&lt;=0.4,"Baja",IF(AA368&lt;=0.6,"Media",IF(AA368&lt;=0.8,"Alta","Muy Alta"))))),"")</f>
        <v>Baja</v>
      </c>
      <c r="AC368" s="289">
        <f>+AA368</f>
        <v>0.24</v>
      </c>
      <c r="AD368" s="288" t="str">
        <f>IFERROR(IF(AE368="","",IF(AE368&lt;=0.2,"Leve",IF(AE368&lt;=0.4,"Menor",IF(AE368&lt;=0.6,"Moderado",IF(AE368&lt;=0.8,"Mayor","Catastrófico"))))),"")</f>
        <v/>
      </c>
      <c r="AE368" s="289" t="str">
        <f>IFERROR(IF(T368="Impacto",(P368-(+P368*W368)),IF(T368="Probabilidad",P368,"")),"")</f>
        <v/>
      </c>
      <c r="AF368" s="290" t="str">
        <f>IFERROR(IF(OR(AND(AB368="Muy Baja",AD368="Leve"),AND(AB368="Muy Baja",AD368="Menor"),AND(AB368="Baja",AD368="Leve")),"Bajo",IF(OR(AND(AB368="Muy baja",AD368="Moderado"),AND(AB368="Baja",AD368="Menor"),AND(AB368="Baja",AD368="Moderado"),AND(AB368="Media",AD368="Leve"),AND(AB368="Media",AD368="Menor"),AND(AB368="Media",AD368="Moderado"),AND(AB368="Alta",AD368="Leve"),AND(AB368="Alta",AD368="Menor")),"Moderado",IF(OR(AND(AB368="Muy Baja",AD368="Mayor"),AND(AB368="Baja",AD368="Mayor"),AND(AB368="Media",AD368="Mayor"),AND(AB368="Alta",AD368="Moderado"),AND(AB368="Alta",AD368="Mayor"),AND(AB368="Muy Alta",AD368="Leve"),AND(AB368="Muy Alta",AD368="Menor"),AND(AB368="Muy Alta",AD368="Moderado"),AND(AB368="Muy Alta",AD368="Mayor")),"Alto",IF(OR(AND(AB368="Muy Baja",AD368="Catastrófico"),AND(AB368="Baja",AD368="Catastrófico"),AND(AB368="Media",AD368="Catastrófico"),AND(AB368="Alta",AD368="Catastrófico"),AND(AB368="Muy Alta",AD368="Catastrófico")),"Extremo","")))),"")</f>
        <v/>
      </c>
      <c r="AG368" s="291"/>
      <c r="AH368" s="926" t="s">
        <v>896</v>
      </c>
      <c r="AI368" s="927" t="s">
        <v>873</v>
      </c>
      <c r="AJ368" s="928" t="s">
        <v>874</v>
      </c>
      <c r="AK368" s="928" t="s">
        <v>897</v>
      </c>
      <c r="AL368" s="929"/>
      <c r="AM368" s="930" t="s">
        <v>206</v>
      </c>
      <c r="AN368" s="931" t="s">
        <v>898</v>
      </c>
      <c r="AO368" s="931" t="s">
        <v>899</v>
      </c>
      <c r="AP368" s="931" t="s">
        <v>900</v>
      </c>
      <c r="AQ368" s="931" t="s">
        <v>1206</v>
      </c>
    </row>
    <row r="369" spans="1:43" ht="15.6" x14ac:dyDescent="0.3">
      <c r="A369" s="2113"/>
      <c r="B369" s="2116"/>
      <c r="C369" s="2116"/>
      <c r="D369" s="2960"/>
      <c r="E369" s="925"/>
      <c r="F369" s="2121"/>
      <c r="G369" s="2357"/>
      <c r="H369" s="2964"/>
      <c r="I369" s="2123"/>
      <c r="J369" s="2091"/>
      <c r="K369" s="2094"/>
      <c r="L369" s="2088"/>
      <c r="M369" s="2097"/>
      <c r="N369" s="2088">
        <f>IF(NOT(ISERROR(MATCH(M369,_xlfn.ANCHORARRAY(F374),0))),L376&amp;"Por favor no seleccionar los criterios de impacto",M369)</f>
        <v>0</v>
      </c>
      <c r="O369" s="2094"/>
      <c r="P369" s="2088"/>
      <c r="Q369" s="2019"/>
      <c r="R369" s="283">
        <v>2</v>
      </c>
      <c r="S369" s="302"/>
      <c r="T369" s="285" t="str">
        <f>IF(OR(U369="Preventivo",U369="Detectivo"),"Probabilidad",IF(U369="Correctivo","Impacto",""))</f>
        <v/>
      </c>
      <c r="U369" s="286"/>
      <c r="V369" s="286"/>
      <c r="W369" s="287" t="str">
        <f t="shared" ref="W369:W370" si="183">IF(AND(U369="Preventivo",V369="Automático"),"50%",IF(AND(U369="Preventivo",V369="Manual"),"40%",IF(AND(U369="Detectivo",V369="Automático"),"40%",IF(AND(U369="Detectivo",V369="Manual"),"30%",IF(AND(U369="Correctivo",V369="Automático"),"35%",IF(AND(U369="Correctivo",V369="Manual"),"25%",""))))))</f>
        <v/>
      </c>
      <c r="X369" s="286"/>
      <c r="Y369" s="286"/>
      <c r="Z369" s="286"/>
      <c r="AA369" s="744" t="str">
        <f>IFERROR(IF(AND(T368="Probabilidad",T369="Probabilidad"),(AC368-(+AC368*W369)),IF(AND(T368="Impacto",T369="Probabilidad"),(L368-(+L368*W369)),IF(T369="Impacto",AC368,""))),"")</f>
        <v/>
      </c>
      <c r="AB369" s="288" t="str">
        <f t="shared" ref="AB369:AB370" si="184">IFERROR(IF(AA369="","",IF(AA369&lt;=0.2,"Muy Baja",IF(AA369&lt;=0.4,"Baja",IF(AA369&lt;=0.6,"Media",IF(AA369&lt;=0.8,"Alta","Muy Alta"))))),"")</f>
        <v/>
      </c>
      <c r="AC369" s="289" t="str">
        <f>+AA369</f>
        <v/>
      </c>
      <c r="AD369" s="288" t="str">
        <f t="shared" ref="AD369:AD370" si="185">IFERROR(IF(AE369="","",IF(AE369&lt;=0.2,"Leve",IF(AE369&lt;=0.4,"Menor",IF(AE369&lt;=0.6,"Moderado",IF(AE369&lt;=0.8,"Mayor","Catastrófico"))))),"")</f>
        <v/>
      </c>
      <c r="AE369" s="289" t="str">
        <f>IFERROR(IF(AND(T368="Impacto",T369="Impacto"),(AE368-(+AE368*W369)),IF(AND(T368="Probabilidad",T369="Impacto"),(P368-(+P368*W369)),IF(T369="Probabilidad",AE368,""))),"")</f>
        <v/>
      </c>
      <c r="AF369" s="290" t="str">
        <f t="shared" ref="AF369:AF370" si="186">IFERROR(IF(OR(AND(AB369="Muy Baja",AD369="Leve"),AND(AB369="Muy Baja",AD369="Menor"),AND(AB369="Baja",AD369="Leve")),"Bajo",IF(OR(AND(AB369="Muy baja",AD369="Moderado"),AND(AB369="Baja",AD369="Menor"),AND(AB369="Baja",AD369="Moderado"),AND(AB369="Media",AD369="Leve"),AND(AB369="Media",AD369="Menor"),AND(AB369="Media",AD369="Moderado"),AND(AB369="Alta",AD369="Leve"),AND(AB369="Alta",AD369="Menor")),"Moderado",IF(OR(AND(AB369="Muy Baja",AD369="Mayor"),AND(AB369="Baja",AD369="Mayor"),AND(AB369="Media",AD369="Mayor"),AND(AB369="Alta",AD369="Moderado"),AND(AB369="Alta",AD369="Mayor"),AND(AB369="Muy Alta",AD369="Leve"),AND(AB369="Muy Alta",AD369="Menor"),AND(AB369="Muy Alta",AD369="Moderado"),AND(AB369="Muy Alta",AD369="Mayor")),"Alto",IF(OR(AND(AB369="Muy Baja",AD369="Catastrófico"),AND(AB369="Baja",AD369="Catastrófico"),AND(AB369="Media",AD369="Catastrófico"),AND(AB369="Alta",AD369="Catastrófico"),AND(AB369="Muy Alta",AD369="Catastrófico")),"Extremo","")))),"")</f>
        <v/>
      </c>
      <c r="AG369" s="291"/>
      <c r="AH369" s="932"/>
      <c r="AI369" s="927"/>
      <c r="AJ369" s="928"/>
      <c r="AK369" s="928"/>
      <c r="AL369" s="929"/>
      <c r="AM369" s="930"/>
      <c r="AN369" s="927"/>
      <c r="AO369" s="924"/>
      <c r="AP369" s="924"/>
      <c r="AQ369" s="924"/>
    </row>
    <row r="370" spans="1:43" ht="15.6" x14ac:dyDescent="0.3">
      <c r="A370" s="2114"/>
      <c r="B370" s="2117"/>
      <c r="C370" s="2117"/>
      <c r="D370" s="2961"/>
      <c r="E370" s="925"/>
      <c r="F370" s="2121"/>
      <c r="G370" s="2962"/>
      <c r="H370" s="2965"/>
      <c r="I370" s="2124"/>
      <c r="J370" s="2092"/>
      <c r="K370" s="2095"/>
      <c r="L370" s="2089"/>
      <c r="M370" s="2098"/>
      <c r="N370" s="2089">
        <f>IF(NOT(ISERROR(MATCH(M370,_xlfn.ANCHORARRAY(F378),0))),L380&amp;"Por favor no seleccionar los criterios de impacto",M370)</f>
        <v>0</v>
      </c>
      <c r="O370" s="2095"/>
      <c r="P370" s="2089"/>
      <c r="Q370" s="2020"/>
      <c r="R370" s="283">
        <v>3</v>
      </c>
      <c r="S370" s="302"/>
      <c r="T370" s="285" t="str">
        <f t="shared" ref="T370" si="187">IF(OR(U370="Preventivo",U370="Detectivo"),"Probabilidad",IF(U370="Correctivo","Impacto",""))</f>
        <v/>
      </c>
      <c r="U370" s="286"/>
      <c r="V370" s="286"/>
      <c r="W370" s="287" t="str">
        <f t="shared" si="183"/>
        <v/>
      </c>
      <c r="X370" s="286"/>
      <c r="Y370" s="286"/>
      <c r="Z370" s="286"/>
      <c r="AA370" s="874" t="str">
        <f>IFERROR(IF(AND(#REF!="Probabilidad",T370="Probabilidad"),(#REF!-(+#REF!*W370)),IF(AND(#REF!="Impacto",T370="Probabilidad"),(#REF!-(+#REF!*W370)),IF(T370="Impacto",#REF!,""))),"")</f>
        <v/>
      </c>
      <c r="AB370" s="875" t="str">
        <f t="shared" si="184"/>
        <v/>
      </c>
      <c r="AC370" s="289" t="str">
        <f t="shared" ref="AC370" si="188">+AA370</f>
        <v/>
      </c>
      <c r="AD370" s="875" t="str">
        <f t="shared" si="185"/>
        <v/>
      </c>
      <c r="AE370" s="289" t="str">
        <f>IFERROR(IF(AND(#REF!="Impacto",T370="Impacto"),(#REF!-(+#REF!*W370)),IF(AND(#REF!="Probabilidad",T370="Impacto"),(#REF!-(+#REF!*W370)),IF(T370="Probabilidad",#REF!,""))),"")</f>
        <v/>
      </c>
      <c r="AF370" s="876" t="str">
        <f t="shared" si="186"/>
        <v/>
      </c>
      <c r="AG370" s="291"/>
      <c r="AH370" s="932"/>
      <c r="AI370" s="927"/>
      <c r="AJ370" s="928"/>
      <c r="AK370" s="928"/>
      <c r="AL370" s="929"/>
      <c r="AM370" s="930"/>
      <c r="AN370" s="927"/>
      <c r="AO370" s="924"/>
      <c r="AP370" s="924"/>
      <c r="AQ370" s="924"/>
    </row>
    <row r="371" spans="1:43" ht="151.80000000000001" x14ac:dyDescent="0.3">
      <c r="A371" s="2112">
        <v>4</v>
      </c>
      <c r="B371" s="2115" t="s">
        <v>395</v>
      </c>
      <c r="C371" s="2115" t="s">
        <v>901</v>
      </c>
      <c r="D371" s="2118" t="s">
        <v>902</v>
      </c>
      <c r="E371" s="925" t="s">
        <v>903</v>
      </c>
      <c r="F371" s="2121" t="s">
        <v>904</v>
      </c>
      <c r="G371" s="1979" t="s">
        <v>597</v>
      </c>
      <c r="H371" s="2963" t="s">
        <v>894</v>
      </c>
      <c r="I371" s="2122" t="s">
        <v>198</v>
      </c>
      <c r="J371" s="2090">
        <v>300</v>
      </c>
      <c r="K371" s="2093" t="str">
        <f t="shared" ref="K371" si="189">IF(J371&lt;=0,"",IF(J371&lt;=2,"Muy Baja",IF(J371&lt;=24,"Baja",IF(J371&lt;=500,"Media",IF(J371&lt;=5000,"Alta","Muy Alta")))))</f>
        <v>Media</v>
      </c>
      <c r="L371" s="2087">
        <f t="shared" ref="L371" si="190">IF(K371="","",IF(K371="Muy Baja",0.2,IF(K371="Baja",0.4,IF(K371="Media",0.6,IF(K371="Alta",0.8,IF(K371="Muy Alta",1,))))))</f>
        <v>0.6</v>
      </c>
      <c r="M371" s="2096" t="s">
        <v>393</v>
      </c>
      <c r="N371" s="2087" t="str">
        <f>IF(NOT(ISERROR(MATCH(M371,'[43]Tabla Impacto'!$B$221:$B$223,0))),'[43]Tabla Impacto'!$F$223&amp;"Por favor no seleccionar los criterios de impacto(Afectación Económica o presupuestal y Pérdida Reputacional)",M371)</f>
        <v xml:space="preserve">     Entre 200 y 1000 SMLMV</v>
      </c>
      <c r="O371" s="2093" t="str">
        <f>IF(OR(N371='[43]Tabla Impacto'!$C$11,N371='[43]Tabla Impacto'!$D$11),"Leve",IF(OR(N371='[43]Tabla Impacto'!$C$12,N371='[43]Tabla Impacto'!$D$12),"Menor",IF(OR(N371='[43]Tabla Impacto'!$C$13,N371='[43]Tabla Impacto'!$D$13),"Moderado",IF(OR(N371='[43]Tabla Impacto'!$C$14,N371='[43]Tabla Impacto'!$D$14),"Mayor",IF(OR(N371='[43]Tabla Impacto'!$C$15,N371='[43]Tabla Impacto'!$D$15),"Catastrófico","")))))</f>
        <v>Menor</v>
      </c>
      <c r="P371" s="2087">
        <f t="shared" ref="P371" si="191">IF(O371="","",IF(O371="Leve",0.2,IF(O371="Menor",0.4,IF(O371="Moderado",0.6,IF(O371="Mayor",0.8,IF(O371="Catastrófico",1,))))))</f>
        <v>0.4</v>
      </c>
      <c r="Q371" s="2018" t="str">
        <f t="shared" ref="Q371" si="192">IF(OR(AND(K371="Muy Baja",O371="Leve"),AND(K371="Muy Baja",O371="Menor"),AND(K371="Baja",O371="Leve")),"Bajo",IF(OR(AND(K371="Muy baja",O371="Moderado"),AND(K371="Baja",O371="Menor"),AND(K371="Baja",O371="Moderado"),AND(K371="Media",O371="Leve"),AND(K371="Media",O371="Menor"),AND(K371="Media",O371="Moderado"),AND(K371="Alta",O371="Leve"),AND(K371="Alta",O371="Menor")),"Moderado",IF(OR(AND(K371="Muy Baja",O371="Mayor"),AND(K371="Baja",O371="Mayor"),AND(K371="Media",O371="Mayor"),AND(K371="Alta",O371="Moderado"),AND(K371="Alta",O371="Mayor"),AND(K371="Muy Alta",O371="Leve"),AND(K371="Muy Alta",O371="Menor"),AND(K371="Muy Alta",O371="Moderado"),AND(K371="Muy Alta",O371="Mayor")),"Alto",IF(OR(AND(K371="Muy Baja",O371="Catastrófico"),AND(K371="Baja",O371="Catastrófico"),AND(K371="Media",O371="Catastrófico"),AND(K371="Alta",O371="Catastrófico"),AND(K371="Muy Alta",O371="Catastrófico")),"Extremo",""))))</f>
        <v>Moderado</v>
      </c>
      <c r="R371" s="283">
        <v>1</v>
      </c>
      <c r="S371" s="302" t="s">
        <v>1207</v>
      </c>
      <c r="T371" s="285" t="str">
        <f>IF(OR(U371="Preventivo",U371="Detectivo"),"Probabilidad",IF(U371="Correctivo","Impacto",""))</f>
        <v>Probabilidad</v>
      </c>
      <c r="U371" s="286" t="s">
        <v>207</v>
      </c>
      <c r="V371" s="286" t="s">
        <v>201</v>
      </c>
      <c r="W371" s="287" t="str">
        <f>IF(AND(U371="Preventivo",V371="Automático"),"50%",IF(AND(U371="Preventivo",V371="Manual"),"40%",IF(AND(U371="Detectivo",V371="Automático"),"40%",IF(AND(U371="Detectivo",V371="Manual"),"30%",IF(AND(U371="Correctivo",V371="Automático"),"35%",IF(AND(U371="Correctivo",V371="Manual"),"25%",""))))))</f>
        <v>40%</v>
      </c>
      <c r="X371" s="286" t="s">
        <v>208</v>
      </c>
      <c r="Y371" s="286" t="s">
        <v>203</v>
      </c>
      <c r="Z371" s="933" t="s">
        <v>204</v>
      </c>
      <c r="AA371" s="934">
        <f>IFERROR(IF(T371="Probabilidad",(L371-(+L371*W371)),IF(T371="Impacto",L371,"")),"")</f>
        <v>0.36</v>
      </c>
      <c r="AB371" s="935" t="str">
        <f>IFERROR(IF(AA371="","",IF(AA371&lt;=0.2,"Muy Baja",IF(AA371&lt;=0.4,"Baja",IF(AA371&lt;=0.6,"Media",IF(AA371&lt;=0.8,"Alta","Muy Alta"))))),"")</f>
        <v>Baja</v>
      </c>
      <c r="AC371" s="936">
        <f>+AA371</f>
        <v>0.36</v>
      </c>
      <c r="AD371" s="935" t="str">
        <f>IFERROR(IF(AE371="","",IF(AE371&lt;=0.2,"Leve",IF(AE371&lt;=0.4,"Menor",IF(AE371&lt;=0.6,"Moderado",IF(AE371&lt;=0.8,"Mayor","Catastrófico"))))),"")</f>
        <v>Menor</v>
      </c>
      <c r="AE371" s="936">
        <f>IFERROR(IF(T371="Impacto",(P371-(+P371*W371)),IF(T371="Probabilidad",P371,"")),"")</f>
        <v>0.4</v>
      </c>
      <c r="AF371" s="937" t="str">
        <f>IFERROR(IF(OR(AND(AB371="Muy Baja",AD371="Leve"),AND(AB371="Muy Baja",AD371="Menor"),AND(AB371="Baja",AD371="Leve")),"Bajo",IF(OR(AND(AB371="Muy baja",AD371="Moderado"),AND(AB371="Baja",AD371="Menor"),AND(AB371="Baja",AD371="Moderado"),AND(AB371="Media",AD371="Leve"),AND(AB371="Media",AD371="Menor"),AND(AB371="Media",AD371="Moderado"),AND(AB371="Alta",AD371="Leve"),AND(AB371="Alta",AD371="Menor")),"Moderado",IF(OR(AND(AB371="Muy Baja",AD371="Mayor"),AND(AB371="Baja",AD371="Mayor"),AND(AB371="Media",AD371="Mayor"),AND(AB371="Alta",AD371="Moderado"),AND(AB371="Alta",AD371="Mayor"),AND(AB371="Muy Alta",AD371="Leve"),AND(AB371="Muy Alta",AD371="Menor"),AND(AB371="Muy Alta",AD371="Moderado"),AND(AB371="Muy Alta",AD371="Mayor")),"Alto",IF(OR(AND(AB371="Muy Baja",AD371="Catastrófico"),AND(AB371="Baja",AD371="Catastrófico"),AND(AB371="Media",AD371="Catastrófico"),AND(AB371="Alta",AD371="Catastrófico"),AND(AB371="Muy Alta",AD371="Catastrófico")),"Extremo","")))),"")</f>
        <v>Moderado</v>
      </c>
      <c r="AG371" s="938"/>
      <c r="AH371" s="939" t="s">
        <v>1208</v>
      </c>
      <c r="AI371" s="927" t="s">
        <v>907</v>
      </c>
      <c r="AJ371" s="928" t="s">
        <v>874</v>
      </c>
      <c r="AK371" s="928" t="s">
        <v>897</v>
      </c>
      <c r="AL371" s="929"/>
      <c r="AM371" s="930" t="s">
        <v>206</v>
      </c>
      <c r="AN371" s="924" t="s">
        <v>898</v>
      </c>
      <c r="AO371" s="931" t="s">
        <v>899</v>
      </c>
      <c r="AP371" s="931" t="s">
        <v>908</v>
      </c>
      <c r="AQ371" s="931" t="s">
        <v>1209</v>
      </c>
    </row>
    <row r="372" spans="1:43" ht="15.6" x14ac:dyDescent="0.3">
      <c r="A372" s="2113"/>
      <c r="B372" s="2116"/>
      <c r="C372" s="2116"/>
      <c r="D372" s="2119"/>
      <c r="E372" s="304"/>
      <c r="F372" s="2121"/>
      <c r="G372" s="1980"/>
      <c r="H372" s="2964"/>
      <c r="I372" s="2123"/>
      <c r="J372" s="2091"/>
      <c r="K372" s="2094"/>
      <c r="L372" s="2088"/>
      <c r="M372" s="2097"/>
      <c r="N372" s="2088">
        <f>IF(NOT(ISERROR(MATCH(M372,_xlfn.ANCHORARRAY(F380),0))),L382&amp;"Por favor no seleccionar los criterios de impacto",M372)</f>
        <v>0</v>
      </c>
      <c r="O372" s="2094"/>
      <c r="P372" s="2088"/>
      <c r="Q372" s="2019"/>
      <c r="R372" s="283">
        <v>2</v>
      </c>
      <c r="S372" s="302"/>
      <c r="T372" s="285" t="str">
        <f>IF(OR(U372="Preventivo",U372="Detectivo"),"Probabilidad",IF(U372="Correctivo","Impacto",""))</f>
        <v/>
      </c>
      <c r="U372" s="286"/>
      <c r="V372" s="286"/>
      <c r="W372" s="287" t="str">
        <f t="shared" ref="W372:W373" si="193">IF(AND(U372="Preventivo",V372="Automático"),"50%",IF(AND(U372="Preventivo",V372="Manual"),"40%",IF(AND(U372="Detectivo",V372="Automático"),"40%",IF(AND(U372="Detectivo",V372="Manual"),"30%",IF(AND(U372="Correctivo",V372="Automático"),"35%",IF(AND(U372="Correctivo",V372="Manual"),"25%",""))))))</f>
        <v/>
      </c>
      <c r="X372" s="286"/>
      <c r="Y372" s="286"/>
      <c r="Z372" s="933"/>
      <c r="AA372" s="934" t="str">
        <f>IFERROR(IF(AND(T371="Probabilidad",T372="Probabilidad"),(AC371-(+AC371*W372)),IF(AND(T371="Impacto",T372="Probabilidad"),(L371-(+L371*W372)),IF(T372="Impacto",AC371,""))),"")</f>
        <v/>
      </c>
      <c r="AB372" s="935" t="str">
        <f t="shared" ref="AB372:AB373" si="194">IFERROR(IF(AA372="","",IF(AA372&lt;=0.2,"Muy Baja",IF(AA372&lt;=0.4,"Baja",IF(AA372&lt;=0.6,"Media",IF(AA372&lt;=0.8,"Alta","Muy Alta"))))),"")</f>
        <v/>
      </c>
      <c r="AC372" s="936" t="str">
        <f>+AA372</f>
        <v/>
      </c>
      <c r="AD372" s="935" t="str">
        <f t="shared" ref="AD372:AD373" si="195">IFERROR(IF(AE372="","",IF(AE372&lt;=0.2,"Leve",IF(AE372&lt;=0.4,"Menor",IF(AE372&lt;=0.6,"Moderado",IF(AE372&lt;=0.8,"Mayor","Catastrófico"))))),"")</f>
        <v/>
      </c>
      <c r="AE372" s="936" t="str">
        <f>IFERROR(IF(AND(T371="Impacto",T372="Impacto"),(AE371-(+AE371*W372)),IF(AND(T371="Probabilidad",T372="Impacto"),(P371-(+P371*W372)),IF(T372="Probabilidad",AE371,""))),"")</f>
        <v/>
      </c>
      <c r="AF372" s="937" t="str">
        <f t="shared" ref="AF372:AF373" si="196">IFERROR(IF(OR(AND(AB372="Muy Baja",AD372="Leve"),AND(AB372="Muy Baja",AD372="Menor"),AND(AB372="Baja",AD372="Leve")),"Bajo",IF(OR(AND(AB372="Muy baja",AD372="Moderado"),AND(AB372="Baja",AD372="Menor"),AND(AB372="Baja",AD372="Moderado"),AND(AB372="Media",AD372="Leve"),AND(AB372="Media",AD372="Menor"),AND(AB372="Media",AD372="Moderado"),AND(AB372="Alta",AD372="Leve"),AND(AB372="Alta",AD372="Menor")),"Moderado",IF(OR(AND(AB372="Muy Baja",AD372="Mayor"),AND(AB372="Baja",AD372="Mayor"),AND(AB372="Media",AD372="Mayor"),AND(AB372="Alta",AD372="Moderado"),AND(AB372="Alta",AD372="Mayor"),AND(AB372="Muy Alta",AD372="Leve"),AND(AB372="Muy Alta",AD372="Menor"),AND(AB372="Muy Alta",AD372="Moderado"),AND(AB372="Muy Alta",AD372="Mayor")),"Alto",IF(OR(AND(AB372="Muy Baja",AD372="Catastrófico"),AND(AB372="Baja",AD372="Catastrófico"),AND(AB372="Media",AD372="Catastrófico"),AND(AB372="Alta",AD372="Catastrófico"),AND(AB372="Muy Alta",AD372="Catastrófico")),"Extremo","")))),"")</f>
        <v/>
      </c>
      <c r="AG372" s="938"/>
      <c r="AH372" s="939"/>
      <c r="AI372" s="927"/>
      <c r="AJ372" s="928"/>
      <c r="AK372" s="928"/>
      <c r="AL372" s="929"/>
      <c r="AM372" s="930"/>
      <c r="AN372" s="924"/>
      <c r="AO372" s="924"/>
      <c r="AP372" s="922"/>
      <c r="AQ372" s="922"/>
    </row>
    <row r="373" spans="1:43" ht="15.6" x14ac:dyDescent="0.3">
      <c r="A373" s="2113"/>
      <c r="B373" s="2116"/>
      <c r="C373" s="2116"/>
      <c r="D373" s="2119"/>
      <c r="E373" s="304"/>
      <c r="F373" s="2121"/>
      <c r="G373" s="1980"/>
      <c r="H373" s="2964"/>
      <c r="I373" s="2123"/>
      <c r="J373" s="2091"/>
      <c r="K373" s="2094"/>
      <c r="L373" s="2088"/>
      <c r="M373" s="2097"/>
      <c r="N373" s="2088">
        <f>IF(NOT(ISERROR(MATCH(M373,_xlfn.ANCHORARRAY(F381),0))),L383&amp;"Por favor no seleccionar los criterios de impacto",M373)</f>
        <v>0</v>
      </c>
      <c r="O373" s="2094"/>
      <c r="P373" s="2088"/>
      <c r="Q373" s="2019"/>
      <c r="R373" s="283">
        <v>3</v>
      </c>
      <c r="S373" s="299"/>
      <c r="T373" s="285" t="str">
        <f t="shared" ref="T373" si="197">IF(OR(U373="Preventivo",U373="Detectivo"),"Probabilidad",IF(U373="Correctivo","Impacto",""))</f>
        <v/>
      </c>
      <c r="U373" s="286"/>
      <c r="V373" s="286"/>
      <c r="W373" s="287" t="str">
        <f t="shared" si="193"/>
        <v/>
      </c>
      <c r="X373" s="286"/>
      <c r="Y373" s="286"/>
      <c r="Z373" s="933"/>
      <c r="AA373" s="934" t="str">
        <f>IFERROR(IF(AND(T372="Probabilidad",T373="Probabilidad"),(AC372-(+AC372*W373)),IF(AND(T372="Impacto",T373="Probabilidad"),(AC371-(+AC371*W373)),IF(T373="Impacto",AC372,""))),"")</f>
        <v/>
      </c>
      <c r="AB373" s="935" t="str">
        <f t="shared" si="194"/>
        <v/>
      </c>
      <c r="AC373" s="936" t="str">
        <f t="shared" ref="AC373" si="198">+AA373</f>
        <v/>
      </c>
      <c r="AD373" s="935" t="str">
        <f t="shared" si="195"/>
        <v/>
      </c>
      <c r="AE373" s="936" t="str">
        <f t="shared" ref="AE373" si="199">IFERROR(IF(AND(T372="Impacto",T373="Impacto"),(AE372-(+AE372*W373)),IF(AND(T372="Probabilidad",T373="Impacto"),(AE371-(+AE371*W373)),IF(T373="Probabilidad",AE372,""))),"")</f>
        <v/>
      </c>
      <c r="AF373" s="937" t="str">
        <f t="shared" si="196"/>
        <v/>
      </c>
      <c r="AG373" s="938"/>
      <c r="AH373" s="939"/>
      <c r="AI373" s="927"/>
      <c r="AJ373" s="928"/>
      <c r="AK373" s="928"/>
      <c r="AL373" s="929"/>
      <c r="AM373" s="930"/>
      <c r="AN373" s="924"/>
      <c r="AO373" s="924"/>
      <c r="AP373" s="922"/>
      <c r="AQ373" s="922"/>
    </row>
    <row r="375" spans="1:43" x14ac:dyDescent="0.3">
      <c r="A375" s="2343" t="s">
        <v>156</v>
      </c>
      <c r="B375" s="2344"/>
      <c r="C375" s="2344"/>
      <c r="D375" s="2344"/>
      <c r="E375" s="2344"/>
      <c r="F375" s="2344"/>
      <c r="G375" s="2344"/>
      <c r="H375" s="2344"/>
      <c r="I375" s="2344"/>
      <c r="J375" s="2344"/>
      <c r="K375" s="2344"/>
      <c r="L375" s="2344"/>
      <c r="M375" s="2344"/>
      <c r="N375" s="2344"/>
      <c r="O375" s="2344"/>
      <c r="P375" s="2344"/>
      <c r="Q375" s="2344"/>
      <c r="R375" s="2344"/>
      <c r="S375" s="2344"/>
      <c r="T375" s="2344"/>
      <c r="U375" s="2344"/>
      <c r="V375" s="2344"/>
      <c r="W375" s="2344"/>
      <c r="X375" s="2344"/>
      <c r="Y375" s="2344"/>
      <c r="Z375" s="2344"/>
      <c r="AA375" s="2344"/>
      <c r="AB375" s="2344"/>
      <c r="AC375" s="2344"/>
      <c r="AD375" s="2344"/>
      <c r="AE375" s="2344"/>
      <c r="AF375" s="2344"/>
      <c r="AG375" s="2344"/>
      <c r="AH375" s="2344"/>
      <c r="AI375" s="2344"/>
      <c r="AJ375" s="2344"/>
      <c r="AK375" s="2344"/>
      <c r="AL375" s="2344"/>
      <c r="AM375" s="2345"/>
    </row>
    <row r="376" spans="1:43" x14ac:dyDescent="0.3">
      <c r="A376" s="2346"/>
      <c r="B376" s="2347"/>
      <c r="C376" s="2347"/>
      <c r="D376" s="2347"/>
      <c r="E376" s="2347"/>
      <c r="F376" s="2347"/>
      <c r="G376" s="2347"/>
      <c r="H376" s="2347"/>
      <c r="I376" s="2347"/>
      <c r="J376" s="2347"/>
      <c r="K376" s="2347"/>
      <c r="L376" s="2347"/>
      <c r="M376" s="2347"/>
      <c r="N376" s="2347"/>
      <c r="O376" s="2347"/>
      <c r="P376" s="2347"/>
      <c r="Q376" s="2347"/>
      <c r="R376" s="2347"/>
      <c r="S376" s="2347"/>
      <c r="T376" s="2347"/>
      <c r="U376" s="2347"/>
      <c r="V376" s="2347"/>
      <c r="W376" s="2347"/>
      <c r="X376" s="2347"/>
      <c r="Y376" s="2347"/>
      <c r="Z376" s="2347"/>
      <c r="AA376" s="2347"/>
      <c r="AB376" s="2347"/>
      <c r="AC376" s="2347"/>
      <c r="AD376" s="2347"/>
      <c r="AE376" s="2347"/>
      <c r="AF376" s="2347"/>
      <c r="AG376" s="2347"/>
      <c r="AH376" s="2347"/>
      <c r="AI376" s="2347"/>
      <c r="AJ376" s="2347"/>
      <c r="AK376" s="2347"/>
      <c r="AL376" s="2347"/>
      <c r="AM376" s="2348"/>
    </row>
    <row r="377" spans="1:43" ht="14.4" x14ac:dyDescent="0.3">
      <c r="A377" s="703"/>
      <c r="B377" s="704"/>
      <c r="C377" s="703"/>
      <c r="D377" s="703"/>
      <c r="E377" s="703"/>
      <c r="F377" s="700"/>
      <c r="G377" s="700"/>
      <c r="H377" s="700"/>
      <c r="I377" s="705"/>
      <c r="J377" s="700"/>
      <c r="K377" s="700"/>
      <c r="L377" s="700"/>
      <c r="M377" s="700"/>
      <c r="N377" s="700"/>
      <c r="O377" s="700"/>
      <c r="P377" s="700"/>
      <c r="Q377" s="700"/>
      <c r="R377" s="700"/>
      <c r="S377" s="700"/>
      <c r="T377" s="700"/>
      <c r="U377" s="700"/>
      <c r="V377" s="700"/>
      <c r="W377" s="700"/>
      <c r="X377" s="700"/>
      <c r="Y377" s="700"/>
      <c r="Z377" s="700"/>
      <c r="AA377" s="700"/>
      <c r="AB377" s="700"/>
      <c r="AC377" s="700"/>
      <c r="AD377" s="700"/>
      <c r="AE377" s="700"/>
      <c r="AF377" s="700"/>
      <c r="AG377" s="700"/>
      <c r="AH377" s="700"/>
      <c r="AI377" s="700"/>
      <c r="AJ377" s="700"/>
      <c r="AK377" s="700"/>
      <c r="AL377" s="700"/>
      <c r="AM377" s="700"/>
    </row>
    <row r="378" spans="1:43" ht="23.4" x14ac:dyDescent="0.3">
      <c r="A378" s="2349" t="s">
        <v>157</v>
      </c>
      <c r="B378" s="2350"/>
      <c r="C378" s="2039" t="s">
        <v>286</v>
      </c>
      <c r="D378" s="2039"/>
      <c r="E378" s="2039"/>
      <c r="F378" s="2039"/>
      <c r="G378" s="2039"/>
      <c r="H378" s="2039"/>
      <c r="I378" s="2039"/>
      <c r="J378" s="2039"/>
      <c r="K378" s="2039"/>
      <c r="L378" s="2039"/>
      <c r="M378" s="2039"/>
      <c r="N378" s="2039"/>
      <c r="O378" s="2039"/>
      <c r="P378" s="2039"/>
      <c r="Q378" s="2039"/>
      <c r="R378" s="2039"/>
      <c r="S378" s="2039"/>
      <c r="T378" s="2039"/>
      <c r="U378" s="2039"/>
      <c r="V378" s="2039"/>
      <c r="W378" s="2039"/>
      <c r="X378" s="2039"/>
      <c r="Y378" s="2039"/>
      <c r="Z378" s="2039"/>
      <c r="AA378" s="2039"/>
      <c r="AB378" s="2039"/>
      <c r="AC378" s="2039"/>
      <c r="AD378" s="2039"/>
      <c r="AE378" s="2039"/>
      <c r="AF378" s="2039"/>
      <c r="AG378" s="2039"/>
      <c r="AH378" s="2039"/>
      <c r="AI378" s="2039"/>
      <c r="AJ378" s="2039"/>
      <c r="AK378" s="2039"/>
      <c r="AL378" s="2039"/>
      <c r="AM378" s="2039"/>
    </row>
    <row r="379" spans="1:43" ht="23.4" x14ac:dyDescent="0.3">
      <c r="A379" s="2349" t="s">
        <v>158</v>
      </c>
      <c r="B379" s="2350"/>
      <c r="C379" s="2039" t="s">
        <v>287</v>
      </c>
      <c r="D379" s="2039"/>
      <c r="E379" s="2039"/>
      <c r="F379" s="2039"/>
      <c r="G379" s="2039"/>
      <c r="H379" s="2039"/>
      <c r="I379" s="2039"/>
      <c r="J379" s="2039"/>
      <c r="K379" s="2039"/>
      <c r="L379" s="2039"/>
      <c r="M379" s="2039"/>
      <c r="N379" s="2039"/>
      <c r="O379" s="2039"/>
      <c r="P379" s="2039"/>
      <c r="Q379" s="2039"/>
      <c r="R379" s="2039"/>
      <c r="S379" s="2039"/>
      <c r="T379" s="2039"/>
      <c r="U379" s="2039"/>
      <c r="V379" s="2039"/>
      <c r="W379" s="2039"/>
      <c r="X379" s="2039"/>
      <c r="Y379" s="2039"/>
      <c r="Z379" s="2039"/>
      <c r="AA379" s="2039"/>
      <c r="AB379" s="2039"/>
      <c r="AC379" s="2039"/>
      <c r="AD379" s="2039"/>
      <c r="AE379" s="2039"/>
      <c r="AF379" s="2039"/>
      <c r="AG379" s="2039"/>
      <c r="AH379" s="2039"/>
      <c r="AI379" s="2039"/>
      <c r="AJ379" s="2039"/>
      <c r="AK379" s="2039"/>
      <c r="AL379" s="2039"/>
      <c r="AM379" s="2039"/>
    </row>
    <row r="380" spans="1:43" ht="23.4" x14ac:dyDescent="0.3">
      <c r="A380" s="2349" t="s">
        <v>159</v>
      </c>
      <c r="B380" s="2350"/>
      <c r="C380" s="2040" t="s">
        <v>288</v>
      </c>
      <c r="D380" s="2040"/>
      <c r="E380" s="2040"/>
      <c r="F380" s="2040"/>
      <c r="G380" s="2040"/>
      <c r="H380" s="2040"/>
      <c r="I380" s="2040"/>
      <c r="J380" s="2040"/>
      <c r="K380" s="2040"/>
      <c r="L380" s="2040"/>
      <c r="M380" s="2040"/>
      <c r="N380" s="2040"/>
      <c r="O380" s="2040"/>
      <c r="P380" s="2040"/>
      <c r="Q380" s="2040"/>
      <c r="R380" s="2040"/>
      <c r="S380" s="2040"/>
      <c r="T380" s="2040"/>
      <c r="U380" s="2040"/>
      <c r="V380" s="2040"/>
      <c r="W380" s="2040"/>
      <c r="X380" s="2040"/>
      <c r="Y380" s="2040"/>
      <c r="Z380" s="2040"/>
      <c r="AA380" s="2040"/>
      <c r="AB380" s="2040"/>
      <c r="AC380" s="2040"/>
      <c r="AD380" s="2040"/>
      <c r="AE380" s="2040"/>
      <c r="AF380" s="2040"/>
      <c r="AG380" s="2040"/>
      <c r="AH380" s="2040"/>
      <c r="AI380" s="2040"/>
      <c r="AJ380" s="2040"/>
      <c r="AK380" s="2040"/>
      <c r="AL380" s="2040"/>
      <c r="AM380" s="2040"/>
    </row>
    <row r="381" spans="1:43" x14ac:dyDescent="0.3">
      <c r="A381" s="2351" t="s">
        <v>160</v>
      </c>
      <c r="B381" s="2352"/>
      <c r="C381" s="2353"/>
      <c r="D381" s="2353"/>
      <c r="E381" s="2353"/>
      <c r="F381" s="2353"/>
      <c r="G381" s="2353"/>
      <c r="H381" s="2353"/>
      <c r="I381" s="2353"/>
      <c r="J381" s="2354"/>
      <c r="K381" s="2101" t="s">
        <v>161</v>
      </c>
      <c r="L381" s="2353"/>
      <c r="M381" s="2353"/>
      <c r="N381" s="2353"/>
      <c r="O381" s="2353"/>
      <c r="P381" s="2353"/>
      <c r="Q381" s="2354"/>
      <c r="R381" s="2101" t="s">
        <v>162</v>
      </c>
      <c r="S381" s="2353"/>
      <c r="T381" s="2353"/>
      <c r="U381" s="2353"/>
      <c r="V381" s="2353"/>
      <c r="W381" s="2353"/>
      <c r="X381" s="2353"/>
      <c r="Y381" s="2353"/>
      <c r="Z381" s="2354"/>
      <c r="AA381" s="2101" t="s">
        <v>163</v>
      </c>
      <c r="AB381" s="2353"/>
      <c r="AC381" s="2353"/>
      <c r="AD381" s="2353"/>
      <c r="AE381" s="2353"/>
      <c r="AF381" s="2353"/>
      <c r="AG381" s="2354"/>
      <c r="AH381" s="2101" t="s">
        <v>164</v>
      </c>
      <c r="AI381" s="2353"/>
      <c r="AJ381" s="2353"/>
      <c r="AK381" s="2353"/>
      <c r="AL381" s="2353"/>
      <c r="AM381" s="2354"/>
    </row>
    <row r="382" spans="1:43" x14ac:dyDescent="0.3">
      <c r="A382" s="2140" t="s">
        <v>165</v>
      </c>
      <c r="B382" s="2142" t="s">
        <v>142</v>
      </c>
      <c r="C382" s="2042" t="s">
        <v>166</v>
      </c>
      <c r="D382" s="2042" t="s">
        <v>167</v>
      </c>
      <c r="E382" s="2041" t="s">
        <v>168</v>
      </c>
      <c r="F382" s="2103" t="s">
        <v>60</v>
      </c>
      <c r="G382" s="280"/>
      <c r="H382" s="280"/>
      <c r="I382" s="2041" t="s">
        <v>169</v>
      </c>
      <c r="J382" s="2042" t="s">
        <v>170</v>
      </c>
      <c r="K382" s="2105" t="s">
        <v>171</v>
      </c>
      <c r="L382" s="2100" t="s">
        <v>172</v>
      </c>
      <c r="M382" s="2041" t="s">
        <v>173</v>
      </c>
      <c r="N382" s="2041" t="s">
        <v>174</v>
      </c>
      <c r="O382" s="2102" t="s">
        <v>175</v>
      </c>
      <c r="P382" s="2100" t="s">
        <v>172</v>
      </c>
      <c r="Q382" s="2042" t="s">
        <v>176</v>
      </c>
      <c r="R382" s="2161" t="s">
        <v>177</v>
      </c>
      <c r="S382" s="2043" t="s">
        <v>178</v>
      </c>
      <c r="T382" s="2041" t="s">
        <v>179</v>
      </c>
      <c r="U382" s="2043" t="s">
        <v>180</v>
      </c>
      <c r="V382" s="2043"/>
      <c r="W382" s="2043"/>
      <c r="X382" s="2043"/>
      <c r="Y382" s="2043"/>
      <c r="Z382" s="2043"/>
      <c r="AA382" s="2099" t="s">
        <v>181</v>
      </c>
      <c r="AB382" s="2099" t="s">
        <v>182</v>
      </c>
      <c r="AC382" s="2099" t="s">
        <v>172</v>
      </c>
      <c r="AD382" s="2099" t="s">
        <v>183</v>
      </c>
      <c r="AE382" s="2099" t="s">
        <v>172</v>
      </c>
      <c r="AF382" s="2099" t="s">
        <v>184</v>
      </c>
      <c r="AG382" s="2161" t="s">
        <v>185</v>
      </c>
      <c r="AH382" s="2043" t="s">
        <v>164</v>
      </c>
      <c r="AI382" s="2043" t="s">
        <v>143</v>
      </c>
      <c r="AJ382" s="2043" t="s">
        <v>186</v>
      </c>
      <c r="AK382" s="2043" t="s">
        <v>187</v>
      </c>
      <c r="AL382" s="2043" t="s">
        <v>1210</v>
      </c>
      <c r="AM382" s="2043" t="s">
        <v>189</v>
      </c>
    </row>
    <row r="383" spans="1:43" ht="71.400000000000006" x14ac:dyDescent="0.3">
      <c r="A383" s="2141"/>
      <c r="B383" s="2142"/>
      <c r="C383" s="2043"/>
      <c r="D383" s="2043"/>
      <c r="E383" s="2105"/>
      <c r="F383" s="2104"/>
      <c r="G383" s="280" t="s">
        <v>511</v>
      </c>
      <c r="H383" s="280" t="s">
        <v>190</v>
      </c>
      <c r="I383" s="2042"/>
      <c r="J383" s="2043"/>
      <c r="K383" s="2042"/>
      <c r="L383" s="2101"/>
      <c r="M383" s="2042"/>
      <c r="N383" s="2042"/>
      <c r="O383" s="2101"/>
      <c r="P383" s="2101"/>
      <c r="Q383" s="2043"/>
      <c r="R383" s="2162"/>
      <c r="S383" s="2043"/>
      <c r="T383" s="2042"/>
      <c r="U383" s="281" t="s">
        <v>191</v>
      </c>
      <c r="V383" s="281" t="s">
        <v>192</v>
      </c>
      <c r="W383" s="281" t="s">
        <v>193</v>
      </c>
      <c r="X383" s="281" t="s">
        <v>194</v>
      </c>
      <c r="Y383" s="281" t="s">
        <v>195</v>
      </c>
      <c r="Z383" s="281" t="s">
        <v>196</v>
      </c>
      <c r="AA383" s="2099"/>
      <c r="AB383" s="2099"/>
      <c r="AC383" s="2099"/>
      <c r="AD383" s="2099"/>
      <c r="AE383" s="2099"/>
      <c r="AF383" s="2099"/>
      <c r="AG383" s="2162"/>
      <c r="AH383" s="2043"/>
      <c r="AI383" s="2043"/>
      <c r="AJ383" s="2043"/>
      <c r="AK383" s="2043"/>
      <c r="AL383" s="2043"/>
      <c r="AM383" s="2043"/>
    </row>
    <row r="384" spans="1:43" ht="208.8" customHeight="1" x14ac:dyDescent="0.3">
      <c r="A384" s="2112">
        <v>1</v>
      </c>
      <c r="B384" s="2237" t="s">
        <v>209</v>
      </c>
      <c r="C384" s="2237" t="s">
        <v>289</v>
      </c>
      <c r="D384" s="2966" t="s">
        <v>290</v>
      </c>
      <c r="E384" s="941" t="s">
        <v>910</v>
      </c>
      <c r="F384" s="2356" t="s">
        <v>911</v>
      </c>
      <c r="G384" s="2356" t="s">
        <v>512</v>
      </c>
      <c r="H384" s="2356" t="s">
        <v>291</v>
      </c>
      <c r="I384" s="2968" t="s">
        <v>292</v>
      </c>
      <c r="J384" s="2293">
        <v>8760</v>
      </c>
      <c r="K384" s="2109" t="str">
        <f>IF(J384&lt;=0,"",IF(J384&lt;=2,"Muy Baja",IF(J384&lt;=24,"Baja",IF(J384&lt;=500,"Media",IF(J384&lt;=5000,"Alta","Muy Alta")))))</f>
        <v>Muy Alta</v>
      </c>
      <c r="L384" s="2297">
        <f>IF(K384="","",IF(K384="Muy Baja",0.2,IF(K384="Baja",0.4,IF(K384="Media",0.6,IF(K384="Alta",0.8,IF(K384="Muy Alta",1,))))))</f>
        <v>1</v>
      </c>
      <c r="M384" s="2299" t="s">
        <v>225</v>
      </c>
      <c r="N384" s="2297" t="str">
        <f>IF(NOT(ISERROR(MATCH(M384,'[44]Tabla Impacto'!$B$221:$B$223,0))),'[44]Tabla Impacto'!$F$223&amp;"Por favor no seleccionar los criterios de impacto(Afectación Económica o presupuestal y Pérdida Reputacional)",M384)</f>
        <v xml:space="preserve">     El riesgo afecta la imagen de la entidad con algunos usuarios de relevancia frente al logro de los objetivos</v>
      </c>
      <c r="O384" s="2109" t="str">
        <f>IF(OR(N384='[44]Tabla Impacto'!$C$11,N384='[44]Tabla Impacto'!$D$11),"Leve",IF(OR(N384='[44]Tabla Impacto'!$C$12,N384='[44]Tabla Impacto'!$D$12),"Menor",IF(OR(N384='[44]Tabla Impacto'!$C$13,N384='[44]Tabla Impacto'!$D$13),"Moderado",IF(OR(N384='[44]Tabla Impacto'!$C$14,N384='[44]Tabla Impacto'!$D$14),"Mayor",IF(OR(N384='[44]Tabla Impacto'!$C$15,N384='[44]Tabla Impacto'!$D$15),"Catastrófico","")))))</f>
        <v>Moderado</v>
      </c>
      <c r="P384" s="2106">
        <f>IF(O384="","",IF(O384="Leve",0.2,IF(O384="Menor",0.4,IF(O384="Moderado",0.6,IF(O384="Mayor",0.8,IF(O384="Catastrófico",1,))))))</f>
        <v>0.6</v>
      </c>
      <c r="Q384" s="2014" t="str">
        <f>IF(OR(AND(K384="Muy Baja",O384="Leve"),AND(K384="Muy Baja",O384="Menor"),AND(K384="Baja",O384="Leve")),"Bajo",IF(OR(AND(K384="Muy baja",O384="Moderado"),AND(K384="Baja",O384="Menor"),AND(K384="Baja",O384="Moderado"),AND(K384="Media",O384="Leve"),AND(K384="Media",O384="Menor"),AND(K384="Media",O384="Moderado"),AND(K384="Alta",O384="Leve"),AND(K384="Alta",O384="Menor")),"Moderado",IF(OR(AND(K384="Muy Baja",O384="Mayor"),AND(K384="Baja",O384="Mayor"),AND(K384="Media",O384="Mayor"),AND(K384="Alta",O384="Moderado"),AND(K384="Alta",O384="Mayor"),AND(K384="Muy Alta",O384="Leve"),AND(K384="Muy Alta",O384="Menor"),AND(K384="Muy Alta",O384="Moderado"),AND(K384="Muy Alta",O384="Mayor")),"Alto",IF(OR(AND(K384="Muy Baja",O384="Catastrófico"),AND(K384="Baja",O384="Catastrófico"),AND(K384="Media",O384="Catastrófico"),AND(K384="Alta",O384="Catastrófico"),AND(K384="Muy Alta",O384="Catastrófico")),"Extremo",""))))</f>
        <v>Alto</v>
      </c>
      <c r="R384" s="283">
        <v>1</v>
      </c>
      <c r="S384" s="284" t="s">
        <v>912</v>
      </c>
      <c r="T384" s="285" t="str">
        <f t="shared" ref="T384:T386" si="200">IF(OR(U384="Preventivo",U384="Detectivo"),"Probabilidad",IF(U384="Correctivo","Impacto",""))</f>
        <v>Probabilidad</v>
      </c>
      <c r="U384" s="286" t="s">
        <v>207</v>
      </c>
      <c r="V384" s="286" t="s">
        <v>201</v>
      </c>
      <c r="W384" s="287" t="str">
        <f>IF(AND(U384="Preventivo",V384="Automático"),"50%",IF(AND(U384="Preventivo",V384="Manual"),"40%",IF(AND(U384="Detectivo",V384="Automático"),"40%",IF(AND(U384="Detectivo",V384="Manual"),"30%",IF(AND(U384="Correctivo",V384="Automático"),"35%",IF(AND(U384="Correctivo",V384="Manual"),"25%",""))))))</f>
        <v>40%</v>
      </c>
      <c r="X384" s="286" t="s">
        <v>208</v>
      </c>
      <c r="Y384" s="286" t="s">
        <v>210</v>
      </c>
      <c r="Z384" s="286" t="s">
        <v>204</v>
      </c>
      <c r="AA384" s="744">
        <f>IFERROR(IF(T384="Probabilidad",(L384-(+L384*W384)),IF(T384="Impacto",L384,"")),"")</f>
        <v>0.6</v>
      </c>
      <c r="AB384" s="288" t="str">
        <f>IFERROR(IF(AA384="","",IF(AA384&lt;=0.2,"Muy Baja",IF(AA384&lt;=0.4,"Baja",IF(AA384&lt;=0.6,"Media",IF(AA384&lt;=0.8,"Alta","Muy Alta"))))),"")</f>
        <v>Media</v>
      </c>
      <c r="AC384" s="289">
        <f>+AA384</f>
        <v>0.6</v>
      </c>
      <c r="AD384" s="288" t="str">
        <f>IFERROR(IF(AE384="","",IF(AE384&lt;=0.2,"Leve",IF(AE384&lt;=0.4,"Menor",IF(AE384&lt;=0.6,"Moderado",IF(AE384&lt;=0.8,"Mayor","Catastrófico"))))),"")</f>
        <v>Moderado</v>
      </c>
      <c r="AE384" s="289">
        <f>IFERROR(IF(T384="Impacto",(P384-(+P384*W384)),IF(T384="Probabilidad",P384,"")),"")</f>
        <v>0.6</v>
      </c>
      <c r="AF384" s="290" t="str">
        <f>IFERROR(IF(OR(AND(AB384="Muy Baja",AD384="Leve"),AND(AB384="Muy Baja",AD384="Menor"),AND(AB384="Baja",AD384="Leve")),"Bajo",IF(OR(AND(AB384="Muy baja",AD384="Moderado"),AND(AB384="Baja",AD384="Menor"),AND(AB384="Baja",AD384="Moderado"),AND(AB384="Media",AD384="Leve"),AND(AB384="Media",AD384="Menor"),AND(AB384="Media",AD384="Moderado"),AND(AB384="Alta",AD384="Leve"),AND(AB384="Alta",AD384="Menor")),"Moderado",IF(OR(AND(AB384="Muy Baja",AD384="Mayor"),AND(AB384="Baja",AD384="Mayor"),AND(AB384="Media",AD384="Mayor"),AND(AB384="Alta",AD384="Moderado"),AND(AB384="Alta",AD384="Mayor"),AND(AB384="Muy Alta",AD384="Leve"),AND(AB384="Muy Alta",AD384="Menor"),AND(AB384="Muy Alta",AD384="Moderado"),AND(AB384="Muy Alta",AD384="Mayor")),"Alto",IF(OR(AND(AB384="Muy Baja",AD384="Catastrófico"),AND(AB384="Baja",AD384="Catastrófico"),AND(AB384="Media",AD384="Catastrófico"),AND(AB384="Alta",AD384="Catastrófico"),AND(AB384="Muy Alta",AD384="Catastrófico")),"Extremo","")))),"")</f>
        <v>Moderado</v>
      </c>
      <c r="AG384" s="291" t="s">
        <v>205</v>
      </c>
      <c r="AH384" s="761" t="s">
        <v>1213</v>
      </c>
      <c r="AI384" s="294" t="s">
        <v>293</v>
      </c>
      <c r="AJ384" s="746" t="s">
        <v>913</v>
      </c>
      <c r="AK384" s="293">
        <v>45534</v>
      </c>
      <c r="AL384" s="940" t="s">
        <v>914</v>
      </c>
      <c r="AM384" s="294" t="s">
        <v>206</v>
      </c>
    </row>
    <row r="385" spans="1:39" ht="159.6" customHeight="1" x14ac:dyDescent="0.3">
      <c r="A385" s="2113"/>
      <c r="B385" s="2238"/>
      <c r="C385" s="2238"/>
      <c r="D385" s="2967"/>
      <c r="E385" s="941" t="s">
        <v>915</v>
      </c>
      <c r="F385" s="2357"/>
      <c r="G385" s="2357"/>
      <c r="H385" s="2357"/>
      <c r="I385" s="2969"/>
      <c r="J385" s="2294"/>
      <c r="K385" s="2110"/>
      <c r="L385" s="2298"/>
      <c r="M385" s="2300"/>
      <c r="N385" s="2298"/>
      <c r="O385" s="2110"/>
      <c r="P385" s="2107"/>
      <c r="Q385" s="2015"/>
      <c r="R385" s="283">
        <v>2</v>
      </c>
      <c r="S385" s="284" t="s">
        <v>916</v>
      </c>
      <c r="T385" s="285" t="str">
        <f t="shared" si="200"/>
        <v>Probabilidad</v>
      </c>
      <c r="U385" s="286" t="s">
        <v>207</v>
      </c>
      <c r="V385" s="286" t="s">
        <v>201</v>
      </c>
      <c r="W385" s="287" t="str">
        <f t="shared" ref="W385:W387" si="201">IF(AND(U385="Preventivo",V385="Automático"),"50%",IF(AND(U385="Preventivo",V385="Manual"),"40%",IF(AND(U385="Detectivo",V385="Automático"),"40%",IF(AND(U385="Detectivo",V385="Manual"),"30%",IF(AND(U385="Correctivo",V385="Automático"),"35%",IF(AND(U385="Correctivo",V385="Manual"),"25%",""))))))</f>
        <v>40%</v>
      </c>
      <c r="X385" s="286" t="s">
        <v>208</v>
      </c>
      <c r="Y385" s="286" t="s">
        <v>210</v>
      </c>
      <c r="Z385" s="286" t="s">
        <v>204</v>
      </c>
      <c r="AA385" s="744">
        <f>IFERROR(IF(AND(T384="Probabilidad",T385="Probabilidad"),(AC384-(+AC384*W385)),IF(AND(T384="Impacto",T385="Probabilidad"),(AC383-(+AC383*W385)),IF(T385="Impacto",AC384,""))),"")</f>
        <v>0.36</v>
      </c>
      <c r="AB385" s="288" t="str">
        <f t="shared" ref="AB385:AB387" si="202">IFERROR(IF(AA385="","",IF(AA385&lt;=0.2,"Muy Baja",IF(AA385&lt;=0.4,"Baja",IF(AA385&lt;=0.6,"Media",IF(AA385&lt;=0.8,"Alta","Muy Alta"))))),"")</f>
        <v>Baja</v>
      </c>
      <c r="AC385" s="289">
        <f t="shared" ref="AC385:AC387" si="203">+AA385</f>
        <v>0.36</v>
      </c>
      <c r="AD385" s="288" t="str">
        <f t="shared" ref="AD385:AD387" si="204">IFERROR(IF(AE385="","",IF(AE385&lt;=0.2,"Leve",IF(AE385&lt;=0.4,"Menor",IF(AE385&lt;=0.6,"Moderado",IF(AE385&lt;=0.8,"Mayor","Catastrófico"))))),"")</f>
        <v>Moderado</v>
      </c>
      <c r="AE385" s="289">
        <f>IFERROR(IF(AND(T384="Impacto",T385="Impacto"),(AE384-(+AE384*W385)),IF(AND(T384="Probabilidad",T385="Impacto"),(AE383-(+AE383*W385)),IF(T385="Probabilidad",AE384,""))),"")</f>
        <v>0.6</v>
      </c>
      <c r="AF385" s="290" t="str">
        <f t="shared" ref="AF385:AF387" si="205">IFERROR(IF(OR(AND(AB385="Muy Baja",AD385="Leve"),AND(AB385="Muy Baja",AD385="Menor"),AND(AB385="Baja",AD385="Leve")),"Bajo",IF(OR(AND(AB385="Muy baja",AD385="Moderado"),AND(AB385="Baja",AD385="Menor"),AND(AB385="Baja",AD385="Moderado"),AND(AB385="Media",AD385="Leve"),AND(AB385="Media",AD385="Menor"),AND(AB385="Media",AD385="Moderado"),AND(AB385="Alta",AD385="Leve"),AND(AB385="Alta",AD385="Menor")),"Moderado",IF(OR(AND(AB385="Muy Baja",AD385="Mayor"),AND(AB385="Baja",AD385="Mayor"),AND(AB385="Media",AD385="Mayor"),AND(AB385="Alta",AD385="Moderado"),AND(AB385="Alta",AD385="Mayor"),AND(AB385="Muy Alta",AD385="Leve"),AND(AB385="Muy Alta",AD385="Menor"),AND(AB385="Muy Alta",AD385="Moderado"),AND(AB385="Muy Alta",AD385="Mayor")),"Alto",IF(OR(AND(AB385="Muy Baja",AD385="Catastrófico"),AND(AB385="Baja",AD385="Catastrófico"),AND(AB385="Media",AD385="Catastrófico"),AND(AB385="Alta",AD385="Catastrófico"),AND(AB385="Muy Alta",AD385="Catastrófico")),"Extremo","")))),"")</f>
        <v>Moderado</v>
      </c>
      <c r="AG385" s="291" t="s">
        <v>205</v>
      </c>
      <c r="AH385" s="300" t="s">
        <v>294</v>
      </c>
      <c r="AI385" s="294" t="s">
        <v>293</v>
      </c>
      <c r="AJ385" s="748" t="s">
        <v>917</v>
      </c>
      <c r="AK385" s="293">
        <v>45534</v>
      </c>
      <c r="AL385" s="747" t="s">
        <v>1211</v>
      </c>
      <c r="AM385" s="294" t="s">
        <v>206</v>
      </c>
    </row>
    <row r="386" spans="1:39" ht="147" customHeight="1" x14ac:dyDescent="0.3">
      <c r="A386" s="2113"/>
      <c r="B386" s="2238"/>
      <c r="C386" s="2238"/>
      <c r="D386" s="2967"/>
      <c r="E386" s="298" t="s">
        <v>919</v>
      </c>
      <c r="F386" s="2357"/>
      <c r="G386" s="2357"/>
      <c r="H386" s="2357"/>
      <c r="I386" s="2969"/>
      <c r="J386" s="2294"/>
      <c r="K386" s="2110"/>
      <c r="L386" s="2298"/>
      <c r="M386" s="2300"/>
      <c r="N386" s="2298"/>
      <c r="O386" s="2110"/>
      <c r="P386" s="2107"/>
      <c r="Q386" s="2015"/>
      <c r="R386" s="283">
        <v>3</v>
      </c>
      <c r="S386" s="302" t="s">
        <v>296</v>
      </c>
      <c r="T386" s="285" t="str">
        <f t="shared" si="200"/>
        <v>Probabilidad</v>
      </c>
      <c r="U386" s="286" t="s">
        <v>207</v>
      </c>
      <c r="V386" s="286" t="s">
        <v>201</v>
      </c>
      <c r="W386" s="287" t="str">
        <f t="shared" si="201"/>
        <v>40%</v>
      </c>
      <c r="X386" s="286" t="s">
        <v>208</v>
      </c>
      <c r="Y386" s="286" t="s">
        <v>210</v>
      </c>
      <c r="Z386" s="286" t="s">
        <v>204</v>
      </c>
      <c r="AA386" s="744">
        <f t="shared" ref="AA386:AA387" si="206">IFERROR(IF(AND(T385="Probabilidad",T386="Probabilidad"),(AC385-(+AC385*W386)),IF(AND(T385="Impacto",T386="Probabilidad"),(AC384-(+AC384*W386)),IF(T386="Impacto",AC385,""))),"")</f>
        <v>0.216</v>
      </c>
      <c r="AB386" s="288" t="str">
        <f t="shared" si="202"/>
        <v>Baja</v>
      </c>
      <c r="AC386" s="289">
        <f t="shared" si="203"/>
        <v>0.216</v>
      </c>
      <c r="AD386" s="288" t="str">
        <f t="shared" si="204"/>
        <v>Moderado</v>
      </c>
      <c r="AE386" s="289">
        <f t="shared" ref="AE386:AE387" si="207">IFERROR(IF(AND(T385="Impacto",T386="Impacto"),(AE385-(+AE385*W386)),IF(AND(T385="Probabilidad",T386="Impacto"),(AE384-(+AE384*W386)),IF(T386="Probabilidad",AE385,""))),"")</f>
        <v>0.6</v>
      </c>
      <c r="AF386" s="290" t="str">
        <f t="shared" si="205"/>
        <v>Moderado</v>
      </c>
      <c r="AG386" s="291" t="s">
        <v>205</v>
      </c>
      <c r="AH386" s="300" t="s">
        <v>1214</v>
      </c>
      <c r="AI386" s="296" t="s">
        <v>297</v>
      </c>
      <c r="AJ386" s="748" t="s">
        <v>920</v>
      </c>
      <c r="AK386" s="293">
        <v>45534</v>
      </c>
      <c r="AL386" s="747" t="s">
        <v>921</v>
      </c>
      <c r="AM386" s="294" t="s">
        <v>206</v>
      </c>
    </row>
    <row r="387" spans="1:39" ht="143.4" customHeight="1" x14ac:dyDescent="0.3">
      <c r="A387" s="2113"/>
      <c r="B387" s="2238"/>
      <c r="C387" s="2238"/>
      <c r="D387" s="2967"/>
      <c r="E387" s="298" t="s">
        <v>922</v>
      </c>
      <c r="F387" s="2357"/>
      <c r="G387" s="2357"/>
      <c r="H387" s="2962"/>
      <c r="I387" s="2969"/>
      <c r="J387" s="2971"/>
      <c r="K387" s="2111"/>
      <c r="L387" s="2972"/>
      <c r="M387" s="2973"/>
      <c r="N387" s="2298"/>
      <c r="O387" s="2111"/>
      <c r="P387" s="2107"/>
      <c r="Q387" s="2016"/>
      <c r="R387" s="283">
        <v>4</v>
      </c>
      <c r="S387" s="302" t="s">
        <v>923</v>
      </c>
      <c r="T387" s="285" t="s">
        <v>141</v>
      </c>
      <c r="U387" s="286" t="s">
        <v>207</v>
      </c>
      <c r="V387" s="286" t="s">
        <v>201</v>
      </c>
      <c r="W387" s="287" t="str">
        <f t="shared" si="201"/>
        <v>40%</v>
      </c>
      <c r="X387" s="286" t="s">
        <v>202</v>
      </c>
      <c r="Y387" s="286" t="s">
        <v>210</v>
      </c>
      <c r="Z387" s="286" t="s">
        <v>298</v>
      </c>
      <c r="AA387" s="744">
        <f t="shared" si="206"/>
        <v>0.12959999999999999</v>
      </c>
      <c r="AB387" s="288" t="str">
        <f t="shared" si="202"/>
        <v>Muy Baja</v>
      </c>
      <c r="AC387" s="289">
        <f t="shared" si="203"/>
        <v>0.12959999999999999</v>
      </c>
      <c r="AD387" s="288" t="str">
        <f t="shared" si="204"/>
        <v>Moderado</v>
      </c>
      <c r="AE387" s="289">
        <f t="shared" si="207"/>
        <v>0.6</v>
      </c>
      <c r="AF387" s="290" t="str">
        <f t="shared" si="205"/>
        <v>Moderado</v>
      </c>
      <c r="AG387" s="291" t="s">
        <v>205</v>
      </c>
      <c r="AH387" s="300" t="s">
        <v>1215</v>
      </c>
      <c r="AI387" s="296" t="s">
        <v>297</v>
      </c>
      <c r="AJ387" s="748" t="s">
        <v>924</v>
      </c>
      <c r="AK387" s="293">
        <v>45473</v>
      </c>
      <c r="AL387" s="747" t="s">
        <v>1212</v>
      </c>
      <c r="AM387" s="294" t="s">
        <v>206</v>
      </c>
    </row>
    <row r="389" spans="1:39" x14ac:dyDescent="0.3">
      <c r="A389" s="2970" t="s">
        <v>926</v>
      </c>
      <c r="B389" s="2338"/>
      <c r="C389" s="2338"/>
      <c r="D389" s="2338"/>
      <c r="E389" s="2338"/>
      <c r="F389" s="2338"/>
      <c r="G389" s="2338"/>
      <c r="H389" s="2338"/>
      <c r="I389" s="2338"/>
      <c r="J389" s="2338"/>
      <c r="K389" s="2338"/>
      <c r="L389" s="2338"/>
      <c r="M389" s="2338"/>
      <c r="N389" s="2338"/>
      <c r="O389" s="2338"/>
      <c r="P389" s="2338"/>
      <c r="Q389" s="2338"/>
      <c r="R389" s="2338"/>
      <c r="S389" s="2338"/>
      <c r="T389" s="2338"/>
      <c r="U389" s="2338"/>
      <c r="V389" s="2338"/>
      <c r="W389" s="2338"/>
      <c r="X389" s="2338"/>
      <c r="Y389" s="2338"/>
      <c r="Z389" s="2338"/>
      <c r="AA389" s="2338"/>
      <c r="AB389" s="2338"/>
      <c r="AC389" s="2338"/>
      <c r="AD389" s="2338"/>
      <c r="AE389" s="2338"/>
      <c r="AF389" s="2338"/>
      <c r="AG389" s="2338"/>
      <c r="AH389" s="2338"/>
      <c r="AI389" s="2338"/>
      <c r="AJ389" s="2338"/>
      <c r="AK389" s="2338"/>
      <c r="AL389" s="2338"/>
      <c r="AM389" s="2339"/>
    </row>
    <row r="390" spans="1:39" x14ac:dyDescent="0.3">
      <c r="A390" s="2333"/>
      <c r="B390" s="2327"/>
      <c r="C390" s="2327"/>
      <c r="D390" s="2327"/>
      <c r="E390" s="2327"/>
      <c r="F390" s="2327"/>
      <c r="G390" s="2327"/>
      <c r="H390" s="2327"/>
      <c r="I390" s="2327"/>
      <c r="J390" s="2327"/>
      <c r="K390" s="2327"/>
      <c r="L390" s="2327"/>
      <c r="M390" s="2327"/>
      <c r="N390" s="2327"/>
      <c r="O390" s="2327"/>
      <c r="P390" s="2327"/>
      <c r="Q390" s="2327"/>
      <c r="R390" s="2327"/>
      <c r="S390" s="2327"/>
      <c r="T390" s="2327"/>
      <c r="U390" s="2327"/>
      <c r="V390" s="2327"/>
      <c r="W390" s="2327"/>
      <c r="X390" s="2327"/>
      <c r="Y390" s="2327"/>
      <c r="Z390" s="2327"/>
      <c r="AA390" s="2327"/>
      <c r="AB390" s="2327"/>
      <c r="AC390" s="2327"/>
      <c r="AD390" s="2327"/>
      <c r="AE390" s="2327"/>
      <c r="AF390" s="2327"/>
      <c r="AG390" s="2327"/>
      <c r="AH390" s="2327"/>
      <c r="AI390" s="2327"/>
      <c r="AJ390" s="2327"/>
      <c r="AK390" s="2327"/>
      <c r="AL390" s="2327"/>
      <c r="AM390" s="2318"/>
    </row>
    <row r="391" spans="1:39" ht="14.4" x14ac:dyDescent="0.3">
      <c r="A391" s="694"/>
      <c r="B391" s="695"/>
      <c r="C391" s="694"/>
      <c r="D391" s="694"/>
      <c r="E391" s="694"/>
      <c r="F391" s="311"/>
      <c r="G391" s="311"/>
      <c r="H391" s="311"/>
      <c r="I391" s="696"/>
      <c r="J391" s="311"/>
      <c r="K391" s="311"/>
      <c r="L391" s="311"/>
      <c r="M391" s="311"/>
      <c r="N391" s="311"/>
      <c r="O391" s="311"/>
      <c r="P391" s="311"/>
      <c r="Q391" s="311"/>
      <c r="R391" s="311"/>
      <c r="S391" s="311"/>
      <c r="T391" s="311"/>
      <c r="U391" s="311"/>
      <c r="V391" s="311"/>
      <c r="W391" s="311"/>
      <c r="X391" s="311"/>
      <c r="Y391" s="311"/>
      <c r="Z391" s="311"/>
      <c r="AA391" s="311"/>
      <c r="AB391" s="311"/>
      <c r="AC391" s="311"/>
      <c r="AD391" s="311"/>
      <c r="AE391" s="311"/>
      <c r="AF391" s="311"/>
      <c r="AG391" s="311"/>
      <c r="AH391" s="311"/>
      <c r="AI391" s="311"/>
      <c r="AJ391" s="311"/>
      <c r="AK391" s="311"/>
      <c r="AL391" s="311"/>
      <c r="AM391" s="311"/>
    </row>
    <row r="392" spans="1:39" ht="23.4" x14ac:dyDescent="0.3">
      <c r="A392" s="2340" t="s">
        <v>157</v>
      </c>
      <c r="B392" s="2324"/>
      <c r="C392" s="2341" t="s">
        <v>927</v>
      </c>
      <c r="D392" s="2324"/>
      <c r="E392" s="2324"/>
      <c r="F392" s="2324"/>
      <c r="G392" s="2324"/>
      <c r="H392" s="2324"/>
      <c r="I392" s="2324"/>
      <c r="J392" s="2324"/>
      <c r="K392" s="2324"/>
      <c r="L392" s="2324"/>
      <c r="M392" s="2324"/>
      <c r="N392" s="2324"/>
      <c r="O392" s="2324"/>
      <c r="P392" s="2324"/>
      <c r="Q392" s="2324"/>
      <c r="R392" s="2324"/>
      <c r="S392" s="2324"/>
      <c r="T392" s="2324"/>
      <c r="U392" s="2324"/>
      <c r="V392" s="2324"/>
      <c r="W392" s="2324"/>
      <c r="X392" s="2324"/>
      <c r="Y392" s="2324"/>
      <c r="Z392" s="2324"/>
      <c r="AA392" s="2324"/>
      <c r="AB392" s="2324"/>
      <c r="AC392" s="2324"/>
      <c r="AD392" s="2324"/>
      <c r="AE392" s="2324"/>
      <c r="AF392" s="2324"/>
      <c r="AG392" s="2324"/>
      <c r="AH392" s="2324"/>
      <c r="AI392" s="2324"/>
      <c r="AJ392" s="2324"/>
      <c r="AK392" s="2324"/>
      <c r="AL392" s="2324"/>
      <c r="AM392" s="2325"/>
    </row>
    <row r="393" spans="1:39" ht="23.4" x14ac:dyDescent="0.3">
      <c r="A393" s="2340" t="s">
        <v>158</v>
      </c>
      <c r="B393" s="2324"/>
      <c r="C393" s="2342" t="s">
        <v>928</v>
      </c>
      <c r="D393" s="2324"/>
      <c r="E393" s="2324"/>
      <c r="F393" s="2324"/>
      <c r="G393" s="2324"/>
      <c r="H393" s="2324"/>
      <c r="I393" s="2324"/>
      <c r="J393" s="2324"/>
      <c r="K393" s="2324"/>
      <c r="L393" s="2324"/>
      <c r="M393" s="2324"/>
      <c r="N393" s="2324"/>
      <c r="O393" s="2324"/>
      <c r="P393" s="2324"/>
      <c r="Q393" s="2324"/>
      <c r="R393" s="2324"/>
      <c r="S393" s="2324"/>
      <c r="T393" s="2324"/>
      <c r="U393" s="2324"/>
      <c r="V393" s="2324"/>
      <c r="W393" s="2324"/>
      <c r="X393" s="2324"/>
      <c r="Y393" s="2324"/>
      <c r="Z393" s="2324"/>
      <c r="AA393" s="2324"/>
      <c r="AB393" s="2324"/>
      <c r="AC393" s="2324"/>
      <c r="AD393" s="2324"/>
      <c r="AE393" s="2324"/>
      <c r="AF393" s="2324"/>
      <c r="AG393" s="2324"/>
      <c r="AH393" s="2324"/>
      <c r="AI393" s="2324"/>
      <c r="AJ393" s="2324"/>
      <c r="AK393" s="2324"/>
      <c r="AL393" s="2324"/>
      <c r="AM393" s="2325"/>
    </row>
    <row r="394" spans="1:39" ht="23.4" x14ac:dyDescent="0.3">
      <c r="A394" s="2340" t="s">
        <v>159</v>
      </c>
      <c r="B394" s="2324"/>
      <c r="C394" s="2342" t="s">
        <v>316</v>
      </c>
      <c r="D394" s="2324"/>
      <c r="E394" s="2324"/>
      <c r="F394" s="2324"/>
      <c r="G394" s="2324"/>
      <c r="H394" s="2324"/>
      <c r="I394" s="2324"/>
      <c r="J394" s="2324"/>
      <c r="K394" s="2324"/>
      <c r="L394" s="2324"/>
      <c r="M394" s="2324"/>
      <c r="N394" s="2324"/>
      <c r="O394" s="2324"/>
      <c r="P394" s="2324"/>
      <c r="Q394" s="2324"/>
      <c r="R394" s="2324"/>
      <c r="S394" s="2324"/>
      <c r="T394" s="2324"/>
      <c r="U394" s="2324"/>
      <c r="V394" s="2324"/>
      <c r="W394" s="2324"/>
      <c r="X394" s="2324"/>
      <c r="Y394" s="2324"/>
      <c r="Z394" s="2324"/>
      <c r="AA394" s="2324"/>
      <c r="AB394" s="2324"/>
      <c r="AC394" s="2324"/>
      <c r="AD394" s="2324"/>
      <c r="AE394" s="2324"/>
      <c r="AF394" s="2324"/>
      <c r="AG394" s="2324"/>
      <c r="AH394" s="2324"/>
      <c r="AI394" s="2324"/>
      <c r="AJ394" s="2324"/>
      <c r="AK394" s="2324"/>
      <c r="AL394" s="2324"/>
      <c r="AM394" s="2325"/>
    </row>
    <row r="395" spans="1:39" ht="14.4" x14ac:dyDescent="0.3">
      <c r="A395" s="2323" t="s">
        <v>160</v>
      </c>
      <c r="B395" s="2324"/>
      <c r="C395" s="2324"/>
      <c r="D395" s="2324"/>
      <c r="E395" s="2324"/>
      <c r="F395" s="2324"/>
      <c r="G395" s="2324"/>
      <c r="H395" s="2324"/>
      <c r="I395" s="2324"/>
      <c r="J395" s="2325"/>
      <c r="K395" s="2326" t="s">
        <v>161</v>
      </c>
      <c r="L395" s="2327"/>
      <c r="M395" s="2327"/>
      <c r="N395" s="2327"/>
      <c r="O395" s="2327"/>
      <c r="P395" s="2327"/>
      <c r="Q395" s="2318"/>
      <c r="R395" s="2326" t="s">
        <v>162</v>
      </c>
      <c r="S395" s="2327"/>
      <c r="T395" s="2327"/>
      <c r="U395" s="2327"/>
      <c r="V395" s="2327"/>
      <c r="W395" s="2327"/>
      <c r="X395" s="2327"/>
      <c r="Y395" s="2327"/>
      <c r="Z395" s="2318"/>
      <c r="AA395" s="2326" t="s">
        <v>163</v>
      </c>
      <c r="AB395" s="2327"/>
      <c r="AC395" s="2327"/>
      <c r="AD395" s="2327"/>
      <c r="AE395" s="2327"/>
      <c r="AF395" s="2327"/>
      <c r="AG395" s="2318"/>
      <c r="AH395" s="2326" t="s">
        <v>164</v>
      </c>
      <c r="AI395" s="2327"/>
      <c r="AJ395" s="2327"/>
      <c r="AK395" s="2327"/>
      <c r="AL395" s="2327"/>
      <c r="AM395" s="2318"/>
    </row>
    <row r="396" spans="1:39" ht="14.4" x14ac:dyDescent="0.3">
      <c r="A396" s="2328" t="s">
        <v>165</v>
      </c>
      <c r="B396" s="2329" t="s">
        <v>142</v>
      </c>
      <c r="C396" s="2330" t="s">
        <v>166</v>
      </c>
      <c r="D396" s="2330" t="s">
        <v>167</v>
      </c>
      <c r="E396" s="2305" t="s">
        <v>168</v>
      </c>
      <c r="F396" s="2331" t="s">
        <v>60</v>
      </c>
      <c r="G396" s="697"/>
      <c r="H396" s="697"/>
      <c r="I396" s="2305" t="s">
        <v>169</v>
      </c>
      <c r="J396" s="2330" t="s">
        <v>170</v>
      </c>
      <c r="K396" s="2330" t="s">
        <v>171</v>
      </c>
      <c r="L396" s="2332" t="s">
        <v>172</v>
      </c>
      <c r="M396" s="2305" t="s">
        <v>173</v>
      </c>
      <c r="N396" s="2305" t="s">
        <v>174</v>
      </c>
      <c r="O396" s="2334" t="s">
        <v>175</v>
      </c>
      <c r="P396" s="2332" t="s">
        <v>172</v>
      </c>
      <c r="Q396" s="2330" t="s">
        <v>176</v>
      </c>
      <c r="R396" s="2335" t="s">
        <v>177</v>
      </c>
      <c r="S396" s="2305" t="s">
        <v>178</v>
      </c>
      <c r="T396" s="2305" t="s">
        <v>179</v>
      </c>
      <c r="U396" s="2336" t="s">
        <v>180</v>
      </c>
      <c r="V396" s="2324"/>
      <c r="W396" s="2324"/>
      <c r="X396" s="2324"/>
      <c r="Y396" s="2324"/>
      <c r="Z396" s="2325"/>
      <c r="AA396" s="2335" t="s">
        <v>181</v>
      </c>
      <c r="AB396" s="2335" t="s">
        <v>182</v>
      </c>
      <c r="AC396" s="2335" t="s">
        <v>172</v>
      </c>
      <c r="AD396" s="2335" t="s">
        <v>183</v>
      </c>
      <c r="AE396" s="2335" t="s">
        <v>172</v>
      </c>
      <c r="AF396" s="2335" t="s">
        <v>184</v>
      </c>
      <c r="AG396" s="2335" t="s">
        <v>185</v>
      </c>
      <c r="AH396" s="2305" t="s">
        <v>164</v>
      </c>
      <c r="AI396" s="2305" t="s">
        <v>143</v>
      </c>
      <c r="AJ396" s="2305" t="s">
        <v>186</v>
      </c>
      <c r="AK396" s="2305" t="s">
        <v>187</v>
      </c>
      <c r="AL396" s="2305" t="s">
        <v>188</v>
      </c>
      <c r="AM396" s="2305" t="s">
        <v>189</v>
      </c>
    </row>
    <row r="397" spans="1:39" ht="71.400000000000006" x14ac:dyDescent="0.3">
      <c r="A397" s="2306"/>
      <c r="B397" s="2306"/>
      <c r="C397" s="2306"/>
      <c r="D397" s="2306"/>
      <c r="E397" s="2308"/>
      <c r="F397" s="2308"/>
      <c r="G397" s="697" t="s">
        <v>511</v>
      </c>
      <c r="H397" s="697" t="s">
        <v>190</v>
      </c>
      <c r="I397" s="2306"/>
      <c r="J397" s="2306"/>
      <c r="K397" s="2306"/>
      <c r="L397" s="2333"/>
      <c r="M397" s="2306"/>
      <c r="N397" s="2306"/>
      <c r="O397" s="2333"/>
      <c r="P397" s="2333"/>
      <c r="Q397" s="2306"/>
      <c r="R397" s="2306"/>
      <c r="S397" s="2306"/>
      <c r="T397" s="2306"/>
      <c r="U397" s="698" t="s">
        <v>191</v>
      </c>
      <c r="V397" s="698" t="s">
        <v>192</v>
      </c>
      <c r="W397" s="698" t="s">
        <v>193</v>
      </c>
      <c r="X397" s="698" t="s">
        <v>194</v>
      </c>
      <c r="Y397" s="698" t="s">
        <v>195</v>
      </c>
      <c r="Z397" s="698" t="s">
        <v>196</v>
      </c>
      <c r="AA397" s="2306"/>
      <c r="AB397" s="2306"/>
      <c r="AC397" s="2306"/>
      <c r="AD397" s="2306"/>
      <c r="AE397" s="2306"/>
      <c r="AF397" s="2306"/>
      <c r="AG397" s="2306"/>
      <c r="AH397" s="2306"/>
      <c r="AI397" s="2306"/>
      <c r="AJ397" s="2306"/>
      <c r="AK397" s="2306"/>
      <c r="AL397" s="2306"/>
      <c r="AM397" s="2306"/>
    </row>
    <row r="398" spans="1:39" ht="103.8" customHeight="1" x14ac:dyDescent="0.3">
      <c r="A398" s="2307">
        <v>1</v>
      </c>
      <c r="B398" s="2309" t="s">
        <v>209</v>
      </c>
      <c r="C398" s="2309" t="s">
        <v>317</v>
      </c>
      <c r="D398" s="2312" t="s">
        <v>318</v>
      </c>
      <c r="E398" s="942" t="s">
        <v>1219</v>
      </c>
      <c r="F398" s="2309" t="s">
        <v>929</v>
      </c>
      <c r="G398" s="2309" t="s">
        <v>512</v>
      </c>
      <c r="H398" s="2309" t="s">
        <v>930</v>
      </c>
      <c r="I398" s="2974" t="s">
        <v>198</v>
      </c>
      <c r="J398" s="2975">
        <v>360</v>
      </c>
      <c r="K398" s="2976" t="str">
        <f>IF(J398&lt;=0,"",IF(J398&lt;=2,"Muy Baja",IF(J398&lt;=24,"Baja",IF(J398&lt;=500,"Media",IF(J398&lt;=5000,"Alta","Muy Alta")))))</f>
        <v>Media</v>
      </c>
      <c r="L398" s="2977">
        <f>IF(K398="","",IF(K398="Muy Baja",0.2,IF(K398="Baja",0.4,IF(K398="Media",0.6,IF(K398="Alta",0.8,IF(K398="Muy Alta",1,))))))</f>
        <v>0.6</v>
      </c>
      <c r="M398" s="2977" t="s">
        <v>225</v>
      </c>
      <c r="N398" s="2977" t="str">
        <f>IF(NOT(ISERROR(MATCH(M398,'[45]Tabla Impacto'!$B$221:$B$223,0))),'[45]Tabla Impacto'!$F$223&amp;"Por favor no seleccionar los criterios de impacto(Afectación Económica o presupuestal y Pérdida Reputacional)",M398)</f>
        <v xml:space="preserve">     El riesgo afecta la imagen de la entidad con algunos usuarios de relevancia frente al logro de los objetivos</v>
      </c>
      <c r="O398" s="2976" t="str">
        <f>IF(OR(N398='[45]Tabla Impacto'!$C$11,N398='[45]Tabla Impacto'!$D$11),"Leve",IF(OR(N398='[45]Tabla Impacto'!$C$12,N398='[45]Tabla Impacto'!$D$12),"Menor",IF(OR(N398='[45]Tabla Impacto'!$C$13,N398='[45]Tabla Impacto'!$D$13),"Moderado",IF(OR(N398='[45]Tabla Impacto'!$C$14,N398='[45]Tabla Impacto'!$D$14),"Mayor",IF(OR(N398='[45]Tabla Impacto'!$C$15,N398='[45]Tabla Impacto'!$D$15),"Catastrófico","")))))</f>
        <v>Moderado</v>
      </c>
      <c r="P398" s="2977">
        <f>IF(O398="","",IF(O398="Leve",0.2,IF(O398="Menor",0.4,IF(O398="Moderado",0.6,IF(O398="Mayor",0.8,IF(O398="Catastrófico",1,))))))</f>
        <v>0.6</v>
      </c>
      <c r="Q398" s="2978" t="str">
        <f>IF(OR(AND(K398="Muy Baja",O398="Leve"),AND(K398="Muy Baja",O398="Menor"),AND(K398="Baja",O398="Leve")),"Bajo",IF(OR(AND(K398="Muy baja",O398="Moderado"),AND(K398="Baja",O398="Menor"),AND(K398="Baja",O398="Moderado"),AND(K398="Media",O398="Leve"),AND(K398="Media",O398="Menor"),AND(K398="Media",O398="Moderado"),AND(K398="Alta",O398="Leve"),AND(K398="Alta",O398="Menor")),"Moderado",IF(OR(AND(K398="Muy Baja",O398="Mayor"),AND(K398="Baja",O398="Mayor"),AND(K398="Media",O398="Mayor"),AND(K398="Alta",O398="Moderado"),AND(K398="Alta",O398="Mayor"),AND(K398="Muy Alta",O398="Leve"),AND(K398="Muy Alta",O398="Menor"),AND(K398="Muy Alta",O398="Moderado"),AND(K398="Muy Alta",O398="Mayor")),"Alto",IF(OR(AND(K398="Muy Baja",O398="Catastrófico"),AND(K398="Baja",O398="Catastrófico"),AND(K398="Media",O398="Catastrófico"),AND(K398="Alta",O398="Catastrófico"),AND(K398="Muy Alta",O398="Catastrófico")),"Extremo",""))))</f>
        <v>Moderado</v>
      </c>
      <c r="R398" s="894">
        <v>1</v>
      </c>
      <c r="S398" s="943" t="s">
        <v>1221</v>
      </c>
      <c r="T398" s="894" t="str">
        <f>IF(OR(U399="preventivo",U399="detectivo"),"probabilidad",IF(U399="Correctivo","impacto",""))</f>
        <v>probabilidad</v>
      </c>
      <c r="U398" s="944" t="s">
        <v>207</v>
      </c>
      <c r="V398" s="944" t="s">
        <v>201</v>
      </c>
      <c r="W398" s="945" t="str">
        <f t="shared" ref="W398:W411" si="208">IF(AND(U398="Preventivo",V398="Automático"),"50%",IF(AND(U398="Preventivo",V398="Manual"),"40%",IF(AND(U398="Detectivo",V398="Automático"),"40%",IF(AND(U398="Detectivo",V398="Manual"),"30%",IF(AND(U398="Correctivo",V398="Automático"),"35%",IF(AND(U398="Correctivo",V398="Manual"),"25%",""))))))</f>
        <v>40%</v>
      </c>
      <c r="X398" s="944" t="s">
        <v>208</v>
      </c>
      <c r="Y398" s="944" t="s">
        <v>203</v>
      </c>
      <c r="Z398" s="944" t="s">
        <v>204</v>
      </c>
      <c r="AA398" s="946">
        <f>IFERROR(IF(T398="Probabilidad",(L398-(+L398*W398)),IF(T398="Impacto",L398,"")),"")</f>
        <v>0.36</v>
      </c>
      <c r="AB398" s="947" t="str">
        <f t="shared" ref="AB398:AB411" si="209">IFERROR(IF(AA398="","",IF(AA398&lt;=0.2,"Muy Baja",IF(AA398&lt;=0.4,"Baja",IF(AA398&lt;=0.6,"Media",IF(AA398&lt;=0.8,"Alta","Muy Alta"))))),"")</f>
        <v>Baja</v>
      </c>
      <c r="AC398" s="948">
        <f t="shared" ref="AC398:AC411" si="210">+AA398</f>
        <v>0.36</v>
      </c>
      <c r="AD398" s="947" t="str">
        <f t="shared" ref="AD398:AD411" si="211">IFERROR(IF(AE398="","",IF(AE398&lt;=0.2,"Leve",IF(AE398&lt;=0.4,"Menor",IF(AE398&lt;=0.6,"Moderado",IF(AE398&lt;=0.8,"Mayor","Catastrófico"))))),"")</f>
        <v>Moderado</v>
      </c>
      <c r="AE398" s="948">
        <f>IFERROR(IF(T398="Impacto",(P398-(+P398*W398)),IF(T398="Probabilidad",P398,"")),"")</f>
        <v>0.6</v>
      </c>
      <c r="AF398" s="949" t="str">
        <f t="shared" ref="AF398:AF411" si="212">IFERROR(IF(OR(AND(AB398="Muy Baja",AD398="Leve"),AND(AB398="Muy Baja",AD398="Menor"),AND(AB398="Baja",AD398="Leve")),"Bajo",IF(OR(AND(AB398="Muy baja",AD398="Moderado"),AND(AB398="Baja",AD398="Menor"),AND(AB398="Baja",AD398="Moderado"),AND(AB398="Media",AD398="Leve"),AND(AB398="Media",AD398="Menor"),AND(AB398="Media",AD398="Moderado"),AND(AB398="Alta",AD398="Leve"),AND(AB398="Alta",AD398="Menor")),"Moderado",IF(OR(AND(AB398="Muy Baja",AD398="Mayor"),AND(AB398="Baja",AD398="Mayor"),AND(AB398="Media",AD398="Mayor"),AND(AB398="Alta",AD398="Moderado"),AND(AB398="Alta",AD398="Mayor"),AND(AB398="Muy Alta",AD398="Leve"),AND(AB398="Muy Alta",AD398="Menor"),AND(AB398="Muy Alta",AD398="Moderado"),AND(AB398="Muy Alta",AD398="Mayor")),"Alto",IF(OR(AND(AB398="Muy Baja",AD398="Catastrófico"),AND(AB398="Baja",AD398="Catastrófico"),AND(AB398="Media",AD398="Catastrófico"),AND(AB398="Alta",AD398="Catastrófico"),AND(AB398="Muy Alta",AD398="Catastrófico")),"Extremo","")))),"")</f>
        <v>Moderado</v>
      </c>
      <c r="AG398" s="950" t="s">
        <v>205</v>
      </c>
      <c r="AH398" s="891" t="s">
        <v>1216</v>
      </c>
      <c r="AI398" s="891" t="s">
        <v>932</v>
      </c>
      <c r="AJ398" s="951">
        <v>45293</v>
      </c>
      <c r="AK398" s="951">
        <v>45534</v>
      </c>
      <c r="AL398" s="2376" t="s">
        <v>1217</v>
      </c>
      <c r="AM398" s="885" t="s">
        <v>206</v>
      </c>
    </row>
    <row r="399" spans="1:39" ht="77.400000000000006" customHeight="1" x14ac:dyDescent="0.3">
      <c r="A399" s="2308"/>
      <c r="B399" s="2308"/>
      <c r="C399" s="2308"/>
      <c r="D399" s="2381"/>
      <c r="E399" s="2386" t="s">
        <v>1220</v>
      </c>
      <c r="F399" s="2308"/>
      <c r="G399" s="2308"/>
      <c r="H399" s="2308"/>
      <c r="I399" s="2317"/>
      <c r="J399" s="2308"/>
      <c r="K399" s="2308"/>
      <c r="L399" s="2308"/>
      <c r="M399" s="2308"/>
      <c r="N399" s="2308"/>
      <c r="O399" s="2308"/>
      <c r="P399" s="2308"/>
      <c r="Q399" s="2308"/>
      <c r="R399" s="2307">
        <v>2</v>
      </c>
      <c r="S399" s="2981" t="s">
        <v>1222</v>
      </c>
      <c r="T399" s="2307" t="str">
        <f t="shared" ref="T399:T411" si="213">IF(OR(U399="Preventivo",U399="Detectivo"),"Probabilidad",IF(U399="Correctivo","Impacto",""))</f>
        <v>Probabilidad</v>
      </c>
      <c r="U399" s="2986" t="s">
        <v>207</v>
      </c>
      <c r="V399" s="2986" t="s">
        <v>201</v>
      </c>
      <c r="W399" s="2999" t="str">
        <f t="shared" si="208"/>
        <v>40%</v>
      </c>
      <c r="X399" s="2986" t="s">
        <v>208</v>
      </c>
      <c r="Y399" s="2986" t="s">
        <v>203</v>
      </c>
      <c r="Z399" s="2986" t="s">
        <v>204</v>
      </c>
      <c r="AA399" s="3016">
        <f>IFERROR(IF(AND(T398="Probabilidad",T399="Probabilidad"),(AC398-(+AC398*W399)),IF(AND(T398="Impacto",T399="Probabilidad"),(L398-(+L398*W399)),IF(T399="Impacto",AC398,""))),"")</f>
        <v>0.216</v>
      </c>
      <c r="AB399" s="3021" t="str">
        <f t="shared" si="209"/>
        <v>Baja</v>
      </c>
      <c r="AC399" s="2999">
        <f t="shared" si="210"/>
        <v>0.216</v>
      </c>
      <c r="AD399" s="3021" t="str">
        <f t="shared" si="211"/>
        <v>Moderado</v>
      </c>
      <c r="AE399" s="2999">
        <f>IFERROR(IF(AND(T398="Impacto",T399="Impacto"),(AE398-(+AE398*W399)),IF(AND(T398="Probabilidad",T399="Impacto"),(P398-(+P398*W399)),IF(T399="Probabilidad",AE398,""))),"")</f>
        <v>0.6</v>
      </c>
      <c r="AF399" s="3051" t="str">
        <f t="shared" si="212"/>
        <v>Moderado</v>
      </c>
      <c r="AG399" s="2986" t="s">
        <v>205</v>
      </c>
      <c r="AH399" s="2981" t="s">
        <v>934</v>
      </c>
      <c r="AI399" s="2309" t="s">
        <v>932</v>
      </c>
      <c r="AJ399" s="3011">
        <v>45293</v>
      </c>
      <c r="AK399" s="3011">
        <v>45534</v>
      </c>
      <c r="AL399" s="3033"/>
      <c r="AM399" s="2375" t="s">
        <v>206</v>
      </c>
    </row>
    <row r="400" spans="1:39" ht="15.6" customHeight="1" x14ac:dyDescent="0.3">
      <c r="A400" s="2308"/>
      <c r="B400" s="2308"/>
      <c r="C400" s="2308"/>
      <c r="D400" s="2381"/>
      <c r="E400" s="2979"/>
      <c r="F400" s="2308"/>
      <c r="G400" s="2308"/>
      <c r="H400" s="2308"/>
      <c r="I400" s="2317"/>
      <c r="J400" s="2308"/>
      <c r="K400" s="2308"/>
      <c r="L400" s="2308"/>
      <c r="M400" s="2308"/>
      <c r="N400" s="2308"/>
      <c r="O400" s="2308"/>
      <c r="P400" s="2308"/>
      <c r="Q400" s="2308"/>
      <c r="R400" s="2984"/>
      <c r="S400" s="2982"/>
      <c r="T400" s="2984"/>
      <c r="U400" s="2987"/>
      <c r="V400" s="2987"/>
      <c r="W400" s="3000"/>
      <c r="X400" s="2987"/>
      <c r="Y400" s="2987"/>
      <c r="Z400" s="2987"/>
      <c r="AA400" s="3017"/>
      <c r="AB400" s="3022"/>
      <c r="AC400" s="3000"/>
      <c r="AD400" s="3022"/>
      <c r="AE400" s="3000"/>
      <c r="AF400" s="3052"/>
      <c r="AG400" s="2987"/>
      <c r="AH400" s="2982"/>
      <c r="AI400" s="3014"/>
      <c r="AJ400" s="3012"/>
      <c r="AK400" s="3012"/>
      <c r="AL400" s="3033"/>
      <c r="AM400" s="3004"/>
    </row>
    <row r="401" spans="1:39" ht="15.6" customHeight="1" x14ac:dyDescent="0.3">
      <c r="A401" s="2308"/>
      <c r="B401" s="2308"/>
      <c r="C401" s="2308"/>
      <c r="D401" s="2381"/>
      <c r="E401" s="2979"/>
      <c r="F401" s="2308"/>
      <c r="G401" s="2308"/>
      <c r="H401" s="2308"/>
      <c r="I401" s="2317"/>
      <c r="J401" s="2308"/>
      <c r="K401" s="2308"/>
      <c r="L401" s="2308"/>
      <c r="M401" s="2308"/>
      <c r="N401" s="2308"/>
      <c r="O401" s="2308"/>
      <c r="P401" s="2308"/>
      <c r="Q401" s="2308"/>
      <c r="R401" s="2984"/>
      <c r="S401" s="2982"/>
      <c r="T401" s="2984"/>
      <c r="U401" s="2987"/>
      <c r="V401" s="2987"/>
      <c r="W401" s="3000"/>
      <c r="X401" s="2987"/>
      <c r="Y401" s="2987"/>
      <c r="Z401" s="2987"/>
      <c r="AA401" s="3017"/>
      <c r="AB401" s="3022"/>
      <c r="AC401" s="3000"/>
      <c r="AD401" s="3022"/>
      <c r="AE401" s="3000"/>
      <c r="AF401" s="3052"/>
      <c r="AG401" s="2987"/>
      <c r="AH401" s="2982"/>
      <c r="AI401" s="3014"/>
      <c r="AJ401" s="3012"/>
      <c r="AK401" s="3012"/>
      <c r="AL401" s="3033"/>
      <c r="AM401" s="3004"/>
    </row>
    <row r="402" spans="1:39" ht="15.6" customHeight="1" x14ac:dyDescent="0.3">
      <c r="A402" s="2308"/>
      <c r="B402" s="2308"/>
      <c r="C402" s="2308"/>
      <c r="D402" s="2381"/>
      <c r="E402" s="2979"/>
      <c r="F402" s="2308"/>
      <c r="G402" s="2308"/>
      <c r="H402" s="2308"/>
      <c r="I402" s="2317"/>
      <c r="J402" s="2308"/>
      <c r="K402" s="2308"/>
      <c r="L402" s="2308"/>
      <c r="M402" s="2308"/>
      <c r="N402" s="2308"/>
      <c r="O402" s="2308"/>
      <c r="P402" s="2308"/>
      <c r="Q402" s="2308"/>
      <c r="R402" s="2984"/>
      <c r="S402" s="2982"/>
      <c r="T402" s="2984"/>
      <c r="U402" s="2987"/>
      <c r="V402" s="2987"/>
      <c r="W402" s="3000"/>
      <c r="X402" s="2987"/>
      <c r="Y402" s="2987"/>
      <c r="Z402" s="2987"/>
      <c r="AA402" s="3017"/>
      <c r="AB402" s="3022"/>
      <c r="AC402" s="3000"/>
      <c r="AD402" s="3022"/>
      <c r="AE402" s="3000"/>
      <c r="AF402" s="3052"/>
      <c r="AG402" s="2987"/>
      <c r="AH402" s="2982"/>
      <c r="AI402" s="3014"/>
      <c r="AJ402" s="3012"/>
      <c r="AK402" s="3012"/>
      <c r="AL402" s="3033"/>
      <c r="AM402" s="3004"/>
    </row>
    <row r="403" spans="1:39" ht="303" customHeight="1" x14ac:dyDescent="0.3">
      <c r="A403" s="2306"/>
      <c r="B403" s="2306"/>
      <c r="C403" s="2306"/>
      <c r="D403" s="2333"/>
      <c r="E403" s="2980"/>
      <c r="F403" s="2306"/>
      <c r="G403" s="2306"/>
      <c r="H403" s="2306"/>
      <c r="I403" s="2318"/>
      <c r="J403" s="2306"/>
      <c r="K403" s="2306"/>
      <c r="L403" s="2306"/>
      <c r="M403" s="2306"/>
      <c r="N403" s="2306"/>
      <c r="O403" s="2306"/>
      <c r="P403" s="2306"/>
      <c r="Q403" s="2306"/>
      <c r="R403" s="2985"/>
      <c r="S403" s="2983"/>
      <c r="T403" s="2985"/>
      <c r="U403" s="2988"/>
      <c r="V403" s="2988"/>
      <c r="W403" s="3001"/>
      <c r="X403" s="2988"/>
      <c r="Y403" s="2988"/>
      <c r="Z403" s="2988"/>
      <c r="AA403" s="3018"/>
      <c r="AB403" s="3023"/>
      <c r="AC403" s="3001"/>
      <c r="AD403" s="3023"/>
      <c r="AE403" s="3001"/>
      <c r="AF403" s="3053"/>
      <c r="AG403" s="2988"/>
      <c r="AH403" s="2983"/>
      <c r="AI403" s="3015"/>
      <c r="AJ403" s="3013"/>
      <c r="AK403" s="3013"/>
      <c r="AL403" s="3034"/>
      <c r="AM403" s="3005"/>
    </row>
    <row r="404" spans="1:39" ht="99" customHeight="1" x14ac:dyDescent="0.3">
      <c r="A404" s="2307">
        <v>2</v>
      </c>
      <c r="B404" s="2362" t="s">
        <v>395</v>
      </c>
      <c r="C404" s="2362" t="s">
        <v>935</v>
      </c>
      <c r="D404" s="2380" t="s">
        <v>936</v>
      </c>
      <c r="E404" s="306" t="s">
        <v>937</v>
      </c>
      <c r="F404" s="2362" t="s">
        <v>938</v>
      </c>
      <c r="G404" s="2309" t="s">
        <v>597</v>
      </c>
      <c r="H404" s="2981" t="s">
        <v>939</v>
      </c>
      <c r="I404" s="2989" t="s">
        <v>198</v>
      </c>
      <c r="J404" s="2375">
        <v>360</v>
      </c>
      <c r="K404" s="2383" t="str">
        <f>IF(J404&lt;=0,"",IF(J404&lt;=2,"Muy Baja",IF(J404&lt;=24,"Baja",IF(J404&lt;=500,"Media",IF(J404&lt;=5000,"Alta","Muy Alta")))))</f>
        <v>Media</v>
      </c>
      <c r="L404" s="2384">
        <f>IF(K404="","",IF(K404="Muy Baja",0.2,IF(K404="Baja",0.4,IF(K404="Media",0.6,IF(K404="Alta",0.8,IF(K404="Muy Alta",1,))))))</f>
        <v>0.6</v>
      </c>
      <c r="M404" s="2384" t="s">
        <v>393</v>
      </c>
      <c r="N404" s="2384" t="str">
        <f>IF(NOT(ISERROR(MATCH(M404,'[45]Tabla Impacto'!$B$221:$B$223,0))),'[45]Tabla Impacto'!$F$223&amp;"Por favor no seleccionar los criterios de impacto(Afectación Económica o presupuestal y Pérdida Reputacional)",M404)</f>
        <v xml:space="preserve">     Entre 200 y 1000 SMLMV</v>
      </c>
      <c r="O404" s="2383" t="str">
        <f>IF(OR(N404='[45]Tabla Impacto'!$C$11,N404='[45]Tabla Impacto'!$D$11),"Leve",IF(OR(N404='[45]Tabla Impacto'!$C$12,N404='[45]Tabla Impacto'!$D$12),"Menor",IF(OR(N404='[45]Tabla Impacto'!$C$13,N404='[45]Tabla Impacto'!$D$13),"Moderado",IF(OR(N404='[45]Tabla Impacto'!$C$14,N404='[45]Tabla Impacto'!$D$14),"Mayor",IF(OR(N404='[45]Tabla Impacto'!$C$15,N404='[45]Tabla Impacto'!$D$15),"Catastrófico","")))))</f>
        <v>Menor</v>
      </c>
      <c r="P404" s="2384">
        <f>IF(O404="","",IF(O404="Leve",0.2,IF(O404="Menor",0.4,IF(O404="Moderado",0.6,IF(O404="Mayor",0.8,IF(O404="Catastrófico",1,))))))</f>
        <v>0.4</v>
      </c>
      <c r="Q404" s="2374" t="str">
        <f>IF(OR(AND(K404="Muy Baja",O404="Leve"),AND(K404="Muy Baja",O404="Menor"),AND(K404="Baja",O404="Leve")),"Bajo",IF(OR(AND(K404="Muy baja",O404="Moderado"),AND(K404="Baja",O404="Menor"),AND(K404="Baja",O404="Moderado"),AND(K404="Media",O404="Leve"),AND(K404="Media",O404="Menor"),AND(K404="Media",O404="Moderado"),AND(K404="Alta",O404="Leve"),AND(K404="Alta",O404="Menor")),"Moderado",IF(OR(AND(K404="Muy Baja",O404="Mayor"),AND(K404="Baja",O404="Mayor"),AND(K404="Media",O404="Mayor"),AND(K404="Alta",O404="Moderado"),AND(K404="Alta",O404="Mayor"),AND(K404="Muy Alta",O404="Leve"),AND(K404="Muy Alta",O404="Menor"),AND(K404="Muy Alta",O404="Moderado"),AND(K404="Muy Alta",O404="Mayor")),"Alto",IF(OR(AND(K404="Muy Baja",O404="Catastrófico"),AND(K404="Baja",O404="Catastrófico"),AND(K404="Media",O404="Catastrófico"),AND(K404="Alta",O404="Catastrófico"),AND(K404="Muy Alta",O404="Catastrófico")),"Extremo",""))))</f>
        <v>Moderado</v>
      </c>
      <c r="R404" s="877">
        <v>1</v>
      </c>
      <c r="S404" s="878" t="s">
        <v>1223</v>
      </c>
      <c r="T404" s="877" t="str">
        <f t="shared" si="213"/>
        <v>Probabilidad</v>
      </c>
      <c r="U404" s="879" t="s">
        <v>207</v>
      </c>
      <c r="V404" s="879" t="s">
        <v>201</v>
      </c>
      <c r="W404" s="880" t="str">
        <f t="shared" si="208"/>
        <v>40%</v>
      </c>
      <c r="X404" s="879" t="s">
        <v>208</v>
      </c>
      <c r="Y404" s="879" t="s">
        <v>203</v>
      </c>
      <c r="Z404" s="879" t="s">
        <v>204</v>
      </c>
      <c r="AA404" s="881">
        <f>IFERROR(IF(T404="Probabilidad",(L404-(+L404*W404)),IF(T404="Impacto",L404,"")),"")</f>
        <v>0.36</v>
      </c>
      <c r="AB404" s="882" t="str">
        <f t="shared" si="209"/>
        <v>Baja</v>
      </c>
      <c r="AC404" s="871">
        <f t="shared" si="210"/>
        <v>0.36</v>
      </c>
      <c r="AD404" s="882" t="str">
        <f t="shared" si="211"/>
        <v>Menor</v>
      </c>
      <c r="AE404" s="871">
        <f>IFERROR(IF(T404="Impacto",(P404-(+P404*W404)),IF(T404="Probabilidad",P404,"")),"")</f>
        <v>0.4</v>
      </c>
      <c r="AF404" s="883" t="str">
        <f t="shared" si="212"/>
        <v>Moderado</v>
      </c>
      <c r="AG404" s="870" t="s">
        <v>205</v>
      </c>
      <c r="AH404" s="2362" t="s">
        <v>940</v>
      </c>
      <c r="AI404" s="891" t="s">
        <v>941</v>
      </c>
      <c r="AJ404" s="951">
        <v>45293</v>
      </c>
      <c r="AK404" s="951">
        <v>45473</v>
      </c>
      <c r="AL404" s="2376" t="s">
        <v>942</v>
      </c>
      <c r="AM404" s="877" t="s">
        <v>206</v>
      </c>
    </row>
    <row r="405" spans="1:39" ht="77.400000000000006" customHeight="1" x14ac:dyDescent="0.3">
      <c r="A405" s="2308"/>
      <c r="B405" s="2308"/>
      <c r="C405" s="2308"/>
      <c r="D405" s="2381"/>
      <c r="E405" s="2362" t="s">
        <v>943</v>
      </c>
      <c r="F405" s="2308"/>
      <c r="G405" s="2308"/>
      <c r="H405" s="2982"/>
      <c r="I405" s="2317"/>
      <c r="J405" s="2308"/>
      <c r="K405" s="2308"/>
      <c r="L405" s="2308"/>
      <c r="M405" s="2308"/>
      <c r="N405" s="2308"/>
      <c r="O405" s="2308"/>
      <c r="P405" s="2308"/>
      <c r="Q405" s="2308"/>
      <c r="R405" s="2375">
        <v>2</v>
      </c>
      <c r="S405" s="3006" t="s">
        <v>1224</v>
      </c>
      <c r="T405" s="2375" t="str">
        <f t="shared" si="213"/>
        <v>Probabilidad</v>
      </c>
      <c r="U405" s="2366" t="s">
        <v>207</v>
      </c>
      <c r="V405" s="2366" t="s">
        <v>201</v>
      </c>
      <c r="W405" s="2369" t="str">
        <f t="shared" si="208"/>
        <v>40%</v>
      </c>
      <c r="X405" s="2366" t="s">
        <v>208</v>
      </c>
      <c r="Y405" s="2366" t="s">
        <v>203</v>
      </c>
      <c r="Z405" s="2366" t="s">
        <v>204</v>
      </c>
      <c r="AA405" s="2367">
        <f>IFERROR(IF(AND(T404="Probabilidad",T405="Probabilidad"),(AC404-(+AC404*W405)),IF(AND(T404="Impacto",T405="Probabilidad"),(L404-(+L404*W405)),IF(T405="Impacto",AC404,""))),"")</f>
        <v>0.216</v>
      </c>
      <c r="AB405" s="2368" t="str">
        <f t="shared" si="209"/>
        <v>Baja</v>
      </c>
      <c r="AC405" s="2369">
        <f t="shared" si="210"/>
        <v>0.216</v>
      </c>
      <c r="AD405" s="2368" t="str">
        <f t="shared" si="211"/>
        <v>Menor</v>
      </c>
      <c r="AE405" s="2369">
        <f>IFERROR(IF(AND(T404="Impacto",T405="Impacto"),(AE404-(+AE404*W405)),IF(AND(T404="Probabilidad",T405="Impacto"),(P404-(+P404*W405)),IF(T405="Probabilidad",AE404,""))),"")</f>
        <v>0.4</v>
      </c>
      <c r="AF405" s="2372" t="str">
        <f t="shared" si="212"/>
        <v>Moderado</v>
      </c>
      <c r="AG405" s="2366" t="s">
        <v>205</v>
      </c>
      <c r="AH405" s="2992"/>
      <c r="AI405" s="2309" t="s">
        <v>941</v>
      </c>
      <c r="AJ405" s="3011">
        <v>45293</v>
      </c>
      <c r="AK405" s="3011">
        <v>45473</v>
      </c>
      <c r="AL405" s="3033"/>
      <c r="AM405" s="2375" t="s">
        <v>206</v>
      </c>
    </row>
    <row r="406" spans="1:39" ht="15.6" customHeight="1" x14ac:dyDescent="0.3">
      <c r="A406" s="2308"/>
      <c r="B406" s="2308"/>
      <c r="C406" s="2308"/>
      <c r="D406" s="2381"/>
      <c r="E406" s="2992"/>
      <c r="F406" s="2308"/>
      <c r="G406" s="2308"/>
      <c r="H406" s="2982"/>
      <c r="I406" s="2317"/>
      <c r="J406" s="2308"/>
      <c r="K406" s="2308"/>
      <c r="L406" s="2308"/>
      <c r="M406" s="2308"/>
      <c r="N406" s="2308"/>
      <c r="O406" s="2308"/>
      <c r="P406" s="2308"/>
      <c r="Q406" s="2308"/>
      <c r="R406" s="3004"/>
      <c r="S406" s="3007"/>
      <c r="T406" s="3004"/>
      <c r="U406" s="2997"/>
      <c r="V406" s="2997"/>
      <c r="W406" s="3002"/>
      <c r="X406" s="2997"/>
      <c r="Y406" s="2997"/>
      <c r="Z406" s="2997"/>
      <c r="AA406" s="3019"/>
      <c r="AB406" s="2990"/>
      <c r="AC406" s="3002"/>
      <c r="AD406" s="2990"/>
      <c r="AE406" s="3002"/>
      <c r="AF406" s="3009"/>
      <c r="AG406" s="2997"/>
      <c r="AH406" s="2992"/>
      <c r="AI406" s="3014"/>
      <c r="AJ406" s="3012"/>
      <c r="AK406" s="3012"/>
      <c r="AL406" s="3033"/>
      <c r="AM406" s="3004"/>
    </row>
    <row r="407" spans="1:39" ht="15.6" customHeight="1" x14ac:dyDescent="0.3">
      <c r="A407" s="2308"/>
      <c r="B407" s="2308"/>
      <c r="C407" s="2308"/>
      <c r="D407" s="2381"/>
      <c r="E407" s="2992"/>
      <c r="F407" s="2308"/>
      <c r="G407" s="2308"/>
      <c r="H407" s="2982"/>
      <c r="I407" s="2317"/>
      <c r="J407" s="2308"/>
      <c r="K407" s="2308"/>
      <c r="L407" s="2308"/>
      <c r="M407" s="2308"/>
      <c r="N407" s="2308"/>
      <c r="O407" s="2308"/>
      <c r="P407" s="2308"/>
      <c r="Q407" s="2308"/>
      <c r="R407" s="3004"/>
      <c r="S407" s="3007"/>
      <c r="T407" s="3004"/>
      <c r="U407" s="2997"/>
      <c r="V407" s="2997"/>
      <c r="W407" s="3002"/>
      <c r="X407" s="2997"/>
      <c r="Y407" s="2997"/>
      <c r="Z407" s="2997"/>
      <c r="AA407" s="3019"/>
      <c r="AB407" s="2990"/>
      <c r="AC407" s="3002"/>
      <c r="AD407" s="2990"/>
      <c r="AE407" s="3002"/>
      <c r="AF407" s="3009"/>
      <c r="AG407" s="2997"/>
      <c r="AH407" s="2992"/>
      <c r="AI407" s="3014"/>
      <c r="AJ407" s="3012"/>
      <c r="AK407" s="3012"/>
      <c r="AL407" s="3033"/>
      <c r="AM407" s="3004"/>
    </row>
    <row r="408" spans="1:39" ht="15.6" customHeight="1" x14ac:dyDescent="0.3">
      <c r="A408" s="2308"/>
      <c r="B408" s="2308"/>
      <c r="C408" s="2308"/>
      <c r="D408" s="2381"/>
      <c r="E408" s="2992"/>
      <c r="F408" s="2308"/>
      <c r="G408" s="2308"/>
      <c r="H408" s="2982"/>
      <c r="I408" s="2317"/>
      <c r="J408" s="2308"/>
      <c r="K408" s="2308"/>
      <c r="L408" s="2308"/>
      <c r="M408" s="2308"/>
      <c r="N408" s="2308"/>
      <c r="O408" s="2308"/>
      <c r="P408" s="2308"/>
      <c r="Q408" s="2308"/>
      <c r="R408" s="3004"/>
      <c r="S408" s="3007"/>
      <c r="T408" s="3004"/>
      <c r="U408" s="2997"/>
      <c r="V408" s="2997"/>
      <c r="W408" s="3002"/>
      <c r="X408" s="2997"/>
      <c r="Y408" s="2997"/>
      <c r="Z408" s="2997"/>
      <c r="AA408" s="3019"/>
      <c r="AB408" s="2990"/>
      <c r="AC408" s="3002"/>
      <c r="AD408" s="2990"/>
      <c r="AE408" s="3002"/>
      <c r="AF408" s="3009"/>
      <c r="AG408" s="2997"/>
      <c r="AH408" s="2992"/>
      <c r="AI408" s="3014"/>
      <c r="AJ408" s="3012"/>
      <c r="AK408" s="3012"/>
      <c r="AL408" s="3033"/>
      <c r="AM408" s="3004"/>
    </row>
    <row r="409" spans="1:39" ht="84.6" customHeight="1" x14ac:dyDescent="0.3">
      <c r="A409" s="2306"/>
      <c r="B409" s="2306"/>
      <c r="C409" s="2306"/>
      <c r="D409" s="2333"/>
      <c r="E409" s="2993"/>
      <c r="F409" s="2306"/>
      <c r="G409" s="2306"/>
      <c r="H409" s="2983"/>
      <c r="I409" s="2318"/>
      <c r="J409" s="2306"/>
      <c r="K409" s="2306"/>
      <c r="L409" s="2306"/>
      <c r="M409" s="2306"/>
      <c r="N409" s="2306"/>
      <c r="O409" s="2306"/>
      <c r="P409" s="2306"/>
      <c r="Q409" s="2306"/>
      <c r="R409" s="3005"/>
      <c r="S409" s="3008"/>
      <c r="T409" s="3005"/>
      <c r="U409" s="2998"/>
      <c r="V409" s="2998"/>
      <c r="W409" s="3003"/>
      <c r="X409" s="2998"/>
      <c r="Y409" s="2998"/>
      <c r="Z409" s="2998"/>
      <c r="AA409" s="3020"/>
      <c r="AB409" s="2991"/>
      <c r="AC409" s="3003"/>
      <c r="AD409" s="2991"/>
      <c r="AE409" s="3003"/>
      <c r="AF409" s="3010"/>
      <c r="AG409" s="2998"/>
      <c r="AH409" s="2993"/>
      <c r="AI409" s="3015"/>
      <c r="AJ409" s="3013"/>
      <c r="AK409" s="3013"/>
      <c r="AL409" s="3034"/>
      <c r="AM409" s="3005"/>
    </row>
    <row r="410" spans="1:39" ht="111" customHeight="1" x14ac:dyDescent="0.3">
      <c r="A410" s="2307">
        <v>3</v>
      </c>
      <c r="B410" s="2362" t="s">
        <v>395</v>
      </c>
      <c r="C410" s="2362" t="s">
        <v>935</v>
      </c>
      <c r="D410" s="2380" t="s">
        <v>944</v>
      </c>
      <c r="E410" s="892" t="s">
        <v>945</v>
      </c>
      <c r="F410" s="2981" t="s">
        <v>946</v>
      </c>
      <c r="G410" s="2309" t="s">
        <v>597</v>
      </c>
      <c r="H410" s="2994" t="s">
        <v>947</v>
      </c>
      <c r="I410" s="2989" t="s">
        <v>198</v>
      </c>
      <c r="J410" s="2375">
        <v>360</v>
      </c>
      <c r="K410" s="2383" t="str">
        <f>IF(J410&lt;=0,"",IF(J410&lt;=2,"Muy Baja",IF(J410&lt;=24,"Baja",IF(J410&lt;=500,"Media",IF(J410&lt;=5000,"Alta","Muy Alta")))))</f>
        <v>Media</v>
      </c>
      <c r="L410" s="2384">
        <f>IF(K410="","",IF(K410="Muy Baja",0.2,IF(K410="Baja",0.4,IF(K410="Media",0.6,IF(K410="Alta",0.8,IF(K410="Muy Alta",1,))))))</f>
        <v>0.6</v>
      </c>
      <c r="M410" s="2384" t="s">
        <v>393</v>
      </c>
      <c r="N410" s="2384" t="str">
        <f>IF(NOT(ISERROR(MATCH(M410,'[45]Tabla Impacto'!$B$221:$B$223,0))),'[45]Tabla Impacto'!$F$223&amp;"Por favor no seleccionar los criterios de impacto(Afectación Económica o presupuestal y Pérdida Reputacional)",M410)</f>
        <v xml:space="preserve">     Entre 200 y 1000 SMLMV</v>
      </c>
      <c r="O410" s="2383" t="str">
        <f>IF(OR(N410='[45]Tabla Impacto'!$C$11,N410='[45]Tabla Impacto'!$D$11),"Leve",IF(OR(N410='[45]Tabla Impacto'!$C$12,N410='[45]Tabla Impacto'!$D$12),"Menor",IF(OR(N410='[45]Tabla Impacto'!$C$13,N410='[45]Tabla Impacto'!$D$13),"Moderado",IF(OR(N410='[45]Tabla Impacto'!$C$14,N410='[45]Tabla Impacto'!$D$14),"Mayor",IF(OR(N410='[45]Tabla Impacto'!$C$15,N410='[45]Tabla Impacto'!$D$15),"Catastrófico","")))))</f>
        <v>Menor</v>
      </c>
      <c r="P410" s="2384">
        <f>IF(O410="","",IF(O410="Leve",0.2,IF(O410="Menor",0.4,IF(O410="Moderado",0.6,IF(O410="Mayor",0.8,IF(O410="Catastrófico",1,))))))</f>
        <v>0.4</v>
      </c>
      <c r="Q410" s="2374" t="str">
        <f>IF(OR(AND(K410="Muy Baja",O410="Leve"),AND(K410="Muy Baja",O410="Menor"),AND(K410="Baja",O410="Leve")),"Bajo",IF(OR(AND(K410="Muy baja",O410="Moderado"),AND(K410="Baja",O410="Menor"),AND(K410="Baja",O410="Moderado"),AND(K410="Media",O410="Leve"),AND(K410="Media",O410="Menor"),AND(K410="Media",O410="Moderado"),AND(K410="Alta",O410="Leve"),AND(K410="Alta",O410="Menor")),"Moderado",IF(OR(AND(K410="Muy Baja",O410="Mayor"),AND(K410="Baja",O410="Mayor"),AND(K410="Media",O410="Mayor"),AND(K410="Alta",O410="Moderado"),AND(K410="Alta",O410="Mayor"),AND(K410="Muy Alta",O410="Leve"),AND(K410="Muy Alta",O410="Menor"),AND(K410="Muy Alta",O410="Moderado"),AND(K410="Muy Alta",O410="Mayor")),"Alto",IF(OR(AND(K410="Muy Baja",O410="Catastrófico"),AND(K410="Baja",O410="Catastrófico"),AND(K410="Media",O410="Catastrófico"),AND(K410="Alta",O410="Catastrófico"),AND(K410="Muy Alta",O410="Catastrófico")),"Extremo",""))))</f>
        <v>Moderado</v>
      </c>
      <c r="R410" s="877">
        <v>1</v>
      </c>
      <c r="S410" s="878" t="s">
        <v>1225</v>
      </c>
      <c r="T410" s="877" t="str">
        <f t="shared" si="213"/>
        <v>Probabilidad</v>
      </c>
      <c r="U410" s="879" t="s">
        <v>207</v>
      </c>
      <c r="V410" s="879" t="s">
        <v>201</v>
      </c>
      <c r="W410" s="880" t="str">
        <f t="shared" si="208"/>
        <v>40%</v>
      </c>
      <c r="X410" s="879" t="s">
        <v>208</v>
      </c>
      <c r="Y410" s="879" t="s">
        <v>203</v>
      </c>
      <c r="Z410" s="879" t="s">
        <v>204</v>
      </c>
      <c r="AA410" s="881">
        <f>IFERROR(IF(T410="Probabilidad",(L410-(+L410*W410)),IF(T410="Impacto",L410,"")),"")</f>
        <v>0.36</v>
      </c>
      <c r="AB410" s="882" t="str">
        <f t="shared" si="209"/>
        <v>Baja</v>
      </c>
      <c r="AC410" s="871">
        <f t="shared" si="210"/>
        <v>0.36</v>
      </c>
      <c r="AD410" s="882" t="str">
        <f t="shared" si="211"/>
        <v>Menor</v>
      </c>
      <c r="AE410" s="871">
        <f>IFERROR(IF(T410="Impacto",(P410-(+P410*W410)),IF(T410="Probabilidad",P410,"")),"")</f>
        <v>0.4</v>
      </c>
      <c r="AF410" s="883" t="str">
        <f t="shared" si="212"/>
        <v>Moderado</v>
      </c>
      <c r="AG410" s="870" t="s">
        <v>205</v>
      </c>
      <c r="AH410" s="2981" t="s">
        <v>948</v>
      </c>
      <c r="AI410" s="892" t="s">
        <v>932</v>
      </c>
      <c r="AJ410" s="951">
        <v>45293</v>
      </c>
      <c r="AK410" s="951">
        <v>45534</v>
      </c>
      <c r="AL410" s="3035" t="s">
        <v>1218</v>
      </c>
      <c r="AM410" s="877" t="s">
        <v>206</v>
      </c>
    </row>
    <row r="411" spans="1:39" ht="77.400000000000006" customHeight="1" x14ac:dyDescent="0.3">
      <c r="A411" s="2308"/>
      <c r="B411" s="2308"/>
      <c r="C411" s="2308"/>
      <c r="D411" s="2381"/>
      <c r="E411" s="2981" t="s">
        <v>950</v>
      </c>
      <c r="F411" s="2308"/>
      <c r="G411" s="2308"/>
      <c r="H411" s="2995"/>
      <c r="I411" s="2317"/>
      <c r="J411" s="2308"/>
      <c r="K411" s="2308"/>
      <c r="L411" s="2308"/>
      <c r="M411" s="2308"/>
      <c r="N411" s="2308"/>
      <c r="O411" s="2308"/>
      <c r="P411" s="2308"/>
      <c r="Q411" s="2308"/>
      <c r="R411" s="2375">
        <v>2</v>
      </c>
      <c r="S411" s="3006" t="s">
        <v>1226</v>
      </c>
      <c r="T411" s="2375" t="str">
        <f t="shared" si="213"/>
        <v>Probabilidad</v>
      </c>
      <c r="U411" s="2366" t="s">
        <v>207</v>
      </c>
      <c r="V411" s="2366" t="s">
        <v>201</v>
      </c>
      <c r="W411" s="2369" t="str">
        <f t="shared" si="208"/>
        <v>40%</v>
      </c>
      <c r="X411" s="2366" t="s">
        <v>208</v>
      </c>
      <c r="Y411" s="2366" t="s">
        <v>203</v>
      </c>
      <c r="Z411" s="2366" t="s">
        <v>204</v>
      </c>
      <c r="AA411" s="2367">
        <f>IFERROR(IF(AND(T410="Probabilidad",T411="Probabilidad"),(AC410-(+AC410*W411)),IF(AND(T410="Impacto",T411="Probabilidad"),(L410-(+L410*W411)),IF(T411="Impacto",AC410,""))),"")</f>
        <v>0.216</v>
      </c>
      <c r="AB411" s="2368" t="str">
        <f t="shared" si="209"/>
        <v>Baja</v>
      </c>
      <c r="AC411" s="2369">
        <f t="shared" si="210"/>
        <v>0.216</v>
      </c>
      <c r="AD411" s="2368" t="str">
        <f t="shared" si="211"/>
        <v>Menor</v>
      </c>
      <c r="AE411" s="2369">
        <f>IFERROR(IF(AND(T410="Impacto",T411="Impacto"),(AE410-(+AE410*W411)),IF(AND(T410="Probabilidad",T411="Impacto"),(P410-(+P410*W411)),IF(T411="Probabilidad",AE410,""))),"")</f>
        <v>0.4</v>
      </c>
      <c r="AF411" s="2372" t="str">
        <f t="shared" si="212"/>
        <v>Moderado</v>
      </c>
      <c r="AG411" s="2366" t="s">
        <v>205</v>
      </c>
      <c r="AH411" s="2982"/>
      <c r="AI411" s="2981" t="s">
        <v>932</v>
      </c>
      <c r="AJ411" s="3011">
        <v>45293</v>
      </c>
      <c r="AK411" s="3011">
        <v>45534</v>
      </c>
      <c r="AL411" s="3036"/>
      <c r="AM411" s="2375" t="s">
        <v>206</v>
      </c>
    </row>
    <row r="412" spans="1:39" ht="15.6" customHeight="1" x14ac:dyDescent="0.3">
      <c r="A412" s="2308"/>
      <c r="B412" s="2308"/>
      <c r="C412" s="2308"/>
      <c r="D412" s="2381"/>
      <c r="E412" s="2982"/>
      <c r="F412" s="2308"/>
      <c r="G412" s="2308"/>
      <c r="H412" s="2995"/>
      <c r="I412" s="2317"/>
      <c r="J412" s="2308"/>
      <c r="K412" s="2308"/>
      <c r="L412" s="2308"/>
      <c r="M412" s="2308"/>
      <c r="N412" s="2308"/>
      <c r="O412" s="2308"/>
      <c r="P412" s="2308"/>
      <c r="Q412" s="2308"/>
      <c r="R412" s="3004"/>
      <c r="S412" s="3007"/>
      <c r="T412" s="3004"/>
      <c r="U412" s="2997"/>
      <c r="V412" s="2997"/>
      <c r="W412" s="3002"/>
      <c r="X412" s="2997"/>
      <c r="Y412" s="2997"/>
      <c r="Z412" s="2997"/>
      <c r="AA412" s="3019"/>
      <c r="AB412" s="2990"/>
      <c r="AC412" s="3002"/>
      <c r="AD412" s="2990"/>
      <c r="AE412" s="3002"/>
      <c r="AF412" s="3009"/>
      <c r="AG412" s="2997"/>
      <c r="AH412" s="2982"/>
      <c r="AI412" s="2982"/>
      <c r="AJ412" s="3012"/>
      <c r="AK412" s="3012"/>
      <c r="AL412" s="3036"/>
      <c r="AM412" s="3004"/>
    </row>
    <row r="413" spans="1:39" ht="15.6" customHeight="1" x14ac:dyDescent="0.3">
      <c r="A413" s="2308"/>
      <c r="B413" s="2308"/>
      <c r="C413" s="2308"/>
      <c r="D413" s="2381"/>
      <c r="E413" s="2982"/>
      <c r="F413" s="2308"/>
      <c r="G413" s="2308"/>
      <c r="H413" s="2995"/>
      <c r="I413" s="2317"/>
      <c r="J413" s="2308"/>
      <c r="K413" s="2308"/>
      <c r="L413" s="2308"/>
      <c r="M413" s="2308"/>
      <c r="N413" s="2308"/>
      <c r="O413" s="2308"/>
      <c r="P413" s="2308"/>
      <c r="Q413" s="2308"/>
      <c r="R413" s="3004"/>
      <c r="S413" s="3007"/>
      <c r="T413" s="3004"/>
      <c r="U413" s="2997"/>
      <c r="V413" s="2997"/>
      <c r="W413" s="3002"/>
      <c r="X413" s="2997"/>
      <c r="Y413" s="2997"/>
      <c r="Z413" s="2997"/>
      <c r="AA413" s="3019"/>
      <c r="AB413" s="2990"/>
      <c r="AC413" s="3002"/>
      <c r="AD413" s="2990"/>
      <c r="AE413" s="3002"/>
      <c r="AF413" s="3009"/>
      <c r="AG413" s="2997"/>
      <c r="AH413" s="2982"/>
      <c r="AI413" s="2982"/>
      <c r="AJ413" s="3012"/>
      <c r="AK413" s="3012"/>
      <c r="AL413" s="3036"/>
      <c r="AM413" s="3004"/>
    </row>
    <row r="414" spans="1:39" ht="15.6" customHeight="1" x14ac:dyDescent="0.3">
      <c r="A414" s="2308"/>
      <c r="B414" s="2308"/>
      <c r="C414" s="2308"/>
      <c r="D414" s="2381"/>
      <c r="E414" s="2982"/>
      <c r="F414" s="2308"/>
      <c r="G414" s="2308"/>
      <c r="H414" s="2995"/>
      <c r="I414" s="2317"/>
      <c r="J414" s="2308"/>
      <c r="K414" s="2308"/>
      <c r="L414" s="2308"/>
      <c r="M414" s="2308"/>
      <c r="N414" s="2308"/>
      <c r="O414" s="2308"/>
      <c r="P414" s="2308"/>
      <c r="Q414" s="2308"/>
      <c r="R414" s="3004"/>
      <c r="S414" s="3007"/>
      <c r="T414" s="3004"/>
      <c r="U414" s="2997"/>
      <c r="V414" s="2997"/>
      <c r="W414" s="3002"/>
      <c r="X414" s="2997"/>
      <c r="Y414" s="2997"/>
      <c r="Z414" s="2997"/>
      <c r="AA414" s="3019"/>
      <c r="AB414" s="2990"/>
      <c r="AC414" s="3002"/>
      <c r="AD414" s="2990"/>
      <c r="AE414" s="3002"/>
      <c r="AF414" s="3009"/>
      <c r="AG414" s="2997"/>
      <c r="AH414" s="2982"/>
      <c r="AI414" s="2982"/>
      <c r="AJ414" s="3012"/>
      <c r="AK414" s="3012"/>
      <c r="AL414" s="3036"/>
      <c r="AM414" s="3004"/>
    </row>
    <row r="415" spans="1:39" ht="307.2" customHeight="1" x14ac:dyDescent="0.3">
      <c r="A415" s="2306"/>
      <c r="B415" s="2306"/>
      <c r="C415" s="2306"/>
      <c r="D415" s="2333"/>
      <c r="E415" s="2983"/>
      <c r="F415" s="2306"/>
      <c r="G415" s="2306"/>
      <c r="H415" s="2996"/>
      <c r="I415" s="2318"/>
      <c r="J415" s="2306"/>
      <c r="K415" s="2306"/>
      <c r="L415" s="2306"/>
      <c r="M415" s="2306"/>
      <c r="N415" s="2306"/>
      <c r="O415" s="2306"/>
      <c r="P415" s="2306"/>
      <c r="Q415" s="2306"/>
      <c r="R415" s="3005"/>
      <c r="S415" s="3008"/>
      <c r="T415" s="3005"/>
      <c r="U415" s="2998"/>
      <c r="V415" s="2998"/>
      <c r="W415" s="3003"/>
      <c r="X415" s="2998"/>
      <c r="Y415" s="2998"/>
      <c r="Z415" s="2998"/>
      <c r="AA415" s="3020"/>
      <c r="AB415" s="2991"/>
      <c r="AC415" s="3002"/>
      <c r="AD415" s="2991"/>
      <c r="AE415" s="3002"/>
      <c r="AF415" s="3010"/>
      <c r="AG415" s="2997"/>
      <c r="AH415" s="2983"/>
      <c r="AI415" s="2983"/>
      <c r="AJ415" s="3013"/>
      <c r="AK415" s="3013"/>
      <c r="AL415" s="3037"/>
      <c r="AM415" s="3005"/>
    </row>
    <row r="417" spans="1:39" x14ac:dyDescent="0.3">
      <c r="A417" s="3038" t="s">
        <v>156</v>
      </c>
      <c r="B417" s="3039"/>
      <c r="C417" s="3039"/>
      <c r="D417" s="3039"/>
      <c r="E417" s="3039"/>
      <c r="F417" s="3039"/>
      <c r="G417" s="3039"/>
      <c r="H417" s="3039"/>
      <c r="I417" s="3039"/>
      <c r="J417" s="3039"/>
      <c r="K417" s="3039"/>
      <c r="L417" s="3039"/>
      <c r="M417" s="3039"/>
      <c r="N417" s="3039"/>
      <c r="O417" s="3039"/>
      <c r="P417" s="3039"/>
      <c r="Q417" s="3039"/>
      <c r="R417" s="3039"/>
      <c r="S417" s="3039"/>
      <c r="T417" s="3039"/>
      <c r="U417" s="3039"/>
      <c r="V417" s="3039"/>
      <c r="W417" s="3039"/>
      <c r="X417" s="3039"/>
      <c r="Y417" s="3039"/>
      <c r="Z417" s="3039"/>
      <c r="AA417" s="3039"/>
      <c r="AB417" s="3039"/>
      <c r="AC417" s="3039"/>
      <c r="AD417" s="3039"/>
      <c r="AE417" s="3039"/>
      <c r="AF417" s="3039"/>
      <c r="AG417" s="3039"/>
      <c r="AH417" s="3039"/>
      <c r="AI417" s="3039"/>
      <c r="AJ417" s="3039"/>
      <c r="AK417" s="3039"/>
      <c r="AL417" s="3039"/>
      <c r="AM417" s="3040"/>
    </row>
    <row r="418" spans="1:39" x14ac:dyDescent="0.3">
      <c r="A418" s="3041"/>
      <c r="B418" s="3042"/>
      <c r="C418" s="3042"/>
      <c r="D418" s="3042"/>
      <c r="E418" s="3042"/>
      <c r="F418" s="3042"/>
      <c r="G418" s="3042"/>
      <c r="H418" s="3042"/>
      <c r="I418" s="3042"/>
      <c r="J418" s="3042"/>
      <c r="K418" s="3042"/>
      <c r="L418" s="3042"/>
      <c r="M418" s="3042"/>
      <c r="N418" s="3042"/>
      <c r="O418" s="3042"/>
      <c r="P418" s="3042"/>
      <c r="Q418" s="3042"/>
      <c r="R418" s="3042"/>
      <c r="S418" s="3042"/>
      <c r="T418" s="3042"/>
      <c r="U418" s="3042"/>
      <c r="V418" s="3042"/>
      <c r="W418" s="3042"/>
      <c r="X418" s="3042"/>
      <c r="Y418" s="3042"/>
      <c r="Z418" s="3042"/>
      <c r="AA418" s="3042"/>
      <c r="AB418" s="3042"/>
      <c r="AC418" s="3042"/>
      <c r="AD418" s="3042"/>
      <c r="AE418" s="3042"/>
      <c r="AF418" s="3042"/>
      <c r="AG418" s="3042"/>
      <c r="AH418" s="3042"/>
      <c r="AI418" s="3042"/>
      <c r="AJ418" s="3042"/>
      <c r="AK418" s="3042"/>
      <c r="AL418" s="3042"/>
      <c r="AM418" s="3043"/>
    </row>
    <row r="419" spans="1:39" x14ac:dyDescent="0.3">
      <c r="A419" s="954"/>
      <c r="B419" s="954"/>
      <c r="C419" s="954"/>
      <c r="D419" s="954"/>
      <c r="E419" s="954"/>
      <c r="F419" s="954"/>
      <c r="G419" s="954"/>
      <c r="H419" s="954"/>
      <c r="I419" s="954"/>
      <c r="J419" s="954"/>
      <c r="K419" s="954"/>
      <c r="L419" s="954"/>
      <c r="M419" s="954"/>
      <c r="N419" s="954"/>
      <c r="O419" s="954"/>
      <c r="P419" s="954"/>
      <c r="Q419" s="954"/>
      <c r="R419" s="954"/>
      <c r="S419" s="954"/>
      <c r="T419" s="954"/>
      <c r="U419" s="954"/>
      <c r="V419" s="954"/>
      <c r="W419" s="954"/>
      <c r="X419" s="954"/>
      <c r="Y419" s="954"/>
      <c r="Z419" s="954"/>
      <c r="AA419" s="954"/>
      <c r="AB419" s="954"/>
      <c r="AC419" s="954"/>
      <c r="AD419" s="954"/>
      <c r="AE419" s="954"/>
      <c r="AF419" s="954"/>
      <c r="AG419" s="954"/>
      <c r="AH419" s="954"/>
      <c r="AI419" s="954"/>
      <c r="AJ419" s="954"/>
      <c r="AK419" s="954"/>
      <c r="AL419" s="954"/>
      <c r="AM419" s="954"/>
    </row>
    <row r="420" spans="1:39" ht="23.4" x14ac:dyDescent="0.3">
      <c r="A420" s="3044" t="s">
        <v>157</v>
      </c>
      <c r="B420" s="3045"/>
      <c r="C420" s="3046" t="s">
        <v>218</v>
      </c>
      <c r="D420" s="3046"/>
      <c r="E420" s="3046"/>
      <c r="F420" s="3046"/>
      <c r="G420" s="3046"/>
      <c r="H420" s="3046"/>
      <c r="I420" s="3046"/>
      <c r="J420" s="3046"/>
      <c r="K420" s="3046"/>
      <c r="L420" s="3046"/>
      <c r="M420" s="3046"/>
      <c r="N420" s="3046"/>
      <c r="O420" s="3046"/>
      <c r="P420" s="3046"/>
      <c r="Q420" s="3046"/>
      <c r="R420" s="3046"/>
      <c r="S420" s="3046"/>
      <c r="T420" s="3046"/>
      <c r="U420" s="3046"/>
      <c r="V420" s="3046"/>
      <c r="W420" s="3046"/>
      <c r="X420" s="3046"/>
      <c r="Y420" s="3046"/>
      <c r="Z420" s="3046"/>
      <c r="AA420" s="3046"/>
      <c r="AB420" s="3046"/>
      <c r="AC420" s="3046"/>
      <c r="AD420" s="3046"/>
      <c r="AE420" s="3046"/>
      <c r="AF420" s="3046"/>
      <c r="AG420" s="3046"/>
      <c r="AH420" s="3046"/>
      <c r="AI420" s="3046"/>
      <c r="AJ420" s="3046"/>
      <c r="AK420" s="3046"/>
      <c r="AL420" s="3046"/>
      <c r="AM420" s="3046"/>
    </row>
    <row r="421" spans="1:39" ht="23.4" x14ac:dyDescent="0.3">
      <c r="A421" s="3044" t="s">
        <v>158</v>
      </c>
      <c r="B421" s="3045"/>
      <c r="C421" s="3046" t="s">
        <v>219</v>
      </c>
      <c r="D421" s="3046"/>
      <c r="E421" s="3046"/>
      <c r="F421" s="3046"/>
      <c r="G421" s="3046"/>
      <c r="H421" s="3046"/>
      <c r="I421" s="3046"/>
      <c r="J421" s="3046"/>
      <c r="K421" s="3046"/>
      <c r="L421" s="3046"/>
      <c r="M421" s="3046"/>
      <c r="N421" s="3046"/>
      <c r="O421" s="3046"/>
      <c r="P421" s="3046"/>
      <c r="Q421" s="3046"/>
      <c r="R421" s="3046"/>
      <c r="S421" s="3046"/>
      <c r="T421" s="3046"/>
      <c r="U421" s="3046"/>
      <c r="V421" s="3046"/>
      <c r="W421" s="3046"/>
      <c r="X421" s="3046"/>
      <c r="Y421" s="3046"/>
      <c r="Z421" s="3046"/>
      <c r="AA421" s="3046"/>
      <c r="AB421" s="3046"/>
      <c r="AC421" s="3046"/>
      <c r="AD421" s="3046"/>
      <c r="AE421" s="3046"/>
      <c r="AF421" s="3046"/>
      <c r="AG421" s="3046"/>
      <c r="AH421" s="3046"/>
      <c r="AI421" s="3046"/>
      <c r="AJ421" s="3046"/>
      <c r="AK421" s="3046"/>
      <c r="AL421" s="3046"/>
      <c r="AM421" s="3046"/>
    </row>
    <row r="422" spans="1:39" ht="23.4" x14ac:dyDescent="0.3">
      <c r="A422" s="3044" t="s">
        <v>159</v>
      </c>
      <c r="B422" s="3045"/>
      <c r="C422" s="3046" t="s">
        <v>220</v>
      </c>
      <c r="D422" s="3046"/>
      <c r="E422" s="3046"/>
      <c r="F422" s="3046"/>
      <c r="G422" s="3046"/>
      <c r="H422" s="3046"/>
      <c r="I422" s="3046"/>
      <c r="J422" s="3046"/>
      <c r="K422" s="3046"/>
      <c r="L422" s="3046"/>
      <c r="M422" s="3046"/>
      <c r="N422" s="3046"/>
      <c r="O422" s="3046"/>
      <c r="P422" s="3046"/>
      <c r="Q422" s="3046"/>
      <c r="R422" s="3046"/>
      <c r="S422" s="3046"/>
      <c r="T422" s="3046"/>
      <c r="U422" s="3046"/>
      <c r="V422" s="3046"/>
      <c r="W422" s="3046"/>
      <c r="X422" s="3046"/>
      <c r="Y422" s="3046"/>
      <c r="Z422" s="3046"/>
      <c r="AA422" s="3046"/>
      <c r="AB422" s="3046"/>
      <c r="AC422" s="3046"/>
      <c r="AD422" s="3046"/>
      <c r="AE422" s="3046"/>
      <c r="AF422" s="3046"/>
      <c r="AG422" s="3046"/>
      <c r="AH422" s="3046"/>
      <c r="AI422" s="3046"/>
      <c r="AJ422" s="3046"/>
      <c r="AK422" s="3046"/>
      <c r="AL422" s="3046"/>
      <c r="AM422" s="3046"/>
    </row>
    <row r="423" spans="1:39" x14ac:dyDescent="0.3">
      <c r="A423" s="3047" t="s">
        <v>160</v>
      </c>
      <c r="B423" s="3048"/>
      <c r="C423" s="3049"/>
      <c r="D423" s="3049"/>
      <c r="E423" s="3049"/>
      <c r="F423" s="3049"/>
      <c r="G423" s="3049"/>
      <c r="H423" s="3049"/>
      <c r="I423" s="3049"/>
      <c r="J423" s="3050"/>
      <c r="K423" s="3027" t="s">
        <v>161</v>
      </c>
      <c r="L423" s="3049"/>
      <c r="M423" s="3049"/>
      <c r="N423" s="3049"/>
      <c r="O423" s="3049"/>
      <c r="P423" s="3049"/>
      <c r="Q423" s="3050"/>
      <c r="R423" s="3027" t="s">
        <v>162</v>
      </c>
      <c r="S423" s="3049"/>
      <c r="T423" s="3049"/>
      <c r="U423" s="3049"/>
      <c r="V423" s="3049"/>
      <c r="W423" s="3049"/>
      <c r="X423" s="3049"/>
      <c r="Y423" s="3049"/>
      <c r="Z423" s="3050"/>
      <c r="AA423" s="3027" t="s">
        <v>163</v>
      </c>
      <c r="AB423" s="3049"/>
      <c r="AC423" s="3049"/>
      <c r="AD423" s="3049"/>
      <c r="AE423" s="3049"/>
      <c r="AF423" s="3049"/>
      <c r="AG423" s="3050"/>
      <c r="AH423" s="3027" t="s">
        <v>164</v>
      </c>
      <c r="AI423" s="3049"/>
      <c r="AJ423" s="3049"/>
      <c r="AK423" s="3049"/>
      <c r="AL423" s="3049"/>
      <c r="AM423" s="3050"/>
    </row>
    <row r="424" spans="1:39" x14ac:dyDescent="0.3">
      <c r="A424" s="3087" t="s">
        <v>165</v>
      </c>
      <c r="B424" s="3089" t="s">
        <v>142</v>
      </c>
      <c r="C424" s="3025" t="s">
        <v>166</v>
      </c>
      <c r="D424" s="3025" t="s">
        <v>167</v>
      </c>
      <c r="E424" s="3028" t="s">
        <v>168</v>
      </c>
      <c r="F424" s="3090" t="s">
        <v>60</v>
      </c>
      <c r="G424" s="955"/>
      <c r="H424" s="955"/>
      <c r="I424" s="3028" t="s">
        <v>169</v>
      </c>
      <c r="J424" s="3025" t="s">
        <v>170</v>
      </c>
      <c r="K424" s="3024" t="s">
        <v>171</v>
      </c>
      <c r="L424" s="3026" t="s">
        <v>172</v>
      </c>
      <c r="M424" s="3028" t="s">
        <v>173</v>
      </c>
      <c r="N424" s="3028" t="s">
        <v>174</v>
      </c>
      <c r="O424" s="3029" t="s">
        <v>175</v>
      </c>
      <c r="P424" s="3026" t="s">
        <v>172</v>
      </c>
      <c r="Q424" s="3025" t="s">
        <v>176</v>
      </c>
      <c r="R424" s="3031" t="s">
        <v>177</v>
      </c>
      <c r="S424" s="3030" t="s">
        <v>178</v>
      </c>
      <c r="T424" s="3028" t="s">
        <v>179</v>
      </c>
      <c r="U424" s="3030" t="s">
        <v>180</v>
      </c>
      <c r="V424" s="3030"/>
      <c r="W424" s="3030"/>
      <c r="X424" s="3030"/>
      <c r="Y424" s="3030"/>
      <c r="Z424" s="3030"/>
      <c r="AA424" s="3054" t="s">
        <v>181</v>
      </c>
      <c r="AB424" s="3054" t="s">
        <v>182</v>
      </c>
      <c r="AC424" s="3054" t="s">
        <v>172</v>
      </c>
      <c r="AD424" s="3054" t="s">
        <v>183</v>
      </c>
      <c r="AE424" s="3054" t="s">
        <v>172</v>
      </c>
      <c r="AF424" s="3054" t="s">
        <v>184</v>
      </c>
      <c r="AG424" s="3031" t="s">
        <v>185</v>
      </c>
      <c r="AH424" s="3030" t="s">
        <v>164</v>
      </c>
      <c r="AI424" s="3030" t="s">
        <v>143</v>
      </c>
      <c r="AJ424" s="3030" t="s">
        <v>186</v>
      </c>
      <c r="AK424" s="3030" t="s">
        <v>187</v>
      </c>
      <c r="AL424" s="3055" t="s">
        <v>1227</v>
      </c>
      <c r="AM424" s="3030" t="s">
        <v>189</v>
      </c>
    </row>
    <row r="425" spans="1:39" ht="71.400000000000006" x14ac:dyDescent="0.3">
      <c r="A425" s="3088"/>
      <c r="B425" s="3089"/>
      <c r="C425" s="3030"/>
      <c r="D425" s="3030"/>
      <c r="E425" s="3024"/>
      <c r="F425" s="3091"/>
      <c r="G425" s="955" t="s">
        <v>952</v>
      </c>
      <c r="H425" s="955" t="s">
        <v>190</v>
      </c>
      <c r="I425" s="3025"/>
      <c r="J425" s="3030"/>
      <c r="K425" s="3025"/>
      <c r="L425" s="3027"/>
      <c r="M425" s="3025"/>
      <c r="N425" s="3025"/>
      <c r="O425" s="3027"/>
      <c r="P425" s="3027"/>
      <c r="Q425" s="3030"/>
      <c r="R425" s="3032"/>
      <c r="S425" s="3030"/>
      <c r="T425" s="3025"/>
      <c r="U425" s="956" t="s">
        <v>191</v>
      </c>
      <c r="V425" s="956" t="s">
        <v>192</v>
      </c>
      <c r="W425" s="956" t="s">
        <v>193</v>
      </c>
      <c r="X425" s="956" t="s">
        <v>194</v>
      </c>
      <c r="Y425" s="956" t="s">
        <v>195</v>
      </c>
      <c r="Z425" s="956" t="s">
        <v>196</v>
      </c>
      <c r="AA425" s="3054"/>
      <c r="AB425" s="3054"/>
      <c r="AC425" s="3054"/>
      <c r="AD425" s="3054"/>
      <c r="AE425" s="3054"/>
      <c r="AF425" s="3054"/>
      <c r="AG425" s="3032"/>
      <c r="AH425" s="3030"/>
      <c r="AI425" s="3030"/>
      <c r="AJ425" s="3030"/>
      <c r="AK425" s="3030"/>
      <c r="AL425" s="3055"/>
      <c r="AM425" s="3030"/>
    </row>
    <row r="426" spans="1:39" ht="310.8" customHeight="1" x14ac:dyDescent="0.3">
      <c r="A426" s="3056">
        <v>1</v>
      </c>
      <c r="B426" s="3059" t="s">
        <v>197</v>
      </c>
      <c r="C426" s="3059" t="s">
        <v>221</v>
      </c>
      <c r="D426" s="3062" t="s">
        <v>222</v>
      </c>
      <c r="E426" s="958" t="s">
        <v>953</v>
      </c>
      <c r="F426" s="3065" t="s">
        <v>223</v>
      </c>
      <c r="G426" s="3066" t="s">
        <v>512</v>
      </c>
      <c r="H426" s="3065" t="s">
        <v>224</v>
      </c>
      <c r="I426" s="3069" t="s">
        <v>198</v>
      </c>
      <c r="J426" s="3072">
        <v>24</v>
      </c>
      <c r="K426" s="3075" t="str">
        <f>IF(J426&lt;=0,"",IF(J426&lt;=2,"Muy Baja",IF(J426&lt;=24,"Baja",IF(J426&lt;=500,"Media",IF(J426&lt;=5000,"Alta","Muy Alta")))))</f>
        <v>Baja</v>
      </c>
      <c r="L426" s="3078">
        <f>IF(K426="","",IF(K426="Muy Baja",0.2,IF(K426="Baja",0.4,IF(K426="Media",0.6,IF(K426="Alta",0.8,IF(K426="Muy Alta",1,))))))</f>
        <v>0.4</v>
      </c>
      <c r="M426" s="3081" t="s">
        <v>225</v>
      </c>
      <c r="N426" s="3078" t="str">
        <f>IF(NOT(ISERROR(MATCH(M426,'[22]Tabla Impacto'!$B$221:$B$223,0))),'[22]Tabla Impacto'!$F$223&amp;"Por favor no seleccionar los criterios de impacto(Afectación Económica o presupuestal y Pérdida Reputacional)",M426)</f>
        <v xml:space="preserve">     El riesgo afecta la imagen de la entidad con algunos usuarios de relevancia frente al logro de los objetivos</v>
      </c>
      <c r="O426" s="3075" t="str">
        <f>IF(OR(N426='[22]Tabla Impacto'!$C$11,N426='[22]Tabla Impacto'!$D$11),"Leve",IF(OR(N426='[22]Tabla Impacto'!$C$12,N426='[22]Tabla Impacto'!$D$12),"Menor",IF(OR(N426='[22]Tabla Impacto'!$C$13,N426='[22]Tabla Impacto'!$D$13),"Moderado",IF(OR(N426='[22]Tabla Impacto'!$C$14,N426='[22]Tabla Impacto'!$D$14),"Mayor",IF(OR(N426='[22]Tabla Impacto'!$C$15,N426='[22]Tabla Impacto'!$D$15),"Catastrófico","")))))</f>
        <v>Moderado</v>
      </c>
      <c r="P426" s="3078">
        <f>IF(O426="","",IF(O426="Leve",0.2,IF(O426="Menor",0.4,IF(O426="Moderado",0.6,IF(O426="Mayor",0.8,IF(O426="Catastrófico",1,))))))</f>
        <v>0.6</v>
      </c>
      <c r="Q426" s="3084" t="str">
        <f>IF(OR(AND(K426="Muy Baja",O426="Leve"),AND(K426="Muy Baja",O426="Menor"),AND(K426="Baja",O426="Leve")),"Bajo",IF(OR(AND(K426="Muy baja",O426="Moderado"),AND(K426="Baja",O426="Menor"),AND(K426="Baja",O426="Moderado"),AND(K426="Media",O426="Leve"),AND(K426="Media",O426="Menor"),AND(K426="Media",O426="Moderado"),AND(K426="Alta",O426="Leve"),AND(K426="Alta",O426="Menor")),"Moderado",IF(OR(AND(K426="Muy Baja",O426="Mayor"),AND(K426="Baja",O426="Mayor"),AND(K426="Media",O426="Mayor"),AND(K426="Alta",O426="Moderado"),AND(K426="Alta",O426="Mayor"),AND(K426="Muy Alta",O426="Leve"),AND(K426="Muy Alta",O426="Menor"),AND(K426="Muy Alta",O426="Moderado"),AND(K426="Muy Alta",O426="Mayor")),"Alto",IF(OR(AND(K426="Muy Baja",O426="Catastrófico"),AND(K426="Baja",O426="Catastrófico"),AND(K426="Media",O426="Catastrófico"),AND(K426="Alta",O426="Catastrófico"),AND(K426="Muy Alta",O426="Catastrófico")),"Extremo",""))))</f>
        <v>Moderado</v>
      </c>
      <c r="R426" s="960">
        <v>1</v>
      </c>
      <c r="S426" s="961" t="s">
        <v>226</v>
      </c>
      <c r="T426" s="962" t="str">
        <f>IF(OR(U426="Preventivo",U426="Detectivo"),"Probabilidad",IF(U426="Correctivo","Impacto",""))</f>
        <v>Probabilidad</v>
      </c>
      <c r="U426" s="963" t="s">
        <v>207</v>
      </c>
      <c r="V426" s="963" t="s">
        <v>201</v>
      </c>
      <c r="W426" s="964" t="str">
        <f>IF(AND(U426="Preventivo",V426="Automático"),"50%",IF(AND(U426="Preventivo",V426="Manual"),"40%",IF(AND(U426="Detectivo",V426="Automático"),"40%",IF(AND(U426="Detectivo",V426="Manual"),"30%",IF(AND(U426="Correctivo",V426="Automático"),"35%",IF(AND(U426="Correctivo",V426="Manual"),"25%",""))))))</f>
        <v>40%</v>
      </c>
      <c r="X426" s="963" t="s">
        <v>208</v>
      </c>
      <c r="Y426" s="963" t="s">
        <v>203</v>
      </c>
      <c r="Z426" s="963" t="s">
        <v>204</v>
      </c>
      <c r="AA426" s="965">
        <f>IFERROR(IF(T426="Probabilidad",(L426-(+L426*W426)),IF(T426="Impacto",L426,"")),"")</f>
        <v>0.24</v>
      </c>
      <c r="AB426" s="966" t="str">
        <f>IFERROR(IF(AA426="","",IF(AA426&lt;=0.2,"Muy Baja",IF(AA426&lt;=0.4,"Baja",IF(AA426&lt;=0.6,"Media",IF(AA426&lt;=0.8,"Alta","Muy Alta"))))),"")</f>
        <v>Baja</v>
      </c>
      <c r="AC426" s="967">
        <f>+AA426</f>
        <v>0.24</v>
      </c>
      <c r="AD426" s="966" t="str">
        <f>IFERROR(IF(AE426="","",IF(AE426&lt;=0.2,"Leve",IF(AE426&lt;=0.4,"Menor",IF(AE426&lt;=0.6,"Moderado",IF(AE426&lt;=0.8,"Mayor","Catastrófico"))))),"")</f>
        <v>Moderado</v>
      </c>
      <c r="AE426" s="967">
        <f>IFERROR(IF(T426="Impacto",(P426-(+P426*W426)),IF(T426="Probabilidad",P426,"")),"")</f>
        <v>0.6</v>
      </c>
      <c r="AF426" s="3138" t="str">
        <f>IFERROR(IF(OR(AND(AB426="Muy Baja",AD426="Leve"),AND(AB426="Muy Baja",AD426="Menor"),AND(AB426="Baja",AD426="Leve")),"Bajo",IF(OR(AND(AB426="Muy baja",AD426="Moderado"),AND(AB426="Baja",AD426="Menor"),AND(AB426="Baja",AD426="Moderado"),AND(AB426="Media",AD426="Leve"),AND(AB426="Media",AD426="Menor"),AND(AB426="Media",AD426="Moderado"),AND(AB426="Alta",AD426="Leve"),AND(AB426="Alta",AD426="Menor")),"Moderado",IF(OR(AND(AB426="Muy Baja",AD426="Mayor"),AND(AB426="Baja",AD426="Mayor"),AND(AB426="Media",AD426="Mayor"),AND(AB426="Alta",AD426="Moderado"),AND(AB426="Alta",AD426="Mayor"),AND(AB426="Muy Alta",AD426="Leve"),AND(AB426="Muy Alta",AD426="Menor"),AND(AB426="Muy Alta",AD426="Moderado"),AND(AB426="Muy Alta",AD426="Mayor")),"Alto",IF(OR(AND(AB426="Muy Baja",AD426="Catastrófico"),AND(AB426="Baja",AD426="Catastrófico"),AND(AB426="Media",AD426="Catastrófico"),AND(AB426="Alta",AD426="Catastrófico"),AND(AB426="Muy Alta",AD426="Catastrófico")),"Extremo","")))),"")</f>
        <v>Moderado</v>
      </c>
      <c r="AG426" s="3141" t="s">
        <v>205</v>
      </c>
      <c r="AH426" s="969" t="s">
        <v>954</v>
      </c>
      <c r="AI426" s="969" t="s">
        <v>227</v>
      </c>
      <c r="AJ426" s="970" t="s">
        <v>955</v>
      </c>
      <c r="AK426" s="970" t="s">
        <v>956</v>
      </c>
      <c r="AL426" s="971" t="s">
        <v>1228</v>
      </c>
      <c r="AM426" s="730" t="s">
        <v>958</v>
      </c>
    </row>
    <row r="427" spans="1:39" ht="312" customHeight="1" x14ac:dyDescent="0.3">
      <c r="A427" s="3057"/>
      <c r="B427" s="3060"/>
      <c r="C427" s="3060"/>
      <c r="D427" s="3063"/>
      <c r="E427" s="958" t="s">
        <v>959</v>
      </c>
      <c r="F427" s="3065"/>
      <c r="G427" s="3067"/>
      <c r="H427" s="3065"/>
      <c r="I427" s="3070"/>
      <c r="J427" s="3073"/>
      <c r="K427" s="3076"/>
      <c r="L427" s="3079"/>
      <c r="M427" s="3082"/>
      <c r="N427" s="3079">
        <f>IF(NOT(ISERROR(MATCH(M427,_xlfn.ANCHORARRAY(F438),0))),L440&amp;"Por favor no seleccionar los criterios de impacto",M427)</f>
        <v>0</v>
      </c>
      <c r="O427" s="3076"/>
      <c r="P427" s="3079"/>
      <c r="Q427" s="3085"/>
      <c r="R427" s="960">
        <v>2</v>
      </c>
      <c r="S427" s="972" t="s">
        <v>960</v>
      </c>
      <c r="T427" s="962" t="str">
        <f>IF(OR(U427="Preventivo",U427="Detectivo"),"Probabilidad",IF(U427="Correctivo","Impacto",""))</f>
        <v>Probabilidad</v>
      </c>
      <c r="U427" s="963" t="s">
        <v>207</v>
      </c>
      <c r="V427" s="963" t="s">
        <v>201</v>
      </c>
      <c r="W427" s="964" t="str">
        <f t="shared" ref="W427:W429" si="214">IF(AND(U427="Preventivo",V427="Automático"),"50%",IF(AND(U427="Preventivo",V427="Manual"),"40%",IF(AND(U427="Detectivo",V427="Automático"),"40%",IF(AND(U427="Detectivo",V427="Manual"),"30%",IF(AND(U427="Correctivo",V427="Automático"),"35%",IF(AND(U427="Correctivo",V427="Manual"),"25%",""))))))</f>
        <v>40%</v>
      </c>
      <c r="X427" s="963" t="s">
        <v>208</v>
      </c>
      <c r="Y427" s="963" t="s">
        <v>203</v>
      </c>
      <c r="Z427" s="963" t="s">
        <v>204</v>
      </c>
      <c r="AA427" s="965">
        <f>IFERROR(IF(AND(T426="Probabilidad",T427="Probabilidad"),(AC426-(+AC426*W427)),IF(AND(T426="Impacto",T427="Probabilidad"),(L426-(+L426*W427)),IF(T427="Impacto",AC426,""))),"")</f>
        <v>0.14399999999999999</v>
      </c>
      <c r="AB427" s="966" t="str">
        <f t="shared" ref="AB427:AB429" si="215">IFERROR(IF(AA427="","",IF(AA427&lt;=0.2,"Muy Baja",IF(AA427&lt;=0.4,"Baja",IF(AA427&lt;=0.6,"Media",IF(AA427&lt;=0.8,"Alta","Muy Alta"))))),"")</f>
        <v>Muy Baja</v>
      </c>
      <c r="AC427" s="967">
        <f>+AA427</f>
        <v>0.14399999999999999</v>
      </c>
      <c r="AD427" s="966" t="str">
        <f t="shared" ref="AD427:AD429" si="216">IFERROR(IF(AE427="","",IF(AE427&lt;=0.2,"Leve",IF(AE427&lt;=0.4,"Menor",IF(AE427&lt;=0.6,"Moderado",IF(AE427&lt;=0.8,"Mayor","Catastrófico"))))),"")</f>
        <v>Moderado</v>
      </c>
      <c r="AE427" s="967">
        <f>IFERROR(IF(AND(T426="Impacto",T427="Impacto"),(AE426-(+AE426*W427)),IF(AND(T426="Probabilidad",T427="Impacto"),(P426-(+P426*W427)),IF(T427="Probabilidad",AE426,""))),"")</f>
        <v>0.6</v>
      </c>
      <c r="AF427" s="3139"/>
      <c r="AG427" s="3142"/>
      <c r="AH427" s="961" t="s">
        <v>961</v>
      </c>
      <c r="AI427" s="961" t="s">
        <v>228</v>
      </c>
      <c r="AJ427" s="970" t="s">
        <v>962</v>
      </c>
      <c r="AK427" s="973" t="s">
        <v>956</v>
      </c>
      <c r="AL427" s="974" t="s">
        <v>1229</v>
      </c>
      <c r="AM427" s="730" t="s">
        <v>958</v>
      </c>
    </row>
    <row r="428" spans="1:39" ht="222" customHeight="1" x14ac:dyDescent="0.3">
      <c r="A428" s="3057"/>
      <c r="B428" s="3060"/>
      <c r="C428" s="3060"/>
      <c r="D428" s="3063"/>
      <c r="E428" s="975" t="s">
        <v>229</v>
      </c>
      <c r="F428" s="3065"/>
      <c r="G428" s="3067"/>
      <c r="H428" s="3065"/>
      <c r="I428" s="3070"/>
      <c r="J428" s="3073"/>
      <c r="K428" s="3076"/>
      <c r="L428" s="3079"/>
      <c r="M428" s="3082"/>
      <c r="N428" s="3079">
        <f>IF(NOT(ISERROR(MATCH(M428,_xlfn.ANCHORARRAY(F439),0))),L441&amp;"Por favor no seleccionar los criterios de impacto",M428)</f>
        <v>0</v>
      </c>
      <c r="O428" s="3076"/>
      <c r="P428" s="3079"/>
      <c r="Q428" s="3085"/>
      <c r="R428" s="960">
        <v>3</v>
      </c>
      <c r="S428" s="976" t="s">
        <v>964</v>
      </c>
      <c r="T428" s="962" t="str">
        <f t="shared" ref="T428:T429" si="217">IF(OR(U428="Preventivo",U428="Detectivo"),"Probabilidad",IF(U428="Correctivo","Impacto",""))</f>
        <v>Probabilidad</v>
      </c>
      <c r="U428" s="963" t="s">
        <v>207</v>
      </c>
      <c r="V428" s="963" t="s">
        <v>201</v>
      </c>
      <c r="W428" s="964" t="str">
        <f t="shared" si="214"/>
        <v>40%</v>
      </c>
      <c r="X428" s="963" t="s">
        <v>208</v>
      </c>
      <c r="Y428" s="963" t="s">
        <v>203</v>
      </c>
      <c r="Z428" s="963" t="s">
        <v>204</v>
      </c>
      <c r="AA428" s="965">
        <f>IFERROR(IF(AND(T427="Probabilidad",T428="Probabilidad"),(AC427-(+AC427*W428)),IF(AND(T427="Impacto",T428="Probabilidad"),(AC426-(+AC426*W428)),IF(T428="Impacto",AC427,""))),"")</f>
        <v>8.6399999999999991E-2</v>
      </c>
      <c r="AB428" s="966" t="str">
        <f t="shared" si="215"/>
        <v>Muy Baja</v>
      </c>
      <c r="AC428" s="967">
        <f t="shared" ref="AC428:AC429" si="218">+AA428</f>
        <v>8.6399999999999991E-2</v>
      </c>
      <c r="AD428" s="966" t="str">
        <f t="shared" si="216"/>
        <v>Moderado</v>
      </c>
      <c r="AE428" s="967">
        <f t="shared" ref="AE428:AE429" si="219">IFERROR(IF(AND(T427="Impacto",T428="Impacto"),(AE427-(+AE427*W428)),IF(AND(T427="Probabilidad",T428="Impacto"),(AE426-(+AE426*W428)),IF(T428="Probabilidad",AE427,""))),"")</f>
        <v>0.6</v>
      </c>
      <c r="AF428" s="3139"/>
      <c r="AG428" s="3142"/>
      <c r="AH428" s="961" t="s">
        <v>965</v>
      </c>
      <c r="AI428" s="961" t="s">
        <v>227</v>
      </c>
      <c r="AJ428" s="970" t="s">
        <v>966</v>
      </c>
      <c r="AK428" s="973" t="s">
        <v>956</v>
      </c>
      <c r="AL428" s="961" t="s">
        <v>1230</v>
      </c>
      <c r="AM428" s="730" t="s">
        <v>958</v>
      </c>
    </row>
    <row r="429" spans="1:39" ht="179.4" customHeight="1" x14ac:dyDescent="0.3">
      <c r="A429" s="3057"/>
      <c r="B429" s="3060"/>
      <c r="C429" s="3060"/>
      <c r="D429" s="3063"/>
      <c r="E429" s="975" t="s">
        <v>230</v>
      </c>
      <c r="F429" s="3065"/>
      <c r="G429" s="3068"/>
      <c r="H429" s="3065"/>
      <c r="I429" s="3070"/>
      <c r="J429" s="3073"/>
      <c r="K429" s="3076"/>
      <c r="L429" s="3079"/>
      <c r="M429" s="3082"/>
      <c r="N429" s="3079">
        <f>IF(NOT(ISERROR(MATCH(M429,_xlfn.ANCHORARRAY(F440),0))),L442&amp;"Por favor no seleccionar los criterios de impacto",M429)</f>
        <v>0</v>
      </c>
      <c r="O429" s="3076"/>
      <c r="P429" s="3079"/>
      <c r="Q429" s="3085"/>
      <c r="R429" s="3056">
        <v>4</v>
      </c>
      <c r="S429" s="3155" t="s">
        <v>231</v>
      </c>
      <c r="T429" s="3092" t="str">
        <f t="shared" si="217"/>
        <v>Probabilidad</v>
      </c>
      <c r="U429" s="3095" t="s">
        <v>207</v>
      </c>
      <c r="V429" s="3095" t="s">
        <v>201</v>
      </c>
      <c r="W429" s="3098" t="str">
        <f t="shared" si="214"/>
        <v>40%</v>
      </c>
      <c r="X429" s="3095" t="s">
        <v>208</v>
      </c>
      <c r="Y429" s="3095" t="s">
        <v>203</v>
      </c>
      <c r="Z429" s="3095" t="s">
        <v>204</v>
      </c>
      <c r="AA429" s="3101">
        <f t="shared" ref="AA429" si="220">IFERROR(IF(AND(T428="Probabilidad",T429="Probabilidad"),(AC428-(+AC428*W429)),IF(AND(T428="Impacto",T429="Probabilidad"),(AC427-(+AC427*W429)),IF(T429="Impacto",AC428,""))),"")</f>
        <v>5.183999999999999E-2</v>
      </c>
      <c r="AB429" s="3104" t="str">
        <f t="shared" si="215"/>
        <v>Muy Baja</v>
      </c>
      <c r="AC429" s="3098">
        <f t="shared" si="218"/>
        <v>5.183999999999999E-2</v>
      </c>
      <c r="AD429" s="3104" t="str">
        <f t="shared" si="216"/>
        <v>Moderado</v>
      </c>
      <c r="AE429" s="3098">
        <f t="shared" si="219"/>
        <v>0.6</v>
      </c>
      <c r="AF429" s="3139"/>
      <c r="AG429" s="3142"/>
      <c r="AH429" s="3107" t="s">
        <v>232</v>
      </c>
      <c r="AI429" s="3107" t="s">
        <v>233</v>
      </c>
      <c r="AJ429" s="3146" t="s">
        <v>968</v>
      </c>
      <c r="AK429" s="3149" t="s">
        <v>956</v>
      </c>
      <c r="AL429" s="3107" t="s">
        <v>1231</v>
      </c>
      <c r="AM429" s="2293" t="s">
        <v>958</v>
      </c>
    </row>
    <row r="430" spans="1:39" ht="15.6" x14ac:dyDescent="0.3">
      <c r="A430" s="3057"/>
      <c r="B430" s="3060"/>
      <c r="C430" s="3060"/>
      <c r="D430" s="3063"/>
      <c r="E430" s="977"/>
      <c r="F430" s="3065"/>
      <c r="G430" s="959"/>
      <c r="H430" s="3065"/>
      <c r="I430" s="3070"/>
      <c r="J430" s="3073"/>
      <c r="K430" s="3076"/>
      <c r="L430" s="3079"/>
      <c r="M430" s="3082"/>
      <c r="N430" s="3079">
        <f>IF(NOT(ISERROR(MATCH(M430,_xlfn.ANCHORARRAY(F441),0))),L443&amp;"Por favor no seleccionar los criterios de impacto",M430)</f>
        <v>0</v>
      </c>
      <c r="O430" s="3076"/>
      <c r="P430" s="3079"/>
      <c r="Q430" s="3085"/>
      <c r="R430" s="3057"/>
      <c r="S430" s="3156"/>
      <c r="T430" s="3093"/>
      <c r="U430" s="3096"/>
      <c r="V430" s="3096"/>
      <c r="W430" s="3099"/>
      <c r="X430" s="3096"/>
      <c r="Y430" s="3096"/>
      <c r="Z430" s="3096"/>
      <c r="AA430" s="3102"/>
      <c r="AB430" s="3105"/>
      <c r="AC430" s="3099"/>
      <c r="AD430" s="3105"/>
      <c r="AE430" s="3099"/>
      <c r="AF430" s="3139"/>
      <c r="AG430" s="3142"/>
      <c r="AH430" s="3108"/>
      <c r="AI430" s="3108"/>
      <c r="AJ430" s="3147"/>
      <c r="AK430" s="3150"/>
      <c r="AL430" s="3108"/>
      <c r="AM430" s="2294"/>
    </row>
    <row r="431" spans="1:39" ht="78.599999999999994" customHeight="1" x14ac:dyDescent="0.3">
      <c r="A431" s="3058"/>
      <c r="B431" s="3061"/>
      <c r="C431" s="3061"/>
      <c r="D431" s="3064"/>
      <c r="E431" s="977"/>
      <c r="F431" s="3065"/>
      <c r="G431" s="959"/>
      <c r="H431" s="3065"/>
      <c r="I431" s="3071"/>
      <c r="J431" s="3074"/>
      <c r="K431" s="3077"/>
      <c r="L431" s="3080"/>
      <c r="M431" s="3083"/>
      <c r="N431" s="3080">
        <f>IF(NOT(ISERROR(MATCH(M431,_xlfn.ANCHORARRAY(F442),0))),L444&amp;"Por favor no seleccionar los criterios de impacto",M431)</f>
        <v>0</v>
      </c>
      <c r="O431" s="3077"/>
      <c r="P431" s="3080"/>
      <c r="Q431" s="3086"/>
      <c r="R431" s="3058"/>
      <c r="S431" s="3157"/>
      <c r="T431" s="3094"/>
      <c r="U431" s="3097"/>
      <c r="V431" s="3097"/>
      <c r="W431" s="3100"/>
      <c r="X431" s="3097"/>
      <c r="Y431" s="3097"/>
      <c r="Z431" s="3097"/>
      <c r="AA431" s="3103"/>
      <c r="AB431" s="3106"/>
      <c r="AC431" s="3100"/>
      <c r="AD431" s="3106"/>
      <c r="AE431" s="3100"/>
      <c r="AF431" s="3140"/>
      <c r="AG431" s="3158"/>
      <c r="AH431" s="3109"/>
      <c r="AI431" s="3109"/>
      <c r="AJ431" s="3148"/>
      <c r="AK431" s="3151"/>
      <c r="AL431" s="3109"/>
      <c r="AM431" s="2971"/>
    </row>
    <row r="432" spans="1:39" ht="207" customHeight="1" x14ac:dyDescent="0.3">
      <c r="A432" s="3056">
        <v>2</v>
      </c>
      <c r="B432" s="3107" t="s">
        <v>197</v>
      </c>
      <c r="C432" s="3107" t="s">
        <v>234</v>
      </c>
      <c r="D432" s="3110" t="s">
        <v>235</v>
      </c>
      <c r="E432" s="3113" t="s">
        <v>970</v>
      </c>
      <c r="F432" s="3116" t="s">
        <v>236</v>
      </c>
      <c r="G432" s="3117" t="s">
        <v>512</v>
      </c>
      <c r="H432" s="3117" t="s">
        <v>237</v>
      </c>
      <c r="I432" s="3120" t="s">
        <v>198</v>
      </c>
      <c r="J432" s="3123">
        <v>4</v>
      </c>
      <c r="K432" s="3126" t="str">
        <f>IF(J432&lt;=0,"",IF(J432&lt;=2,"Muy Baja",IF(J432&lt;=24,"Baja",IF(J432&lt;=500,"Media",IF(J432&lt;=5000,"Alta","Muy Alta")))))</f>
        <v>Baja</v>
      </c>
      <c r="L432" s="3129">
        <f>IF(K432="","",IF(K432="Muy Baja",0.2,IF(K432="Baja",0.4,IF(K432="Media",0.6,IF(K432="Alta",0.8,IF(K432="Muy Alta",1,))))))</f>
        <v>0.4</v>
      </c>
      <c r="M432" s="3132" t="s">
        <v>225</v>
      </c>
      <c r="N432" s="3129" t="str">
        <f>IF(NOT(ISERROR(MATCH(M432,'[22]Tabla Impacto'!$B$221:$B$223,0))),'[22]Tabla Impacto'!$F$223&amp;"Por favor no seleccionar los criterios de impacto(Afectación Económica o presupuestal y Pérdida Reputacional)",M432)</f>
        <v xml:space="preserve">     El riesgo afecta la imagen de la entidad con algunos usuarios de relevancia frente al logro de los objetivos</v>
      </c>
      <c r="O432" s="3126" t="str">
        <f>IF(OR(N432='[22]Tabla Impacto'!$C$11,N432='[22]Tabla Impacto'!$D$11),"Leve",IF(OR(N432='[22]Tabla Impacto'!$C$12,N432='[22]Tabla Impacto'!$D$12),"Menor",IF(OR(N432='[22]Tabla Impacto'!$C$13,N432='[22]Tabla Impacto'!$D$13),"Moderado",IF(OR(N432='[22]Tabla Impacto'!$C$14,N432='[22]Tabla Impacto'!$D$14),"Mayor",IF(OR(N432='[22]Tabla Impacto'!$C$15,N432='[22]Tabla Impacto'!$D$15),"Catastrófico","")))))</f>
        <v>Moderado</v>
      </c>
      <c r="P432" s="3129">
        <f>IF(O432="","",IF(O432="Leve",0.2,IF(O432="Menor",0.4,IF(O432="Moderado",0.6,IF(O432="Mayor",0.8,IF(O432="Catastrófico",1,))))))</f>
        <v>0.6</v>
      </c>
      <c r="Q432" s="3135" t="str">
        <f>IF(OR(AND(K432="Muy Baja",O432="Leve"),AND(K432="Muy Baja",O432="Menor"),AND(K432="Baja",O432="Leve")),"Bajo",IF(OR(AND(K432="Muy baja",O432="Moderado"),AND(K432="Baja",O432="Menor"),AND(K432="Baja",O432="Moderado"),AND(K432="Media",O432="Leve"),AND(K432="Media",O432="Menor"),AND(K432="Media",O432="Moderado"),AND(K432="Alta",O432="Leve"),AND(K432="Alta",O432="Menor")),"Moderado",IF(OR(AND(K432="Muy Baja",O432="Mayor"),AND(K432="Baja",O432="Mayor"),AND(K432="Media",O432="Mayor"),AND(K432="Alta",O432="Moderado"),AND(K432="Alta",O432="Mayor"),AND(K432="Muy Alta",O432="Leve"),AND(K432="Muy Alta",O432="Menor"),AND(K432="Muy Alta",O432="Moderado"),AND(K432="Muy Alta",O432="Mayor")),"Alto",IF(OR(AND(K432="Muy Baja",O432="Catastrófico"),AND(K432="Baja",O432="Catastrófico"),AND(K432="Media",O432="Catastrófico"),AND(K432="Alta",O432="Catastrófico"),AND(K432="Muy Alta",O432="Catastrófico")),"Extremo",""))))</f>
        <v>Moderado</v>
      </c>
      <c r="R432" s="3056">
        <v>1</v>
      </c>
      <c r="S432" s="3155" t="s">
        <v>238</v>
      </c>
      <c r="T432" s="3092" t="str">
        <f>IF(OR(U432="Preventivo",U432="Detectivo"),"Probabilidad",IF(U432="Correctivo","Impacto",""))</f>
        <v>Probabilidad</v>
      </c>
      <c r="U432" s="3095" t="s">
        <v>207</v>
      </c>
      <c r="V432" s="3095" t="s">
        <v>201</v>
      </c>
      <c r="W432" s="3098" t="str">
        <f>IF(AND(U432="Preventivo",V432="Automático"),"50%",IF(AND(U432="Preventivo",V432="Manual"),"40%",IF(AND(U432="Detectivo",V432="Automático"),"40%",IF(AND(U432="Detectivo",V432="Manual"),"30%",IF(AND(U432="Correctivo",V432="Automático"),"35%",IF(AND(U432="Correctivo",V432="Manual"),"25%",""))))))</f>
        <v>40%</v>
      </c>
      <c r="X432" s="3095" t="s">
        <v>208</v>
      </c>
      <c r="Y432" s="3095" t="s">
        <v>203</v>
      </c>
      <c r="Z432" s="3095" t="s">
        <v>204</v>
      </c>
      <c r="AA432" s="3101">
        <f>IFERROR(IF(T432="Probabilidad",(L432-(+L432*W432)),IF(T432="Impacto",L432,"")),"")</f>
        <v>0.24</v>
      </c>
      <c r="AB432" s="3104" t="str">
        <f>IFERROR(IF(AA432="","",IF(AA432&lt;=0.2,"Muy Baja",IF(AA432&lt;=0.4,"Baja",IF(AA432&lt;=0.6,"Media",IF(AA432&lt;=0.8,"Alta","Muy Alta"))))),"")</f>
        <v>Baja</v>
      </c>
      <c r="AC432" s="3098">
        <f>+AA432</f>
        <v>0.24</v>
      </c>
      <c r="AD432" s="3104" t="str">
        <f>IFERROR(IF(AE432="","",IF(AE432&lt;=0.2,"Leve",IF(AE432&lt;=0.4,"Menor",IF(AE432&lt;=0.6,"Moderado",IF(AE432&lt;=0.8,"Mayor","Catastrófico"))))),"")</f>
        <v>Moderado</v>
      </c>
      <c r="AE432" s="3098">
        <f>IFERROR(IF(T432="Impacto",(P432-(+P432*W432)),IF(T432="Probabilidad",P432,"")),"")</f>
        <v>0.6</v>
      </c>
      <c r="AF432" s="3138" t="str">
        <f>IFERROR(IF(OR(AND(AB432="Muy Baja",AD432="Leve"),AND(AB432="Muy Baja",AD432="Menor"),AND(AB432="Baja",AD432="Leve")),"Bajo",IF(OR(AND(AB432="Muy baja",AD432="Moderado"),AND(AB432="Baja",AD432="Menor"),AND(AB432="Baja",AD432="Moderado"),AND(AB432="Media",AD432="Leve"),AND(AB432="Media",AD432="Menor"),AND(AB432="Media",AD432="Moderado"),AND(AB432="Alta",AD432="Leve"),AND(AB432="Alta",AD432="Menor")),"Moderado",IF(OR(AND(AB432="Muy Baja",AD432="Mayor"),AND(AB432="Baja",AD432="Mayor"),AND(AB432="Media",AD432="Mayor"),AND(AB432="Alta",AD432="Moderado"),AND(AB432="Alta",AD432="Mayor"),AND(AB432="Muy Alta",AD432="Leve"),AND(AB432="Muy Alta",AD432="Menor"),AND(AB432="Muy Alta",AD432="Moderado"),AND(AB432="Muy Alta",AD432="Mayor")),"Alto",IF(OR(AND(AB432="Muy Baja",AD432="Catastrófico"),AND(AB432="Baja",AD432="Catastrófico"),AND(AB432="Media",AD432="Catastrófico"),AND(AB432="Alta",AD432="Catastrófico"),AND(AB432="Muy Alta",AD432="Catastrófico")),"Extremo","")))),"")</f>
        <v>Moderado</v>
      </c>
      <c r="AG432" s="3141" t="s">
        <v>205</v>
      </c>
      <c r="AH432" s="3143" t="s">
        <v>971</v>
      </c>
      <c r="AI432" s="3107" t="s">
        <v>239</v>
      </c>
      <c r="AJ432" s="3146" t="s">
        <v>972</v>
      </c>
      <c r="AK432" s="3149" t="s">
        <v>956</v>
      </c>
      <c r="AL432" s="3152" t="s">
        <v>1232</v>
      </c>
      <c r="AM432" s="2293" t="s">
        <v>958</v>
      </c>
    </row>
    <row r="433" spans="1:39" ht="15.6" customHeight="1" x14ac:dyDescent="0.3">
      <c r="A433" s="3057"/>
      <c r="B433" s="3108"/>
      <c r="C433" s="3108"/>
      <c r="D433" s="3111"/>
      <c r="E433" s="3114"/>
      <c r="F433" s="3116"/>
      <c r="G433" s="3118"/>
      <c r="H433" s="3118"/>
      <c r="I433" s="3121"/>
      <c r="J433" s="3124"/>
      <c r="K433" s="3127"/>
      <c r="L433" s="3130"/>
      <c r="M433" s="3133"/>
      <c r="N433" s="3130">
        <f>IF(NOT(ISERROR(MATCH(M433,_xlfn.ANCHORARRAY(F444),0))),L446&amp;"Por favor no seleccionar los criterios de impacto",M433)</f>
        <v>0</v>
      </c>
      <c r="O433" s="3127"/>
      <c r="P433" s="3130"/>
      <c r="Q433" s="3136"/>
      <c r="R433" s="3057"/>
      <c r="S433" s="3156"/>
      <c r="T433" s="3093"/>
      <c r="U433" s="3096"/>
      <c r="V433" s="3096"/>
      <c r="W433" s="3099"/>
      <c r="X433" s="3096"/>
      <c r="Y433" s="3096"/>
      <c r="Z433" s="3096"/>
      <c r="AA433" s="3102"/>
      <c r="AB433" s="3105"/>
      <c r="AC433" s="3099"/>
      <c r="AD433" s="3105"/>
      <c r="AE433" s="3099"/>
      <c r="AF433" s="3139"/>
      <c r="AG433" s="3142"/>
      <c r="AH433" s="3144"/>
      <c r="AI433" s="3108"/>
      <c r="AJ433" s="3147"/>
      <c r="AK433" s="3150"/>
      <c r="AL433" s="3153"/>
      <c r="AM433" s="2294"/>
    </row>
    <row r="434" spans="1:39" ht="15.6" customHeight="1" x14ac:dyDescent="0.3">
      <c r="A434" s="3057"/>
      <c r="B434" s="3108"/>
      <c r="C434" s="3108"/>
      <c r="D434" s="3111"/>
      <c r="E434" s="3114"/>
      <c r="F434" s="3116"/>
      <c r="G434" s="3118"/>
      <c r="H434" s="3118"/>
      <c r="I434" s="3121"/>
      <c r="J434" s="3124"/>
      <c r="K434" s="3127"/>
      <c r="L434" s="3130"/>
      <c r="M434" s="3133"/>
      <c r="N434" s="3130">
        <f>IF(NOT(ISERROR(MATCH(M434,_xlfn.ANCHORARRAY(F445),0))),L447&amp;"Por favor no seleccionar los criterios de impacto",M434)</f>
        <v>0</v>
      </c>
      <c r="O434" s="3127"/>
      <c r="P434" s="3130"/>
      <c r="Q434" s="3136"/>
      <c r="R434" s="3057"/>
      <c r="S434" s="3156"/>
      <c r="T434" s="3093"/>
      <c r="U434" s="3096"/>
      <c r="V434" s="3096"/>
      <c r="W434" s="3099"/>
      <c r="X434" s="3096"/>
      <c r="Y434" s="3096"/>
      <c r="Z434" s="3096"/>
      <c r="AA434" s="3102"/>
      <c r="AB434" s="3105"/>
      <c r="AC434" s="3099"/>
      <c r="AD434" s="3105"/>
      <c r="AE434" s="3099"/>
      <c r="AF434" s="3139"/>
      <c r="AG434" s="3142"/>
      <c r="AH434" s="3144"/>
      <c r="AI434" s="3108"/>
      <c r="AJ434" s="3147"/>
      <c r="AK434" s="3150"/>
      <c r="AL434" s="3153"/>
      <c r="AM434" s="2294"/>
    </row>
    <row r="435" spans="1:39" ht="15.6" customHeight="1" x14ac:dyDescent="0.3">
      <c r="A435" s="3057"/>
      <c r="B435" s="3108"/>
      <c r="C435" s="3108"/>
      <c r="D435" s="3111"/>
      <c r="E435" s="3114"/>
      <c r="F435" s="3116"/>
      <c r="G435" s="3118"/>
      <c r="H435" s="3118"/>
      <c r="I435" s="3121"/>
      <c r="J435" s="3124"/>
      <c r="K435" s="3127"/>
      <c r="L435" s="3130"/>
      <c r="M435" s="3133"/>
      <c r="N435" s="3130">
        <f>IF(NOT(ISERROR(MATCH(M435,_xlfn.ANCHORARRAY(F446),0))),L448&amp;"Por favor no seleccionar los criterios de impacto",M435)</f>
        <v>0</v>
      </c>
      <c r="O435" s="3127"/>
      <c r="P435" s="3130"/>
      <c r="Q435" s="3136"/>
      <c r="R435" s="3057"/>
      <c r="S435" s="3156"/>
      <c r="T435" s="3093"/>
      <c r="U435" s="3096"/>
      <c r="V435" s="3096"/>
      <c r="W435" s="3099"/>
      <c r="X435" s="3096"/>
      <c r="Y435" s="3096"/>
      <c r="Z435" s="3096"/>
      <c r="AA435" s="3102"/>
      <c r="AB435" s="3105"/>
      <c r="AC435" s="3099"/>
      <c r="AD435" s="3105"/>
      <c r="AE435" s="3099"/>
      <c r="AF435" s="3139"/>
      <c r="AG435" s="3142"/>
      <c r="AH435" s="3144"/>
      <c r="AI435" s="3108"/>
      <c r="AJ435" s="3147"/>
      <c r="AK435" s="3150"/>
      <c r="AL435" s="3153"/>
      <c r="AM435" s="2294"/>
    </row>
    <row r="436" spans="1:39" ht="15.6" customHeight="1" x14ac:dyDescent="0.3">
      <c r="A436" s="3057"/>
      <c r="B436" s="3108"/>
      <c r="C436" s="3108"/>
      <c r="D436" s="3111"/>
      <c r="E436" s="3114"/>
      <c r="F436" s="3116"/>
      <c r="G436" s="3118"/>
      <c r="H436" s="3118"/>
      <c r="I436" s="3121"/>
      <c r="J436" s="3124"/>
      <c r="K436" s="3127"/>
      <c r="L436" s="3130"/>
      <c r="M436" s="3133"/>
      <c r="N436" s="3130">
        <f>IF(NOT(ISERROR(MATCH(M436,_xlfn.ANCHORARRAY(F447),0))),L449&amp;"Por favor no seleccionar los criterios de impacto",M436)</f>
        <v>0</v>
      </c>
      <c r="O436" s="3127"/>
      <c r="P436" s="3130"/>
      <c r="Q436" s="3136"/>
      <c r="R436" s="3057"/>
      <c r="S436" s="3156"/>
      <c r="T436" s="3093"/>
      <c r="U436" s="3096"/>
      <c r="V436" s="3096"/>
      <c r="W436" s="3099"/>
      <c r="X436" s="3096"/>
      <c r="Y436" s="3096"/>
      <c r="Z436" s="3096"/>
      <c r="AA436" s="3102"/>
      <c r="AB436" s="3105"/>
      <c r="AC436" s="3099"/>
      <c r="AD436" s="3105"/>
      <c r="AE436" s="3099"/>
      <c r="AF436" s="3139"/>
      <c r="AG436" s="3142"/>
      <c r="AH436" s="3144"/>
      <c r="AI436" s="3108"/>
      <c r="AJ436" s="3147"/>
      <c r="AK436" s="3150"/>
      <c r="AL436" s="3153"/>
      <c r="AM436" s="2294"/>
    </row>
    <row r="437" spans="1:39" ht="15.6" customHeight="1" x14ac:dyDescent="0.3">
      <c r="A437" s="3058"/>
      <c r="B437" s="3109"/>
      <c r="C437" s="3109"/>
      <c r="D437" s="3112"/>
      <c r="E437" s="3115"/>
      <c r="F437" s="3116"/>
      <c r="G437" s="3119"/>
      <c r="H437" s="3119"/>
      <c r="I437" s="3122"/>
      <c r="J437" s="3125"/>
      <c r="K437" s="3128"/>
      <c r="L437" s="3131"/>
      <c r="M437" s="3134"/>
      <c r="N437" s="3131">
        <f>IF(NOT(ISERROR(MATCH(M437,_xlfn.ANCHORARRAY(F448),0))),L450&amp;"Por favor no seleccionar los criterios de impacto",M437)</f>
        <v>0</v>
      </c>
      <c r="O437" s="3128"/>
      <c r="P437" s="3131"/>
      <c r="Q437" s="3137"/>
      <c r="R437" s="3058"/>
      <c r="S437" s="3157"/>
      <c r="T437" s="3094"/>
      <c r="U437" s="3097"/>
      <c r="V437" s="3097"/>
      <c r="W437" s="3100"/>
      <c r="X437" s="3097"/>
      <c r="Y437" s="3097"/>
      <c r="Z437" s="3097"/>
      <c r="AA437" s="3103"/>
      <c r="AB437" s="3106"/>
      <c r="AC437" s="3099"/>
      <c r="AD437" s="3106"/>
      <c r="AE437" s="3099"/>
      <c r="AF437" s="3140"/>
      <c r="AG437" s="3142"/>
      <c r="AH437" s="3145"/>
      <c r="AI437" s="3109"/>
      <c r="AJ437" s="3148"/>
      <c r="AK437" s="3151"/>
      <c r="AL437" s="3154"/>
      <c r="AM437" s="2971"/>
    </row>
  </sheetData>
  <mergeCells count="2294">
    <mergeCell ref="AF432:AF437"/>
    <mergeCell ref="AG432:AG437"/>
    <mergeCell ref="AH432:AH437"/>
    <mergeCell ref="AI432:AI437"/>
    <mergeCell ref="AJ432:AJ437"/>
    <mergeCell ref="AK432:AK437"/>
    <mergeCell ref="AL432:AL437"/>
    <mergeCell ref="AM432:AM437"/>
    <mergeCell ref="R429:R431"/>
    <mergeCell ref="S429:S431"/>
    <mergeCell ref="T429:T431"/>
    <mergeCell ref="U429:U431"/>
    <mergeCell ref="V429:V431"/>
    <mergeCell ref="W429:W431"/>
    <mergeCell ref="X429:X431"/>
    <mergeCell ref="Y429:Y431"/>
    <mergeCell ref="Z429:Z431"/>
    <mergeCell ref="AA429:AA431"/>
    <mergeCell ref="AB429:AB431"/>
    <mergeCell ref="AC429:AC431"/>
    <mergeCell ref="AD429:AD431"/>
    <mergeCell ref="AE429:AE431"/>
    <mergeCell ref="AF426:AF431"/>
    <mergeCell ref="AG426:AG431"/>
    <mergeCell ref="AH429:AH431"/>
    <mergeCell ref="AI429:AI431"/>
    <mergeCell ref="AJ429:AJ431"/>
    <mergeCell ref="AK429:AK431"/>
    <mergeCell ref="AL429:AL431"/>
    <mergeCell ref="AM429:AM431"/>
    <mergeCell ref="S432:S437"/>
    <mergeCell ref="R432:R437"/>
    <mergeCell ref="A432:A437"/>
    <mergeCell ref="B432:B437"/>
    <mergeCell ref="C432:C437"/>
    <mergeCell ref="D432:D437"/>
    <mergeCell ref="E432:E437"/>
    <mergeCell ref="F432:F437"/>
    <mergeCell ref="G432:G437"/>
    <mergeCell ref="H432:H437"/>
    <mergeCell ref="I432:I437"/>
    <mergeCell ref="J432:J437"/>
    <mergeCell ref="K432:K437"/>
    <mergeCell ref="L432:L437"/>
    <mergeCell ref="M432:M437"/>
    <mergeCell ref="N432:N437"/>
    <mergeCell ref="O432:O437"/>
    <mergeCell ref="P432:P437"/>
    <mergeCell ref="Q432:Q437"/>
    <mergeCell ref="T432:T437"/>
    <mergeCell ref="U432:U437"/>
    <mergeCell ref="V432:V437"/>
    <mergeCell ref="W432:W437"/>
    <mergeCell ref="X432:X437"/>
    <mergeCell ref="Y432:Y437"/>
    <mergeCell ref="Z432:Z437"/>
    <mergeCell ref="AA432:AA437"/>
    <mergeCell ref="AB432:AB437"/>
    <mergeCell ref="AC432:AC437"/>
    <mergeCell ref="AD432:AD437"/>
    <mergeCell ref="AE432:AE437"/>
    <mergeCell ref="T424:T425"/>
    <mergeCell ref="U424:Z424"/>
    <mergeCell ref="AA424:AA425"/>
    <mergeCell ref="AB424:AB425"/>
    <mergeCell ref="AC424:AC425"/>
    <mergeCell ref="AD424:AD425"/>
    <mergeCell ref="AE424:AE425"/>
    <mergeCell ref="AF424:AF425"/>
    <mergeCell ref="AG424:AG425"/>
    <mergeCell ref="AH424:AH425"/>
    <mergeCell ref="AI424:AI425"/>
    <mergeCell ref="AJ424:AJ425"/>
    <mergeCell ref="AK424:AK425"/>
    <mergeCell ref="AL424:AL425"/>
    <mergeCell ref="AM424:AM425"/>
    <mergeCell ref="A426:A431"/>
    <mergeCell ref="B426:B431"/>
    <mergeCell ref="C426:C431"/>
    <mergeCell ref="D426:D431"/>
    <mergeCell ref="F426:F431"/>
    <mergeCell ref="G426:G429"/>
    <mergeCell ref="H426:H431"/>
    <mergeCell ref="I426:I431"/>
    <mergeCell ref="J426:J431"/>
    <mergeCell ref="K426:K431"/>
    <mergeCell ref="L426:L431"/>
    <mergeCell ref="M426:M431"/>
    <mergeCell ref="N426:N431"/>
    <mergeCell ref="O426:O431"/>
    <mergeCell ref="P426:P431"/>
    <mergeCell ref="Q426:Q431"/>
    <mergeCell ref="A424:A425"/>
    <mergeCell ref="B424:B425"/>
    <mergeCell ref="C424:C425"/>
    <mergeCell ref="D424:D425"/>
    <mergeCell ref="E424:E425"/>
    <mergeCell ref="F424:F425"/>
    <mergeCell ref="I424:I425"/>
    <mergeCell ref="J424:J425"/>
    <mergeCell ref="K424:K425"/>
    <mergeCell ref="L424:L425"/>
    <mergeCell ref="M424:M425"/>
    <mergeCell ref="N424:N425"/>
    <mergeCell ref="O424:O425"/>
    <mergeCell ref="P424:P425"/>
    <mergeCell ref="Q424:Q425"/>
    <mergeCell ref="R424:R425"/>
    <mergeCell ref="S424:S425"/>
    <mergeCell ref="AL398:AL403"/>
    <mergeCell ref="AL404:AL409"/>
    <mergeCell ref="AL410:AL415"/>
    <mergeCell ref="AM399:AM403"/>
    <mergeCell ref="AM405:AM409"/>
    <mergeCell ref="AM411:AM415"/>
    <mergeCell ref="A417:AM418"/>
    <mergeCell ref="A420:B420"/>
    <mergeCell ref="C420:AM420"/>
    <mergeCell ref="A421:B421"/>
    <mergeCell ref="C421:AM421"/>
    <mergeCell ref="A422:B422"/>
    <mergeCell ref="C422:AM422"/>
    <mergeCell ref="A423:J423"/>
    <mergeCell ref="K423:Q423"/>
    <mergeCell ref="R423:Z423"/>
    <mergeCell ref="AA423:AG423"/>
    <mergeCell ref="AH423:AM423"/>
    <mergeCell ref="AE411:AE415"/>
    <mergeCell ref="AE405:AE409"/>
    <mergeCell ref="AE399:AE403"/>
    <mergeCell ref="AF399:AF403"/>
    <mergeCell ref="AF405:AF409"/>
    <mergeCell ref="AF411:AF415"/>
    <mergeCell ref="AG399:AG403"/>
    <mergeCell ref="AG405:AG409"/>
    <mergeCell ref="AG411:AG415"/>
    <mergeCell ref="AH399:AH403"/>
    <mergeCell ref="AH404:AH409"/>
    <mergeCell ref="AH410:AH415"/>
    <mergeCell ref="AK399:AK403"/>
    <mergeCell ref="AI399:AI403"/>
    <mergeCell ref="AJ399:AJ403"/>
    <mergeCell ref="AI405:AI409"/>
    <mergeCell ref="AJ405:AJ409"/>
    <mergeCell ref="AI411:AI415"/>
    <mergeCell ref="AJ411:AJ415"/>
    <mergeCell ref="AK411:AK415"/>
    <mergeCell ref="AK405:AK409"/>
    <mergeCell ref="Y405:Y409"/>
    <mergeCell ref="Y411:Y415"/>
    <mergeCell ref="Z399:Z403"/>
    <mergeCell ref="Z405:Z409"/>
    <mergeCell ref="Z411:Z415"/>
    <mergeCell ref="AA399:AA403"/>
    <mergeCell ref="AA405:AA409"/>
    <mergeCell ref="AA411:AA415"/>
    <mergeCell ref="AB399:AB403"/>
    <mergeCell ref="AC399:AC403"/>
    <mergeCell ref="AB405:AB409"/>
    <mergeCell ref="AC405:AC409"/>
    <mergeCell ref="AB411:AB415"/>
    <mergeCell ref="AC411:AC415"/>
    <mergeCell ref="AD405:AD409"/>
    <mergeCell ref="AD399:AD403"/>
    <mergeCell ref="AD411:AD415"/>
    <mergeCell ref="N410:N415"/>
    <mergeCell ref="O410:O415"/>
    <mergeCell ref="P410:P415"/>
    <mergeCell ref="Q410:Q415"/>
    <mergeCell ref="E405:E409"/>
    <mergeCell ref="E411:E415"/>
    <mergeCell ref="H404:H409"/>
    <mergeCell ref="H410:H415"/>
    <mergeCell ref="U399:U403"/>
    <mergeCell ref="U405:U409"/>
    <mergeCell ref="U411:U415"/>
    <mergeCell ref="V399:V403"/>
    <mergeCell ref="V405:V409"/>
    <mergeCell ref="V411:V415"/>
    <mergeCell ref="W399:W403"/>
    <mergeCell ref="X399:X403"/>
    <mergeCell ref="W405:W409"/>
    <mergeCell ref="W411:W415"/>
    <mergeCell ref="X411:X415"/>
    <mergeCell ref="X405:X409"/>
    <mergeCell ref="R405:R409"/>
    <mergeCell ref="S405:S409"/>
    <mergeCell ref="S411:S415"/>
    <mergeCell ref="R411:R415"/>
    <mergeCell ref="T411:T415"/>
    <mergeCell ref="T405:T409"/>
    <mergeCell ref="A404:A409"/>
    <mergeCell ref="B404:B409"/>
    <mergeCell ref="C404:C409"/>
    <mergeCell ref="D404:D409"/>
    <mergeCell ref="F404:F409"/>
    <mergeCell ref="G404:G409"/>
    <mergeCell ref="I404:I409"/>
    <mergeCell ref="J404:J409"/>
    <mergeCell ref="K404:K409"/>
    <mergeCell ref="L404:L409"/>
    <mergeCell ref="M404:M409"/>
    <mergeCell ref="N404:N409"/>
    <mergeCell ref="O404:O409"/>
    <mergeCell ref="P404:P409"/>
    <mergeCell ref="Q404:Q409"/>
    <mergeCell ref="A410:A415"/>
    <mergeCell ref="B410:B415"/>
    <mergeCell ref="C410:C415"/>
    <mergeCell ref="D410:D415"/>
    <mergeCell ref="F410:F415"/>
    <mergeCell ref="G410:G415"/>
    <mergeCell ref="I410:I415"/>
    <mergeCell ref="J410:J415"/>
    <mergeCell ref="K410:K415"/>
    <mergeCell ref="L410:L415"/>
    <mergeCell ref="M410:M415"/>
    <mergeCell ref="AC396:AC397"/>
    <mergeCell ref="AD396:AD397"/>
    <mergeCell ref="AE396:AE397"/>
    <mergeCell ref="AF396:AF397"/>
    <mergeCell ref="AG396:AG397"/>
    <mergeCell ref="AH396:AH397"/>
    <mergeCell ref="AI396:AI397"/>
    <mergeCell ref="AJ396:AJ397"/>
    <mergeCell ref="AK396:AK397"/>
    <mergeCell ref="AL396:AL397"/>
    <mergeCell ref="AM396:AM397"/>
    <mergeCell ref="A398:A403"/>
    <mergeCell ref="B398:B403"/>
    <mergeCell ref="C398:C403"/>
    <mergeCell ref="D398:D403"/>
    <mergeCell ref="F398:F403"/>
    <mergeCell ref="G398:G403"/>
    <mergeCell ref="H398:H403"/>
    <mergeCell ref="I398:I403"/>
    <mergeCell ref="J398:J403"/>
    <mergeCell ref="K398:K403"/>
    <mergeCell ref="L398:L403"/>
    <mergeCell ref="M398:M403"/>
    <mergeCell ref="N398:N403"/>
    <mergeCell ref="O398:O403"/>
    <mergeCell ref="P398:P403"/>
    <mergeCell ref="Q398:Q403"/>
    <mergeCell ref="E399:E403"/>
    <mergeCell ref="S399:S403"/>
    <mergeCell ref="R399:R403"/>
    <mergeCell ref="T399:T403"/>
    <mergeCell ref="Y399:Y403"/>
    <mergeCell ref="A392:B392"/>
    <mergeCell ref="C392:AM392"/>
    <mergeCell ref="A393:B393"/>
    <mergeCell ref="C393:AM393"/>
    <mergeCell ref="A394:B394"/>
    <mergeCell ref="C394:AM394"/>
    <mergeCell ref="A395:J395"/>
    <mergeCell ref="K395:Q395"/>
    <mergeCell ref="R395:Z395"/>
    <mergeCell ref="AA395:AG395"/>
    <mergeCell ref="AH395:AM395"/>
    <mergeCell ref="A396:A397"/>
    <mergeCell ref="B396:B397"/>
    <mergeCell ref="C396:C397"/>
    <mergeCell ref="D396:D397"/>
    <mergeCell ref="E396:E397"/>
    <mergeCell ref="F396:F397"/>
    <mergeCell ref="I396:I397"/>
    <mergeCell ref="J396:J397"/>
    <mergeCell ref="K396:K397"/>
    <mergeCell ref="L396:L397"/>
    <mergeCell ref="M396:M397"/>
    <mergeCell ref="N396:N397"/>
    <mergeCell ref="O396:O397"/>
    <mergeCell ref="P396:P397"/>
    <mergeCell ref="Q396:Q397"/>
    <mergeCell ref="R396:R397"/>
    <mergeCell ref="S396:S397"/>
    <mergeCell ref="T396:T397"/>
    <mergeCell ref="U396:Z396"/>
    <mergeCell ref="AA396:AA397"/>
    <mergeCell ref="AB396:AB397"/>
    <mergeCell ref="D384:D387"/>
    <mergeCell ref="C384:C387"/>
    <mergeCell ref="B384:B387"/>
    <mergeCell ref="A384:A387"/>
    <mergeCell ref="F384:F387"/>
    <mergeCell ref="I384:I387"/>
    <mergeCell ref="N384:N387"/>
    <mergeCell ref="P384:P387"/>
    <mergeCell ref="A389:AM390"/>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G384:G387"/>
    <mergeCell ref="H384:H387"/>
    <mergeCell ref="J384:J387"/>
    <mergeCell ref="K384:K387"/>
    <mergeCell ref="L384:L387"/>
    <mergeCell ref="M384:M387"/>
    <mergeCell ref="O384:O387"/>
    <mergeCell ref="Q384:Q387"/>
    <mergeCell ref="A375:AM376"/>
    <mergeCell ref="A378:B378"/>
    <mergeCell ref="C378:AM378"/>
    <mergeCell ref="A379:B379"/>
    <mergeCell ref="C379:AM379"/>
    <mergeCell ref="A380:B380"/>
    <mergeCell ref="C380:AM380"/>
    <mergeCell ref="A381:J381"/>
    <mergeCell ref="K381:Q381"/>
    <mergeCell ref="R381:Z381"/>
    <mergeCell ref="AA381:AG381"/>
    <mergeCell ref="AH381:AM381"/>
    <mergeCell ref="A382:A383"/>
    <mergeCell ref="B382:B383"/>
    <mergeCell ref="C382:C383"/>
    <mergeCell ref="D382:D383"/>
    <mergeCell ref="E382:E383"/>
    <mergeCell ref="F382:F383"/>
    <mergeCell ref="I382:I383"/>
    <mergeCell ref="J382:J383"/>
    <mergeCell ref="K382:K383"/>
    <mergeCell ref="L382:L383"/>
    <mergeCell ref="M382:M383"/>
    <mergeCell ref="N382:N383"/>
    <mergeCell ref="O382:O383"/>
    <mergeCell ref="P382:P383"/>
    <mergeCell ref="Q382:Q383"/>
    <mergeCell ref="R382:R383"/>
    <mergeCell ref="S382:S383"/>
    <mergeCell ref="T382:T383"/>
    <mergeCell ref="U382:Z382"/>
    <mergeCell ref="AA382:AA383"/>
    <mergeCell ref="A368:A370"/>
    <mergeCell ref="B368:B370"/>
    <mergeCell ref="C368:C370"/>
    <mergeCell ref="D368:D370"/>
    <mergeCell ref="F368:F370"/>
    <mergeCell ref="G368:G370"/>
    <mergeCell ref="H368:H370"/>
    <mergeCell ref="I368:I370"/>
    <mergeCell ref="J368:J370"/>
    <mergeCell ref="K368:K370"/>
    <mergeCell ref="L368:L370"/>
    <mergeCell ref="M368:M370"/>
    <mergeCell ref="N368:N370"/>
    <mergeCell ref="O368:O370"/>
    <mergeCell ref="P368:P370"/>
    <mergeCell ref="Q368:Q370"/>
    <mergeCell ref="A371:A373"/>
    <mergeCell ref="B371:B373"/>
    <mergeCell ref="C371:C373"/>
    <mergeCell ref="D371:D373"/>
    <mergeCell ref="F371:F373"/>
    <mergeCell ref="G371:G373"/>
    <mergeCell ref="H371:H373"/>
    <mergeCell ref="I371:I373"/>
    <mergeCell ref="J371:J373"/>
    <mergeCell ref="K371:K373"/>
    <mergeCell ref="L371:L373"/>
    <mergeCell ref="M371:M373"/>
    <mergeCell ref="N371:N373"/>
    <mergeCell ref="O371:O373"/>
    <mergeCell ref="P371:P373"/>
    <mergeCell ref="Q371:Q373"/>
    <mergeCell ref="A364:A367"/>
    <mergeCell ref="B364:B367"/>
    <mergeCell ref="C364:C367"/>
    <mergeCell ref="D364:D367"/>
    <mergeCell ref="F364:F367"/>
    <mergeCell ref="G364:G367"/>
    <mergeCell ref="I364:I367"/>
    <mergeCell ref="J364:J367"/>
    <mergeCell ref="K364:K367"/>
    <mergeCell ref="L364:L367"/>
    <mergeCell ref="M364:M367"/>
    <mergeCell ref="N364:N367"/>
    <mergeCell ref="O364:O367"/>
    <mergeCell ref="P364:P367"/>
    <mergeCell ref="Q364:Q367"/>
    <mergeCell ref="AH364:AH365"/>
    <mergeCell ref="AI364:AI365"/>
    <mergeCell ref="A360:A363"/>
    <mergeCell ref="B360:B363"/>
    <mergeCell ref="C360:C363"/>
    <mergeCell ref="D360:D363"/>
    <mergeCell ref="F360:F363"/>
    <mergeCell ref="G360:G363"/>
    <mergeCell ref="H360:H363"/>
    <mergeCell ref="I360:I363"/>
    <mergeCell ref="J360:J363"/>
    <mergeCell ref="K360:K363"/>
    <mergeCell ref="L360:L363"/>
    <mergeCell ref="M360:M363"/>
    <mergeCell ref="N360:N363"/>
    <mergeCell ref="O360:O363"/>
    <mergeCell ref="P360:P363"/>
    <mergeCell ref="Q360:Q363"/>
    <mergeCell ref="E362:E363"/>
    <mergeCell ref="AO357:AO359"/>
    <mergeCell ref="AP357:AP359"/>
    <mergeCell ref="AQ357:AQ359"/>
    <mergeCell ref="A358:A359"/>
    <mergeCell ref="B358:B359"/>
    <mergeCell ref="C358:C359"/>
    <mergeCell ref="D358:D359"/>
    <mergeCell ref="E358:E359"/>
    <mergeCell ref="F358:F359"/>
    <mergeCell ref="I358:I359"/>
    <mergeCell ref="J358:J359"/>
    <mergeCell ref="K358:K359"/>
    <mergeCell ref="L358:L359"/>
    <mergeCell ref="M358:M359"/>
    <mergeCell ref="N358:N359"/>
    <mergeCell ref="O358:O359"/>
    <mergeCell ref="P358:P359"/>
    <mergeCell ref="Q358:Q359"/>
    <mergeCell ref="R358:R359"/>
    <mergeCell ref="S358:S359"/>
    <mergeCell ref="T358:T359"/>
    <mergeCell ref="U358:Z358"/>
    <mergeCell ref="AA358:AA359"/>
    <mergeCell ref="AB358:AB359"/>
    <mergeCell ref="AC358:AC359"/>
    <mergeCell ref="AD358:AD359"/>
    <mergeCell ref="AE358:AE359"/>
    <mergeCell ref="AF358:AF359"/>
    <mergeCell ref="AG358:AG359"/>
    <mergeCell ref="AH358:AH359"/>
    <mergeCell ref="AI358:AI359"/>
    <mergeCell ref="AJ358:AJ359"/>
    <mergeCell ref="A334:B334"/>
    <mergeCell ref="C334:AL334"/>
    <mergeCell ref="A335:J335"/>
    <mergeCell ref="K335:Q335"/>
    <mergeCell ref="A351:AM352"/>
    <mergeCell ref="A354:B354"/>
    <mergeCell ref="C354:AM354"/>
    <mergeCell ref="A355:B355"/>
    <mergeCell ref="C355:AM355"/>
    <mergeCell ref="A356:B356"/>
    <mergeCell ref="C356:AM356"/>
    <mergeCell ref="A357:J357"/>
    <mergeCell ref="K357:Q357"/>
    <mergeCell ref="R357:Z357"/>
    <mergeCell ref="AA357:AG357"/>
    <mergeCell ref="AH357:AM357"/>
    <mergeCell ref="AN357:AN359"/>
    <mergeCell ref="AK358:AK359"/>
    <mergeCell ref="AL358:AL359"/>
    <mergeCell ref="AM358:AM359"/>
    <mergeCell ref="R335:Z335"/>
    <mergeCell ref="AA335:AG335"/>
    <mergeCell ref="AH335:AL335"/>
    <mergeCell ref="A336:A337"/>
    <mergeCell ref="B336:B337"/>
    <mergeCell ref="C336:C337"/>
    <mergeCell ref="D336:D337"/>
    <mergeCell ref="E336:E337"/>
    <mergeCell ref="F336:F337"/>
    <mergeCell ref="I336:I337"/>
    <mergeCell ref="J336:J337"/>
    <mergeCell ref="K336:K337"/>
    <mergeCell ref="AU306:AU311"/>
    <mergeCell ref="A329:AL330"/>
    <mergeCell ref="A332:B332"/>
    <mergeCell ref="C332:AL332"/>
    <mergeCell ref="A333:B333"/>
    <mergeCell ref="C333:AL333"/>
    <mergeCell ref="R306:R311"/>
    <mergeCell ref="S306:S311"/>
    <mergeCell ref="T306:T311"/>
    <mergeCell ref="U306:U311"/>
    <mergeCell ref="V306:V311"/>
    <mergeCell ref="W306:W311"/>
    <mergeCell ref="X306:X311"/>
    <mergeCell ref="Y306:Y311"/>
    <mergeCell ref="Z306:Z311"/>
    <mergeCell ref="AA306:AA311"/>
    <mergeCell ref="AB306:AB311"/>
    <mergeCell ref="AC306:AC311"/>
    <mergeCell ref="AD306:AD311"/>
    <mergeCell ref="AE306:AE311"/>
    <mergeCell ref="AF306:AF311"/>
    <mergeCell ref="AH306:AH311"/>
    <mergeCell ref="A306:A311"/>
    <mergeCell ref="B306:B311"/>
    <mergeCell ref="C306:C311"/>
    <mergeCell ref="D306:D311"/>
    <mergeCell ref="E306:E311"/>
    <mergeCell ref="F306:F311"/>
    <mergeCell ref="H306:H311"/>
    <mergeCell ref="I306:I311"/>
    <mergeCell ref="J306:J311"/>
    <mergeCell ref="K306:K311"/>
    <mergeCell ref="AO300:AO305"/>
    <mergeCell ref="AP300:AP305"/>
    <mergeCell ref="AQ300:AQ305"/>
    <mergeCell ref="AR300:AR305"/>
    <mergeCell ref="AS300:AS305"/>
    <mergeCell ref="AT300:AT305"/>
    <mergeCell ref="AI306:AI311"/>
    <mergeCell ref="AJ306:AJ311"/>
    <mergeCell ref="AL306:AL311"/>
    <mergeCell ref="AM306:AM311"/>
    <mergeCell ref="AN306:AN311"/>
    <mergeCell ref="AO306:AO311"/>
    <mergeCell ref="AP306:AP311"/>
    <mergeCell ref="AQ306:AQ311"/>
    <mergeCell ref="AR306:AR311"/>
    <mergeCell ref="AS306:AS311"/>
    <mergeCell ref="AT306:AT311"/>
    <mergeCell ref="L306:L311"/>
    <mergeCell ref="M306:M311"/>
    <mergeCell ref="N306:N311"/>
    <mergeCell ref="O306:O311"/>
    <mergeCell ref="P306:P311"/>
    <mergeCell ref="Q306:Q311"/>
    <mergeCell ref="AG306:AG311"/>
    <mergeCell ref="AU295:AU296"/>
    <mergeCell ref="A300:A305"/>
    <mergeCell ref="B300:B305"/>
    <mergeCell ref="C300:C305"/>
    <mergeCell ref="D300:D305"/>
    <mergeCell ref="E300:E305"/>
    <mergeCell ref="F300:F305"/>
    <mergeCell ref="H300:H305"/>
    <mergeCell ref="I300:I305"/>
    <mergeCell ref="J300:J305"/>
    <mergeCell ref="K300:K305"/>
    <mergeCell ref="L300:L305"/>
    <mergeCell ref="M300:M305"/>
    <mergeCell ref="N300:N305"/>
    <mergeCell ref="O300:O305"/>
    <mergeCell ref="P300:P305"/>
    <mergeCell ref="Q300:Q305"/>
    <mergeCell ref="R300:R305"/>
    <mergeCell ref="S300:S305"/>
    <mergeCell ref="T300:T305"/>
    <mergeCell ref="U300:U305"/>
    <mergeCell ref="V300:V305"/>
    <mergeCell ref="W300:W305"/>
    <mergeCell ref="X300:X305"/>
    <mergeCell ref="Y300:Y305"/>
    <mergeCell ref="Z300:Z305"/>
    <mergeCell ref="AA300:AA305"/>
    <mergeCell ref="AB300:AB305"/>
    <mergeCell ref="AC300:AC305"/>
    <mergeCell ref="AD300:AD305"/>
    <mergeCell ref="AU300:AU305"/>
    <mergeCell ref="AD295:AD296"/>
    <mergeCell ref="AE295:AE296"/>
    <mergeCell ref="AF295:AF296"/>
    <mergeCell ref="AG295:AG296"/>
    <mergeCell ref="AH295:AH296"/>
    <mergeCell ref="AI295:AI296"/>
    <mergeCell ref="AJ295:AJ296"/>
    <mergeCell ref="AK295:AK296"/>
    <mergeCell ref="AL295:AL296"/>
    <mergeCell ref="AM295:AM296"/>
    <mergeCell ref="AN295:AN296"/>
    <mergeCell ref="AO295:AO296"/>
    <mergeCell ref="AP295:AP296"/>
    <mergeCell ref="AQ295:AQ296"/>
    <mergeCell ref="AR295:AR296"/>
    <mergeCell ref="AS295:AS296"/>
    <mergeCell ref="AT295:AT296"/>
    <mergeCell ref="AE300:AE305"/>
    <mergeCell ref="AF300:AF305"/>
    <mergeCell ref="AG300:AG305"/>
    <mergeCell ref="AH300:AH305"/>
    <mergeCell ref="AI300:AI305"/>
    <mergeCell ref="AJ300:AJ305"/>
    <mergeCell ref="AL300:AL305"/>
    <mergeCell ref="AM300:AM305"/>
    <mergeCell ref="AN300:AN305"/>
    <mergeCell ref="A292:B292"/>
    <mergeCell ref="C292:AM292"/>
    <mergeCell ref="A293:B293"/>
    <mergeCell ref="C293:AM293"/>
    <mergeCell ref="A294:J294"/>
    <mergeCell ref="K294:Q294"/>
    <mergeCell ref="R294:Z294"/>
    <mergeCell ref="AA294:AG294"/>
    <mergeCell ref="AH294:AM294"/>
    <mergeCell ref="A295:A296"/>
    <mergeCell ref="B295:B296"/>
    <mergeCell ref="C295:C296"/>
    <mergeCell ref="D295:D296"/>
    <mergeCell ref="E295:E296"/>
    <mergeCell ref="F295:F296"/>
    <mergeCell ref="G295:G296"/>
    <mergeCell ref="I295:I296"/>
    <mergeCell ref="J295:J296"/>
    <mergeCell ref="K295:K296"/>
    <mergeCell ref="L295:L296"/>
    <mergeCell ref="M295:M296"/>
    <mergeCell ref="N295:N296"/>
    <mergeCell ref="O295:O296"/>
    <mergeCell ref="P295:P296"/>
    <mergeCell ref="Q295:Q296"/>
    <mergeCell ref="R295:R296"/>
    <mergeCell ref="S295:S296"/>
    <mergeCell ref="T295:T296"/>
    <mergeCell ref="U295:Z295"/>
    <mergeCell ref="AA295:AA296"/>
    <mergeCell ref="AB295:AB296"/>
    <mergeCell ref="AC295:AC296"/>
    <mergeCell ref="A288:AM289"/>
    <mergeCell ref="A284:A286"/>
    <mergeCell ref="B284:B286"/>
    <mergeCell ref="C284:C286"/>
    <mergeCell ref="D284:D286"/>
    <mergeCell ref="F284:F286"/>
    <mergeCell ref="G282:G283"/>
    <mergeCell ref="G284:G286"/>
    <mergeCell ref="I282:I283"/>
    <mergeCell ref="J282:J283"/>
    <mergeCell ref="K282:K283"/>
    <mergeCell ref="L282:L283"/>
    <mergeCell ref="M282:M283"/>
    <mergeCell ref="N282:N283"/>
    <mergeCell ref="O282:O283"/>
    <mergeCell ref="P282:P283"/>
    <mergeCell ref="A291:B291"/>
    <mergeCell ref="C291:AM291"/>
    <mergeCell ref="AH282:AH283"/>
    <mergeCell ref="AI282:AI283"/>
    <mergeCell ref="AL282:AL283"/>
    <mergeCell ref="AM282:AM283"/>
    <mergeCell ref="C282:C283"/>
    <mergeCell ref="D282:D283"/>
    <mergeCell ref="E282:E283"/>
    <mergeCell ref="F282:F283"/>
    <mergeCell ref="S282:S283"/>
    <mergeCell ref="T282:T283"/>
    <mergeCell ref="U282:Z282"/>
    <mergeCell ref="AA282:AA283"/>
    <mergeCell ref="AB282:AB283"/>
    <mergeCell ref="AC282:AC283"/>
    <mergeCell ref="AN282:AN283"/>
    <mergeCell ref="AO282:AO283"/>
    <mergeCell ref="AP282:AP283"/>
    <mergeCell ref="AQ282:AQ283"/>
    <mergeCell ref="H284:H286"/>
    <mergeCell ref="I284:I286"/>
    <mergeCell ref="J284:J286"/>
    <mergeCell ref="K284:K286"/>
    <mergeCell ref="L284:L286"/>
    <mergeCell ref="M284:M286"/>
    <mergeCell ref="N284:N286"/>
    <mergeCell ref="O284:O286"/>
    <mergeCell ref="P284:P286"/>
    <mergeCell ref="Q284:Q286"/>
    <mergeCell ref="AL268:AL269"/>
    <mergeCell ref="AM268:AM269"/>
    <mergeCell ref="Q282:Q283"/>
    <mergeCell ref="R282:R283"/>
    <mergeCell ref="A275:AL276"/>
    <mergeCell ref="A278:B278"/>
    <mergeCell ref="C278:AL278"/>
    <mergeCell ref="A279:B279"/>
    <mergeCell ref="C279:AL279"/>
    <mergeCell ref="A280:B280"/>
    <mergeCell ref="C280:AL280"/>
    <mergeCell ref="A281:I281"/>
    <mergeCell ref="J281:P281"/>
    <mergeCell ref="Q281:Y281"/>
    <mergeCell ref="Z281:AF281"/>
    <mergeCell ref="AG281:AL281"/>
    <mergeCell ref="A282:A283"/>
    <mergeCell ref="B282:B283"/>
    <mergeCell ref="AD282:AD283"/>
    <mergeCell ref="AE282:AE283"/>
    <mergeCell ref="AF282:AF283"/>
    <mergeCell ref="AG282:AG283"/>
    <mergeCell ref="AD266:AD267"/>
    <mergeCell ref="AE266:AE267"/>
    <mergeCell ref="AJ282:AJ283"/>
    <mergeCell ref="AK282:AK283"/>
    <mergeCell ref="AF266:AF267"/>
    <mergeCell ref="AG266:AG267"/>
    <mergeCell ref="AH266:AH267"/>
    <mergeCell ref="AI266:AI267"/>
    <mergeCell ref="AJ266:AJ267"/>
    <mergeCell ref="AK266:AK267"/>
    <mergeCell ref="AL266:AL267"/>
    <mergeCell ref="AM266:AM267"/>
    <mergeCell ref="A268:A273"/>
    <mergeCell ref="B268:B273"/>
    <mergeCell ref="C268:C273"/>
    <mergeCell ref="D268:D273"/>
    <mergeCell ref="F268:F273"/>
    <mergeCell ref="G268:G273"/>
    <mergeCell ref="H268:H273"/>
    <mergeCell ref="I268:I273"/>
    <mergeCell ref="J268:J273"/>
    <mergeCell ref="K268:K273"/>
    <mergeCell ref="L268:L273"/>
    <mergeCell ref="M268:M273"/>
    <mergeCell ref="N268:N273"/>
    <mergeCell ref="O268:O273"/>
    <mergeCell ref="P268:P273"/>
    <mergeCell ref="Q268:Q273"/>
    <mergeCell ref="AH268:AH269"/>
    <mergeCell ref="AI268:AI269"/>
    <mergeCell ref="AJ268:AJ269"/>
    <mergeCell ref="AK268:AK269"/>
    <mergeCell ref="P251:P256"/>
    <mergeCell ref="Q251:Q256"/>
    <mergeCell ref="C263:AM263"/>
    <mergeCell ref="A264:B264"/>
    <mergeCell ref="C264:AM264"/>
    <mergeCell ref="A265:J265"/>
    <mergeCell ref="K265:Q265"/>
    <mergeCell ref="R265:Z265"/>
    <mergeCell ref="AA265:AG265"/>
    <mergeCell ref="AH265:AM265"/>
    <mergeCell ref="A266:A267"/>
    <mergeCell ref="B266:B267"/>
    <mergeCell ref="C266:C267"/>
    <mergeCell ref="D266:D267"/>
    <mergeCell ref="E266:E267"/>
    <mergeCell ref="F266:F267"/>
    <mergeCell ref="I266:I267"/>
    <mergeCell ref="J266:J267"/>
    <mergeCell ref="K266:K267"/>
    <mergeCell ref="L266:L267"/>
    <mergeCell ref="M266:M267"/>
    <mergeCell ref="N266:N267"/>
    <mergeCell ref="O266:O267"/>
    <mergeCell ref="P266:P267"/>
    <mergeCell ref="Q266:Q267"/>
    <mergeCell ref="R266:R267"/>
    <mergeCell ref="S266:S267"/>
    <mergeCell ref="T266:T267"/>
    <mergeCell ref="U266:Z266"/>
    <mergeCell ref="AA266:AA267"/>
    <mergeCell ref="AB266:AB267"/>
    <mergeCell ref="AC266:AC267"/>
    <mergeCell ref="T247:T248"/>
    <mergeCell ref="U247:Z247"/>
    <mergeCell ref="AA247:AA248"/>
    <mergeCell ref="A259:AM260"/>
    <mergeCell ref="A262:B262"/>
    <mergeCell ref="C262:AM262"/>
    <mergeCell ref="A263:B263"/>
    <mergeCell ref="AB247:AB248"/>
    <mergeCell ref="AC247:AC248"/>
    <mergeCell ref="AD247:AD248"/>
    <mergeCell ref="AE247:AE248"/>
    <mergeCell ref="AF247:AF248"/>
    <mergeCell ref="AG247:AG248"/>
    <mergeCell ref="AH247:AH248"/>
    <mergeCell ref="AI247:AI248"/>
    <mergeCell ref="AJ247:AJ248"/>
    <mergeCell ref="AK247:AK248"/>
    <mergeCell ref="AL247:AL248"/>
    <mergeCell ref="AM247:AM248"/>
    <mergeCell ref="A251:A256"/>
    <mergeCell ref="B251:B256"/>
    <mergeCell ref="C251:C256"/>
    <mergeCell ref="D251:D256"/>
    <mergeCell ref="E251:E256"/>
    <mergeCell ref="F251:F256"/>
    <mergeCell ref="I251:I256"/>
    <mergeCell ref="J251:J256"/>
    <mergeCell ref="K251:K256"/>
    <mergeCell ref="L251:L256"/>
    <mergeCell ref="M251:M256"/>
    <mergeCell ref="N251:N256"/>
    <mergeCell ref="O251:O256"/>
    <mergeCell ref="A247:A248"/>
    <mergeCell ref="B247:B248"/>
    <mergeCell ref="C247:C248"/>
    <mergeCell ref="D247:D248"/>
    <mergeCell ref="E247:E248"/>
    <mergeCell ref="F247:F248"/>
    <mergeCell ref="I247:I248"/>
    <mergeCell ref="J247:J248"/>
    <mergeCell ref="K247:K248"/>
    <mergeCell ref="L247:L248"/>
    <mergeCell ref="M247:M248"/>
    <mergeCell ref="N247:N248"/>
    <mergeCell ref="O247:O248"/>
    <mergeCell ref="P247:P248"/>
    <mergeCell ref="Q247:Q248"/>
    <mergeCell ref="R247:R248"/>
    <mergeCell ref="S247:S248"/>
    <mergeCell ref="V233:V234"/>
    <mergeCell ref="W233:W234"/>
    <mergeCell ref="X233:X234"/>
    <mergeCell ref="Y233:Y234"/>
    <mergeCell ref="Z233:Z234"/>
    <mergeCell ref="AA233:AA234"/>
    <mergeCell ref="AB233:AB234"/>
    <mergeCell ref="A240:AM241"/>
    <mergeCell ref="A243:B243"/>
    <mergeCell ref="C243:AM243"/>
    <mergeCell ref="A244:B244"/>
    <mergeCell ref="C244:AM244"/>
    <mergeCell ref="A245:B245"/>
    <mergeCell ref="C245:AM245"/>
    <mergeCell ref="A246:J246"/>
    <mergeCell ref="K246:Q246"/>
    <mergeCell ref="R246:Z246"/>
    <mergeCell ref="AA246:AG246"/>
    <mergeCell ref="AH246:AM246"/>
    <mergeCell ref="AC230:AC231"/>
    <mergeCell ref="AD230:AD231"/>
    <mergeCell ref="AE230:AE231"/>
    <mergeCell ref="AF230:AF231"/>
    <mergeCell ref="AG230:AG231"/>
    <mergeCell ref="AH230:AH231"/>
    <mergeCell ref="AI230:AI231"/>
    <mergeCell ref="AJ234:AJ235"/>
    <mergeCell ref="AK234:AK235"/>
    <mergeCell ref="AL234:AL235"/>
    <mergeCell ref="AM234:AM235"/>
    <mergeCell ref="AN234:AN235"/>
    <mergeCell ref="AO234:AO235"/>
    <mergeCell ref="AP234:AP235"/>
    <mergeCell ref="A237:A238"/>
    <mergeCell ref="B237:B238"/>
    <mergeCell ref="C237:C238"/>
    <mergeCell ref="D237:D238"/>
    <mergeCell ref="F237:F238"/>
    <mergeCell ref="H237:H238"/>
    <mergeCell ref="I237:I238"/>
    <mergeCell ref="J237:J238"/>
    <mergeCell ref="K237:K238"/>
    <mergeCell ref="L237:L238"/>
    <mergeCell ref="M237:M238"/>
    <mergeCell ref="N237:N238"/>
    <mergeCell ref="O237:O238"/>
    <mergeCell ref="P237:P238"/>
    <mergeCell ref="Q237:Q238"/>
    <mergeCell ref="S233:S234"/>
    <mergeCell ref="T233:T234"/>
    <mergeCell ref="U233:U234"/>
    <mergeCell ref="AJ230:AJ231"/>
    <mergeCell ref="AK230:AK231"/>
    <mergeCell ref="AL230:AL231"/>
    <mergeCell ref="A232:A236"/>
    <mergeCell ref="B232:B236"/>
    <mergeCell ref="C232:C236"/>
    <mergeCell ref="D232:D236"/>
    <mergeCell ref="F232:F236"/>
    <mergeCell ref="H232:H236"/>
    <mergeCell ref="I232:I236"/>
    <mergeCell ref="J232:J236"/>
    <mergeCell ref="K232:K236"/>
    <mergeCell ref="L232:L236"/>
    <mergeCell ref="M232:M236"/>
    <mergeCell ref="N232:N236"/>
    <mergeCell ref="O232:O236"/>
    <mergeCell ref="P232:P236"/>
    <mergeCell ref="Q232:Q236"/>
    <mergeCell ref="E233:E234"/>
    <mergeCell ref="R233:R234"/>
    <mergeCell ref="AC233:AC234"/>
    <mergeCell ref="AD233:AD234"/>
    <mergeCell ref="AE233:AE234"/>
    <mergeCell ref="AF233:AF234"/>
    <mergeCell ref="AG233:AG234"/>
    <mergeCell ref="AH234:AH235"/>
    <mergeCell ref="AI234:AI235"/>
    <mergeCell ref="S230:S231"/>
    <mergeCell ref="T230:T231"/>
    <mergeCell ref="U230:Z230"/>
    <mergeCell ref="AA230:AA231"/>
    <mergeCell ref="AB230:AB231"/>
    <mergeCell ref="AD164:AD172"/>
    <mergeCell ref="AE164:AE172"/>
    <mergeCell ref="AF164:AF172"/>
    <mergeCell ref="AG164:AG172"/>
    <mergeCell ref="AH164:AH172"/>
    <mergeCell ref="AI164:AI172"/>
    <mergeCell ref="AJ164:AJ172"/>
    <mergeCell ref="AL164:AL172"/>
    <mergeCell ref="A223:AL224"/>
    <mergeCell ref="A226:B226"/>
    <mergeCell ref="C226:AL226"/>
    <mergeCell ref="A227:B227"/>
    <mergeCell ref="C227:AL227"/>
    <mergeCell ref="A228:B228"/>
    <mergeCell ref="C228:AL228"/>
    <mergeCell ref="A230:A231"/>
    <mergeCell ref="B230:B231"/>
    <mergeCell ref="C230:C231"/>
    <mergeCell ref="D230:D231"/>
    <mergeCell ref="E230:E231"/>
    <mergeCell ref="F230:F231"/>
    <mergeCell ref="G230:G231"/>
    <mergeCell ref="I230:I231"/>
    <mergeCell ref="J230:J231"/>
    <mergeCell ref="K230:K231"/>
    <mergeCell ref="L230:L231"/>
    <mergeCell ref="M230:M231"/>
    <mergeCell ref="N230:N231"/>
    <mergeCell ref="O230:O231"/>
    <mergeCell ref="P230:P231"/>
    <mergeCell ref="Q230:Q231"/>
    <mergeCell ref="R230:R231"/>
    <mergeCell ref="V155:V163"/>
    <mergeCell ref="W155:W163"/>
    <mergeCell ref="X155:X163"/>
    <mergeCell ref="AK155:AK163"/>
    <mergeCell ref="AL155:AL163"/>
    <mergeCell ref="AM155:AM163"/>
    <mergeCell ref="E160:E166"/>
    <mergeCell ref="C161:C166"/>
    <mergeCell ref="I161:I166"/>
    <mergeCell ref="J161:J166"/>
    <mergeCell ref="K161:K166"/>
    <mergeCell ref="U164:U172"/>
    <mergeCell ref="V164:V172"/>
    <mergeCell ref="W164:W172"/>
    <mergeCell ref="X164:X172"/>
    <mergeCell ref="Y164:Y172"/>
    <mergeCell ref="Z164:Z172"/>
    <mergeCell ref="AA164:AA172"/>
    <mergeCell ref="AB164:AB172"/>
    <mergeCell ref="AM164:AM172"/>
    <mergeCell ref="C167:C172"/>
    <mergeCell ref="E167:E172"/>
    <mergeCell ref="I167:I172"/>
    <mergeCell ref="J167:J172"/>
    <mergeCell ref="K167:K172"/>
    <mergeCell ref="L167:L172"/>
    <mergeCell ref="M167:M172"/>
    <mergeCell ref="N167:N172"/>
    <mergeCell ref="O167:O172"/>
    <mergeCell ref="P167:P172"/>
    <mergeCell ref="Q167:Q172"/>
    <mergeCell ref="AC164:AC172"/>
    <mergeCell ref="N161:N166"/>
    <mergeCell ref="O161:O166"/>
    <mergeCell ref="P161:P166"/>
    <mergeCell ref="Q161:Q166"/>
    <mergeCell ref="S164:S172"/>
    <mergeCell ref="T164:T172"/>
    <mergeCell ref="S155:S163"/>
    <mergeCell ref="T155:T163"/>
    <mergeCell ref="U155:U163"/>
    <mergeCell ref="A155:A172"/>
    <mergeCell ref="B155:B172"/>
    <mergeCell ref="C155:C160"/>
    <mergeCell ref="D155:D172"/>
    <mergeCell ref="E155:E159"/>
    <mergeCell ref="F155:F172"/>
    <mergeCell ref="G155:G172"/>
    <mergeCell ref="H155:H172"/>
    <mergeCell ref="I155:I160"/>
    <mergeCell ref="J155:J160"/>
    <mergeCell ref="K155:K160"/>
    <mergeCell ref="L155:L160"/>
    <mergeCell ref="M155:M160"/>
    <mergeCell ref="N155:N160"/>
    <mergeCell ref="O155:O160"/>
    <mergeCell ref="P155:P160"/>
    <mergeCell ref="Q155:Q160"/>
    <mergeCell ref="K151:K152"/>
    <mergeCell ref="L151:L152"/>
    <mergeCell ref="AM153:AM154"/>
    <mergeCell ref="AL151:AL152"/>
    <mergeCell ref="AM151:AM152"/>
    <mergeCell ref="A153:A154"/>
    <mergeCell ref="B153:B154"/>
    <mergeCell ref="C153:C154"/>
    <mergeCell ref="A147:B147"/>
    <mergeCell ref="Y155:Y163"/>
    <mergeCell ref="Z155:Z163"/>
    <mergeCell ref="AA155:AA163"/>
    <mergeCell ref="AB155:AB163"/>
    <mergeCell ref="AC155:AC163"/>
    <mergeCell ref="AD155:AD163"/>
    <mergeCell ref="AE155:AE163"/>
    <mergeCell ref="AF155:AF163"/>
    <mergeCell ref="D153:D154"/>
    <mergeCell ref="F153:F154"/>
    <mergeCell ref="G153:G154"/>
    <mergeCell ref="H153:H154"/>
    <mergeCell ref="I153:I154"/>
    <mergeCell ref="J153:J154"/>
    <mergeCell ref="K153:K154"/>
    <mergeCell ref="L153:L154"/>
    <mergeCell ref="M153:M154"/>
    <mergeCell ref="N153:N154"/>
    <mergeCell ref="O153:O154"/>
    <mergeCell ref="P153:P154"/>
    <mergeCell ref="Q153:Q154"/>
    <mergeCell ref="L161:L166"/>
    <mergeCell ref="M161:M166"/>
    <mergeCell ref="P138:P143"/>
    <mergeCell ref="Q138:Q143"/>
    <mergeCell ref="AH138:AH140"/>
    <mergeCell ref="AI138:AI140"/>
    <mergeCell ref="AJ138:AJ140"/>
    <mergeCell ref="AK138:AK140"/>
    <mergeCell ref="H136:H137"/>
    <mergeCell ref="N136:N137"/>
    <mergeCell ref="O136:O137"/>
    <mergeCell ref="P136:P137"/>
    <mergeCell ref="AI153:AI154"/>
    <mergeCell ref="AJ153:AJ154"/>
    <mergeCell ref="AK153:AK154"/>
    <mergeCell ref="AL153:AL154"/>
    <mergeCell ref="A144:AM145"/>
    <mergeCell ref="C147:AM147"/>
    <mergeCell ref="C148:AM148"/>
    <mergeCell ref="A149:B149"/>
    <mergeCell ref="C149:AM149"/>
    <mergeCell ref="A150:J150"/>
    <mergeCell ref="K150:Q150"/>
    <mergeCell ref="R150:Z150"/>
    <mergeCell ref="AA150:AG150"/>
    <mergeCell ref="AH150:AM150"/>
    <mergeCell ref="A151:A152"/>
    <mergeCell ref="B151:B152"/>
    <mergeCell ref="C151:C152"/>
    <mergeCell ref="D151:D152"/>
    <mergeCell ref="E151:E152"/>
    <mergeCell ref="F151:F152"/>
    <mergeCell ref="I151:I152"/>
    <mergeCell ref="J151:J152"/>
    <mergeCell ref="D138:D143"/>
    <mergeCell ref="E138:E139"/>
    <mergeCell ref="F138:F143"/>
    <mergeCell ref="G138:G143"/>
    <mergeCell ref="I136:I137"/>
    <mergeCell ref="J136:J137"/>
    <mergeCell ref="K136:K137"/>
    <mergeCell ref="L136:L137"/>
    <mergeCell ref="M136:M137"/>
    <mergeCell ref="AA151:AA152"/>
    <mergeCell ref="AB151:AB152"/>
    <mergeCell ref="AC151:AC152"/>
    <mergeCell ref="AK136:AK137"/>
    <mergeCell ref="M151:M152"/>
    <mergeCell ref="N151:N152"/>
    <mergeCell ref="O151:O152"/>
    <mergeCell ref="P151:P152"/>
    <mergeCell ref="Q151:Q152"/>
    <mergeCell ref="R151:R152"/>
    <mergeCell ref="S151:S152"/>
    <mergeCell ref="T151:T152"/>
    <mergeCell ref="U151:Z151"/>
    <mergeCell ref="AJ151:AJ152"/>
    <mergeCell ref="AK151:AK152"/>
    <mergeCell ref="H138:H143"/>
    <mergeCell ref="I138:I143"/>
    <mergeCell ref="J138:J143"/>
    <mergeCell ref="K138:K143"/>
    <mergeCell ref="L138:L143"/>
    <mergeCell ref="M138:M143"/>
    <mergeCell ref="N138:N143"/>
    <mergeCell ref="O138:O143"/>
    <mergeCell ref="AE136:AE137"/>
    <mergeCell ref="AF136:AF137"/>
    <mergeCell ref="AG136:AG137"/>
    <mergeCell ref="AH136:AH137"/>
    <mergeCell ref="AI136:AI137"/>
    <mergeCell ref="Q136:Q137"/>
    <mergeCell ref="R136:R137"/>
    <mergeCell ref="B128:AM128"/>
    <mergeCell ref="A129:AL130"/>
    <mergeCell ref="A132:B132"/>
    <mergeCell ref="C132:AL132"/>
    <mergeCell ref="A133:B133"/>
    <mergeCell ref="C133:AL133"/>
    <mergeCell ref="A134:B134"/>
    <mergeCell ref="C134:AL134"/>
    <mergeCell ref="A135:I135"/>
    <mergeCell ref="J135:P135"/>
    <mergeCell ref="Q135:Y135"/>
    <mergeCell ref="Z135:AF135"/>
    <mergeCell ref="AG135:AL135"/>
    <mergeCell ref="A136:A137"/>
    <mergeCell ref="B136:B137"/>
    <mergeCell ref="C136:C137"/>
    <mergeCell ref="D136:D137"/>
    <mergeCell ref="E136:E137"/>
    <mergeCell ref="F136:F137"/>
    <mergeCell ref="S136:S137"/>
    <mergeCell ref="T136:T137"/>
    <mergeCell ref="U136:Z136"/>
    <mergeCell ref="AL136:AL137"/>
    <mergeCell ref="AM136:AM137"/>
    <mergeCell ref="U119:Z119"/>
    <mergeCell ref="AA119:AA120"/>
    <mergeCell ref="AB119:AB120"/>
    <mergeCell ref="AC119:AC120"/>
    <mergeCell ref="AD119:AD120"/>
    <mergeCell ref="AE119:AE120"/>
    <mergeCell ref="AF119:AF120"/>
    <mergeCell ref="AG121:AG123"/>
    <mergeCell ref="C126:C127"/>
    <mergeCell ref="D126:D127"/>
    <mergeCell ref="F126:F127"/>
    <mergeCell ref="G126:G127"/>
    <mergeCell ref="H126:H127"/>
    <mergeCell ref="I126:I127"/>
    <mergeCell ref="J126:J127"/>
    <mergeCell ref="K126:K127"/>
    <mergeCell ref="L126:L127"/>
    <mergeCell ref="M126:M127"/>
    <mergeCell ref="N126:N127"/>
    <mergeCell ref="O126:O127"/>
    <mergeCell ref="P126:P127"/>
    <mergeCell ref="Q126:Q127"/>
    <mergeCell ref="N124:N125"/>
    <mergeCell ref="C124:C125"/>
    <mergeCell ref="A121:A123"/>
    <mergeCell ref="B121:B123"/>
    <mergeCell ref="C121:C123"/>
    <mergeCell ref="D121:D123"/>
    <mergeCell ref="E121:E122"/>
    <mergeCell ref="F121:F123"/>
    <mergeCell ref="G121:G123"/>
    <mergeCell ref="H121:H123"/>
    <mergeCell ref="I121:I123"/>
    <mergeCell ref="J121:J123"/>
    <mergeCell ref="K121:K123"/>
    <mergeCell ref="L121:L123"/>
    <mergeCell ref="M121:M123"/>
    <mergeCell ref="N121:N123"/>
    <mergeCell ref="O121:O123"/>
    <mergeCell ref="P121:P123"/>
    <mergeCell ref="Q121:Q123"/>
    <mergeCell ref="A117:B117"/>
    <mergeCell ref="C117:AM117"/>
    <mergeCell ref="A118:J118"/>
    <mergeCell ref="K118:Q118"/>
    <mergeCell ref="R118:Z118"/>
    <mergeCell ref="AA118:AG118"/>
    <mergeCell ref="AH118:AM118"/>
    <mergeCell ref="A119:A120"/>
    <mergeCell ref="B119:B120"/>
    <mergeCell ref="C119:C120"/>
    <mergeCell ref="D119:D120"/>
    <mergeCell ref="E119:E120"/>
    <mergeCell ref="F119:F120"/>
    <mergeCell ref="I119:I120"/>
    <mergeCell ref="J119:J120"/>
    <mergeCell ref="K119:K120"/>
    <mergeCell ref="L119:L120"/>
    <mergeCell ref="M119:M120"/>
    <mergeCell ref="N119:N120"/>
    <mergeCell ref="O119:O120"/>
    <mergeCell ref="P119:P120"/>
    <mergeCell ref="Q119:Q120"/>
    <mergeCell ref="R119:R120"/>
    <mergeCell ref="AG119:AG120"/>
    <mergeCell ref="AH119:AH120"/>
    <mergeCell ref="AI119:AI120"/>
    <mergeCell ref="AJ119:AJ120"/>
    <mergeCell ref="AK119:AK120"/>
    <mergeCell ref="AL119:AL120"/>
    <mergeCell ref="AM119:AM120"/>
    <mergeCell ref="S119:S120"/>
    <mergeCell ref="T119:T120"/>
    <mergeCell ref="L107:L109"/>
    <mergeCell ref="M107:M109"/>
    <mergeCell ref="O107:O109"/>
    <mergeCell ref="C111:E111"/>
    <mergeCell ref="A112:AM113"/>
    <mergeCell ref="A115:B115"/>
    <mergeCell ref="C115:AM115"/>
    <mergeCell ref="A116:B116"/>
    <mergeCell ref="C116:AM116"/>
    <mergeCell ref="B107:B109"/>
    <mergeCell ref="C107:C109"/>
    <mergeCell ref="D107:D109"/>
    <mergeCell ref="F107:F109"/>
    <mergeCell ref="G107:G109"/>
    <mergeCell ref="H107:H109"/>
    <mergeCell ref="I107:I109"/>
    <mergeCell ref="J107:J109"/>
    <mergeCell ref="K107:K109"/>
    <mergeCell ref="AM103:AM104"/>
    <mergeCell ref="F105:F106"/>
    <mergeCell ref="G105:G106"/>
    <mergeCell ref="H105:H106"/>
    <mergeCell ref="I105:I106"/>
    <mergeCell ref="J105:J106"/>
    <mergeCell ref="K105:K106"/>
    <mergeCell ref="L105:L106"/>
    <mergeCell ref="M105:M106"/>
    <mergeCell ref="O105:O106"/>
    <mergeCell ref="T105:T106"/>
    <mergeCell ref="U105:U106"/>
    <mergeCell ref="V105:V106"/>
    <mergeCell ref="W105:W106"/>
    <mergeCell ref="X105:X106"/>
    <mergeCell ref="Y105:Y106"/>
    <mergeCell ref="Z105:Z106"/>
    <mergeCell ref="AH105:AH106"/>
    <mergeCell ref="AI105:AI106"/>
    <mergeCell ref="AJ105:AJ106"/>
    <mergeCell ref="AK105:AK106"/>
    <mergeCell ref="AL105:AL106"/>
    <mergeCell ref="AM105:AM106"/>
    <mergeCell ref="V103:V104"/>
    <mergeCell ref="T101:T102"/>
    <mergeCell ref="U101:Z101"/>
    <mergeCell ref="AA101:AA102"/>
    <mergeCell ref="AB101:AB102"/>
    <mergeCell ref="AC101:AC102"/>
    <mergeCell ref="AD101:AD102"/>
    <mergeCell ref="AE101:AE102"/>
    <mergeCell ref="AF101:AF102"/>
    <mergeCell ref="AG101:AG102"/>
    <mergeCell ref="AH101:AH102"/>
    <mergeCell ref="AI101:AI102"/>
    <mergeCell ref="AJ101:AJ102"/>
    <mergeCell ref="AK101:AK102"/>
    <mergeCell ref="AL101:AL102"/>
    <mergeCell ref="W103:W104"/>
    <mergeCell ref="X103:X104"/>
    <mergeCell ref="Y103:Y104"/>
    <mergeCell ref="Z103:Z104"/>
    <mergeCell ref="AA103:AA104"/>
    <mergeCell ref="AB103:AB104"/>
    <mergeCell ref="AC103:AC104"/>
    <mergeCell ref="AD103:AD104"/>
    <mergeCell ref="AE103:AE104"/>
    <mergeCell ref="Q101:Q102"/>
    <mergeCell ref="AM101:AM102"/>
    <mergeCell ref="A103:A104"/>
    <mergeCell ref="B103:B104"/>
    <mergeCell ref="C103:C104"/>
    <mergeCell ref="D103:D104"/>
    <mergeCell ref="F103:F104"/>
    <mergeCell ref="G103:G104"/>
    <mergeCell ref="J103:J104"/>
    <mergeCell ref="K103:K104"/>
    <mergeCell ref="L103:L104"/>
    <mergeCell ref="M103:M104"/>
    <mergeCell ref="N103:N108"/>
    <mergeCell ref="O103:O104"/>
    <mergeCell ref="P103:P104"/>
    <mergeCell ref="Q103:Q108"/>
    <mergeCell ref="S103:S104"/>
    <mergeCell ref="T103:T104"/>
    <mergeCell ref="U103:U104"/>
    <mergeCell ref="A101:A102"/>
    <mergeCell ref="B101:B102"/>
    <mergeCell ref="C101:C102"/>
    <mergeCell ref="D101:D102"/>
    <mergeCell ref="E101:E102"/>
    <mergeCell ref="F101:F102"/>
    <mergeCell ref="AF103:AF104"/>
    <mergeCell ref="AG103:AG104"/>
    <mergeCell ref="AH103:AH104"/>
    <mergeCell ref="AI103:AI104"/>
    <mergeCell ref="AJ103:AJ104"/>
    <mergeCell ref="AK103:AK104"/>
    <mergeCell ref="AL103:AL104"/>
    <mergeCell ref="R101:R102"/>
    <mergeCell ref="S101:S102"/>
    <mergeCell ref="AQ82:AQ83"/>
    <mergeCell ref="Q84:Q88"/>
    <mergeCell ref="AQ84:AQ88"/>
    <mergeCell ref="Q89:Q92"/>
    <mergeCell ref="AQ89:AQ92"/>
    <mergeCell ref="A94:AM95"/>
    <mergeCell ref="A97:B97"/>
    <mergeCell ref="C97:AM97"/>
    <mergeCell ref="A98:B98"/>
    <mergeCell ref="C98:AM98"/>
    <mergeCell ref="A99:B99"/>
    <mergeCell ref="C99:AM99"/>
    <mergeCell ref="A100:J100"/>
    <mergeCell ref="K100:Q100"/>
    <mergeCell ref="R100:Z100"/>
    <mergeCell ref="AA100:AG100"/>
    <mergeCell ref="AH100:AM100"/>
    <mergeCell ref="Q82:Q83"/>
    <mergeCell ref="R82:R83"/>
    <mergeCell ref="F82:F83"/>
    <mergeCell ref="I82:I83"/>
    <mergeCell ref="J82:J83"/>
    <mergeCell ref="I101:I102"/>
    <mergeCell ref="J101:J102"/>
    <mergeCell ref="K101:K102"/>
    <mergeCell ref="L101:L102"/>
    <mergeCell ref="M101:M102"/>
    <mergeCell ref="N101:N102"/>
    <mergeCell ref="O101:O102"/>
    <mergeCell ref="P101:P102"/>
    <mergeCell ref="A138:A143"/>
    <mergeCell ref="B138:B143"/>
    <mergeCell ref="C138:C143"/>
    <mergeCell ref="A148:B148"/>
    <mergeCell ref="AD151:AD152"/>
    <mergeCell ref="AE151:AE152"/>
    <mergeCell ref="AF151:AF152"/>
    <mergeCell ref="D124:D125"/>
    <mergeCell ref="F124:F125"/>
    <mergeCell ref="G124:G125"/>
    <mergeCell ref="H124:H125"/>
    <mergeCell ref="I124:I125"/>
    <mergeCell ref="J124:J125"/>
    <mergeCell ref="K124:K125"/>
    <mergeCell ref="L124:L125"/>
    <mergeCell ref="M124:M125"/>
    <mergeCell ref="AJ136:AJ137"/>
    <mergeCell ref="O124:O125"/>
    <mergeCell ref="P124:P125"/>
    <mergeCell ref="Q124:Q125"/>
    <mergeCell ref="AG124:AG125"/>
    <mergeCell ref="A126:A127"/>
    <mergeCell ref="B126:B127"/>
    <mergeCell ref="AG151:AG152"/>
    <mergeCell ref="AH151:AH152"/>
    <mergeCell ref="AI151:AI152"/>
    <mergeCell ref="A124:A125"/>
    <mergeCell ref="B124:B125"/>
    <mergeCell ref="AA136:AA137"/>
    <mergeCell ref="AB136:AB137"/>
    <mergeCell ref="AC136:AC137"/>
    <mergeCell ref="AD136:AD137"/>
    <mergeCell ref="A1:AM2"/>
    <mergeCell ref="A4:B4"/>
    <mergeCell ref="C4:AM4"/>
    <mergeCell ref="A5:B5"/>
    <mergeCell ref="C5:AM5"/>
    <mergeCell ref="A6:B6"/>
    <mergeCell ref="O8:O9"/>
    <mergeCell ref="P8:P9"/>
    <mergeCell ref="Q8:Q9"/>
    <mergeCell ref="R8:R9"/>
    <mergeCell ref="S8:S9"/>
    <mergeCell ref="T8:T9"/>
    <mergeCell ref="I8:I9"/>
    <mergeCell ref="J8:J9"/>
    <mergeCell ref="K8:K9"/>
    <mergeCell ref="L8:L9"/>
    <mergeCell ref="M8:M9"/>
    <mergeCell ref="N8:N9"/>
    <mergeCell ref="A8:A9"/>
    <mergeCell ref="B8:B9"/>
    <mergeCell ref="C8:C9"/>
    <mergeCell ref="D8:D9"/>
    <mergeCell ref="E8:E9"/>
    <mergeCell ref="F8:F9"/>
    <mergeCell ref="C6:AM6"/>
    <mergeCell ref="A7:J7"/>
    <mergeCell ref="K7:Q7"/>
    <mergeCell ref="R7:Z7"/>
    <mergeCell ref="AA7:AG7"/>
    <mergeCell ref="AH7:AM7"/>
    <mergeCell ref="AL8:AL9"/>
    <mergeCell ref="AM8:AM9"/>
    <mergeCell ref="A17:B17"/>
    <mergeCell ref="C17:AM17"/>
    <mergeCell ref="A18:B18"/>
    <mergeCell ref="C18:AM18"/>
    <mergeCell ref="A19:J19"/>
    <mergeCell ref="K19:Q19"/>
    <mergeCell ref="R19:Z19"/>
    <mergeCell ref="AA19:AG19"/>
    <mergeCell ref="AH19:AM19"/>
    <mergeCell ref="AI8:AI9"/>
    <mergeCell ref="AJ8:AJ9"/>
    <mergeCell ref="AK8:AK9"/>
    <mergeCell ref="U8:Z8"/>
    <mergeCell ref="AA8:AA9"/>
    <mergeCell ref="AB8:AB9"/>
    <mergeCell ref="AC8:AC9"/>
    <mergeCell ref="AD8:AD9"/>
    <mergeCell ref="AE8:AE9"/>
    <mergeCell ref="AG10:AG11"/>
    <mergeCell ref="AH10:AH11"/>
    <mergeCell ref="AI10:AI11"/>
    <mergeCell ref="AJ10:AJ11"/>
    <mergeCell ref="AK10:AK11"/>
    <mergeCell ref="AL10:AL11"/>
    <mergeCell ref="AM10:AM11"/>
    <mergeCell ref="AF8:AF9"/>
    <mergeCell ref="AG8:AG9"/>
    <mergeCell ref="AH8:AH9"/>
    <mergeCell ref="N10:N11"/>
    <mergeCell ref="O10:O11"/>
    <mergeCell ref="P10:P11"/>
    <mergeCell ref="Q10:Q11"/>
    <mergeCell ref="A13:AM14"/>
    <mergeCell ref="A16:B16"/>
    <mergeCell ref="C16:AM16"/>
    <mergeCell ref="H10:H11"/>
    <mergeCell ref="I10:I11"/>
    <mergeCell ref="J10:J11"/>
    <mergeCell ref="K10:K11"/>
    <mergeCell ref="L10:L11"/>
    <mergeCell ref="M10:M11"/>
    <mergeCell ref="A10:A11"/>
    <mergeCell ref="B10:B11"/>
    <mergeCell ref="C10:C11"/>
    <mergeCell ref="D10:D11"/>
    <mergeCell ref="F10:F11"/>
    <mergeCell ref="G10:G11"/>
    <mergeCell ref="A22:A27"/>
    <mergeCell ref="B22:B27"/>
    <mergeCell ref="C22:C27"/>
    <mergeCell ref="D22:D27"/>
    <mergeCell ref="F22:F27"/>
    <mergeCell ref="G22:G27"/>
    <mergeCell ref="H22:H27"/>
    <mergeCell ref="I22:I27"/>
    <mergeCell ref="AF20:AF21"/>
    <mergeCell ref="AG20:AG21"/>
    <mergeCell ref="AH20:AH21"/>
    <mergeCell ref="AI20:AI21"/>
    <mergeCell ref="AJ20:AJ21"/>
    <mergeCell ref="AK20:AK21"/>
    <mergeCell ref="U20:Z20"/>
    <mergeCell ref="AA20:AA21"/>
    <mergeCell ref="AB20:AB21"/>
    <mergeCell ref="B28:B33"/>
    <mergeCell ref="C28:C33"/>
    <mergeCell ref="D28:D33"/>
    <mergeCell ref="F28:F33"/>
    <mergeCell ref="G28:G33"/>
    <mergeCell ref="I28:I33"/>
    <mergeCell ref="AC20:AC21"/>
    <mergeCell ref="AD20:AD21"/>
    <mergeCell ref="AE20:AE21"/>
    <mergeCell ref="O20:O21"/>
    <mergeCell ref="P20:P21"/>
    <mergeCell ref="Q20:Q21"/>
    <mergeCell ref="J22:J27"/>
    <mergeCell ref="R20:R21"/>
    <mergeCell ref="S20:S21"/>
    <mergeCell ref="T20:T21"/>
    <mergeCell ref="I20:I21"/>
    <mergeCell ref="J20:J21"/>
    <mergeCell ref="K20:K21"/>
    <mergeCell ref="L20:L21"/>
    <mergeCell ref="M20:M21"/>
    <mergeCell ref="P22:P27"/>
    <mergeCell ref="Q22:Q27"/>
    <mergeCell ref="K22:K27"/>
    <mergeCell ref="L22:L27"/>
    <mergeCell ref="M22:M27"/>
    <mergeCell ref="N22:N27"/>
    <mergeCell ref="O22:O27"/>
    <mergeCell ref="AB42:AB43"/>
    <mergeCell ref="AC42:AC43"/>
    <mergeCell ref="AD42:AD43"/>
    <mergeCell ref="N42:N43"/>
    <mergeCell ref="O42:O43"/>
    <mergeCell ref="P42:P43"/>
    <mergeCell ref="AM20:AM21"/>
    <mergeCell ref="AL20:AL21"/>
    <mergeCell ref="N20:N21"/>
    <mergeCell ref="A20:A21"/>
    <mergeCell ref="B20:B21"/>
    <mergeCell ref="C20:C21"/>
    <mergeCell ref="D20:D21"/>
    <mergeCell ref="E20:E21"/>
    <mergeCell ref="F20:F21"/>
    <mergeCell ref="K42:K43"/>
    <mergeCell ref="L42:L43"/>
    <mergeCell ref="M42:M43"/>
    <mergeCell ref="A42:A43"/>
    <mergeCell ref="B42:B43"/>
    <mergeCell ref="C42:C43"/>
    <mergeCell ref="D42:D43"/>
    <mergeCell ref="E42:E43"/>
    <mergeCell ref="F42:F43"/>
    <mergeCell ref="A40:B40"/>
    <mergeCell ref="C40:AK40"/>
    <mergeCell ref="A41:I41"/>
    <mergeCell ref="J41:P41"/>
    <mergeCell ref="Q41:Y41"/>
    <mergeCell ref="Z41:AF41"/>
    <mergeCell ref="AG41:AK41"/>
    <mergeCell ref="A28:A33"/>
    <mergeCell ref="I50:I55"/>
    <mergeCell ref="J50:J55"/>
    <mergeCell ref="K50:K55"/>
    <mergeCell ref="L50:L55"/>
    <mergeCell ref="M50:M55"/>
    <mergeCell ref="N50:N55"/>
    <mergeCell ref="P44:P49"/>
    <mergeCell ref="J28:J33"/>
    <mergeCell ref="AS42:AS43"/>
    <mergeCell ref="AT42:AT43"/>
    <mergeCell ref="AU42:AU43"/>
    <mergeCell ref="AV42:AV43"/>
    <mergeCell ref="AK42:AK43"/>
    <mergeCell ref="AL42:AL43"/>
    <mergeCell ref="AM42:AM43"/>
    <mergeCell ref="AN42:AN43"/>
    <mergeCell ref="AO42:AO43"/>
    <mergeCell ref="AP42:AP43"/>
    <mergeCell ref="Q28:Q33"/>
    <mergeCell ref="A35:AK36"/>
    <mergeCell ref="K28:K33"/>
    <mergeCell ref="L28:L33"/>
    <mergeCell ref="M28:M33"/>
    <mergeCell ref="N28:N33"/>
    <mergeCell ref="O28:O33"/>
    <mergeCell ref="P28:P33"/>
    <mergeCell ref="AE42:AE43"/>
    <mergeCell ref="AF42:AF43"/>
    <mergeCell ref="AG42:AG43"/>
    <mergeCell ref="AH42:AH43"/>
    <mergeCell ref="AI42:AI43"/>
    <mergeCell ref="AJ42:AJ43"/>
    <mergeCell ref="A38:B38"/>
    <mergeCell ref="C38:AK38"/>
    <mergeCell ref="A39:B39"/>
    <mergeCell ref="C39:AK39"/>
    <mergeCell ref="G42:G43"/>
    <mergeCell ref="AN56:AN57"/>
    <mergeCell ref="AO56:AO57"/>
    <mergeCell ref="N56:N57"/>
    <mergeCell ref="O56:O57"/>
    <mergeCell ref="P56:P57"/>
    <mergeCell ref="Q56:Q57"/>
    <mergeCell ref="AG56:AG57"/>
    <mergeCell ref="H56:H57"/>
    <mergeCell ref="I56:I57"/>
    <mergeCell ref="J56:J57"/>
    <mergeCell ref="K56:K57"/>
    <mergeCell ref="L56:L57"/>
    <mergeCell ref="M56:M57"/>
    <mergeCell ref="E51:E55"/>
    <mergeCell ref="A56:A57"/>
    <mergeCell ref="B56:B57"/>
    <mergeCell ref="C56:C57"/>
    <mergeCell ref="A50:A55"/>
    <mergeCell ref="B50:B55"/>
    <mergeCell ref="C50:C55"/>
    <mergeCell ref="D50:D55"/>
    <mergeCell ref="F50:F55"/>
    <mergeCell ref="H50:H55"/>
    <mergeCell ref="AO44:AO45"/>
    <mergeCell ref="Q42:Q43"/>
    <mergeCell ref="M44:M49"/>
    <mergeCell ref="N44:N49"/>
    <mergeCell ref="AY42:AY43"/>
    <mergeCell ref="Q44:Q49"/>
    <mergeCell ref="AG44:AG45"/>
    <mergeCell ref="AJ44:AJ45"/>
    <mergeCell ref="AM44:AM45"/>
    <mergeCell ref="AP44:AP45"/>
    <mergeCell ref="AS44:AS45"/>
    <mergeCell ref="AW42:AW43"/>
    <mergeCell ref="AX42:AX43"/>
    <mergeCell ref="AY44:AY45"/>
    <mergeCell ref="Q50:Q55"/>
    <mergeCell ref="AG50:AG51"/>
    <mergeCell ref="AJ50:AJ51"/>
    <mergeCell ref="AM50:AM51"/>
    <mergeCell ref="AP50:AP51"/>
    <mergeCell ref="AS50:AS51"/>
    <mergeCell ref="AV50:AV51"/>
    <mergeCell ref="AY50:AY51"/>
    <mergeCell ref="AU50:AU51"/>
    <mergeCell ref="AX50:AX51"/>
    <mergeCell ref="AL50:AL51"/>
    <mergeCell ref="AO50:AO51"/>
    <mergeCell ref="AR50:AR51"/>
    <mergeCell ref="AI50:AI51"/>
    <mergeCell ref="AV44:AV45"/>
    <mergeCell ref="AW44:AW45"/>
    <mergeCell ref="AX44:AX45"/>
    <mergeCell ref="AR44:AR45"/>
    <mergeCell ref="AQ42:AQ43"/>
    <mergeCell ref="R42:R43"/>
    <mergeCell ref="S42:S43"/>
    <mergeCell ref="AA42:AA43"/>
    <mergeCell ref="AU44:AU45"/>
    <mergeCell ref="AR42:AR43"/>
    <mergeCell ref="D66:D67"/>
    <mergeCell ref="E66:E67"/>
    <mergeCell ref="F66:F67"/>
    <mergeCell ref="A64:B64"/>
    <mergeCell ref="C64:AM64"/>
    <mergeCell ref="A65:J65"/>
    <mergeCell ref="K65:Q65"/>
    <mergeCell ref="R65:Z65"/>
    <mergeCell ref="AA65:AG65"/>
    <mergeCell ref="AH65:AM65"/>
    <mergeCell ref="AJ66:AJ67"/>
    <mergeCell ref="AK66:AK67"/>
    <mergeCell ref="AL66:AL67"/>
    <mergeCell ref="AM66:AM67"/>
    <mergeCell ref="AG66:AG67"/>
    <mergeCell ref="AH66:AH67"/>
    <mergeCell ref="AI66:AI67"/>
    <mergeCell ref="J66:J67"/>
    <mergeCell ref="AI44:AI45"/>
    <mergeCell ref="AL44:AL45"/>
    <mergeCell ref="T42:T43"/>
    <mergeCell ref="U42:Z42"/>
    <mergeCell ref="H44:H49"/>
    <mergeCell ref="I44:I49"/>
    <mergeCell ref="O44:O49"/>
    <mergeCell ref="A44:A49"/>
    <mergeCell ref="B44:B49"/>
    <mergeCell ref="C44:C49"/>
    <mergeCell ref="I42:I43"/>
    <mergeCell ref="J42:J43"/>
    <mergeCell ref="AY56:AY57"/>
    <mergeCell ref="A59:AM60"/>
    <mergeCell ref="A62:B62"/>
    <mergeCell ref="C62:AM62"/>
    <mergeCell ref="A63:B63"/>
    <mergeCell ref="C63:AM63"/>
    <mergeCell ref="R56:R57"/>
    <mergeCell ref="G44:G57"/>
    <mergeCell ref="AT56:AT57"/>
    <mergeCell ref="AU56:AU57"/>
    <mergeCell ref="AV56:AV57"/>
    <mergeCell ref="AW56:AW57"/>
    <mergeCell ref="AX56:AX57"/>
    <mergeCell ref="D56:D57"/>
    <mergeCell ref="F56:F57"/>
    <mergeCell ref="O50:O55"/>
    <mergeCell ref="P50:P55"/>
    <mergeCell ref="AP56:AP57"/>
    <mergeCell ref="AQ56:AQ57"/>
    <mergeCell ref="AR56:AR57"/>
    <mergeCell ref="AS56:AS57"/>
    <mergeCell ref="AH56:AH57"/>
    <mergeCell ref="AI56:AI57"/>
    <mergeCell ref="AJ56:AJ57"/>
    <mergeCell ref="AK56:AK57"/>
    <mergeCell ref="AL56:AL57"/>
    <mergeCell ref="AM56:AM57"/>
    <mergeCell ref="D44:D49"/>
    <mergeCell ref="F44:F49"/>
    <mergeCell ref="J44:J49"/>
    <mergeCell ref="K44:K49"/>
    <mergeCell ref="L44:L49"/>
    <mergeCell ref="AC68:AC70"/>
    <mergeCell ref="H68:H70"/>
    <mergeCell ref="I68:I70"/>
    <mergeCell ref="A68:A70"/>
    <mergeCell ref="B68:B70"/>
    <mergeCell ref="C68:C70"/>
    <mergeCell ref="D68:D70"/>
    <mergeCell ref="F68:F70"/>
    <mergeCell ref="G68:G70"/>
    <mergeCell ref="AD66:AD67"/>
    <mergeCell ref="AE66:AE67"/>
    <mergeCell ref="AF66:AF67"/>
    <mergeCell ref="S66:S67"/>
    <mergeCell ref="T66:T67"/>
    <mergeCell ref="U66:Z66"/>
    <mergeCell ref="AA66:AA67"/>
    <mergeCell ref="AB66:AB67"/>
    <mergeCell ref="AC66:AC67"/>
    <mergeCell ref="M66:M67"/>
    <mergeCell ref="N66:N67"/>
    <mergeCell ref="O66:O67"/>
    <mergeCell ref="P66:P67"/>
    <mergeCell ref="Q66:Q67"/>
    <mergeCell ref="R66:R67"/>
    <mergeCell ref="G66:G67"/>
    <mergeCell ref="H66:H67"/>
    <mergeCell ref="I66:I67"/>
    <mergeCell ref="K66:K67"/>
    <mergeCell ref="L66:L67"/>
    <mergeCell ref="A66:A67"/>
    <mergeCell ref="B66:B67"/>
    <mergeCell ref="C66:C67"/>
    <mergeCell ref="J68:J70"/>
    <mergeCell ref="K68:K70"/>
    <mergeCell ref="L68:L70"/>
    <mergeCell ref="M68:M70"/>
    <mergeCell ref="A75:AL76"/>
    <mergeCell ref="A78:B78"/>
    <mergeCell ref="C78:AL78"/>
    <mergeCell ref="A79:B79"/>
    <mergeCell ref="C79:AL79"/>
    <mergeCell ref="N71:N72"/>
    <mergeCell ref="O71:O72"/>
    <mergeCell ref="AK68:AK70"/>
    <mergeCell ref="E69:E70"/>
    <mergeCell ref="A71:A72"/>
    <mergeCell ref="B71:B72"/>
    <mergeCell ref="C71:C72"/>
    <mergeCell ref="D71:D72"/>
    <mergeCell ref="F71:F72"/>
    <mergeCell ref="G71:G72"/>
    <mergeCell ref="H71:H72"/>
    <mergeCell ref="I71:I72"/>
    <mergeCell ref="AD68:AD70"/>
    <mergeCell ref="AE68:AE70"/>
    <mergeCell ref="AF68:AF70"/>
    <mergeCell ref="AG68:AG70"/>
    <mergeCell ref="AI68:AI70"/>
    <mergeCell ref="AJ68:AJ70"/>
    <mergeCell ref="N68:N70"/>
    <mergeCell ref="O68:O70"/>
    <mergeCell ref="P68:P70"/>
    <mergeCell ref="Q68:Q70"/>
    <mergeCell ref="AB68:AB70"/>
    <mergeCell ref="A80:B80"/>
    <mergeCell ref="C80:AL80"/>
    <mergeCell ref="AC71:AC72"/>
    <mergeCell ref="AD71:AD72"/>
    <mergeCell ref="AE71:AE72"/>
    <mergeCell ref="AF71:AF72"/>
    <mergeCell ref="AG71:AG72"/>
    <mergeCell ref="B73:AM73"/>
    <mergeCell ref="W71:W72"/>
    <mergeCell ref="X71:X72"/>
    <mergeCell ref="Y71:Y72"/>
    <mergeCell ref="Z71:Z72"/>
    <mergeCell ref="AA71:AA72"/>
    <mergeCell ref="AB71:AB72"/>
    <mergeCell ref="P71:P72"/>
    <mergeCell ref="Q71:Q72"/>
    <mergeCell ref="S71:S72"/>
    <mergeCell ref="T71:T72"/>
    <mergeCell ref="U71:U72"/>
    <mergeCell ref="V71:V72"/>
    <mergeCell ref="J71:J72"/>
    <mergeCell ref="K71:K72"/>
    <mergeCell ref="L71:L72"/>
    <mergeCell ref="M71:M72"/>
    <mergeCell ref="A81:I81"/>
    <mergeCell ref="J81:P81"/>
    <mergeCell ref="Q81:Y81"/>
    <mergeCell ref="Z81:AF81"/>
    <mergeCell ref="AG81:AP81"/>
    <mergeCell ref="A82:A83"/>
    <mergeCell ref="B82:B83"/>
    <mergeCell ref="C82:C83"/>
    <mergeCell ref="D82:D83"/>
    <mergeCell ref="E82:E83"/>
    <mergeCell ref="G82:G83"/>
    <mergeCell ref="T82:T83"/>
    <mergeCell ref="U82:Z82"/>
    <mergeCell ref="AP82:AP83"/>
    <mergeCell ref="AK82:AK83"/>
    <mergeCell ref="AL82:AL83"/>
    <mergeCell ref="AM82:AM83"/>
    <mergeCell ref="AN82:AN83"/>
    <mergeCell ref="AO82:AO83"/>
    <mergeCell ref="AJ82:AJ83"/>
    <mergeCell ref="AD82:AD83"/>
    <mergeCell ref="AE82:AE83"/>
    <mergeCell ref="AF82:AF83"/>
    <mergeCell ref="AG82:AG83"/>
    <mergeCell ref="AH82:AH83"/>
    <mergeCell ref="AI82:AI83"/>
    <mergeCell ref="S82:S83"/>
    <mergeCell ref="AA82:AA83"/>
    <mergeCell ref="AB82:AB83"/>
    <mergeCell ref="AC82:AC83"/>
    <mergeCell ref="M82:M83"/>
    <mergeCell ref="N82:N83"/>
    <mergeCell ref="O82:O83"/>
    <mergeCell ref="P82:P83"/>
    <mergeCell ref="K82:K83"/>
    <mergeCell ref="L82:L83"/>
    <mergeCell ref="AL84:AL88"/>
    <mergeCell ref="AM84:AM88"/>
    <mergeCell ref="AN84:AN88"/>
    <mergeCell ref="AO84:AO88"/>
    <mergeCell ref="AP84:AP88"/>
    <mergeCell ref="A89:A92"/>
    <mergeCell ref="B89:B92"/>
    <mergeCell ref="C89:C92"/>
    <mergeCell ref="D89:D92"/>
    <mergeCell ref="F89:F92"/>
    <mergeCell ref="AG84:AG88"/>
    <mergeCell ref="AH84:AH88"/>
    <mergeCell ref="AI84:AI88"/>
    <mergeCell ref="AJ84:AJ88"/>
    <mergeCell ref="AK84:AK88"/>
    <mergeCell ref="K84:K88"/>
    <mergeCell ref="L84:L88"/>
    <mergeCell ref="M84:M88"/>
    <mergeCell ref="N84:N88"/>
    <mergeCell ref="O84:O88"/>
    <mergeCell ref="P84:P88"/>
    <mergeCell ref="G84:G92"/>
    <mergeCell ref="AN89:AN92"/>
    <mergeCell ref="AO89:AO92"/>
    <mergeCell ref="A84:A88"/>
    <mergeCell ref="B84:B88"/>
    <mergeCell ref="C84:C88"/>
    <mergeCell ref="D84:D88"/>
    <mergeCell ref="F84:F88"/>
    <mergeCell ref="H84:H88"/>
    <mergeCell ref="I84:I88"/>
    <mergeCell ref="J84:J88"/>
    <mergeCell ref="S181:S182"/>
    <mergeCell ref="H89:H92"/>
    <mergeCell ref="I89:I92"/>
    <mergeCell ref="J89:J92"/>
    <mergeCell ref="K89:K92"/>
    <mergeCell ref="L89:L92"/>
    <mergeCell ref="A174:AM175"/>
    <mergeCell ref="A177:B177"/>
    <mergeCell ref="C177:AM177"/>
    <mergeCell ref="A178:B178"/>
    <mergeCell ref="C178:AM178"/>
    <mergeCell ref="AP89:AP92"/>
    <mergeCell ref="AH89:AH92"/>
    <mergeCell ref="AI89:AI92"/>
    <mergeCell ref="AJ89:AJ92"/>
    <mergeCell ref="AK89:AK92"/>
    <mergeCell ref="AL89:AL92"/>
    <mergeCell ref="AM89:AM92"/>
    <mergeCell ref="M89:M92"/>
    <mergeCell ref="N89:N92"/>
    <mergeCell ref="O89:O92"/>
    <mergeCell ref="P89:P92"/>
    <mergeCell ref="AG89:AG92"/>
    <mergeCell ref="AG155:AG163"/>
    <mergeCell ref="AH155:AH163"/>
    <mergeCell ref="AI155:AI163"/>
    <mergeCell ref="AJ155:AJ163"/>
    <mergeCell ref="AK164:AK172"/>
    <mergeCell ref="T181:T182"/>
    <mergeCell ref="U181:Z181"/>
    <mergeCell ref="AA181:AA182"/>
    <mergeCell ref="AB181:AB182"/>
    <mergeCell ref="AC181:AC182"/>
    <mergeCell ref="AD181:AD182"/>
    <mergeCell ref="AE181:AE182"/>
    <mergeCell ref="AF181:AF182"/>
    <mergeCell ref="AG181:AG182"/>
    <mergeCell ref="A179:B179"/>
    <mergeCell ref="C179:AM179"/>
    <mergeCell ref="A180:J180"/>
    <mergeCell ref="K180:Q180"/>
    <mergeCell ref="R180:Z180"/>
    <mergeCell ref="AA180:AG180"/>
    <mergeCell ref="AH180:AM180"/>
    <mergeCell ref="A181:A182"/>
    <mergeCell ref="B181:B182"/>
    <mergeCell ref="C181:C182"/>
    <mergeCell ref="D181:D182"/>
    <mergeCell ref="E181:E182"/>
    <mergeCell ref="F181:F182"/>
    <mergeCell ref="I181:I182"/>
    <mergeCell ref="J181:J182"/>
    <mergeCell ref="K181:K182"/>
    <mergeCell ref="L181:L182"/>
    <mergeCell ref="M181:M182"/>
    <mergeCell ref="N181:N182"/>
    <mergeCell ref="O181:O182"/>
    <mergeCell ref="P181:P182"/>
    <mergeCell ref="Q181:Q182"/>
    <mergeCell ref="R181:R182"/>
    <mergeCell ref="AJ183:AJ186"/>
    <mergeCell ref="S183:S186"/>
    <mergeCell ref="T183:T186"/>
    <mergeCell ref="U183:U186"/>
    <mergeCell ref="V183:V186"/>
    <mergeCell ref="W183:W186"/>
    <mergeCell ref="X183:X186"/>
    <mergeCell ref="Y183:Y186"/>
    <mergeCell ref="Z183:Z186"/>
    <mergeCell ref="AA183:AA186"/>
    <mergeCell ref="AH181:AH182"/>
    <mergeCell ref="AI181:AI182"/>
    <mergeCell ref="AJ181:AJ182"/>
    <mergeCell ref="AK181:AK182"/>
    <mergeCell ref="AL181:AL182"/>
    <mergeCell ref="AM181:AM182"/>
    <mergeCell ref="A183:A188"/>
    <mergeCell ref="B183:B188"/>
    <mergeCell ref="C183:C188"/>
    <mergeCell ref="D183:D188"/>
    <mergeCell ref="E183:E186"/>
    <mergeCell ref="F183:F188"/>
    <mergeCell ref="G183:G188"/>
    <mergeCell ref="H183:H188"/>
    <mergeCell ref="I183:I188"/>
    <mergeCell ref="J183:J188"/>
    <mergeCell ref="K183:K188"/>
    <mergeCell ref="L183:L188"/>
    <mergeCell ref="M183:M188"/>
    <mergeCell ref="N183:N188"/>
    <mergeCell ref="O183:O188"/>
    <mergeCell ref="P183:P188"/>
    <mergeCell ref="AK183:AK186"/>
    <mergeCell ref="AL183:AL186"/>
    <mergeCell ref="AM187:AM188"/>
    <mergeCell ref="AM183:AM186"/>
    <mergeCell ref="E187:E188"/>
    <mergeCell ref="R187:R188"/>
    <mergeCell ref="S187:S188"/>
    <mergeCell ref="T187:T188"/>
    <mergeCell ref="U187:U188"/>
    <mergeCell ref="V187:V188"/>
    <mergeCell ref="W187:W188"/>
    <mergeCell ref="X187:X188"/>
    <mergeCell ref="Y187:Y188"/>
    <mergeCell ref="Z187:Z188"/>
    <mergeCell ref="A200:B200"/>
    <mergeCell ref="C200:AM200"/>
    <mergeCell ref="A189:A194"/>
    <mergeCell ref="B189:B194"/>
    <mergeCell ref="C189:C194"/>
    <mergeCell ref="D189:D194"/>
    <mergeCell ref="E189:E190"/>
    <mergeCell ref="F189:F194"/>
    <mergeCell ref="G189:G194"/>
    <mergeCell ref="H189:H194"/>
    <mergeCell ref="I189:I194"/>
    <mergeCell ref="J189:J194"/>
    <mergeCell ref="K189:K194"/>
    <mergeCell ref="L189:L194"/>
    <mergeCell ref="M189:M194"/>
    <mergeCell ref="N189:N194"/>
    <mergeCell ref="O189:O194"/>
    <mergeCell ref="P189:P194"/>
    <mergeCell ref="Q189:Q194"/>
    <mergeCell ref="AE189:AE194"/>
    <mergeCell ref="AF189:AF194"/>
    <mergeCell ref="R189:R194"/>
    <mergeCell ref="S189:S194"/>
    <mergeCell ref="T189:T194"/>
    <mergeCell ref="U189:U194"/>
    <mergeCell ref="V189:V194"/>
    <mergeCell ref="W189:W194"/>
    <mergeCell ref="Q183:Q188"/>
    <mergeCell ref="R183:R186"/>
    <mergeCell ref="AB187:AB188"/>
    <mergeCell ref="AC187:AC188"/>
    <mergeCell ref="AD187:AD188"/>
    <mergeCell ref="AE187:AE188"/>
    <mergeCell ref="AF187:AF188"/>
    <mergeCell ref="AG187:AG188"/>
    <mergeCell ref="A199:B199"/>
    <mergeCell ref="C199:AM199"/>
    <mergeCell ref="AL187:AL188"/>
    <mergeCell ref="AB183:AB186"/>
    <mergeCell ref="AC183:AC186"/>
    <mergeCell ref="AD183:AD186"/>
    <mergeCell ref="AE183:AE186"/>
    <mergeCell ref="AF183:AF186"/>
    <mergeCell ref="AG183:AG186"/>
    <mergeCell ref="AH183:AH188"/>
    <mergeCell ref="AI183:AI186"/>
    <mergeCell ref="AA187:AA188"/>
    <mergeCell ref="AI187:AI188"/>
    <mergeCell ref="AJ187:AJ188"/>
    <mergeCell ref="AK187:AK188"/>
    <mergeCell ref="A203:A204"/>
    <mergeCell ref="B203:B204"/>
    <mergeCell ref="C203:C204"/>
    <mergeCell ref="D203:D204"/>
    <mergeCell ref="E203:E204"/>
    <mergeCell ref="F203:F204"/>
    <mergeCell ref="I203:I204"/>
    <mergeCell ref="J203:J204"/>
    <mergeCell ref="K203:K204"/>
    <mergeCell ref="A201:B201"/>
    <mergeCell ref="C201:AM201"/>
    <mergeCell ref="A202:J202"/>
    <mergeCell ref="K202:Q202"/>
    <mergeCell ref="R202:Z202"/>
    <mergeCell ref="AA202:AG202"/>
    <mergeCell ref="AH202:AM202"/>
    <mergeCell ref="AG189:AG194"/>
    <mergeCell ref="AH189:AH194"/>
    <mergeCell ref="AI189:AI194"/>
    <mergeCell ref="AJ189:AJ194"/>
    <mergeCell ref="AK189:AK194"/>
    <mergeCell ref="AL189:AL194"/>
    <mergeCell ref="AM189:AM194"/>
    <mergeCell ref="E191:E194"/>
    <mergeCell ref="A196:AM197"/>
    <mergeCell ref="X189:X194"/>
    <mergeCell ref="Y189:Y194"/>
    <mergeCell ref="Z189:Z194"/>
    <mergeCell ref="AA189:AA194"/>
    <mergeCell ref="AB189:AB194"/>
    <mergeCell ref="AC189:AC194"/>
    <mergeCell ref="AD189:AD194"/>
    <mergeCell ref="AA203:AA204"/>
    <mergeCell ref="AB203:AB204"/>
    <mergeCell ref="AC203:AC204"/>
    <mergeCell ref="AD203:AD204"/>
    <mergeCell ref="AE203:AE204"/>
    <mergeCell ref="AF203:AF204"/>
    <mergeCell ref="AG203:AG204"/>
    <mergeCell ref="AH203:AH204"/>
    <mergeCell ref="L203:L204"/>
    <mergeCell ref="M203:M204"/>
    <mergeCell ref="N203:N204"/>
    <mergeCell ref="O203:O204"/>
    <mergeCell ref="P203:P204"/>
    <mergeCell ref="Q203:Q204"/>
    <mergeCell ref="R203:R204"/>
    <mergeCell ref="S203:S204"/>
    <mergeCell ref="T203:T204"/>
    <mergeCell ref="AA216:AA217"/>
    <mergeCell ref="AB216:AB217"/>
    <mergeCell ref="AC216:AC217"/>
    <mergeCell ref="AT203:AT204"/>
    <mergeCell ref="AV203:AV204"/>
    <mergeCell ref="A205:A207"/>
    <mergeCell ref="B205:B207"/>
    <mergeCell ref="C205:C207"/>
    <mergeCell ref="D205:D207"/>
    <mergeCell ref="F205:F207"/>
    <mergeCell ref="G205:G207"/>
    <mergeCell ref="H205:H207"/>
    <mergeCell ref="I205:I207"/>
    <mergeCell ref="J205:J207"/>
    <mergeCell ref="K205:K207"/>
    <mergeCell ref="L205:L207"/>
    <mergeCell ref="M205:M207"/>
    <mergeCell ref="N205:N207"/>
    <mergeCell ref="O205:O207"/>
    <mergeCell ref="P205:P207"/>
    <mergeCell ref="Q205:Q207"/>
    <mergeCell ref="AG205:AG207"/>
    <mergeCell ref="AI203:AI204"/>
    <mergeCell ref="AJ203:AJ204"/>
    <mergeCell ref="AK203:AK204"/>
    <mergeCell ref="AL203:AL204"/>
    <mergeCell ref="AM203:AM204"/>
    <mergeCell ref="AN203:AN204"/>
    <mergeCell ref="AP203:AP204"/>
    <mergeCell ref="AQ203:AQ204"/>
    <mergeCell ref="AS203:AS204"/>
    <mergeCell ref="U203:Z203"/>
    <mergeCell ref="P218:P221"/>
    <mergeCell ref="Q218:Q221"/>
    <mergeCell ref="U216:Z216"/>
    <mergeCell ref="R216:R217"/>
    <mergeCell ref="S216:S217"/>
    <mergeCell ref="T216:T217"/>
    <mergeCell ref="A216:A217"/>
    <mergeCell ref="B216:B217"/>
    <mergeCell ref="C216:C217"/>
    <mergeCell ref="D216:D217"/>
    <mergeCell ref="E216:E217"/>
    <mergeCell ref="F216:F217"/>
    <mergeCell ref="I216:I217"/>
    <mergeCell ref="J216:J217"/>
    <mergeCell ref="K216:K217"/>
    <mergeCell ref="A209:AM210"/>
    <mergeCell ref="A212:B212"/>
    <mergeCell ref="C212:AM212"/>
    <mergeCell ref="A213:B213"/>
    <mergeCell ref="C213:AM213"/>
    <mergeCell ref="A214:B214"/>
    <mergeCell ref="C214:AM214"/>
    <mergeCell ref="A215:J215"/>
    <mergeCell ref="K215:Q215"/>
    <mergeCell ref="R215:Z215"/>
    <mergeCell ref="AA215:AG215"/>
    <mergeCell ref="AH215:AM215"/>
    <mergeCell ref="AI216:AI217"/>
    <mergeCell ref="AJ216:AJ217"/>
    <mergeCell ref="AK216:AK217"/>
    <mergeCell ref="AL216:AL217"/>
    <mergeCell ref="AM216:AM217"/>
    <mergeCell ref="AD216:AD217"/>
    <mergeCell ref="AE216:AE217"/>
    <mergeCell ref="AF216:AF217"/>
    <mergeCell ref="AG216:AG217"/>
    <mergeCell ref="AH216:AH217"/>
    <mergeCell ref="L216:L217"/>
    <mergeCell ref="M216:M217"/>
    <mergeCell ref="N216:N217"/>
    <mergeCell ref="O216:O217"/>
    <mergeCell ref="P216:P217"/>
    <mergeCell ref="Q216:Q217"/>
    <mergeCell ref="A313:AM314"/>
    <mergeCell ref="A316:B316"/>
    <mergeCell ref="C316:AM316"/>
    <mergeCell ref="A317:B317"/>
    <mergeCell ref="C317:AM317"/>
    <mergeCell ref="A318:B318"/>
    <mergeCell ref="C318:AM318"/>
    <mergeCell ref="A218:A221"/>
    <mergeCell ref="B218:B221"/>
    <mergeCell ref="C218:C221"/>
    <mergeCell ref="D218:D221"/>
    <mergeCell ref="F218:F221"/>
    <mergeCell ref="G218:G221"/>
    <mergeCell ref="H218:H221"/>
    <mergeCell ref="I218:I221"/>
    <mergeCell ref="J218:J221"/>
    <mergeCell ref="K218:K221"/>
    <mergeCell ref="L218:L221"/>
    <mergeCell ref="M218:M221"/>
    <mergeCell ref="N218:N221"/>
    <mergeCell ref="O218:O221"/>
    <mergeCell ref="A319:J319"/>
    <mergeCell ref="K319:Q319"/>
    <mergeCell ref="R319:Z319"/>
    <mergeCell ref="AA319:AG319"/>
    <mergeCell ref="AH319:AM319"/>
    <mergeCell ref="A320:A321"/>
    <mergeCell ref="B320:B321"/>
    <mergeCell ref="C320:C321"/>
    <mergeCell ref="D320:D321"/>
    <mergeCell ref="E320:E321"/>
    <mergeCell ref="F320:F321"/>
    <mergeCell ref="I320:I321"/>
    <mergeCell ref="J320:J321"/>
    <mergeCell ref="K320:K321"/>
    <mergeCell ref="L320:L321"/>
    <mergeCell ref="M320:M321"/>
    <mergeCell ref="N320:N321"/>
    <mergeCell ref="O320:O321"/>
    <mergeCell ref="P320:P321"/>
    <mergeCell ref="Q320:Q321"/>
    <mergeCell ref="R320:R321"/>
    <mergeCell ref="S320:S321"/>
    <mergeCell ref="T320:T321"/>
    <mergeCell ref="U320:Z320"/>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322:A327"/>
    <mergeCell ref="B322:B327"/>
    <mergeCell ref="C322:C327"/>
    <mergeCell ref="D322:D327"/>
    <mergeCell ref="F322:F327"/>
    <mergeCell ref="G322:G327"/>
    <mergeCell ref="H322:H327"/>
    <mergeCell ref="I322:I327"/>
    <mergeCell ref="J322:J327"/>
    <mergeCell ref="K322:K327"/>
    <mergeCell ref="L322:L327"/>
    <mergeCell ref="M322:M327"/>
    <mergeCell ref="N322:N327"/>
    <mergeCell ref="O322:O327"/>
    <mergeCell ref="P322:P327"/>
    <mergeCell ref="Q322:Q327"/>
    <mergeCell ref="L336:L337"/>
    <mergeCell ref="M336:M337"/>
    <mergeCell ref="N336:N337"/>
    <mergeCell ref="O336:O337"/>
    <mergeCell ref="P336:P337"/>
    <mergeCell ref="Q336:Q337"/>
    <mergeCell ref="R336:R337"/>
    <mergeCell ref="S336:S337"/>
    <mergeCell ref="T336:T337"/>
    <mergeCell ref="U336:Z336"/>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338:A341"/>
    <mergeCell ref="B338:B341"/>
    <mergeCell ref="C338:C341"/>
    <mergeCell ref="D338:D341"/>
    <mergeCell ref="E338:E339"/>
    <mergeCell ref="F338:F341"/>
    <mergeCell ref="G338:G341"/>
    <mergeCell ref="H338:H341"/>
    <mergeCell ref="I338:I341"/>
    <mergeCell ref="J338:J341"/>
    <mergeCell ref="K338:K341"/>
    <mergeCell ref="L338:L341"/>
    <mergeCell ref="M338:M341"/>
    <mergeCell ref="N338:N341"/>
    <mergeCell ref="O338:O341"/>
    <mergeCell ref="P338:P341"/>
    <mergeCell ref="Q338:Q341"/>
    <mergeCell ref="R339:R341"/>
    <mergeCell ref="S339:S341"/>
    <mergeCell ref="T339:T341"/>
    <mergeCell ref="U339:U341"/>
    <mergeCell ref="V339:V341"/>
    <mergeCell ref="W339:W341"/>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E340:E341"/>
    <mergeCell ref="B342:B345"/>
    <mergeCell ref="C342:C345"/>
    <mergeCell ref="D342:D345"/>
    <mergeCell ref="F342:F345"/>
    <mergeCell ref="G342:G345"/>
    <mergeCell ref="H342:H345"/>
    <mergeCell ref="I342:I345"/>
    <mergeCell ref="J342:J345"/>
    <mergeCell ref="K342:K345"/>
    <mergeCell ref="L342:L345"/>
    <mergeCell ref="M342:M345"/>
    <mergeCell ref="N342:N343"/>
    <mergeCell ref="O342:O345"/>
    <mergeCell ref="P342:P345"/>
    <mergeCell ref="Q342:Q345"/>
    <mergeCell ref="R342:R343"/>
    <mergeCell ref="E343:E345"/>
    <mergeCell ref="T343:T345"/>
    <mergeCell ref="U343:U345"/>
    <mergeCell ref="V343:V345"/>
    <mergeCell ref="AL343:AL345"/>
    <mergeCell ref="R344:R345"/>
    <mergeCell ref="B346:B349"/>
    <mergeCell ref="C346:C349"/>
    <mergeCell ref="D346:D349"/>
    <mergeCell ref="E346:E349"/>
    <mergeCell ref="F346:F349"/>
    <mergeCell ref="G346:G349"/>
    <mergeCell ref="H346:H349"/>
    <mergeCell ref="I346:I349"/>
    <mergeCell ref="J346:J349"/>
    <mergeCell ref="K346:K349"/>
    <mergeCell ref="L346:L349"/>
    <mergeCell ref="M346:M349"/>
    <mergeCell ref="N346:N349"/>
    <mergeCell ref="O346:O349"/>
    <mergeCell ref="P346:P349"/>
    <mergeCell ref="Q346:Q349"/>
    <mergeCell ref="S346:S349"/>
    <mergeCell ref="T346:T349"/>
    <mergeCell ref="AL346:AL349"/>
    <mergeCell ref="AJ346:AJ349"/>
    <mergeCell ref="AK346:AK349"/>
    <mergeCell ref="AJ343:AJ345"/>
    <mergeCell ref="AK343:AK345"/>
    <mergeCell ref="A342:A345"/>
    <mergeCell ref="A346:A349"/>
    <mergeCell ref="U346:U349"/>
    <mergeCell ref="V346:V349"/>
    <mergeCell ref="W346:W349"/>
    <mergeCell ref="X346:X349"/>
    <mergeCell ref="Y346:Y349"/>
    <mergeCell ref="Z346:Z349"/>
    <mergeCell ref="AA346:AA349"/>
    <mergeCell ref="AB346:AB349"/>
    <mergeCell ref="AC346:AC349"/>
    <mergeCell ref="AD346:AD349"/>
    <mergeCell ref="AE346:AE349"/>
    <mergeCell ref="AF346:AF349"/>
    <mergeCell ref="AG346:AG349"/>
    <mergeCell ref="AH346:AH349"/>
    <mergeCell ref="AI346:AI349"/>
    <mergeCell ref="Z343:Z345"/>
    <mergeCell ref="AA343:AA345"/>
    <mergeCell ref="AB343:AB345"/>
    <mergeCell ref="AC343:AC345"/>
    <mergeCell ref="AD343:AD345"/>
    <mergeCell ref="AE343:AE345"/>
    <mergeCell ref="AF343:AF345"/>
    <mergeCell ref="AG343:AG345"/>
    <mergeCell ref="AH343:AH345"/>
    <mergeCell ref="AI343:AI345"/>
    <mergeCell ref="W343:W345"/>
    <mergeCell ref="X343:X345"/>
    <mergeCell ref="Y343:Y345"/>
  </mergeCells>
  <conditionalFormatting sqref="J68:K68 AB68 AA68:AA71 J71:K71 AB71">
    <cfRule type="cellIs" dxfId="1684" priority="583" operator="equal">
      <formula>"Muy Baja"</formula>
    </cfRule>
    <cfRule type="cellIs" dxfId="1683" priority="584" operator="equal">
      <formula>"Baja"</formula>
    </cfRule>
    <cfRule type="cellIs" dxfId="1682" priority="585" operator="equal">
      <formula>"Media"</formula>
    </cfRule>
    <cfRule type="cellIs" dxfId="1681" priority="586" operator="equal">
      <formula>"Alta"</formula>
    </cfRule>
    <cfRule type="cellIs" dxfId="1680" priority="587" operator="equal">
      <formula>"Muy Alta"</formula>
    </cfRule>
  </conditionalFormatting>
  <conditionalFormatting sqref="K10">
    <cfRule type="cellIs" dxfId="1679" priority="730" operator="equal">
      <formula>"Muy Baja"</formula>
    </cfRule>
    <cfRule type="cellIs" dxfId="1678" priority="728" operator="equal">
      <formula>"Media"</formula>
    </cfRule>
    <cfRule type="cellIs" dxfId="1677" priority="729" operator="equal">
      <formula>"Baja"</formula>
    </cfRule>
    <cfRule type="cellIs" dxfId="1676" priority="726" operator="equal">
      <formula>"Muy Alta"</formula>
    </cfRule>
    <cfRule type="cellIs" dxfId="1675" priority="727" operator="equal">
      <formula>"Alta"</formula>
    </cfRule>
  </conditionalFormatting>
  <conditionalFormatting sqref="K22 K28">
    <cfRule type="cellIs" dxfId="1674" priority="670" operator="equal">
      <formula>"Alta"</formula>
    </cfRule>
    <cfRule type="cellIs" dxfId="1673" priority="672" operator="equal">
      <formula>"Baja"</formula>
    </cfRule>
    <cfRule type="cellIs" dxfId="1672" priority="671" operator="equal">
      <formula>"Media"</formula>
    </cfRule>
    <cfRule type="cellIs" dxfId="1671" priority="673" operator="equal">
      <formula>"Muy Baja"</formula>
    </cfRule>
    <cfRule type="cellIs" dxfId="1670" priority="669" operator="equal">
      <formula>"Muy Alta"</formula>
    </cfRule>
  </conditionalFormatting>
  <conditionalFormatting sqref="K44 K50 K56">
    <cfRule type="cellIs" dxfId="1669" priority="605" operator="equal">
      <formula>"Media"</formula>
    </cfRule>
    <cfRule type="cellIs" dxfId="1668" priority="606" operator="equal">
      <formula>"Baja"</formula>
    </cfRule>
    <cfRule type="cellIs" dxfId="1667" priority="607" operator="equal">
      <formula>"Muy Baja"</formula>
    </cfRule>
    <cfRule type="cellIs" dxfId="1666" priority="604" operator="equal">
      <formula>"Alta"</formula>
    </cfRule>
    <cfRule type="cellIs" dxfId="1665" priority="603" operator="equal">
      <formula>"Muy Alta"</formula>
    </cfRule>
  </conditionalFormatting>
  <conditionalFormatting sqref="K68 AB68 AB71:AB72">
    <cfRule type="cellIs" dxfId="1664" priority="598" operator="equal">
      <formula>"Muy Alta"</formula>
    </cfRule>
    <cfRule type="cellIs" dxfId="1663" priority="599" operator="equal">
      <formula>"Alta"</formula>
    </cfRule>
    <cfRule type="cellIs" dxfId="1662" priority="601" operator="equal">
      <formula>"Baja"</formula>
    </cfRule>
    <cfRule type="cellIs" dxfId="1661" priority="600" operator="equal">
      <formula>"Media"</formula>
    </cfRule>
    <cfRule type="cellIs" dxfId="1660" priority="602" operator="equal">
      <formula>"Muy Baja"</formula>
    </cfRule>
  </conditionalFormatting>
  <conditionalFormatting sqref="K84 AB84:AB92 K89">
    <cfRule type="cellIs" dxfId="1659" priority="546" operator="equal">
      <formula>"Media"</formula>
    </cfRule>
    <cfRule type="cellIs" dxfId="1658" priority="547" operator="equal">
      <formula>"Baja"</formula>
    </cfRule>
    <cfRule type="cellIs" dxfId="1657" priority="548" operator="equal">
      <formula>"Muy Baja"</formula>
    </cfRule>
    <cfRule type="cellIs" dxfId="1656" priority="544" operator="equal">
      <formula>"Muy Alta"</formula>
    </cfRule>
    <cfRule type="cellIs" dxfId="1655" priority="545" operator="equal">
      <formula>"Alta"</formula>
    </cfRule>
  </conditionalFormatting>
  <conditionalFormatting sqref="K103">
    <cfRule type="cellIs" dxfId="1654" priority="487" operator="equal">
      <formula>"Muy Alta"</formula>
    </cfRule>
    <cfRule type="cellIs" dxfId="1653" priority="488" operator="equal">
      <formula>"Alta"</formula>
    </cfRule>
    <cfRule type="cellIs" dxfId="1652" priority="489" operator="equal">
      <formula>"Media"</formula>
    </cfRule>
    <cfRule type="cellIs" dxfId="1651" priority="491" operator="equal">
      <formula>"Muy Baja"</formula>
    </cfRule>
    <cfRule type="cellIs" dxfId="1650" priority="490" operator="equal">
      <formula>"Baja"</formula>
    </cfRule>
  </conditionalFormatting>
  <conditionalFormatting sqref="K105">
    <cfRule type="cellIs" dxfId="1649" priority="522" operator="equal">
      <formula>"Media"</formula>
    </cfRule>
    <cfRule type="cellIs" dxfId="1648" priority="521" operator="equal">
      <formula>"Alta"</formula>
    </cfRule>
    <cfRule type="cellIs" dxfId="1647" priority="520" operator="equal">
      <formula>"Muy Alta"</formula>
    </cfRule>
    <cfRule type="cellIs" dxfId="1646" priority="523" operator="equal">
      <formula>"Baja"</formula>
    </cfRule>
    <cfRule type="cellIs" dxfId="1645" priority="524" operator="equal">
      <formula>"Muy Baja"</formula>
    </cfRule>
  </conditionalFormatting>
  <conditionalFormatting sqref="K107">
    <cfRule type="cellIs" dxfId="1644" priority="529" operator="equal">
      <formula>"Muy Baja"</formula>
    </cfRule>
    <cfRule type="cellIs" dxfId="1643" priority="528" operator="equal">
      <formula>"Baja"</formula>
    </cfRule>
    <cfRule type="cellIs" dxfId="1642" priority="527" operator="equal">
      <formula>"Media"</formula>
    </cfRule>
    <cfRule type="cellIs" dxfId="1641" priority="526" operator="equal">
      <formula>"Alta"</formula>
    </cfRule>
    <cfRule type="cellIs" dxfId="1640" priority="525" operator="equal">
      <formula>"Muy Alta"</formula>
    </cfRule>
  </conditionalFormatting>
  <conditionalFormatting sqref="K121 AB121:AB127 K124 K126">
    <cfRule type="cellIs" dxfId="1639" priority="482" operator="equal">
      <formula>"Muy Alta"</formula>
    </cfRule>
    <cfRule type="cellIs" dxfId="1638" priority="483" operator="equal">
      <formula>"Alta"</formula>
    </cfRule>
    <cfRule type="cellIs" dxfId="1637" priority="484" operator="equal">
      <formula>"Media"</formula>
    </cfRule>
    <cfRule type="cellIs" dxfId="1636" priority="485" operator="equal">
      <formula>"Baja"</formula>
    </cfRule>
    <cfRule type="cellIs" dxfId="1635" priority="486" operator="equal">
      <formula>"Muy Baja"</formula>
    </cfRule>
  </conditionalFormatting>
  <conditionalFormatting sqref="K138">
    <cfRule type="cellIs" dxfId="1634" priority="463" operator="equal">
      <formula>"Muy Baja"</formula>
    </cfRule>
    <cfRule type="cellIs" dxfId="1633" priority="462" operator="equal">
      <formula>"Baja"</formula>
    </cfRule>
    <cfRule type="cellIs" dxfId="1632" priority="461" operator="equal">
      <formula>"Media"</formula>
    </cfRule>
    <cfRule type="cellIs" dxfId="1631" priority="459" operator="equal">
      <formula>"Muy Alta"</formula>
    </cfRule>
    <cfRule type="cellIs" dxfId="1630" priority="460" operator="equal">
      <formula>"Alta"</formula>
    </cfRule>
  </conditionalFormatting>
  <conditionalFormatting sqref="K153 AB153:AB155 K155 K161 K167">
    <cfRule type="cellIs" dxfId="1629" priority="433" operator="equal">
      <formula>"Baja"</formula>
    </cfRule>
    <cfRule type="cellIs" dxfId="1628" priority="434" operator="equal">
      <formula>"Muy Baja"</formula>
    </cfRule>
    <cfRule type="cellIs" dxfId="1627" priority="430" operator="equal">
      <formula>"Muy Alta"</formula>
    </cfRule>
    <cfRule type="cellIs" dxfId="1626" priority="431" operator="equal">
      <formula>"Alta"</formula>
    </cfRule>
    <cfRule type="cellIs" dxfId="1625" priority="432" operator="equal">
      <formula>"Media"</formula>
    </cfRule>
  </conditionalFormatting>
  <conditionalFormatting sqref="K183 K189">
    <cfRule type="cellIs" dxfId="1624" priority="374" operator="equal">
      <formula>"Alta"</formula>
    </cfRule>
    <cfRule type="cellIs" dxfId="1623" priority="373" operator="equal">
      <formula>"Muy Alta"</formula>
    </cfRule>
    <cfRule type="cellIs" dxfId="1622" priority="375" operator="equal">
      <formula>"Media"</formula>
    </cfRule>
    <cfRule type="cellIs" dxfId="1621" priority="376" operator="equal">
      <formula>"Baja"</formula>
    </cfRule>
    <cfRule type="cellIs" dxfId="1620" priority="377" operator="equal">
      <formula>"Muy Baja"</formula>
    </cfRule>
  </conditionalFormatting>
  <conditionalFormatting sqref="K205 AB205:AB207">
    <cfRule type="cellIs" dxfId="1619" priority="372" operator="equal">
      <formula>"Muy Baja"</formula>
    </cfRule>
    <cfRule type="cellIs" dxfId="1618" priority="370" operator="equal">
      <formula>"Media"</formula>
    </cfRule>
    <cfRule type="cellIs" dxfId="1617" priority="369" operator="equal">
      <formula>"Alta"</formula>
    </cfRule>
    <cfRule type="cellIs" dxfId="1616" priority="368" operator="equal">
      <formula>"Muy Alta"</formula>
    </cfRule>
    <cfRule type="cellIs" dxfId="1615" priority="371" operator="equal">
      <formula>"Baja"</formula>
    </cfRule>
  </conditionalFormatting>
  <conditionalFormatting sqref="K218 AB218:AB221">
    <cfRule type="cellIs" dxfId="1614" priority="357" operator="equal">
      <formula>"Muy Baja"</formula>
    </cfRule>
    <cfRule type="cellIs" dxfId="1613" priority="356" operator="equal">
      <formula>"Baja"</formula>
    </cfRule>
    <cfRule type="cellIs" dxfId="1612" priority="353" operator="equal">
      <formula>"Muy Alta"</formula>
    </cfRule>
    <cfRule type="cellIs" dxfId="1611" priority="355" operator="equal">
      <formula>"Media"</formula>
    </cfRule>
    <cfRule type="cellIs" dxfId="1610" priority="354" operator="equal">
      <formula>"Alta"</formula>
    </cfRule>
  </conditionalFormatting>
  <conditionalFormatting sqref="K232:K233 AB235:AB238 K237">
    <cfRule type="cellIs" dxfId="1609" priority="338" operator="equal">
      <formula>"Muy Alta"</formula>
    </cfRule>
    <cfRule type="cellIs" dxfId="1608" priority="339" operator="equal">
      <formula>"Alta"</formula>
    </cfRule>
    <cfRule type="cellIs" dxfId="1607" priority="342" operator="equal">
      <formula>"Muy Baja"</formula>
    </cfRule>
    <cfRule type="cellIs" dxfId="1606" priority="340" operator="equal">
      <formula>"Media"</formula>
    </cfRule>
    <cfRule type="cellIs" dxfId="1605" priority="341" operator="equal">
      <formula>"Baja"</formula>
    </cfRule>
  </conditionalFormatting>
  <conditionalFormatting sqref="K249:K251 AB249:AB257 K257">
    <cfRule type="cellIs" dxfId="1604" priority="306" operator="equal">
      <formula>"Alta"</formula>
    </cfRule>
    <cfRule type="cellIs" dxfId="1603" priority="307" operator="equal">
      <formula>"Media"</formula>
    </cfRule>
    <cfRule type="cellIs" dxfId="1602" priority="308" operator="equal">
      <formula>"Baja"</formula>
    </cfRule>
    <cfRule type="cellIs" dxfId="1601" priority="309" operator="equal">
      <formula>"Muy Baja"</formula>
    </cfRule>
    <cfRule type="cellIs" dxfId="1600" priority="305" operator="equal">
      <formula>"Muy Alta"</formula>
    </cfRule>
  </conditionalFormatting>
  <conditionalFormatting sqref="K268">
    <cfRule type="cellIs" dxfId="1599" priority="289" operator="equal">
      <formula>"Baja"</formula>
    </cfRule>
    <cfRule type="cellIs" dxfId="1598" priority="288" operator="equal">
      <formula>"Media"</formula>
    </cfRule>
    <cfRule type="cellIs" dxfId="1597" priority="287" operator="equal">
      <formula>"Alta"</formula>
    </cfRule>
    <cfRule type="cellIs" dxfId="1596" priority="286" operator="equal">
      <formula>"Muy Alta"</formula>
    </cfRule>
    <cfRule type="cellIs" dxfId="1595" priority="290" operator="equal">
      <formula>"Muy Baja"</formula>
    </cfRule>
  </conditionalFormatting>
  <conditionalFormatting sqref="K284">
    <cfRule type="cellIs" dxfId="1594" priority="258" operator="equal">
      <formula>"Alta"</formula>
    </cfRule>
    <cfRule type="cellIs" dxfId="1593" priority="259" operator="equal">
      <formula>"Media"</formula>
    </cfRule>
    <cfRule type="cellIs" dxfId="1592" priority="260" operator="equal">
      <formula>"Baja"</formula>
    </cfRule>
    <cfRule type="cellIs" dxfId="1591" priority="261" operator="equal">
      <formula>"Muy Baja"</formula>
    </cfRule>
    <cfRule type="cellIs" dxfId="1590" priority="257" operator="equal">
      <formula>"Muy Alta"</formula>
    </cfRule>
  </conditionalFormatting>
  <conditionalFormatting sqref="K297:K300 K306">
    <cfRule type="cellIs" dxfId="1589" priority="228" operator="equal">
      <formula>"Muy Alta"</formula>
    </cfRule>
    <cfRule type="cellIs" dxfId="1588" priority="229" operator="equal">
      <formula>"Alta"</formula>
    </cfRule>
    <cfRule type="cellIs" dxfId="1587" priority="230" operator="equal">
      <formula>"Media"</formula>
    </cfRule>
    <cfRule type="cellIs" dxfId="1586" priority="231" operator="equal">
      <formula>"Baja"</formula>
    </cfRule>
    <cfRule type="cellIs" dxfId="1585" priority="232" operator="equal">
      <formula>"Muy Baja"</formula>
    </cfRule>
  </conditionalFormatting>
  <conditionalFormatting sqref="K322">
    <cfRule type="cellIs" dxfId="1584" priority="202" operator="equal">
      <formula>"Muy Baja"</formula>
    </cfRule>
    <cfRule type="cellIs" dxfId="1583" priority="200" operator="equal">
      <formula>"Media"</formula>
    </cfRule>
    <cfRule type="cellIs" dxfId="1582" priority="199" operator="equal">
      <formula>"Alta"</formula>
    </cfRule>
    <cfRule type="cellIs" dxfId="1581" priority="198" operator="equal">
      <formula>"Muy Alta"</formula>
    </cfRule>
    <cfRule type="cellIs" dxfId="1580" priority="201" operator="equal">
      <formula>"Baja"</formula>
    </cfRule>
  </conditionalFormatting>
  <conditionalFormatting sqref="K338 K342">
    <cfRule type="cellIs" dxfId="1579" priority="193" operator="equal">
      <formula>"Muy Alta"</formula>
    </cfRule>
    <cfRule type="cellIs" dxfId="1578" priority="196" operator="equal">
      <formula>"Baja"</formula>
    </cfRule>
    <cfRule type="cellIs" dxfId="1577" priority="197" operator="equal">
      <formula>"Muy Baja"</formula>
    </cfRule>
    <cfRule type="cellIs" dxfId="1576" priority="195" operator="equal">
      <formula>"Media"</formula>
    </cfRule>
    <cfRule type="cellIs" dxfId="1575" priority="194" operator="equal">
      <formula>"Alta"</formula>
    </cfRule>
  </conditionalFormatting>
  <conditionalFormatting sqref="K346">
    <cfRule type="cellIs" dxfId="1574" priority="151" operator="equal">
      <formula>"Muy Baja"</formula>
    </cfRule>
    <cfRule type="cellIs" dxfId="1573" priority="147" operator="equal">
      <formula>"Muy Alta"</formula>
    </cfRule>
    <cfRule type="cellIs" dxfId="1572" priority="150" operator="equal">
      <formula>"Baja"</formula>
    </cfRule>
    <cfRule type="cellIs" dxfId="1571" priority="149" operator="equal">
      <formula>"Media"</formula>
    </cfRule>
    <cfRule type="cellIs" dxfId="1570" priority="148" operator="equal">
      <formula>"Alta"</formula>
    </cfRule>
  </conditionalFormatting>
  <conditionalFormatting sqref="K360 AB360:AB373 K364 K368 K371">
    <cfRule type="cellIs" dxfId="1569" priority="122" operator="equal">
      <formula>"Muy Baja"</formula>
    </cfRule>
    <cfRule type="cellIs" dxfId="1568" priority="121" operator="equal">
      <formula>"Baja"</formula>
    </cfRule>
    <cfRule type="cellIs" dxfId="1567" priority="120" operator="equal">
      <formula>"Media"</formula>
    </cfRule>
    <cfRule type="cellIs" dxfId="1566" priority="119" operator="equal">
      <formula>"Alta"</formula>
    </cfRule>
    <cfRule type="cellIs" dxfId="1565" priority="118" operator="equal">
      <formula>"Muy Alta"</formula>
    </cfRule>
  </conditionalFormatting>
  <conditionalFormatting sqref="K384">
    <cfRule type="cellIs" dxfId="1564" priority="103" operator="equal">
      <formula>"Muy Baja"</formula>
    </cfRule>
    <cfRule type="cellIs" dxfId="1563" priority="102" operator="equal">
      <formula>"Baja"</formula>
    </cfRule>
    <cfRule type="cellIs" dxfId="1562" priority="101" operator="equal">
      <formula>"Media"</formula>
    </cfRule>
    <cfRule type="cellIs" dxfId="1561" priority="100" operator="equal">
      <formula>"Alta"</formula>
    </cfRule>
    <cfRule type="cellIs" dxfId="1560" priority="99" operator="equal">
      <formula>"Muy Alta"</formula>
    </cfRule>
  </conditionalFormatting>
  <conditionalFormatting sqref="K398 K404 K410">
    <cfRule type="cellIs" dxfId="1559" priority="39" operator="equal">
      <formula>"Alta"</formula>
    </cfRule>
    <cfRule type="cellIs" dxfId="1558" priority="40" operator="equal">
      <formula>"Media"</formula>
    </cfRule>
    <cfRule type="cellIs" dxfId="1557" priority="41" operator="equal">
      <formula>"Baja"</formula>
    </cfRule>
    <cfRule type="cellIs" dxfId="1556" priority="42" operator="equal">
      <formula>"Muy Baja"</formula>
    </cfRule>
    <cfRule type="cellIs" dxfId="1555" priority="38" operator="equal">
      <formula>"Muy Alta"</formula>
    </cfRule>
  </conditionalFormatting>
  <conditionalFormatting sqref="K426 K432">
    <cfRule type="cellIs" dxfId="1554" priority="36" operator="equal">
      <formula>"Baja"</formula>
    </cfRule>
    <cfRule type="cellIs" dxfId="1553" priority="34" operator="equal">
      <formula>"Alta"</formula>
    </cfRule>
    <cfRule type="cellIs" dxfId="1552" priority="33" operator="equal">
      <formula>"Muy Alta"</formula>
    </cfRule>
    <cfRule type="cellIs" dxfId="1551" priority="35" operator="equal">
      <formula>"Media"</formula>
    </cfRule>
    <cfRule type="cellIs" dxfId="1550" priority="37" operator="equal">
      <formula>"Muy Baja"</formula>
    </cfRule>
  </conditionalFormatting>
  <conditionalFormatting sqref="M173 M195 M208 M222 M239 M258 M274 M287 M328 M350 M374 M388 M416 M438:M668">
    <cfRule type="containsText" dxfId="1549" priority="549" operator="containsText" text="❌">
      <formula>NOT(ISERROR(SEARCH("❌",M173)))</formula>
    </cfRule>
  </conditionalFormatting>
  <conditionalFormatting sqref="M68:N72">
    <cfRule type="containsText" dxfId="1548" priority="582" operator="containsText" text="❌">
      <formula>NOT(ISERROR(SEARCH(("❌"),(M68))))</formula>
    </cfRule>
  </conditionalFormatting>
  <conditionalFormatting sqref="N10">
    <cfRule type="containsText" dxfId="1547" priority="716" operator="containsText" text="❌">
      <formula>NOT(ISERROR(SEARCH("❌",N10)))</formula>
    </cfRule>
  </conditionalFormatting>
  <conditionalFormatting sqref="N22:N33">
    <cfRule type="containsText" dxfId="1546" priority="674" operator="containsText" text="❌">
      <formula>NOT(ISERROR(SEARCH(("❌"),(N22))))</formula>
    </cfRule>
  </conditionalFormatting>
  <conditionalFormatting sqref="N44:N57">
    <cfRule type="containsText" dxfId="1545" priority="635" operator="containsText" text="❌">
      <formula>NOT(ISERROR(SEARCH("❌",N44)))</formula>
    </cfRule>
  </conditionalFormatting>
  <conditionalFormatting sqref="N68:N72">
    <cfRule type="containsText" dxfId="1544" priority="588" operator="containsText" text="❌">
      <formula>NOT(ISERROR(SEARCH("❌",N68)))</formula>
    </cfRule>
  </conditionalFormatting>
  <conditionalFormatting sqref="N84:N92">
    <cfRule type="containsText" dxfId="1543" priority="530" operator="containsText" text="❌">
      <formula>NOT(ISERROR(SEARCH("❌",N84)))</formula>
    </cfRule>
  </conditionalFormatting>
  <conditionalFormatting sqref="N103:N111">
    <cfRule type="containsText" dxfId="1542" priority="492" operator="containsText" text="❌">
      <formula>NOT(ISERROR(SEARCH(("❌"),(N103))))</formula>
    </cfRule>
  </conditionalFormatting>
  <conditionalFormatting sqref="N121:N127">
    <cfRule type="containsText" dxfId="1541" priority="468" operator="containsText" text="❌">
      <formula>NOT(ISERROR(SEARCH("❌",N121)))</formula>
    </cfRule>
  </conditionalFormatting>
  <conditionalFormatting sqref="N138:N143">
    <cfRule type="containsText" dxfId="1540" priority="449" operator="containsText" text="❌">
      <formula>NOT(ISERROR(SEARCH("❌",N138)))</formula>
    </cfRule>
  </conditionalFormatting>
  <conditionalFormatting sqref="N153:N172">
    <cfRule type="containsText" dxfId="1539" priority="416" operator="containsText" text="❌">
      <formula>NOT(ISERROR(SEARCH("❌",N153)))</formula>
    </cfRule>
  </conditionalFormatting>
  <conditionalFormatting sqref="N183:N194">
    <cfRule type="containsText" dxfId="1538" priority="378" operator="containsText" text="❌">
      <formula>NOT(ISERROR(SEARCH(("❌"),(N183))))</formula>
    </cfRule>
  </conditionalFormatting>
  <conditionalFormatting sqref="N205:N207">
    <cfRule type="containsText" dxfId="1537" priority="358" operator="containsText" text="❌">
      <formula>NOT(ISERROR(SEARCH("❌",N205)))</formula>
    </cfRule>
  </conditionalFormatting>
  <conditionalFormatting sqref="N218:N221">
    <cfRule type="containsText" dxfId="1536" priority="343" operator="containsText" text="❌">
      <formula>NOT(ISERROR(SEARCH("❌",N218)))</formula>
    </cfRule>
  </conditionalFormatting>
  <conditionalFormatting sqref="N232:N238">
    <cfRule type="containsText" dxfId="1535" priority="310" operator="containsText" text="❌">
      <formula>NOT(ISERROR(SEARCH("❌",N232)))</formula>
    </cfRule>
  </conditionalFormatting>
  <conditionalFormatting sqref="N249:N257">
    <cfRule type="containsText" dxfId="1534" priority="291" operator="containsText" text="❌">
      <formula>NOT(ISERROR(SEARCH("❌",N249)))</formula>
    </cfRule>
  </conditionalFormatting>
  <conditionalFormatting sqref="N268:N273">
    <cfRule type="containsText" dxfId="1533" priority="276" operator="containsText" text="❌">
      <formula>NOT(ISERROR(SEARCH("❌",N268)))</formula>
    </cfRule>
  </conditionalFormatting>
  <conditionalFormatting sqref="N284:N286">
    <cfRule type="containsText" dxfId="1532" priority="247" operator="containsText" text="❌">
      <formula>NOT(ISERROR(SEARCH("❌",N284)))</formula>
    </cfRule>
  </conditionalFormatting>
  <conditionalFormatting sqref="N297:N311">
    <cfRule type="containsText" dxfId="1531" priority="227" operator="containsText" text="❌">
      <formula>NOT(ISERROR(SEARCH("❌",N297)))</formula>
    </cfRule>
  </conditionalFormatting>
  <conditionalFormatting sqref="N322:N327">
    <cfRule type="containsText" dxfId="1530" priority="203" operator="containsText" text="❌">
      <formula>NOT(ISERROR(SEARCH(("❌"),(N322))))</formula>
    </cfRule>
  </conditionalFormatting>
  <conditionalFormatting sqref="N338:N346">
    <cfRule type="containsText" dxfId="1529" priority="123" operator="containsText" text="❌">
      <formula>NOT(ISERROR(SEARCH("❌",N338)))</formula>
    </cfRule>
  </conditionalFormatting>
  <conditionalFormatting sqref="N360:N373">
    <cfRule type="containsText" dxfId="1528" priority="104" operator="containsText" text="❌">
      <formula>NOT(ISERROR(SEARCH("❌",N360)))</formula>
    </cfRule>
  </conditionalFormatting>
  <conditionalFormatting sqref="N384">
    <cfRule type="containsText" dxfId="1527" priority="85" operator="containsText" text="❌">
      <formula>NOT(ISERROR(SEARCH("❌",N384)))</formula>
    </cfRule>
  </conditionalFormatting>
  <conditionalFormatting sqref="N398:N415">
    <cfRule type="containsText" dxfId="1526" priority="43" operator="containsText" text="❌">
      <formula>NOT(ISERROR(SEARCH(("❌"),(N398))))</formula>
    </cfRule>
  </conditionalFormatting>
  <conditionalFormatting sqref="N426:N437">
    <cfRule type="containsText" dxfId="1525" priority="15" operator="containsText" text="❌">
      <formula>NOT(ISERROR(SEARCH("❌",N426)))</formula>
    </cfRule>
  </conditionalFormatting>
  <conditionalFormatting sqref="N68:O68">
    <cfRule type="cellIs" dxfId="1524" priority="572" operator="equal">
      <formula>"Catastrófico"</formula>
    </cfRule>
    <cfRule type="cellIs" dxfId="1523" priority="571" operator="equal">
      <formula>"Mayor"</formula>
    </cfRule>
    <cfRule type="cellIs" dxfId="1522" priority="570" operator="equal">
      <formula>"Moderado"</formula>
    </cfRule>
    <cfRule type="cellIs" dxfId="1521" priority="569" operator="equal">
      <formula>"Menor"</formula>
    </cfRule>
    <cfRule type="cellIs" dxfId="1520" priority="568" operator="equal">
      <formula>"Leve"</formula>
    </cfRule>
  </conditionalFormatting>
  <conditionalFormatting sqref="O10">
    <cfRule type="cellIs" dxfId="1519" priority="724" operator="equal">
      <formula>"Menor"</formula>
    </cfRule>
    <cfRule type="cellIs" dxfId="1518" priority="725" operator="equal">
      <formula>"Leve"</formula>
    </cfRule>
    <cfRule type="cellIs" dxfId="1517" priority="721" operator="equal">
      <formula>"Catastrófico"</formula>
    </cfRule>
    <cfRule type="cellIs" dxfId="1516" priority="722" operator="equal">
      <formula>"Mayor"</formula>
    </cfRule>
    <cfRule type="cellIs" dxfId="1515" priority="723" operator="equal">
      <formula>"Moderado"</formula>
    </cfRule>
  </conditionalFormatting>
  <conditionalFormatting sqref="O22 O28">
    <cfRule type="cellIs" dxfId="1514" priority="675" operator="equal">
      <formula>"Catastrófico"</formula>
    </cfRule>
    <cfRule type="cellIs" dxfId="1513" priority="679" operator="equal">
      <formula>"Leve"</formula>
    </cfRule>
    <cfRule type="cellIs" dxfId="1512" priority="676" operator="equal">
      <formula>"Mayor"</formula>
    </cfRule>
    <cfRule type="cellIs" dxfId="1511" priority="677" operator="equal">
      <formula>"Moderado"</formula>
    </cfRule>
    <cfRule type="cellIs" dxfId="1510" priority="678" operator="equal">
      <formula>"Menor"</formula>
    </cfRule>
  </conditionalFormatting>
  <conditionalFormatting sqref="O44 O50 O56">
    <cfRule type="cellIs" dxfId="1509" priority="612" operator="equal">
      <formula>"Leve"</formula>
    </cfRule>
    <cfRule type="cellIs" dxfId="1508" priority="611" operator="equal">
      <formula>"Menor"</formula>
    </cfRule>
    <cfRule type="cellIs" dxfId="1507" priority="608" operator="equal">
      <formula>"Catastrófico"</formula>
    </cfRule>
    <cfRule type="cellIs" dxfId="1506" priority="609" operator="equal">
      <formula>"Mayor"</formula>
    </cfRule>
    <cfRule type="cellIs" dxfId="1505" priority="610" operator="equal">
      <formula>"Moderado"</formula>
    </cfRule>
  </conditionalFormatting>
  <conditionalFormatting sqref="O68 AD68 AD71:AD72">
    <cfRule type="cellIs" dxfId="1504" priority="597" operator="equal">
      <formula>"Leve"</formula>
    </cfRule>
    <cfRule type="cellIs" dxfId="1503" priority="596" operator="equal">
      <formula>"Menor"</formula>
    </cfRule>
    <cfRule type="cellIs" dxfId="1502" priority="593" operator="equal">
      <formula>"Catastrófico"</formula>
    </cfRule>
    <cfRule type="cellIs" dxfId="1501" priority="595" operator="equal">
      <formula>"Moderado"</formula>
    </cfRule>
    <cfRule type="cellIs" dxfId="1500" priority="594" operator="equal">
      <formula>"Mayor"</formula>
    </cfRule>
  </conditionalFormatting>
  <conditionalFormatting sqref="O84 AD84:AD92 O89">
    <cfRule type="cellIs" dxfId="1499" priority="539" operator="equal">
      <formula>"Catastrófico"</formula>
    </cfRule>
    <cfRule type="cellIs" dxfId="1498" priority="542" operator="equal">
      <formula>"Menor"</formula>
    </cfRule>
    <cfRule type="cellIs" dxfId="1497" priority="543" operator="equal">
      <formula>"Leve"</formula>
    </cfRule>
    <cfRule type="cellIs" dxfId="1496" priority="541" operator="equal">
      <formula>"Moderado"</formula>
    </cfRule>
    <cfRule type="cellIs" dxfId="1495" priority="540" operator="equal">
      <formula>"Mayor"</formula>
    </cfRule>
  </conditionalFormatting>
  <conditionalFormatting sqref="O103 O107">
    <cfRule type="cellIs" dxfId="1494" priority="494" operator="equal">
      <formula>"Mayor"</formula>
    </cfRule>
    <cfRule type="cellIs" dxfId="1493" priority="495" operator="equal">
      <formula>"Moderado"</formula>
    </cfRule>
    <cfRule type="cellIs" dxfId="1492" priority="496" operator="equal">
      <formula>"Menor"</formula>
    </cfRule>
    <cfRule type="cellIs" dxfId="1491" priority="497" operator="equal">
      <formula>"Leve"</formula>
    </cfRule>
    <cfRule type="cellIs" dxfId="1490" priority="493" operator="equal">
      <formula>"Catastrófico"</formula>
    </cfRule>
  </conditionalFormatting>
  <conditionalFormatting sqref="O121 AD121:AD127 O124 O126">
    <cfRule type="cellIs" dxfId="1489" priority="478" operator="equal">
      <formula>"Mayor"</formula>
    </cfRule>
    <cfRule type="cellIs" dxfId="1488" priority="480" operator="equal">
      <formula>"Menor"</formula>
    </cfRule>
    <cfRule type="cellIs" dxfId="1487" priority="481" operator="equal">
      <formula>"Leve"</formula>
    </cfRule>
    <cfRule type="cellIs" dxfId="1486" priority="477" operator="equal">
      <formula>"Catastrófico"</formula>
    </cfRule>
    <cfRule type="cellIs" dxfId="1485" priority="479" operator="equal">
      <formula>"Moderado"</formula>
    </cfRule>
  </conditionalFormatting>
  <conditionalFormatting sqref="O138">
    <cfRule type="cellIs" dxfId="1484" priority="457" operator="equal">
      <formula>"Menor"</formula>
    </cfRule>
    <cfRule type="cellIs" dxfId="1483" priority="456" operator="equal">
      <formula>"Moderado"</formula>
    </cfRule>
    <cfRule type="cellIs" dxfId="1482" priority="455" operator="equal">
      <formula>"Mayor"</formula>
    </cfRule>
    <cfRule type="cellIs" dxfId="1481" priority="454" operator="equal">
      <formula>"Catastrófico"</formula>
    </cfRule>
    <cfRule type="cellIs" dxfId="1480" priority="458" operator="equal">
      <formula>"Leve"</formula>
    </cfRule>
  </conditionalFormatting>
  <conditionalFormatting sqref="O153 AD153:AD155 O155 O161 O167">
    <cfRule type="cellIs" dxfId="1479" priority="426" operator="equal">
      <formula>"Mayor"</formula>
    </cfRule>
    <cfRule type="cellIs" dxfId="1478" priority="427" operator="equal">
      <formula>"Moderado"</formula>
    </cfRule>
    <cfRule type="cellIs" dxfId="1477" priority="428" operator="equal">
      <formula>"Menor"</formula>
    </cfRule>
    <cfRule type="cellIs" dxfId="1476" priority="429" operator="equal">
      <formula>"Leve"</formula>
    </cfRule>
    <cfRule type="cellIs" dxfId="1475" priority="425" operator="equal">
      <formula>"Catastrófico"</formula>
    </cfRule>
  </conditionalFormatting>
  <conditionalFormatting sqref="O183 O189">
    <cfRule type="cellIs" dxfId="1474" priority="381" operator="equal">
      <formula>"Moderado"</formula>
    </cfRule>
    <cfRule type="cellIs" dxfId="1473" priority="382" operator="equal">
      <formula>"Menor"</formula>
    </cfRule>
    <cfRule type="cellIs" dxfId="1472" priority="383" operator="equal">
      <formula>"Leve"</formula>
    </cfRule>
    <cfRule type="cellIs" dxfId="1471" priority="379" operator="equal">
      <formula>"Catastrófico"</formula>
    </cfRule>
    <cfRule type="cellIs" dxfId="1470" priority="380" operator="equal">
      <formula>"Mayor"</formula>
    </cfRule>
  </conditionalFormatting>
  <conditionalFormatting sqref="O205 AD205:AD207">
    <cfRule type="cellIs" dxfId="1469" priority="363" operator="equal">
      <formula>"Catastrófico"</formula>
    </cfRule>
    <cfRule type="cellIs" dxfId="1468" priority="364" operator="equal">
      <formula>"Mayor"</formula>
    </cfRule>
    <cfRule type="cellIs" dxfId="1467" priority="365" operator="equal">
      <formula>"Moderado"</formula>
    </cfRule>
    <cfRule type="cellIs" dxfId="1466" priority="366" operator="equal">
      <formula>"Menor"</formula>
    </cfRule>
    <cfRule type="cellIs" dxfId="1465" priority="367" operator="equal">
      <formula>"Leve"</formula>
    </cfRule>
  </conditionalFormatting>
  <conditionalFormatting sqref="O218 AD218:AD221">
    <cfRule type="cellIs" dxfId="1464" priority="349" operator="equal">
      <formula>"Mayor"</formula>
    </cfRule>
    <cfRule type="cellIs" dxfId="1463" priority="351" operator="equal">
      <formula>"Menor"</formula>
    </cfRule>
    <cfRule type="cellIs" dxfId="1462" priority="350" operator="equal">
      <formula>"Moderado"</formula>
    </cfRule>
    <cfRule type="cellIs" dxfId="1461" priority="348" operator="equal">
      <formula>"Catastrófico"</formula>
    </cfRule>
    <cfRule type="cellIs" dxfId="1460" priority="352" operator="equal">
      <formula>"Leve"</formula>
    </cfRule>
  </conditionalFormatting>
  <conditionalFormatting sqref="O232:O233 AD235:AD238 O237">
    <cfRule type="cellIs" dxfId="1459" priority="335" operator="equal">
      <formula>"Moderado"</formula>
    </cfRule>
    <cfRule type="cellIs" dxfId="1458" priority="333" operator="equal">
      <formula>"Catastrófico"</formula>
    </cfRule>
    <cfRule type="cellIs" dxfId="1457" priority="334" operator="equal">
      <formula>"Mayor"</formula>
    </cfRule>
    <cfRule type="cellIs" dxfId="1456" priority="336" operator="equal">
      <formula>"Menor"</formula>
    </cfRule>
    <cfRule type="cellIs" dxfId="1455" priority="337" operator="equal">
      <formula>"Leve"</formula>
    </cfRule>
  </conditionalFormatting>
  <conditionalFormatting sqref="O249:O251 AD249:AD257 O257">
    <cfRule type="cellIs" dxfId="1454" priority="304" operator="equal">
      <formula>"Leve"</formula>
    </cfRule>
    <cfRule type="cellIs" dxfId="1453" priority="303" operator="equal">
      <formula>"Menor"</formula>
    </cfRule>
    <cfRule type="cellIs" dxfId="1452" priority="300" operator="equal">
      <formula>"Catastrófico"</formula>
    </cfRule>
    <cfRule type="cellIs" dxfId="1451" priority="302" operator="equal">
      <formula>"Moderado"</formula>
    </cfRule>
    <cfRule type="cellIs" dxfId="1450" priority="301" operator="equal">
      <formula>"Mayor"</formula>
    </cfRule>
  </conditionalFormatting>
  <conditionalFormatting sqref="O268">
    <cfRule type="cellIs" dxfId="1449" priority="281" operator="equal">
      <formula>"Catastrófico"</formula>
    </cfRule>
    <cfRule type="cellIs" dxfId="1448" priority="282" operator="equal">
      <formula>"Mayor"</formula>
    </cfRule>
    <cfRule type="cellIs" dxfId="1447" priority="283" operator="equal">
      <formula>"Moderado"</formula>
    </cfRule>
    <cfRule type="cellIs" dxfId="1446" priority="284" operator="equal">
      <formula>"Menor"</formula>
    </cfRule>
    <cfRule type="cellIs" dxfId="1445" priority="285" operator="equal">
      <formula>"Leve"</formula>
    </cfRule>
  </conditionalFormatting>
  <conditionalFormatting sqref="O284">
    <cfRule type="cellIs" dxfId="1444" priority="254" operator="equal">
      <formula>"Moderado"</formula>
    </cfRule>
    <cfRule type="cellIs" dxfId="1443" priority="255" operator="equal">
      <formula>"Menor"</formula>
    </cfRule>
    <cfRule type="cellIs" dxfId="1442" priority="252" operator="equal">
      <formula>"Catastrófico"</formula>
    </cfRule>
    <cfRule type="cellIs" dxfId="1441" priority="253" operator="equal">
      <formula>"Mayor"</formula>
    </cfRule>
    <cfRule type="cellIs" dxfId="1440" priority="256" operator="equal">
      <formula>"Leve"</formula>
    </cfRule>
  </conditionalFormatting>
  <conditionalFormatting sqref="O322">
    <cfRule type="cellIs" dxfId="1439" priority="205" operator="equal">
      <formula>"Mayor"</formula>
    </cfRule>
    <cfRule type="cellIs" dxfId="1438" priority="208" operator="equal">
      <formula>"Leve"</formula>
    </cfRule>
    <cfRule type="cellIs" dxfId="1437" priority="207" operator="equal">
      <formula>"Menor"</formula>
    </cfRule>
    <cfRule type="cellIs" dxfId="1436" priority="206" operator="equal">
      <formula>"Moderado"</formula>
    </cfRule>
    <cfRule type="cellIs" dxfId="1435" priority="204" operator="equal">
      <formula>"Catastrófico"</formula>
    </cfRule>
  </conditionalFormatting>
  <conditionalFormatting sqref="O338 O342">
    <cfRule type="cellIs" dxfId="1434" priority="190" operator="equal">
      <formula>"Moderado"</formula>
    </cfRule>
    <cfRule type="cellIs" dxfId="1433" priority="189" operator="equal">
      <formula>"Mayor"</formula>
    </cfRule>
    <cfRule type="cellIs" dxfId="1432" priority="191" operator="equal">
      <formula>"Menor"</formula>
    </cfRule>
    <cfRule type="cellIs" dxfId="1431" priority="192" operator="equal">
      <formula>"Leve"</formula>
    </cfRule>
    <cfRule type="cellIs" dxfId="1430" priority="188" operator="equal">
      <formula>"Catastrófico"</formula>
    </cfRule>
  </conditionalFormatting>
  <conditionalFormatting sqref="O346">
    <cfRule type="cellIs" dxfId="1429" priority="145" operator="equal">
      <formula>"Menor"</formula>
    </cfRule>
    <cfRule type="cellIs" dxfId="1428" priority="144" operator="equal">
      <formula>"Moderado"</formula>
    </cfRule>
    <cfRule type="cellIs" dxfId="1427" priority="146" operator="equal">
      <formula>"Leve"</formula>
    </cfRule>
    <cfRule type="cellIs" dxfId="1426" priority="142" operator="equal">
      <formula>"Catastrófico"</formula>
    </cfRule>
    <cfRule type="cellIs" dxfId="1425" priority="143" operator="equal">
      <formula>"Mayor"</formula>
    </cfRule>
  </conditionalFormatting>
  <conditionalFormatting sqref="O360 AD360:AD373 O364 O368 O371">
    <cfRule type="cellIs" dxfId="1424" priority="114" operator="equal">
      <formula>"Mayor"</formula>
    </cfRule>
    <cfRule type="cellIs" dxfId="1423" priority="113" operator="equal">
      <formula>"Catastrófico"</formula>
    </cfRule>
    <cfRule type="cellIs" dxfId="1422" priority="115" operator="equal">
      <formula>"Moderado"</formula>
    </cfRule>
    <cfRule type="cellIs" dxfId="1421" priority="117" operator="equal">
      <formula>"Leve"</formula>
    </cfRule>
    <cfRule type="cellIs" dxfId="1420" priority="116" operator="equal">
      <formula>"Menor"</formula>
    </cfRule>
  </conditionalFormatting>
  <conditionalFormatting sqref="O384">
    <cfRule type="cellIs" dxfId="1419" priority="94" operator="equal">
      <formula>"Catastrófico"</formula>
    </cfRule>
    <cfRule type="cellIs" dxfId="1418" priority="96" operator="equal">
      <formula>"Moderado"</formula>
    </cfRule>
    <cfRule type="cellIs" dxfId="1417" priority="97" operator="equal">
      <formula>"Menor"</formula>
    </cfRule>
    <cfRule type="cellIs" dxfId="1416" priority="95" operator="equal">
      <formula>"Mayor"</formula>
    </cfRule>
    <cfRule type="cellIs" dxfId="1415" priority="98" operator="equal">
      <formula>"Leve"</formula>
    </cfRule>
  </conditionalFormatting>
  <conditionalFormatting sqref="O398 O404 O410">
    <cfRule type="cellIs" dxfId="1414" priority="47" operator="equal">
      <formula>"Menor"</formula>
    </cfRule>
    <cfRule type="cellIs" dxfId="1413" priority="46" operator="equal">
      <formula>"Moderado"</formula>
    </cfRule>
    <cfRule type="cellIs" dxfId="1412" priority="45" operator="equal">
      <formula>"Mayor"</formula>
    </cfRule>
    <cfRule type="cellIs" dxfId="1411" priority="44" operator="equal">
      <formula>"Catastrófico"</formula>
    </cfRule>
    <cfRule type="cellIs" dxfId="1410" priority="48" operator="equal">
      <formula>"Leve"</formula>
    </cfRule>
  </conditionalFormatting>
  <conditionalFormatting sqref="O426 O432">
    <cfRule type="cellIs" dxfId="1409" priority="29" operator="equal">
      <formula>"Mayor"</formula>
    </cfRule>
    <cfRule type="cellIs" dxfId="1408" priority="28" operator="equal">
      <formula>"Catastrófico"</formula>
    </cfRule>
    <cfRule type="cellIs" dxfId="1407" priority="30" operator="equal">
      <formula>"Moderado"</formula>
    </cfRule>
    <cfRule type="cellIs" dxfId="1406" priority="31" operator="equal">
      <formula>"Menor"</formula>
    </cfRule>
    <cfRule type="cellIs" dxfId="1405" priority="32" operator="equal">
      <formula>"Leve"</formula>
    </cfRule>
  </conditionalFormatting>
  <conditionalFormatting sqref="P68:Q68 AE68:AF68 P71:Q71 AE71:AF71">
    <cfRule type="cellIs" dxfId="1404" priority="576" operator="equal">
      <formula>"Extremo"</formula>
    </cfRule>
    <cfRule type="cellIs" dxfId="1403" priority="575" operator="equal">
      <formula>"Alto"</formula>
    </cfRule>
    <cfRule type="cellIs" dxfId="1402" priority="573" operator="equal">
      <formula>"Bajo"</formula>
    </cfRule>
    <cfRule type="cellIs" dxfId="1401" priority="574" operator="equal">
      <formula>"Moderado"</formula>
    </cfRule>
  </conditionalFormatting>
  <conditionalFormatting sqref="Q10">
    <cfRule type="cellIs" dxfId="1400" priority="720" operator="equal">
      <formula>"Bajo"</formula>
    </cfRule>
    <cfRule type="cellIs" dxfId="1399" priority="719" operator="equal">
      <formula>"Moderado"</formula>
    </cfRule>
    <cfRule type="cellIs" dxfId="1398" priority="718" operator="equal">
      <formula>"Alto"</formula>
    </cfRule>
    <cfRule type="cellIs" dxfId="1397" priority="717" operator="equal">
      <formula>"Extremo"</formula>
    </cfRule>
  </conditionalFormatting>
  <conditionalFormatting sqref="Q22">
    <cfRule type="cellIs" dxfId="1396" priority="683" operator="equal">
      <formula>"Bajo"</formula>
    </cfRule>
    <cfRule type="cellIs" dxfId="1395" priority="682" operator="equal">
      <formula>"Moderado"</formula>
    </cfRule>
    <cfRule type="cellIs" dxfId="1394" priority="681" operator="equal">
      <formula>"Alto"</formula>
    </cfRule>
    <cfRule type="cellIs" dxfId="1393" priority="680" operator="equal">
      <formula>"Extremo"</formula>
    </cfRule>
  </conditionalFormatting>
  <conditionalFormatting sqref="Q28">
    <cfRule type="cellIs" dxfId="1392" priority="687" operator="equal">
      <formula>"Bajo"</formula>
    </cfRule>
    <cfRule type="cellIs" dxfId="1391" priority="686" operator="equal">
      <formula>"Moderado"</formula>
    </cfRule>
    <cfRule type="cellIs" dxfId="1390" priority="685" operator="equal">
      <formula>"Alto"</formula>
    </cfRule>
    <cfRule type="cellIs" dxfId="1389" priority="684" operator="equal">
      <formula>"Extremo"</formula>
    </cfRule>
  </conditionalFormatting>
  <conditionalFormatting sqref="Q44">
    <cfRule type="cellIs" dxfId="1388" priority="614" operator="equal">
      <formula>"Alto"</formula>
    </cfRule>
    <cfRule type="cellIs" dxfId="1387" priority="616" operator="equal">
      <formula>"Bajo"</formula>
    </cfRule>
    <cfRule type="cellIs" dxfId="1386" priority="615" operator="equal">
      <formula>"Moderado"</formula>
    </cfRule>
    <cfRule type="cellIs" dxfId="1385" priority="613" operator="equal">
      <formula>"Extremo"</formula>
    </cfRule>
  </conditionalFormatting>
  <conditionalFormatting sqref="Q50 Q56">
    <cfRule type="cellIs" dxfId="1384" priority="634" operator="equal">
      <formula>"Bajo"</formula>
    </cfRule>
    <cfRule type="cellIs" dxfId="1383" priority="633" operator="equal">
      <formula>"Moderado"</formula>
    </cfRule>
    <cfRule type="cellIs" dxfId="1382" priority="632" operator="equal">
      <formula>"Alto"</formula>
    </cfRule>
    <cfRule type="cellIs" dxfId="1381" priority="631" operator="equal">
      <formula>"Extremo"</formula>
    </cfRule>
  </conditionalFormatting>
  <conditionalFormatting sqref="Q68 AF68 AF71:AF72">
    <cfRule type="cellIs" dxfId="1380" priority="589" operator="equal">
      <formula>"Extremo"</formula>
    </cfRule>
    <cfRule type="cellIs" dxfId="1379" priority="592" operator="equal">
      <formula>"Bajo"</formula>
    </cfRule>
    <cfRule type="cellIs" dxfId="1378" priority="591" operator="equal">
      <formula>"Moderado"</formula>
    </cfRule>
    <cfRule type="cellIs" dxfId="1377" priority="590" operator="equal">
      <formula>"Alto"</formula>
    </cfRule>
  </conditionalFormatting>
  <conditionalFormatting sqref="Q84 AF84:AF92">
    <cfRule type="cellIs" dxfId="1376" priority="537" operator="equal">
      <formula>"Moderado"</formula>
    </cfRule>
    <cfRule type="cellIs" dxfId="1375" priority="536" operator="equal">
      <formula>"Alto"</formula>
    </cfRule>
    <cfRule type="cellIs" dxfId="1374" priority="535" operator="equal">
      <formula>"Extremo"</formula>
    </cfRule>
    <cfRule type="cellIs" dxfId="1373" priority="538" operator="equal">
      <formula>"Bajo"</formula>
    </cfRule>
  </conditionalFormatting>
  <conditionalFormatting sqref="Q89">
    <cfRule type="cellIs" dxfId="1372" priority="534" operator="equal">
      <formula>"Bajo"</formula>
    </cfRule>
    <cfRule type="cellIs" dxfId="1371" priority="533" operator="equal">
      <formula>"Moderado"</formula>
    </cfRule>
    <cfRule type="cellIs" dxfId="1370" priority="532" operator="equal">
      <formula>"Alto"</formula>
    </cfRule>
    <cfRule type="cellIs" dxfId="1369" priority="531" operator="equal">
      <formula>"Extremo"</formula>
    </cfRule>
  </conditionalFormatting>
  <conditionalFormatting sqref="Q103">
    <cfRule type="cellIs" dxfId="1368" priority="498" operator="equal">
      <formula>"Extremo"</formula>
    </cfRule>
    <cfRule type="cellIs" dxfId="1367" priority="501" operator="equal">
      <formula>"Bajo"</formula>
    </cfRule>
    <cfRule type="cellIs" dxfId="1366" priority="500" operator="equal">
      <formula>"Moderado"</formula>
    </cfRule>
    <cfRule type="cellIs" dxfId="1365" priority="499" operator="equal">
      <formula>"Alto"</formula>
    </cfRule>
  </conditionalFormatting>
  <conditionalFormatting sqref="Q109">
    <cfRule type="cellIs" dxfId="1364" priority="505" operator="equal">
      <formula>"Bajo"</formula>
    </cfRule>
    <cfRule type="cellIs" dxfId="1363" priority="504" operator="equal">
      <formula>"Moderado"</formula>
    </cfRule>
    <cfRule type="cellIs" dxfId="1362" priority="503" operator="equal">
      <formula>"Alto"</formula>
    </cfRule>
    <cfRule type="cellIs" dxfId="1361" priority="502" operator="equal">
      <formula>"Extremo"</formula>
    </cfRule>
  </conditionalFormatting>
  <conditionalFormatting sqref="Q121 AF121:AF127">
    <cfRule type="cellIs" dxfId="1360" priority="476" operator="equal">
      <formula>"Bajo"</formula>
    </cfRule>
    <cfRule type="cellIs" dxfId="1359" priority="474" operator="equal">
      <formula>"Alto"</formula>
    </cfRule>
    <cfRule type="cellIs" dxfId="1358" priority="475" operator="equal">
      <formula>"Moderado"</formula>
    </cfRule>
    <cfRule type="cellIs" dxfId="1357" priority="473" operator="equal">
      <formula>"Extremo"</formula>
    </cfRule>
  </conditionalFormatting>
  <conditionalFormatting sqref="Q124">
    <cfRule type="cellIs" dxfId="1356" priority="465" operator="equal">
      <formula>"Alto"</formula>
    </cfRule>
    <cfRule type="cellIs" dxfId="1355" priority="464" operator="equal">
      <formula>"Extremo"</formula>
    </cfRule>
    <cfRule type="cellIs" dxfId="1354" priority="467" operator="equal">
      <formula>"Bajo"</formula>
    </cfRule>
    <cfRule type="cellIs" dxfId="1353" priority="466" operator="equal">
      <formula>"Moderado"</formula>
    </cfRule>
  </conditionalFormatting>
  <conditionalFormatting sqref="Q126">
    <cfRule type="cellIs" dxfId="1352" priority="472" operator="equal">
      <formula>"Bajo"</formula>
    </cfRule>
    <cfRule type="cellIs" dxfId="1351" priority="471" operator="equal">
      <formula>"Moderado"</formula>
    </cfRule>
    <cfRule type="cellIs" dxfId="1350" priority="470" operator="equal">
      <formula>"Alto"</formula>
    </cfRule>
    <cfRule type="cellIs" dxfId="1349" priority="469" operator="equal">
      <formula>"Extremo"</formula>
    </cfRule>
  </conditionalFormatting>
  <conditionalFormatting sqref="Q138">
    <cfRule type="cellIs" dxfId="1348" priority="453" operator="equal">
      <formula>"Bajo"</formula>
    </cfRule>
    <cfRule type="cellIs" dxfId="1347" priority="451" operator="equal">
      <formula>"Alto"</formula>
    </cfRule>
    <cfRule type="cellIs" dxfId="1346" priority="452" operator="equal">
      <formula>"Moderado"</formula>
    </cfRule>
    <cfRule type="cellIs" dxfId="1345" priority="450" operator="equal">
      <formula>"Extremo"</formula>
    </cfRule>
  </conditionalFormatting>
  <conditionalFormatting sqref="Q153 AF153:AF155 AF164">
    <cfRule type="cellIs" dxfId="1344" priority="424" operator="equal">
      <formula>"Bajo"</formula>
    </cfRule>
    <cfRule type="cellIs" dxfId="1343" priority="423" operator="equal">
      <formula>"Moderado"</formula>
    </cfRule>
    <cfRule type="cellIs" dxfId="1342" priority="422" operator="equal">
      <formula>"Alto"</formula>
    </cfRule>
    <cfRule type="cellIs" dxfId="1341" priority="421" operator="equal">
      <formula>"Extremo"</formula>
    </cfRule>
  </conditionalFormatting>
  <conditionalFormatting sqref="Q155 Q161 Q167">
    <cfRule type="cellIs" dxfId="1340" priority="417" operator="equal">
      <formula>"Extremo"</formula>
    </cfRule>
    <cfRule type="cellIs" dxfId="1339" priority="418" operator="equal">
      <formula>"Alto"</formula>
    </cfRule>
    <cfRule type="cellIs" dxfId="1338" priority="419" operator="equal">
      <formula>"Moderado"</formula>
    </cfRule>
    <cfRule type="cellIs" dxfId="1337" priority="420" operator="equal">
      <formula>"Bajo"</formula>
    </cfRule>
  </conditionalFormatting>
  <conditionalFormatting sqref="Q183">
    <cfRule type="cellIs" dxfId="1336" priority="384" operator="equal">
      <formula>"Extremo"</formula>
    </cfRule>
    <cfRule type="cellIs" dxfId="1335" priority="387" operator="equal">
      <formula>"Bajo"</formula>
    </cfRule>
    <cfRule type="cellIs" dxfId="1334" priority="386" operator="equal">
      <formula>"Moderado"</formula>
    </cfRule>
    <cfRule type="cellIs" dxfId="1333" priority="385" operator="equal">
      <formula>"Alto"</formula>
    </cfRule>
  </conditionalFormatting>
  <conditionalFormatting sqref="Q189">
    <cfRule type="cellIs" dxfId="1332" priority="389" operator="equal">
      <formula>"Alto"</formula>
    </cfRule>
    <cfRule type="cellIs" dxfId="1331" priority="388" operator="equal">
      <formula>"Extremo"</formula>
    </cfRule>
    <cfRule type="cellIs" dxfId="1330" priority="390" operator="equal">
      <formula>"Moderado"</formula>
    </cfRule>
    <cfRule type="cellIs" dxfId="1329" priority="391" operator="equal">
      <formula>"Bajo"</formula>
    </cfRule>
  </conditionalFormatting>
  <conditionalFormatting sqref="Q205 AF205:AF207">
    <cfRule type="cellIs" dxfId="1328" priority="362" operator="equal">
      <formula>"Bajo"</formula>
    </cfRule>
    <cfRule type="cellIs" dxfId="1327" priority="360" operator="equal">
      <formula>"Alto"</formula>
    </cfRule>
    <cfRule type="cellIs" dxfId="1326" priority="361" operator="equal">
      <formula>"Moderado"</formula>
    </cfRule>
    <cfRule type="cellIs" dxfId="1325" priority="359" operator="equal">
      <formula>"Extremo"</formula>
    </cfRule>
  </conditionalFormatting>
  <conditionalFormatting sqref="Q218 AF218:AF221">
    <cfRule type="cellIs" dxfId="1324" priority="344" operator="equal">
      <formula>"Extremo"</formula>
    </cfRule>
    <cfRule type="cellIs" dxfId="1323" priority="347" operator="equal">
      <formula>"Bajo"</formula>
    </cfRule>
    <cfRule type="cellIs" dxfId="1322" priority="346" operator="equal">
      <formula>"Moderado"</formula>
    </cfRule>
    <cfRule type="cellIs" dxfId="1321" priority="345" operator="equal">
      <formula>"Alto"</formula>
    </cfRule>
  </conditionalFormatting>
  <conditionalFormatting sqref="Q232:Q233 AF235:AF238">
    <cfRule type="cellIs" dxfId="1320" priority="329" operator="equal">
      <formula>"Extremo"</formula>
    </cfRule>
    <cfRule type="cellIs" dxfId="1319" priority="330" operator="equal">
      <formula>"Alto"</formula>
    </cfRule>
    <cfRule type="cellIs" dxfId="1318" priority="331" operator="equal">
      <formula>"Moderado"</formula>
    </cfRule>
    <cfRule type="cellIs" dxfId="1317" priority="332" operator="equal">
      <formula>"Bajo"</formula>
    </cfRule>
  </conditionalFormatting>
  <conditionalFormatting sqref="Q237">
    <cfRule type="cellIs" dxfId="1316" priority="314" operator="equal">
      <formula>"Bajo"</formula>
    </cfRule>
    <cfRule type="cellIs" dxfId="1315" priority="313" operator="equal">
      <formula>"Moderado"</formula>
    </cfRule>
    <cfRule type="cellIs" dxfId="1314" priority="312" operator="equal">
      <formula>"Alto"</formula>
    </cfRule>
    <cfRule type="cellIs" dxfId="1313" priority="311" operator="equal">
      <formula>"Extremo"</formula>
    </cfRule>
  </conditionalFormatting>
  <conditionalFormatting sqref="Q249:Q251 Q257">
    <cfRule type="cellIs" dxfId="1312" priority="294" operator="equal">
      <formula>"Moderado"</formula>
    </cfRule>
    <cfRule type="cellIs" dxfId="1311" priority="295" operator="equal">
      <formula>"Bajo"</formula>
    </cfRule>
    <cfRule type="cellIs" dxfId="1310" priority="292" operator="equal">
      <formula>"Extremo"</formula>
    </cfRule>
    <cfRule type="cellIs" dxfId="1309" priority="293" operator="equal">
      <formula>"Alto"</formula>
    </cfRule>
  </conditionalFormatting>
  <conditionalFormatting sqref="Q268">
    <cfRule type="cellIs" dxfId="1308" priority="280" operator="equal">
      <formula>"Bajo"</formula>
    </cfRule>
    <cfRule type="cellIs" dxfId="1307" priority="278" operator="equal">
      <formula>"Alto"</formula>
    </cfRule>
    <cfRule type="cellIs" dxfId="1306" priority="277" operator="equal">
      <formula>"Extremo"</formula>
    </cfRule>
    <cfRule type="cellIs" dxfId="1305" priority="279" operator="equal">
      <formula>"Moderado"</formula>
    </cfRule>
  </conditionalFormatting>
  <conditionalFormatting sqref="Q284">
    <cfRule type="cellIs" dxfId="1304" priority="248" operator="equal">
      <formula>"Extremo"</formula>
    </cfRule>
    <cfRule type="cellIs" dxfId="1303" priority="249" operator="equal">
      <formula>"Alto"</formula>
    </cfRule>
    <cfRule type="cellIs" dxfId="1302" priority="250" operator="equal">
      <formula>"Moderado"</formula>
    </cfRule>
    <cfRule type="cellIs" dxfId="1301" priority="251" operator="equal">
      <formula>"Bajo"</formula>
    </cfRule>
  </conditionalFormatting>
  <conditionalFormatting sqref="Q322">
    <cfRule type="cellIs" dxfId="1300" priority="212" operator="equal">
      <formula>"Bajo"</formula>
    </cfRule>
    <cfRule type="cellIs" dxfId="1299" priority="210" operator="equal">
      <formula>"Alto"</formula>
    </cfRule>
    <cfRule type="cellIs" dxfId="1298" priority="211" operator="equal">
      <formula>"Moderado"</formula>
    </cfRule>
    <cfRule type="cellIs" dxfId="1297" priority="209" operator="equal">
      <formula>"Extremo"</formula>
    </cfRule>
  </conditionalFormatting>
  <conditionalFormatting sqref="Q338">
    <cfRule type="cellIs" dxfId="1296" priority="186" operator="equal">
      <formula>"Moderado"</formula>
    </cfRule>
    <cfRule type="cellIs" dxfId="1295" priority="184" operator="equal">
      <formula>"Extremo"</formula>
    </cfRule>
    <cfRule type="cellIs" dxfId="1294" priority="187" operator="equal">
      <formula>"Bajo"</formula>
    </cfRule>
    <cfRule type="cellIs" dxfId="1293" priority="185" operator="equal">
      <formula>"Alto"</formula>
    </cfRule>
  </conditionalFormatting>
  <conditionalFormatting sqref="Q342">
    <cfRule type="cellIs" dxfId="1292" priority="177" operator="equal">
      <formula>"Moderado"</formula>
    </cfRule>
    <cfRule type="cellIs" dxfId="1291" priority="178" operator="equal">
      <formula>"Bajo"</formula>
    </cfRule>
    <cfRule type="cellIs" dxfId="1290" priority="176" operator="equal">
      <formula>"Alto"</formula>
    </cfRule>
    <cfRule type="cellIs" dxfId="1289" priority="175" operator="equal">
      <formula>"Extremo"</formula>
    </cfRule>
  </conditionalFormatting>
  <conditionalFormatting sqref="Q346">
    <cfRule type="cellIs" dxfId="1288" priority="140" operator="equal">
      <formula>"Moderado"</formula>
    </cfRule>
    <cfRule type="cellIs" dxfId="1287" priority="141" operator="equal">
      <formula>"Bajo"</formula>
    </cfRule>
    <cfRule type="cellIs" dxfId="1286" priority="139" operator="equal">
      <formula>"Alto"</formula>
    </cfRule>
    <cfRule type="cellIs" dxfId="1285" priority="138" operator="equal">
      <formula>"Extremo"</formula>
    </cfRule>
  </conditionalFormatting>
  <conditionalFormatting sqref="Q360 AF360:AF373">
    <cfRule type="cellIs" dxfId="1284" priority="110" operator="equal">
      <formula>"Alto"</formula>
    </cfRule>
    <cfRule type="cellIs" dxfId="1283" priority="112" operator="equal">
      <formula>"Bajo"</formula>
    </cfRule>
    <cfRule type="cellIs" dxfId="1282" priority="111" operator="equal">
      <formula>"Moderado"</formula>
    </cfRule>
    <cfRule type="cellIs" dxfId="1281" priority="109" operator="equal">
      <formula>"Extremo"</formula>
    </cfRule>
  </conditionalFormatting>
  <conditionalFormatting sqref="Q364 Q368 Q371">
    <cfRule type="cellIs" dxfId="1280" priority="108" operator="equal">
      <formula>"Bajo"</formula>
    </cfRule>
    <cfRule type="cellIs" dxfId="1279" priority="107" operator="equal">
      <formula>"Moderado"</formula>
    </cfRule>
    <cfRule type="cellIs" dxfId="1278" priority="106" operator="equal">
      <formula>"Alto"</formula>
    </cfRule>
    <cfRule type="cellIs" dxfId="1277" priority="105" operator="equal">
      <formula>"Extremo"</formula>
    </cfRule>
  </conditionalFormatting>
  <conditionalFormatting sqref="Q384">
    <cfRule type="cellIs" dxfId="1276" priority="92" operator="equal">
      <formula>"Moderado"</formula>
    </cfRule>
    <cfRule type="cellIs" dxfId="1275" priority="93" operator="equal">
      <formula>"Bajo"</formula>
    </cfRule>
    <cfRule type="cellIs" dxfId="1274" priority="90" operator="equal">
      <formula>"Extremo"</formula>
    </cfRule>
    <cfRule type="cellIs" dxfId="1273" priority="91" operator="equal">
      <formula>"Alto"</formula>
    </cfRule>
  </conditionalFormatting>
  <conditionalFormatting sqref="Q398">
    <cfRule type="cellIs" dxfId="1272" priority="50" operator="equal">
      <formula>"Alto"</formula>
    </cfRule>
    <cfRule type="cellIs" dxfId="1271" priority="51" operator="equal">
      <formula>"Moderado"</formula>
    </cfRule>
    <cfRule type="cellIs" dxfId="1270" priority="49" operator="equal">
      <formula>"Extremo"</formula>
    </cfRule>
    <cfRule type="cellIs" dxfId="1269" priority="52" operator="equal">
      <formula>"Bajo"</formula>
    </cfRule>
  </conditionalFormatting>
  <conditionalFormatting sqref="Q404 Q410">
    <cfRule type="cellIs" dxfId="1268" priority="54" operator="equal">
      <formula>"Alto"</formula>
    </cfRule>
    <cfRule type="cellIs" dxfId="1267" priority="55" operator="equal">
      <formula>"Moderado"</formula>
    </cfRule>
    <cfRule type="cellIs" dxfId="1266" priority="53" operator="equal">
      <formula>"Extremo"</formula>
    </cfRule>
    <cfRule type="cellIs" dxfId="1265" priority="56" operator="equal">
      <formula>"Bajo"</formula>
    </cfRule>
  </conditionalFormatting>
  <conditionalFormatting sqref="Q426">
    <cfRule type="cellIs" dxfId="1264" priority="27" operator="equal">
      <formula>"Bajo"</formula>
    </cfRule>
    <cfRule type="cellIs" dxfId="1263" priority="26" operator="equal">
      <formula>"Moderado"</formula>
    </cfRule>
    <cfRule type="cellIs" dxfId="1262" priority="25" operator="equal">
      <formula>"Alto"</formula>
    </cfRule>
    <cfRule type="cellIs" dxfId="1261" priority="24" operator="equal">
      <formula>"Extremo"</formula>
    </cfRule>
  </conditionalFormatting>
  <conditionalFormatting sqref="Q432">
    <cfRule type="cellIs" dxfId="1260" priority="16" operator="equal">
      <formula>"Extremo"</formula>
    </cfRule>
    <cfRule type="cellIs" dxfId="1259" priority="19" operator="equal">
      <formula>"Bajo"</formula>
    </cfRule>
    <cfRule type="cellIs" dxfId="1258" priority="18" operator="equal">
      <formula>"Moderado"</formula>
    </cfRule>
    <cfRule type="cellIs" dxfId="1257" priority="17" operator="equal">
      <formula>"Alto"</formula>
    </cfRule>
  </conditionalFormatting>
  <conditionalFormatting sqref="AA173 AA195 AA208 AA222 AA239 AA258 AA274 AA287 AA328 AA350 AA374 AA388 AA416 AA438:AA668">
    <cfRule type="cellIs" dxfId="1256" priority="1324" operator="equal">
      <formula>"Media"</formula>
    </cfRule>
    <cfRule type="cellIs" dxfId="1255" priority="1320" operator="equal">
      <formula>"Alta"</formula>
    </cfRule>
    <cfRule type="cellIs" dxfId="1254" priority="1321" operator="equal">
      <formula>"Muy Alta"</formula>
    </cfRule>
    <cfRule type="cellIs" dxfId="1253" priority="1322" operator="equal">
      <formula>"Muy Baja"</formula>
    </cfRule>
    <cfRule type="cellIs" dxfId="1252" priority="1323" operator="equal">
      <formula>"Baja"</formula>
    </cfRule>
  </conditionalFormatting>
  <conditionalFormatting sqref="AB10:AB11">
    <cfRule type="cellIs" dxfId="1251" priority="712" operator="equal">
      <formula>"Alta"</formula>
    </cfRule>
    <cfRule type="cellIs" dxfId="1250" priority="711" operator="equal">
      <formula>"Muy Alta"</formula>
    </cfRule>
    <cfRule type="cellIs" dxfId="1249" priority="714" operator="equal">
      <formula>"Baja"</formula>
    </cfRule>
    <cfRule type="cellIs" dxfId="1248" priority="715" operator="equal">
      <formula>"Muy Baja"</formula>
    </cfRule>
    <cfRule type="cellIs" dxfId="1247" priority="713" operator="equal">
      <formula>"Media"</formula>
    </cfRule>
  </conditionalFormatting>
  <conditionalFormatting sqref="AB22:AB33">
    <cfRule type="cellIs" dxfId="1246" priority="689" operator="equal">
      <formula>"Alta"</formula>
    </cfRule>
    <cfRule type="cellIs" dxfId="1245" priority="688" operator="equal">
      <formula>"Muy Alta"</formula>
    </cfRule>
    <cfRule type="cellIs" dxfId="1244" priority="690" operator="equal">
      <formula>"Media"</formula>
    </cfRule>
    <cfRule type="cellIs" dxfId="1243" priority="691" operator="equal">
      <formula>"Baja"</formula>
    </cfRule>
    <cfRule type="cellIs" dxfId="1242" priority="692" operator="equal">
      <formula>"Muy Baja"</formula>
    </cfRule>
  </conditionalFormatting>
  <conditionalFormatting sqref="AB44:AB57">
    <cfRule type="cellIs" dxfId="1241" priority="617" operator="equal">
      <formula>"Muy Alta"</formula>
    </cfRule>
    <cfRule type="cellIs" dxfId="1240" priority="621" operator="equal">
      <formula>"Muy Baja"</formula>
    </cfRule>
    <cfRule type="cellIs" dxfId="1239" priority="619" operator="equal">
      <formula>"Media"</formula>
    </cfRule>
    <cfRule type="cellIs" dxfId="1238" priority="620" operator="equal">
      <formula>"Baja"</formula>
    </cfRule>
    <cfRule type="cellIs" dxfId="1237" priority="618" operator="equal">
      <formula>"Alta"</formula>
    </cfRule>
  </conditionalFormatting>
  <conditionalFormatting sqref="AB103 AB105:AB111">
    <cfRule type="cellIs" dxfId="1236" priority="507" operator="equal">
      <formula>"Alta"</formula>
    </cfRule>
    <cfRule type="cellIs" dxfId="1235" priority="506" operator="equal">
      <formula>"Muy Alta"</formula>
    </cfRule>
    <cfRule type="cellIs" dxfId="1234" priority="509" operator="equal">
      <formula>"Baja"</formula>
    </cfRule>
    <cfRule type="cellIs" dxfId="1233" priority="510" operator="equal">
      <formula>"Muy Baja"</formula>
    </cfRule>
    <cfRule type="cellIs" dxfId="1232" priority="508" operator="equal">
      <formula>"Media"</formula>
    </cfRule>
  </conditionalFormatting>
  <conditionalFormatting sqref="AB138:AB143">
    <cfRule type="cellIs" dxfId="1231" priority="444" operator="equal">
      <formula>"Muy Alta"</formula>
    </cfRule>
    <cfRule type="cellIs" dxfId="1230" priority="445" operator="equal">
      <formula>"Alta"</formula>
    </cfRule>
    <cfRule type="cellIs" dxfId="1229" priority="446" operator="equal">
      <formula>"Media"</formula>
    </cfRule>
    <cfRule type="cellIs" dxfId="1228" priority="447" operator="equal">
      <formula>"Baja"</formula>
    </cfRule>
    <cfRule type="cellIs" dxfId="1227" priority="448" operator="equal">
      <formula>"Muy Baja"</formula>
    </cfRule>
  </conditionalFormatting>
  <conditionalFormatting sqref="AB164">
    <cfRule type="cellIs" dxfId="1226" priority="412" operator="equal">
      <formula>"Alta"</formula>
    </cfRule>
    <cfRule type="cellIs" dxfId="1225" priority="415" operator="equal">
      <formula>"Muy Baja"</formula>
    </cfRule>
    <cfRule type="cellIs" dxfId="1224" priority="411" operator="equal">
      <formula>"Muy Alta"</formula>
    </cfRule>
    <cfRule type="cellIs" dxfId="1223" priority="414" operator="equal">
      <formula>"Baja"</formula>
    </cfRule>
    <cfRule type="cellIs" dxfId="1222" priority="413" operator="equal">
      <formula>"Media"</formula>
    </cfRule>
  </conditionalFormatting>
  <conditionalFormatting sqref="AB183 AB187 AB189">
    <cfRule type="cellIs" dxfId="1221" priority="395" operator="equal">
      <formula>"Baja"</formula>
    </cfRule>
    <cfRule type="cellIs" dxfId="1220" priority="393" operator="equal">
      <formula>"Alta"</formula>
    </cfRule>
    <cfRule type="cellIs" dxfId="1219" priority="396" operator="equal">
      <formula>"Muy Baja"</formula>
    </cfRule>
    <cfRule type="cellIs" dxfId="1218" priority="392" operator="equal">
      <formula>"Muy Alta"</formula>
    </cfRule>
    <cfRule type="cellIs" dxfId="1217" priority="394" operator="equal">
      <formula>"Media"</formula>
    </cfRule>
  </conditionalFormatting>
  <conditionalFormatting sqref="AB232:AB233">
    <cfRule type="cellIs" dxfId="1216" priority="325" operator="equal">
      <formula>"Alta"</formula>
    </cfRule>
    <cfRule type="cellIs" dxfId="1215" priority="326" operator="equal">
      <formula>"Media"</formula>
    </cfRule>
    <cfRule type="cellIs" dxfId="1214" priority="327" operator="equal">
      <formula>"Baja"</formula>
    </cfRule>
    <cfRule type="cellIs" dxfId="1213" priority="328" operator="equal">
      <formula>"Muy Baja"</formula>
    </cfRule>
    <cfRule type="cellIs" dxfId="1212" priority="324" operator="equal">
      <formula>"Muy Alta"</formula>
    </cfRule>
  </conditionalFormatting>
  <conditionalFormatting sqref="AB268:AB273">
    <cfRule type="cellIs" dxfId="1211" priority="274" operator="equal">
      <formula>"Baja"</formula>
    </cfRule>
    <cfRule type="cellIs" dxfId="1210" priority="275" operator="equal">
      <formula>"Muy Baja"</formula>
    </cfRule>
    <cfRule type="cellIs" dxfId="1209" priority="273" operator="equal">
      <formula>"Media"</formula>
    </cfRule>
    <cfRule type="cellIs" dxfId="1208" priority="271" operator="equal">
      <formula>"Muy Alta"</formula>
    </cfRule>
    <cfRule type="cellIs" dxfId="1207" priority="272" operator="equal">
      <formula>"Alta"</formula>
    </cfRule>
  </conditionalFormatting>
  <conditionalFormatting sqref="AB284:AB286">
    <cfRule type="cellIs" dxfId="1206" priority="246" operator="equal">
      <formula>"Muy Baja"</formula>
    </cfRule>
    <cfRule type="cellIs" dxfId="1205" priority="244" operator="equal">
      <formula>"Media"</formula>
    </cfRule>
    <cfRule type="cellIs" dxfId="1204" priority="242" operator="equal">
      <formula>"Muy Alta"</formula>
    </cfRule>
    <cfRule type="cellIs" dxfId="1203" priority="245" operator="equal">
      <formula>"Baja"</formula>
    </cfRule>
    <cfRule type="cellIs" dxfId="1202" priority="243" operator="equal">
      <formula>"Alta"</formula>
    </cfRule>
  </conditionalFormatting>
  <conditionalFormatting sqref="AB322:AB327">
    <cfRule type="cellIs" dxfId="1201" priority="214" operator="equal">
      <formula>"Alta"</formula>
    </cfRule>
    <cfRule type="cellIs" dxfId="1200" priority="215" operator="equal">
      <formula>"Media"</formula>
    </cfRule>
    <cfRule type="cellIs" dxfId="1199" priority="216" operator="equal">
      <formula>"Baja"</formula>
    </cfRule>
    <cfRule type="cellIs" dxfId="1198" priority="217" operator="equal">
      <formula>"Muy Baja"</formula>
    </cfRule>
    <cfRule type="cellIs" dxfId="1197" priority="213" operator="equal">
      <formula>"Muy Alta"</formula>
    </cfRule>
  </conditionalFormatting>
  <conditionalFormatting sqref="AB338:AB339">
    <cfRule type="cellIs" dxfId="1196" priority="180" operator="equal">
      <formula>"Alta"</formula>
    </cfRule>
    <cfRule type="cellIs" dxfId="1195" priority="179" operator="equal">
      <formula>"Muy Alta"</formula>
    </cfRule>
    <cfRule type="cellIs" dxfId="1194" priority="183" operator="equal">
      <formula>"Muy Baja"</formula>
    </cfRule>
    <cfRule type="cellIs" dxfId="1193" priority="182" operator="equal">
      <formula>"Baja"</formula>
    </cfRule>
    <cfRule type="cellIs" dxfId="1192" priority="181" operator="equal">
      <formula>"Media"</formula>
    </cfRule>
  </conditionalFormatting>
  <conditionalFormatting sqref="AB342:AB343">
    <cfRule type="cellIs" dxfId="1191" priority="173" operator="equal">
      <formula>"Baja"</formula>
    </cfRule>
    <cfRule type="cellIs" dxfId="1190" priority="170" operator="equal">
      <formula>"Muy Alta"</formula>
    </cfRule>
    <cfRule type="cellIs" dxfId="1189" priority="174" operator="equal">
      <formula>"Muy Baja"</formula>
    </cfRule>
    <cfRule type="cellIs" dxfId="1188" priority="171" operator="equal">
      <formula>"Alta"</formula>
    </cfRule>
    <cfRule type="cellIs" dxfId="1187" priority="172" operator="equal">
      <formula>"Media"</formula>
    </cfRule>
  </conditionalFormatting>
  <conditionalFormatting sqref="AB346">
    <cfRule type="cellIs" dxfId="1186" priority="137" operator="equal">
      <formula>"Muy Baja"</formula>
    </cfRule>
    <cfRule type="cellIs" dxfId="1185" priority="133" operator="equal">
      <formula>"Muy Alta"</formula>
    </cfRule>
    <cfRule type="cellIs" dxfId="1184" priority="134" operator="equal">
      <formula>"Alta"</formula>
    </cfRule>
    <cfRule type="cellIs" dxfId="1183" priority="135" operator="equal">
      <formula>"Media"</formula>
    </cfRule>
    <cfRule type="cellIs" dxfId="1182" priority="136" operator="equal">
      <formula>"Baja"</formula>
    </cfRule>
  </conditionalFormatting>
  <conditionalFormatting sqref="AB384:AB387">
    <cfRule type="cellIs" dxfId="1181" priority="83" operator="equal">
      <formula>"Baja"</formula>
    </cfRule>
    <cfRule type="cellIs" dxfId="1180" priority="82" operator="equal">
      <formula>"Media"</formula>
    </cfRule>
    <cfRule type="cellIs" dxfId="1179" priority="81" operator="equal">
      <formula>"Alta"</formula>
    </cfRule>
    <cfRule type="cellIs" dxfId="1178" priority="80" operator="equal">
      <formula>"Muy Alta"</formula>
    </cfRule>
    <cfRule type="cellIs" dxfId="1177" priority="84" operator="equal">
      <formula>"Muy Baja"</formula>
    </cfRule>
  </conditionalFormatting>
  <conditionalFormatting sqref="AB398:AB399 AB404:AB405 AB410:AB411">
    <cfRule type="cellIs" dxfId="1176" priority="61" operator="equal">
      <formula>"Muy Baja"</formula>
    </cfRule>
    <cfRule type="cellIs" dxfId="1175" priority="57" operator="equal">
      <formula>"Muy Alta"</formula>
    </cfRule>
    <cfRule type="cellIs" dxfId="1174" priority="60" operator="equal">
      <formula>"Baja"</formula>
    </cfRule>
    <cfRule type="cellIs" dxfId="1173" priority="59" operator="equal">
      <formula>"Media"</formula>
    </cfRule>
    <cfRule type="cellIs" dxfId="1172" priority="58" operator="equal">
      <formula>"Alta"</formula>
    </cfRule>
  </conditionalFormatting>
  <conditionalFormatting sqref="AB426:AB429 AB432">
    <cfRule type="cellIs" dxfId="1171" priority="14" operator="equal">
      <formula>"Muy Baja"</formula>
    </cfRule>
    <cfRule type="cellIs" dxfId="1170" priority="10" operator="equal">
      <formula>"Muy Alta"</formula>
    </cfRule>
    <cfRule type="cellIs" dxfId="1169" priority="13" operator="equal">
      <formula>"Baja"</formula>
    </cfRule>
    <cfRule type="cellIs" dxfId="1168" priority="11" operator="equal">
      <formula>"Alta"</formula>
    </cfRule>
    <cfRule type="cellIs" dxfId="1167" priority="12" operator="equal">
      <formula>"Media"</formula>
    </cfRule>
  </conditionalFormatting>
  <conditionalFormatting sqref="AC173 AC195 AC208 AC222 AC239 AC258 AC274 AC287 AC328 AC350 AC374 AC388 AC416 AC438:AC668">
    <cfRule type="cellIs" dxfId="1166" priority="1316" operator="equal">
      <formula>"Moderado"</formula>
    </cfRule>
    <cfRule type="cellIs" dxfId="1165" priority="1317" operator="equal">
      <formula>"Mayor"</formula>
    </cfRule>
    <cfRule type="cellIs" dxfId="1164" priority="1318" operator="equal">
      <formula>"Catastrófico"</formula>
    </cfRule>
    <cfRule type="cellIs" dxfId="1163" priority="1319" operator="equal">
      <formula>"Leve"</formula>
    </cfRule>
    <cfRule type="cellIs" dxfId="1162" priority="1315" operator="equal">
      <formula>"Menor"</formula>
    </cfRule>
  </conditionalFormatting>
  <conditionalFormatting sqref="AC68:AD68 N71:O71 AC71:AD71">
    <cfRule type="cellIs" dxfId="1161" priority="580" operator="equal">
      <formula>"Mayor"</formula>
    </cfRule>
    <cfRule type="cellIs" dxfId="1160" priority="581" operator="equal">
      <formula>"Catastrófico"</formula>
    </cfRule>
    <cfRule type="cellIs" dxfId="1159" priority="577" operator="equal">
      <formula>"Leve"</formula>
    </cfRule>
    <cfRule type="cellIs" dxfId="1158" priority="578" operator="equal">
      <formula>"Menor"</formula>
    </cfRule>
    <cfRule type="cellIs" dxfId="1157" priority="579" operator="equal">
      <formula>"Moderado"</formula>
    </cfRule>
  </conditionalFormatting>
  <conditionalFormatting sqref="AD10:AD11">
    <cfRule type="cellIs" dxfId="1156" priority="707" operator="equal">
      <formula>"Mayor"</formula>
    </cfRule>
    <cfRule type="cellIs" dxfId="1155" priority="706" operator="equal">
      <formula>"Catastrófico"</formula>
    </cfRule>
    <cfRule type="cellIs" dxfId="1154" priority="710" operator="equal">
      <formula>"Leve"</formula>
    </cfRule>
    <cfRule type="cellIs" dxfId="1153" priority="708" operator="equal">
      <formula>"Moderado"</formula>
    </cfRule>
    <cfRule type="cellIs" dxfId="1152" priority="709" operator="equal">
      <formula>"Menor"</formula>
    </cfRule>
  </conditionalFormatting>
  <conditionalFormatting sqref="AD22:AD33">
    <cfRule type="cellIs" dxfId="1151" priority="694" operator="equal">
      <formula>"Mayor"</formula>
    </cfRule>
    <cfRule type="cellIs" dxfId="1150" priority="693" operator="equal">
      <formula>"Catastrófico"</formula>
    </cfRule>
    <cfRule type="cellIs" dxfId="1149" priority="695" operator="equal">
      <formula>"Moderado"</formula>
    </cfRule>
    <cfRule type="cellIs" dxfId="1148" priority="696" operator="equal">
      <formula>"Menor"</formula>
    </cfRule>
    <cfRule type="cellIs" dxfId="1147" priority="697" operator="equal">
      <formula>"Leve"</formula>
    </cfRule>
  </conditionalFormatting>
  <conditionalFormatting sqref="AD44:AD57">
    <cfRule type="cellIs" dxfId="1146" priority="625" operator="equal">
      <formula>"Menor"</formula>
    </cfRule>
    <cfRule type="cellIs" dxfId="1145" priority="626" operator="equal">
      <formula>"Leve"</formula>
    </cfRule>
    <cfRule type="cellIs" dxfId="1144" priority="624" operator="equal">
      <formula>"Moderado"</formula>
    </cfRule>
    <cfRule type="cellIs" dxfId="1143" priority="623" operator="equal">
      <formula>"Mayor"</formula>
    </cfRule>
    <cfRule type="cellIs" dxfId="1142" priority="622" operator="equal">
      <formula>"Catastrófico"</formula>
    </cfRule>
  </conditionalFormatting>
  <conditionalFormatting sqref="AD103 AD105:AD111">
    <cfRule type="cellIs" dxfId="1141" priority="513" operator="equal">
      <formula>"Moderado"</formula>
    </cfRule>
    <cfRule type="cellIs" dxfId="1140" priority="511" operator="equal">
      <formula>"Catastrófico"</formula>
    </cfRule>
    <cfRule type="cellIs" dxfId="1139" priority="512" operator="equal">
      <formula>"Mayor"</formula>
    </cfRule>
    <cfRule type="cellIs" dxfId="1138" priority="515" operator="equal">
      <formula>"Leve"</formula>
    </cfRule>
    <cfRule type="cellIs" dxfId="1137" priority="514" operator="equal">
      <formula>"Menor"</formula>
    </cfRule>
  </conditionalFormatting>
  <conditionalFormatting sqref="AD138:AD143">
    <cfRule type="cellIs" dxfId="1136" priority="437" operator="equal">
      <formula>"Moderado"</formula>
    </cfRule>
    <cfRule type="cellIs" dxfId="1135" priority="439" operator="equal">
      <formula>"Leve"</formula>
    </cfRule>
    <cfRule type="cellIs" dxfId="1134" priority="438" operator="equal">
      <formula>"Menor"</formula>
    </cfRule>
    <cfRule type="cellIs" dxfId="1133" priority="436" operator="equal">
      <formula>"Mayor"</formula>
    </cfRule>
    <cfRule type="cellIs" dxfId="1132" priority="435" operator="equal">
      <formula>"Catastrófico"</formula>
    </cfRule>
  </conditionalFormatting>
  <conditionalFormatting sqref="AD164">
    <cfRule type="cellIs" dxfId="1131" priority="408" operator="equal">
      <formula>"Moderado"</formula>
    </cfRule>
    <cfRule type="cellIs" dxfId="1130" priority="409" operator="equal">
      <formula>"Menor"</formula>
    </cfRule>
    <cfRule type="cellIs" dxfId="1129" priority="410" operator="equal">
      <formula>"Leve"</formula>
    </cfRule>
    <cfRule type="cellIs" dxfId="1128" priority="406" operator="equal">
      <formula>"Catastrófico"</formula>
    </cfRule>
    <cfRule type="cellIs" dxfId="1127" priority="407" operator="equal">
      <formula>"Mayor"</formula>
    </cfRule>
  </conditionalFormatting>
  <conditionalFormatting sqref="AD183 AD187 AD189">
    <cfRule type="cellIs" dxfId="1126" priority="397" operator="equal">
      <formula>"Catastrófico"</formula>
    </cfRule>
    <cfRule type="cellIs" dxfId="1125" priority="401" operator="equal">
      <formula>"Leve"</formula>
    </cfRule>
    <cfRule type="cellIs" dxfId="1124" priority="400" operator="equal">
      <formula>"Menor"</formula>
    </cfRule>
    <cfRule type="cellIs" dxfId="1123" priority="398" operator="equal">
      <formula>"Mayor"</formula>
    </cfRule>
    <cfRule type="cellIs" dxfId="1122" priority="399" operator="equal">
      <formula>"Moderado"</formula>
    </cfRule>
  </conditionalFormatting>
  <conditionalFormatting sqref="AD232:AD233">
    <cfRule type="cellIs" dxfId="1121" priority="319" operator="equal">
      <formula>"Catastrófico"</formula>
    </cfRule>
    <cfRule type="cellIs" dxfId="1120" priority="320" operator="equal">
      <formula>"Mayor"</formula>
    </cfRule>
    <cfRule type="cellIs" dxfId="1119" priority="321" operator="equal">
      <formula>"Moderado"</formula>
    </cfRule>
    <cfRule type="cellIs" dxfId="1118" priority="322" operator="equal">
      <formula>"Menor"</formula>
    </cfRule>
    <cfRule type="cellIs" dxfId="1117" priority="323" operator="equal">
      <formula>"Leve"</formula>
    </cfRule>
  </conditionalFormatting>
  <conditionalFormatting sqref="AD268:AD273">
    <cfRule type="cellIs" dxfId="1116" priority="266" operator="equal">
      <formula>"Catastrófico"</formula>
    </cfRule>
    <cfRule type="cellIs" dxfId="1115" priority="267" operator="equal">
      <formula>"Mayor"</formula>
    </cfRule>
    <cfRule type="cellIs" dxfId="1114" priority="268" operator="equal">
      <formula>"Moderado"</formula>
    </cfRule>
    <cfRule type="cellIs" dxfId="1113" priority="269" operator="equal">
      <formula>"Menor"</formula>
    </cfRule>
    <cfRule type="cellIs" dxfId="1112" priority="270" operator="equal">
      <formula>"Leve"</formula>
    </cfRule>
  </conditionalFormatting>
  <conditionalFormatting sqref="AD284:AD286">
    <cfRule type="cellIs" dxfId="1111" priority="239" operator="equal">
      <formula>"Moderado"</formula>
    </cfRule>
    <cfRule type="cellIs" dxfId="1110" priority="240" operator="equal">
      <formula>"Menor"</formula>
    </cfRule>
    <cfRule type="cellIs" dxfId="1109" priority="241" operator="equal">
      <formula>"Leve"</formula>
    </cfRule>
    <cfRule type="cellIs" dxfId="1108" priority="237" operator="equal">
      <formula>"Catastrófico"</formula>
    </cfRule>
    <cfRule type="cellIs" dxfId="1107" priority="238" operator="equal">
      <formula>"Mayor"</formula>
    </cfRule>
  </conditionalFormatting>
  <conditionalFormatting sqref="AD322:AD327">
    <cfRule type="cellIs" dxfId="1106" priority="219" operator="equal">
      <formula>"Mayor"</formula>
    </cfRule>
    <cfRule type="cellIs" dxfId="1105" priority="218" operator="equal">
      <formula>"Catastrófico"</formula>
    </cfRule>
    <cfRule type="cellIs" dxfId="1104" priority="222" operator="equal">
      <formula>"Leve"</formula>
    </cfRule>
    <cfRule type="cellIs" dxfId="1103" priority="220" operator="equal">
      <formula>"Moderado"</formula>
    </cfRule>
    <cfRule type="cellIs" dxfId="1102" priority="221" operator="equal">
      <formula>"Menor"</formula>
    </cfRule>
  </conditionalFormatting>
  <conditionalFormatting sqref="AD338:AD339">
    <cfRule type="cellIs" dxfId="1101" priority="159" operator="equal">
      <formula>"Menor"</formula>
    </cfRule>
    <cfRule type="cellIs" dxfId="1100" priority="158" operator="equal">
      <formula>"Moderado"</formula>
    </cfRule>
    <cfRule type="cellIs" dxfId="1099" priority="156" operator="equal">
      <formula>"Catastrófico"</formula>
    </cfRule>
    <cfRule type="cellIs" dxfId="1098" priority="157" operator="equal">
      <formula>"Mayor"</formula>
    </cfRule>
    <cfRule type="cellIs" dxfId="1097" priority="160" operator="equal">
      <formula>"Leve"</formula>
    </cfRule>
  </conditionalFormatting>
  <conditionalFormatting sqref="AD342:AD343">
    <cfRule type="cellIs" dxfId="1096" priority="166" operator="equal">
      <formula>"Mayor"</formula>
    </cfRule>
    <cfRule type="cellIs" dxfId="1095" priority="169" operator="equal">
      <formula>"Leve"</formula>
    </cfRule>
    <cfRule type="cellIs" dxfId="1094" priority="165" operator="equal">
      <formula>"Catastrófico"</formula>
    </cfRule>
    <cfRule type="cellIs" dxfId="1093" priority="168" operator="equal">
      <formula>"Menor"</formula>
    </cfRule>
    <cfRule type="cellIs" dxfId="1092" priority="167" operator="equal">
      <formula>"Moderado"</formula>
    </cfRule>
  </conditionalFormatting>
  <conditionalFormatting sqref="AD346">
    <cfRule type="cellIs" dxfId="1091" priority="132" operator="equal">
      <formula>"Leve"</formula>
    </cfRule>
    <cfRule type="cellIs" dxfId="1090" priority="131" operator="equal">
      <formula>"Menor"</formula>
    </cfRule>
    <cfRule type="cellIs" dxfId="1089" priority="130" operator="equal">
      <formula>"Moderado"</formula>
    </cfRule>
    <cfRule type="cellIs" dxfId="1088" priority="129" operator="equal">
      <formula>"Mayor"</formula>
    </cfRule>
    <cfRule type="cellIs" dxfId="1087" priority="128" operator="equal">
      <formula>"Catastrófico"</formula>
    </cfRule>
  </conditionalFormatting>
  <conditionalFormatting sqref="AD384:AD387">
    <cfRule type="cellIs" dxfId="1086" priority="77" operator="equal">
      <formula>"Moderado"</formula>
    </cfRule>
    <cfRule type="cellIs" dxfId="1085" priority="78" operator="equal">
      <formula>"Menor"</formula>
    </cfRule>
    <cfRule type="cellIs" dxfId="1084" priority="75" operator="equal">
      <formula>"Catastrófico"</formula>
    </cfRule>
    <cfRule type="cellIs" dxfId="1083" priority="76" operator="equal">
      <formula>"Mayor"</formula>
    </cfRule>
    <cfRule type="cellIs" dxfId="1082" priority="79" operator="equal">
      <formula>"Leve"</formula>
    </cfRule>
  </conditionalFormatting>
  <conditionalFormatting sqref="AD398:AD399 AD404:AD405 AD410:AD411">
    <cfRule type="cellIs" dxfId="1081" priority="64" operator="equal">
      <formula>"Moderado"</formula>
    </cfRule>
    <cfRule type="cellIs" dxfId="1080" priority="66" operator="equal">
      <formula>"Leve"</formula>
    </cfRule>
    <cfRule type="cellIs" dxfId="1079" priority="65" operator="equal">
      <formula>"Menor"</formula>
    </cfRule>
    <cfRule type="cellIs" dxfId="1078" priority="63" operator="equal">
      <formula>"Mayor"</formula>
    </cfRule>
    <cfRule type="cellIs" dxfId="1077" priority="62" operator="equal">
      <formula>"Catastrófico"</formula>
    </cfRule>
  </conditionalFormatting>
  <conditionalFormatting sqref="AD426:AD429 AD432">
    <cfRule type="cellIs" dxfId="1076" priority="6" operator="equal">
      <formula>"Mayor"</formula>
    </cfRule>
    <cfRule type="cellIs" dxfId="1075" priority="5" operator="equal">
      <formula>"Catastrófico"</formula>
    </cfRule>
    <cfRule type="cellIs" dxfId="1074" priority="8" operator="equal">
      <formula>"Menor"</formula>
    </cfRule>
    <cfRule type="cellIs" dxfId="1073" priority="9" operator="equal">
      <formula>"Leve"</formula>
    </cfRule>
    <cfRule type="cellIs" dxfId="1072" priority="7" operator="equal">
      <formula>"Moderado"</formula>
    </cfRule>
  </conditionalFormatting>
  <conditionalFormatting sqref="AE173 AE195 AE208 AE222 AE239 AE258 AE274 AE287 AE328 AE350 AE374 AE388 AE416 AE438:AE668">
    <cfRule type="cellIs" dxfId="1071" priority="1313" operator="equal">
      <formula>"Alto"</formula>
    </cfRule>
    <cfRule type="cellIs" dxfId="1070" priority="1311" operator="equal">
      <formula>"Bajo"</formula>
    </cfRule>
    <cfRule type="cellIs" dxfId="1069" priority="1314" operator="equal">
      <formula>"Extremo"</formula>
    </cfRule>
    <cfRule type="cellIs" dxfId="1068" priority="1312" operator="equal">
      <formula>"Moderado"</formula>
    </cfRule>
  </conditionalFormatting>
  <conditionalFormatting sqref="AF10:AF11">
    <cfRule type="cellIs" dxfId="1067" priority="705" operator="equal">
      <formula>"Bajo"</formula>
    </cfRule>
    <cfRule type="cellIs" dxfId="1066" priority="704" operator="equal">
      <formula>"Moderado"</formula>
    </cfRule>
    <cfRule type="cellIs" dxfId="1065" priority="703" operator="equal">
      <formula>"Alto"</formula>
    </cfRule>
    <cfRule type="cellIs" dxfId="1064" priority="702" operator="equal">
      <formula>"Extremo"</formula>
    </cfRule>
  </conditionalFormatting>
  <conditionalFormatting sqref="AF22:AF33">
    <cfRule type="cellIs" dxfId="1063" priority="698" operator="equal">
      <formula>"Extremo"</formula>
    </cfRule>
    <cfRule type="cellIs" dxfId="1062" priority="701" operator="equal">
      <formula>"Bajo"</formula>
    </cfRule>
    <cfRule type="cellIs" dxfId="1061" priority="700" operator="equal">
      <formula>"Moderado"</formula>
    </cfRule>
    <cfRule type="cellIs" dxfId="1060" priority="699" operator="equal">
      <formula>"Alto"</formula>
    </cfRule>
  </conditionalFormatting>
  <conditionalFormatting sqref="AF44:AF57">
    <cfRule type="cellIs" dxfId="1059" priority="628" operator="equal">
      <formula>"Alto"</formula>
    </cfRule>
    <cfRule type="cellIs" dxfId="1058" priority="630" operator="equal">
      <formula>"Bajo"</formula>
    </cfRule>
    <cfRule type="cellIs" dxfId="1057" priority="629" operator="equal">
      <formula>"Moderado"</formula>
    </cfRule>
    <cfRule type="cellIs" dxfId="1056" priority="627" operator="equal">
      <formula>"Extremo"</formula>
    </cfRule>
  </conditionalFormatting>
  <conditionalFormatting sqref="AF103 AF105:AF111">
    <cfRule type="cellIs" dxfId="1055" priority="519" operator="equal">
      <formula>"Bajo"</formula>
    </cfRule>
    <cfRule type="cellIs" dxfId="1054" priority="518" operator="equal">
      <formula>"Moderado"</formula>
    </cfRule>
    <cfRule type="cellIs" dxfId="1053" priority="516" operator="equal">
      <formula>"Extremo"</formula>
    </cfRule>
    <cfRule type="cellIs" dxfId="1052" priority="517" operator="equal">
      <formula>"Alto"</formula>
    </cfRule>
  </conditionalFormatting>
  <conditionalFormatting sqref="AF138:AF143">
    <cfRule type="cellIs" dxfId="1051" priority="440" operator="equal">
      <formula>"Extremo"</formula>
    </cfRule>
    <cfRule type="cellIs" dxfId="1050" priority="442" operator="equal">
      <formula>"Moderado"</formula>
    </cfRule>
    <cfRule type="cellIs" dxfId="1049" priority="443" operator="equal">
      <formula>"Bajo"</formula>
    </cfRule>
    <cfRule type="cellIs" dxfId="1048" priority="441" operator="equal">
      <formula>"Alto"</formula>
    </cfRule>
  </conditionalFormatting>
  <conditionalFormatting sqref="AF183 AF187 AF189">
    <cfRule type="cellIs" dxfId="1047" priority="402" operator="equal">
      <formula>"Extremo"</formula>
    </cfRule>
    <cfRule type="cellIs" dxfId="1046" priority="403" operator="equal">
      <formula>"Alto"</formula>
    </cfRule>
    <cfRule type="cellIs" dxfId="1045" priority="405" operator="equal">
      <formula>"Bajo"</formula>
    </cfRule>
    <cfRule type="cellIs" dxfId="1044" priority="404" operator="equal">
      <formula>"Moderado"</formula>
    </cfRule>
  </conditionalFormatting>
  <conditionalFormatting sqref="AF232:AF233">
    <cfRule type="cellIs" dxfId="1043" priority="315" operator="equal">
      <formula>"Extremo"</formula>
    </cfRule>
    <cfRule type="cellIs" dxfId="1042" priority="316" operator="equal">
      <formula>"Alto"</formula>
    </cfRule>
    <cfRule type="cellIs" dxfId="1041" priority="317" operator="equal">
      <formula>"Moderado"</formula>
    </cfRule>
    <cfRule type="cellIs" dxfId="1040" priority="318" operator="equal">
      <formula>"Bajo"</formula>
    </cfRule>
  </conditionalFormatting>
  <conditionalFormatting sqref="AF249:AF257">
    <cfRule type="cellIs" dxfId="1039" priority="297" operator="equal">
      <formula>"Alto"</formula>
    </cfRule>
    <cfRule type="cellIs" dxfId="1038" priority="299" operator="equal">
      <formula>"Bajo"</formula>
    </cfRule>
    <cfRule type="cellIs" dxfId="1037" priority="298" operator="equal">
      <formula>"Moderado"</formula>
    </cfRule>
    <cfRule type="cellIs" dxfId="1036" priority="296" operator="equal">
      <formula>"Extremo"</formula>
    </cfRule>
  </conditionalFormatting>
  <conditionalFormatting sqref="AF268:AF273">
    <cfRule type="cellIs" dxfId="1035" priority="265" operator="equal">
      <formula>"Bajo"</formula>
    </cfRule>
    <cfRule type="cellIs" dxfId="1034" priority="264" operator="equal">
      <formula>"Moderado"</formula>
    </cfRule>
    <cfRule type="cellIs" dxfId="1033" priority="262" operator="equal">
      <formula>"Extremo"</formula>
    </cfRule>
    <cfRule type="cellIs" dxfId="1032" priority="263" operator="equal">
      <formula>"Alto"</formula>
    </cfRule>
  </conditionalFormatting>
  <conditionalFormatting sqref="AF284:AF286">
    <cfRule type="cellIs" dxfId="1031" priority="236" operator="equal">
      <formula>"Bajo"</formula>
    </cfRule>
    <cfRule type="cellIs" dxfId="1030" priority="233" operator="equal">
      <formula>"Extremo"</formula>
    </cfRule>
    <cfRule type="cellIs" dxfId="1029" priority="234" operator="equal">
      <formula>"Alto"</formula>
    </cfRule>
    <cfRule type="cellIs" dxfId="1028" priority="235" operator="equal">
      <formula>"Moderado"</formula>
    </cfRule>
  </conditionalFormatting>
  <conditionalFormatting sqref="AF322:AF327">
    <cfRule type="cellIs" dxfId="1027" priority="223" operator="equal">
      <formula>"Extremo"</formula>
    </cfRule>
    <cfRule type="cellIs" dxfId="1026" priority="226" operator="equal">
      <formula>"Bajo"</formula>
    </cfRule>
    <cfRule type="cellIs" dxfId="1025" priority="225" operator="equal">
      <formula>"Moderado"</formula>
    </cfRule>
    <cfRule type="cellIs" dxfId="1024" priority="224" operator="equal">
      <formula>"Alto"</formula>
    </cfRule>
  </conditionalFormatting>
  <conditionalFormatting sqref="AF338:AF339">
    <cfRule type="cellIs" dxfId="1023" priority="153" operator="equal">
      <formula>"Alto"</formula>
    </cfRule>
    <cfRule type="cellIs" dxfId="1022" priority="155" operator="equal">
      <formula>"Bajo"</formula>
    </cfRule>
    <cfRule type="cellIs" dxfId="1021" priority="154" operator="equal">
      <formula>"Moderado"</formula>
    </cfRule>
    <cfRule type="cellIs" dxfId="1020" priority="152" operator="equal">
      <formula>"Extremo"</formula>
    </cfRule>
  </conditionalFormatting>
  <conditionalFormatting sqref="AF342:AF343">
    <cfRule type="cellIs" dxfId="1019" priority="161" operator="equal">
      <formula>"Extremo"</formula>
    </cfRule>
    <cfRule type="cellIs" dxfId="1018" priority="164" operator="equal">
      <formula>"Bajo"</formula>
    </cfRule>
    <cfRule type="cellIs" dxfId="1017" priority="162" operator="equal">
      <formula>"Alto"</formula>
    </cfRule>
    <cfRule type="cellIs" dxfId="1016" priority="163" operator="equal">
      <formula>"Moderado"</formula>
    </cfRule>
  </conditionalFormatting>
  <conditionalFormatting sqref="AF346">
    <cfRule type="cellIs" dxfId="1015" priority="127" operator="equal">
      <formula>"Bajo"</formula>
    </cfRule>
    <cfRule type="cellIs" dxfId="1014" priority="126" operator="equal">
      <formula>"Moderado"</formula>
    </cfRule>
    <cfRule type="cellIs" dxfId="1013" priority="124" operator="equal">
      <formula>"Extremo"</formula>
    </cfRule>
    <cfRule type="cellIs" dxfId="1012" priority="125" operator="equal">
      <formula>"Alto"</formula>
    </cfRule>
  </conditionalFormatting>
  <conditionalFormatting sqref="AF384:AF387">
    <cfRule type="cellIs" dxfId="1011" priority="73" operator="equal">
      <formula>"Moderado"</formula>
    </cfRule>
    <cfRule type="cellIs" dxfId="1010" priority="74" operator="equal">
      <formula>"Bajo"</formula>
    </cfRule>
    <cfRule type="cellIs" dxfId="1009" priority="72" operator="equal">
      <formula>"Alto"</formula>
    </cfRule>
    <cfRule type="cellIs" dxfId="1008" priority="71" operator="equal">
      <formula>"Extremo"</formula>
    </cfRule>
  </conditionalFormatting>
  <conditionalFormatting sqref="AF398:AF399 AF404:AF405 AF410:AF411">
    <cfRule type="cellIs" dxfId="1007" priority="69" operator="equal">
      <formula>"Moderado"</formula>
    </cfRule>
    <cfRule type="cellIs" dxfId="1006" priority="68" operator="equal">
      <formula>"Alto"</formula>
    </cfRule>
    <cfRule type="cellIs" dxfId="1005" priority="67" operator="equal">
      <formula>"Extremo"</formula>
    </cfRule>
    <cfRule type="cellIs" dxfId="1004" priority="70" operator="equal">
      <formula>"Bajo"</formula>
    </cfRule>
  </conditionalFormatting>
  <conditionalFormatting sqref="AF426">
    <cfRule type="cellIs" dxfId="1003" priority="21" operator="equal">
      <formula>"Alto"</formula>
    </cfRule>
    <cfRule type="cellIs" dxfId="1002" priority="20" operator="equal">
      <formula>"Extremo"</formula>
    </cfRule>
    <cfRule type="cellIs" dxfId="1001" priority="22" operator="equal">
      <formula>"Moderado"</formula>
    </cfRule>
    <cfRule type="cellIs" dxfId="1000" priority="23" operator="equal">
      <formula>"Bajo"</formula>
    </cfRule>
  </conditionalFormatting>
  <conditionalFormatting sqref="AF432">
    <cfRule type="cellIs" dxfId="999" priority="1" operator="equal">
      <formula>"Extremo"</formula>
    </cfRule>
    <cfRule type="cellIs" dxfId="998" priority="2" operator="equal">
      <formula>"Alto"</formula>
    </cfRule>
    <cfRule type="cellIs" dxfId="997" priority="3" operator="equal">
      <formula>"Moderado"</formula>
    </cfRule>
    <cfRule type="cellIs" dxfId="996" priority="4" operator="equal">
      <formula>"Bajo"</formula>
    </cfRule>
  </conditionalFormatting>
  <dataValidations count="3">
    <dataValidation type="list" allowBlank="1" showErrorMessage="1" sqref="G22 G28 G44 G103 G105 G107 G110:G111 G183 G189 G322 G398 G404 G410" xr:uid="{C06CC83D-C810-415B-A40F-03A6DB7CCE4A}">
      <formula1>"Gestión,FISCAL"</formula1>
    </dataValidation>
    <dataValidation type="list" allowBlank="1" showInputMessage="1" showErrorMessage="1" sqref="G10 G68:G72 G84 G121:G127 G138 G153:G155 G205:G207 G218:G221 G268:G273 G338 G342 G346 G360:G373 G384:G387" xr:uid="{D8BAAFE9-5F99-48F7-AAB0-20425B907273}">
      <formula1>"Gestión, FISCAL,"</formula1>
    </dataValidation>
    <dataValidation type="list" allowBlank="1" showInputMessage="1" showErrorMessage="1" sqref="G426 G432" xr:uid="{0440ABA7-D8FB-4BB2-96DE-C2F15A49C8A0}">
      <formula1>"Gestión,FISCAL"</formula1>
    </dataValidation>
  </dataValidations>
  <hyperlinks>
    <hyperlink ref="AL427" r:id="rId1" display="mailto:sigami@ibague.gov.co" xr:uid="{E87FA3C9-8445-4E36-A770-84EB1456402D}"/>
  </hyperlinks>
  <pageMargins left="0.7" right="0.7" top="0.75" bottom="0.75" header="0.3" footer="0.3"/>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307AF-236B-46E5-BBD6-E6B074501E4F}">
  <dimension ref="A1:AZ217"/>
  <sheetViews>
    <sheetView zoomScale="40" zoomScaleNormal="40" workbookViewId="0">
      <selection activeCell="J184" sqref="J184"/>
    </sheetView>
  </sheetViews>
  <sheetFormatPr baseColWidth="10" defaultColWidth="11.44140625" defaultRowHeight="13.8" x14ac:dyDescent="0.3"/>
  <cols>
    <col min="1" max="1" width="4" style="239" bestFit="1" customWidth="1"/>
    <col min="2" max="2" width="15.5546875" style="239" customWidth="1"/>
    <col min="3" max="3" width="31.109375" style="239" customWidth="1"/>
    <col min="4" max="4" width="38.109375" style="239" customWidth="1"/>
    <col min="5" max="5" width="57.33203125" style="239" customWidth="1"/>
    <col min="6" max="6" width="61.6640625" style="35" customWidth="1"/>
    <col min="7" max="7" width="35.109375" style="35" customWidth="1"/>
    <col min="8" max="8" width="31.6640625" style="240" customWidth="1"/>
    <col min="9" max="9" width="32.21875" style="35" customWidth="1"/>
    <col min="10" max="10" width="33.6640625" style="35" bestFit="1" customWidth="1"/>
    <col min="11" max="11" width="18" style="35" customWidth="1"/>
    <col min="12" max="12" width="24.77734375" style="35" customWidth="1"/>
    <col min="13" max="13" width="28.33203125" style="35" customWidth="1"/>
    <col min="14" max="14" width="31.6640625" style="35" customWidth="1"/>
    <col min="15" max="15" width="23.88671875" style="35" customWidth="1"/>
    <col min="16" max="16" width="18.5546875" style="35" customWidth="1"/>
    <col min="17" max="17" width="14.33203125" style="35" customWidth="1"/>
    <col min="18" max="18" width="14.44140625" style="35" customWidth="1"/>
    <col min="19" max="19" width="73.44140625" style="35" customWidth="1"/>
    <col min="20" max="20" width="88.88671875" style="35" customWidth="1"/>
    <col min="21" max="21" width="18" style="35" customWidth="1"/>
    <col min="22" max="22" width="13.5546875" style="35" customWidth="1"/>
    <col min="23" max="23" width="11.5546875" style="35" customWidth="1"/>
    <col min="24" max="24" width="6.6640625" style="35" customWidth="1"/>
    <col min="25" max="25" width="4.6640625" style="35" customWidth="1"/>
    <col min="26" max="26" width="20.77734375" style="35" customWidth="1"/>
    <col min="27" max="27" width="8.6640625" style="35" customWidth="1"/>
    <col min="28" max="28" width="10.44140625" style="35" customWidth="1"/>
    <col min="29" max="29" width="9.33203125" style="35" customWidth="1"/>
    <col min="30" max="30" width="9.109375" style="35" customWidth="1"/>
    <col min="31" max="31" width="8.44140625" style="35" customWidth="1"/>
    <col min="32" max="32" width="10" style="35" customWidth="1"/>
    <col min="33" max="33" width="28.6640625" style="35" customWidth="1"/>
    <col min="34" max="34" width="61.77734375" style="35" customWidth="1"/>
    <col min="35" max="35" width="47.21875" style="35" customWidth="1"/>
    <col min="36" max="36" width="29.44140625" style="35" customWidth="1"/>
    <col min="37" max="37" width="49" style="35" customWidth="1"/>
    <col min="38" max="38" width="80.6640625" style="35" customWidth="1"/>
    <col min="39" max="39" width="153.21875" style="35" customWidth="1"/>
    <col min="40" max="40" width="31.21875" style="35" customWidth="1"/>
    <col min="41" max="41" width="52.5546875" style="35" customWidth="1"/>
    <col min="42" max="42" width="44.33203125" style="35" customWidth="1"/>
    <col min="43" max="43" width="66.109375" style="35" customWidth="1"/>
    <col min="44" max="44" width="48.6640625" style="35" bestFit="1" customWidth="1"/>
    <col min="45" max="45" width="32.5546875" style="35" customWidth="1"/>
    <col min="46" max="46" width="19.5546875" style="35" customWidth="1"/>
    <col min="47" max="47" width="57.6640625" style="35" customWidth="1"/>
    <col min="48" max="48" width="22.88671875" style="35" customWidth="1"/>
    <col min="49" max="49" width="19.44140625" style="35" customWidth="1"/>
    <col min="50" max="50" width="27" style="35" customWidth="1"/>
    <col min="51" max="51" width="18.109375" style="35" customWidth="1"/>
    <col min="52" max="52" width="19.44140625" style="35" customWidth="1"/>
    <col min="53" max="16384" width="11.44140625" style="35"/>
  </cols>
  <sheetData>
    <row r="1" spans="1:42" s="523" customFormat="1" x14ac:dyDescent="0.25">
      <c r="A1" s="703"/>
      <c r="B1" s="704"/>
      <c r="C1" s="703"/>
      <c r="D1" s="703"/>
      <c r="E1" s="703"/>
      <c r="F1" s="700"/>
      <c r="G1" s="700"/>
      <c r="H1" s="700"/>
      <c r="I1" s="705"/>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row>
    <row r="2" spans="1:42" s="523" customFormat="1" ht="25.2" customHeight="1" x14ac:dyDescent="0.25">
      <c r="A2" s="2349" t="s">
        <v>157</v>
      </c>
      <c r="B2" s="2350"/>
      <c r="C2" s="2831" t="s">
        <v>1014</v>
      </c>
      <c r="D2" s="2832"/>
      <c r="E2" s="2832"/>
      <c r="F2" s="2832"/>
      <c r="G2" s="2832"/>
      <c r="H2" s="2832"/>
      <c r="I2" s="2832"/>
      <c r="J2" s="2832"/>
      <c r="K2" s="2832"/>
      <c r="L2" s="2832"/>
      <c r="M2" s="2832"/>
      <c r="N2" s="2832"/>
      <c r="O2" s="2832"/>
      <c r="P2" s="2832"/>
      <c r="Q2" s="2832"/>
      <c r="R2" s="2832"/>
      <c r="S2" s="2832"/>
      <c r="T2" s="2832"/>
      <c r="U2" s="2832"/>
      <c r="V2" s="2832"/>
      <c r="W2" s="2832"/>
      <c r="X2" s="2832"/>
      <c r="Y2" s="2832"/>
      <c r="Z2" s="2832"/>
      <c r="AA2" s="2832"/>
      <c r="AB2" s="2832"/>
      <c r="AC2" s="2832"/>
      <c r="AD2" s="2832"/>
      <c r="AE2" s="2832"/>
      <c r="AF2" s="2832"/>
      <c r="AG2" s="2832"/>
      <c r="AH2" s="2832"/>
      <c r="AI2" s="2832"/>
      <c r="AJ2" s="2832"/>
      <c r="AK2" s="2832"/>
      <c r="AL2" s="2832"/>
      <c r="AM2" s="2833"/>
      <c r="AN2" s="700"/>
      <c r="AO2" s="700"/>
      <c r="AP2" s="700"/>
    </row>
    <row r="3" spans="1:42" s="523" customFormat="1" ht="34.200000000000003" customHeight="1" x14ac:dyDescent="0.25">
      <c r="A3" s="2349" t="s">
        <v>158</v>
      </c>
      <c r="B3" s="2350"/>
      <c r="C3" s="2823" t="s">
        <v>1015</v>
      </c>
      <c r="D3" s="2824"/>
      <c r="E3" s="2824"/>
      <c r="F3" s="2824"/>
      <c r="G3" s="2824"/>
      <c r="H3" s="2824"/>
      <c r="I3" s="2824"/>
      <c r="J3" s="2824"/>
      <c r="K3" s="2824"/>
      <c r="L3" s="2824"/>
      <c r="M3" s="2824"/>
      <c r="N3" s="2824"/>
      <c r="O3" s="2824"/>
      <c r="P3" s="2824"/>
      <c r="Q3" s="2824"/>
      <c r="R3" s="2824"/>
      <c r="S3" s="2824"/>
      <c r="T3" s="2824"/>
      <c r="U3" s="2824"/>
      <c r="V3" s="2824"/>
      <c r="W3" s="2824"/>
      <c r="X3" s="2824"/>
      <c r="Y3" s="2824"/>
      <c r="Z3" s="2824"/>
      <c r="AA3" s="2824"/>
      <c r="AB3" s="2824"/>
      <c r="AC3" s="2824"/>
      <c r="AD3" s="2824"/>
      <c r="AE3" s="2824"/>
      <c r="AF3" s="2824"/>
      <c r="AG3" s="2824"/>
      <c r="AH3" s="2824"/>
      <c r="AI3" s="2824"/>
      <c r="AJ3" s="2824"/>
      <c r="AK3" s="2824"/>
      <c r="AL3" s="2824"/>
      <c r="AM3" s="2825"/>
      <c r="AN3" s="700"/>
      <c r="AO3" s="700"/>
      <c r="AP3" s="700"/>
    </row>
    <row r="4" spans="1:42" s="523" customFormat="1" ht="28.2" customHeight="1" x14ac:dyDescent="0.25">
      <c r="A4" s="2349" t="s">
        <v>159</v>
      </c>
      <c r="B4" s="2350"/>
      <c r="C4" s="2823" t="s">
        <v>1016</v>
      </c>
      <c r="D4" s="2824"/>
      <c r="E4" s="2824"/>
      <c r="F4" s="2824"/>
      <c r="G4" s="2824"/>
      <c r="H4" s="2824"/>
      <c r="I4" s="2824"/>
      <c r="J4" s="2824"/>
      <c r="K4" s="2824"/>
      <c r="L4" s="2824"/>
      <c r="M4" s="2824"/>
      <c r="N4" s="2824"/>
      <c r="O4" s="2824"/>
      <c r="P4" s="2824"/>
      <c r="Q4" s="2824"/>
      <c r="R4" s="2824"/>
      <c r="S4" s="2824"/>
      <c r="T4" s="2824"/>
      <c r="U4" s="2824"/>
      <c r="V4" s="2824"/>
      <c r="W4" s="2824"/>
      <c r="X4" s="2824"/>
      <c r="Y4" s="2824"/>
      <c r="Z4" s="2824"/>
      <c r="AA4" s="2824"/>
      <c r="AB4" s="2824"/>
      <c r="AC4" s="2824"/>
      <c r="AD4" s="2824"/>
      <c r="AE4" s="2824"/>
      <c r="AF4" s="2824"/>
      <c r="AG4" s="2824"/>
      <c r="AH4" s="2824"/>
      <c r="AI4" s="2824"/>
      <c r="AJ4" s="2824"/>
      <c r="AK4" s="2824"/>
      <c r="AL4" s="2824"/>
      <c r="AM4" s="2825"/>
      <c r="AN4" s="700"/>
      <c r="AO4" s="700"/>
      <c r="AP4" s="700"/>
    </row>
    <row r="5" spans="1:42" s="523" customFormat="1" ht="35.4" customHeight="1" x14ac:dyDescent="0.25">
      <c r="A5" s="2351" t="s">
        <v>160</v>
      </c>
      <c r="B5" s="2352"/>
      <c r="C5" s="2353"/>
      <c r="D5" s="2353"/>
      <c r="E5" s="2353"/>
      <c r="F5" s="2353"/>
      <c r="G5" s="2353"/>
      <c r="H5" s="2353"/>
      <c r="I5" s="2353"/>
      <c r="J5" s="2354"/>
      <c r="K5" s="2101" t="s">
        <v>161</v>
      </c>
      <c r="L5" s="2353"/>
      <c r="M5" s="2353"/>
      <c r="N5" s="2353"/>
      <c r="O5" s="2353"/>
      <c r="P5" s="2353"/>
      <c r="Q5" s="2354"/>
      <c r="R5" s="2101" t="s">
        <v>162</v>
      </c>
      <c r="S5" s="2353"/>
      <c r="T5" s="2353"/>
      <c r="U5" s="2353"/>
      <c r="V5" s="2353"/>
      <c r="W5" s="2353"/>
      <c r="X5" s="2353"/>
      <c r="Y5" s="2353"/>
      <c r="Z5" s="2354"/>
      <c r="AA5" s="2101" t="s">
        <v>163</v>
      </c>
      <c r="AB5" s="2353"/>
      <c r="AC5" s="2353"/>
      <c r="AD5" s="2353"/>
      <c r="AE5" s="2353"/>
      <c r="AF5" s="2353"/>
      <c r="AG5" s="2354"/>
      <c r="AH5" s="2101" t="s">
        <v>164</v>
      </c>
      <c r="AI5" s="2353"/>
      <c r="AJ5" s="2353"/>
      <c r="AK5" s="2353"/>
      <c r="AL5" s="2353"/>
      <c r="AM5" s="2354"/>
      <c r="AN5" s="700"/>
      <c r="AO5" s="700"/>
      <c r="AP5" s="700"/>
    </row>
    <row r="6" spans="1:42" s="523" customFormat="1" x14ac:dyDescent="0.25">
      <c r="A6" s="2140" t="s">
        <v>165</v>
      </c>
      <c r="B6" s="2142" t="s">
        <v>142</v>
      </c>
      <c r="C6" s="2042" t="s">
        <v>166</v>
      </c>
      <c r="D6" s="2042" t="s">
        <v>167</v>
      </c>
      <c r="E6" s="2041" t="s">
        <v>168</v>
      </c>
      <c r="F6" s="2103" t="s">
        <v>60</v>
      </c>
      <c r="G6" s="280"/>
      <c r="H6" s="280"/>
      <c r="I6" s="2041" t="s">
        <v>169</v>
      </c>
      <c r="J6" s="2042" t="s">
        <v>170</v>
      </c>
      <c r="K6" s="2105" t="s">
        <v>171</v>
      </c>
      <c r="L6" s="2100" t="s">
        <v>172</v>
      </c>
      <c r="M6" s="2041" t="s">
        <v>173</v>
      </c>
      <c r="N6" s="2041" t="s">
        <v>174</v>
      </c>
      <c r="O6" s="2102" t="s">
        <v>175</v>
      </c>
      <c r="P6" s="2100" t="s">
        <v>172</v>
      </c>
      <c r="Q6" s="2042" t="s">
        <v>176</v>
      </c>
      <c r="R6" s="2161" t="s">
        <v>177</v>
      </c>
      <c r="S6" s="2043" t="s">
        <v>178</v>
      </c>
      <c r="T6" s="2041" t="s">
        <v>179</v>
      </c>
      <c r="U6" s="2043" t="s">
        <v>180</v>
      </c>
      <c r="V6" s="2043"/>
      <c r="W6" s="2043"/>
      <c r="X6" s="2043"/>
      <c r="Y6" s="2043"/>
      <c r="Z6" s="2043"/>
      <c r="AA6" s="2099" t="s">
        <v>181</v>
      </c>
      <c r="AB6" s="2099" t="s">
        <v>182</v>
      </c>
      <c r="AC6" s="2099" t="s">
        <v>172</v>
      </c>
      <c r="AD6" s="2099" t="s">
        <v>183</v>
      </c>
      <c r="AE6" s="2099" t="s">
        <v>172</v>
      </c>
      <c r="AF6" s="2099" t="s">
        <v>184</v>
      </c>
      <c r="AG6" s="2161" t="s">
        <v>185</v>
      </c>
      <c r="AH6" s="2043" t="s">
        <v>164</v>
      </c>
      <c r="AI6" s="2043" t="s">
        <v>143</v>
      </c>
      <c r="AJ6" s="2043" t="s">
        <v>186</v>
      </c>
      <c r="AK6" s="2043" t="s">
        <v>187</v>
      </c>
      <c r="AL6" s="2043" t="s">
        <v>188</v>
      </c>
      <c r="AM6" s="2043" t="s">
        <v>189</v>
      </c>
      <c r="AN6" s="2043" t="s">
        <v>187</v>
      </c>
      <c r="AO6" s="2043" t="s">
        <v>188</v>
      </c>
      <c r="AP6" s="2043" t="s">
        <v>189</v>
      </c>
    </row>
    <row r="7" spans="1:42" s="523" customFormat="1" ht="71.400000000000006" x14ac:dyDescent="0.25">
      <c r="A7" s="2141"/>
      <c r="B7" s="2142"/>
      <c r="C7" s="2043"/>
      <c r="D7" s="2043"/>
      <c r="E7" s="2105"/>
      <c r="F7" s="2104"/>
      <c r="G7" s="280" t="s">
        <v>511</v>
      </c>
      <c r="H7" s="280" t="s">
        <v>190</v>
      </c>
      <c r="I7" s="2042"/>
      <c r="J7" s="2043"/>
      <c r="K7" s="2042"/>
      <c r="L7" s="2101"/>
      <c r="M7" s="2042"/>
      <c r="N7" s="2042"/>
      <c r="O7" s="2101"/>
      <c r="P7" s="2101"/>
      <c r="Q7" s="2043"/>
      <c r="R7" s="2162"/>
      <c r="S7" s="2043"/>
      <c r="T7" s="2042"/>
      <c r="U7" s="281" t="s">
        <v>191</v>
      </c>
      <c r="V7" s="281" t="s">
        <v>192</v>
      </c>
      <c r="W7" s="281" t="s">
        <v>193</v>
      </c>
      <c r="X7" s="281" t="s">
        <v>194</v>
      </c>
      <c r="Y7" s="281" t="s">
        <v>195</v>
      </c>
      <c r="Z7" s="281" t="s">
        <v>196</v>
      </c>
      <c r="AA7" s="2099"/>
      <c r="AB7" s="2099"/>
      <c r="AC7" s="2099"/>
      <c r="AD7" s="2099"/>
      <c r="AE7" s="2099"/>
      <c r="AF7" s="2099"/>
      <c r="AG7" s="2162"/>
      <c r="AH7" s="2043"/>
      <c r="AI7" s="2043"/>
      <c r="AJ7" s="2043"/>
      <c r="AK7" s="2043"/>
      <c r="AL7" s="2043"/>
      <c r="AM7" s="2043"/>
      <c r="AN7" s="2041"/>
      <c r="AO7" s="2041"/>
      <c r="AP7" s="2043"/>
    </row>
    <row r="8" spans="1:42" s="523" customFormat="1" ht="166.8" customHeight="1" x14ac:dyDescent="0.25">
      <c r="A8" s="2112">
        <v>1</v>
      </c>
      <c r="B8" s="2237" t="s">
        <v>197</v>
      </c>
      <c r="C8" s="2237" t="s">
        <v>1017</v>
      </c>
      <c r="D8" s="3206" t="s">
        <v>1018</v>
      </c>
      <c r="E8" s="1003" t="s">
        <v>1019</v>
      </c>
      <c r="F8" s="2355" t="s">
        <v>1020</v>
      </c>
      <c r="G8" s="2356" t="s">
        <v>512</v>
      </c>
      <c r="H8" s="2355" t="s">
        <v>1021</v>
      </c>
      <c r="I8" s="2358" t="s">
        <v>198</v>
      </c>
      <c r="J8" s="2293">
        <v>365</v>
      </c>
      <c r="K8" s="2295" t="str">
        <f>IF(J8&lt;=0,"",IF(J8&lt;=2,"Muy Baja",IF(J8&lt;=24,"Baja",IF(J8&lt;=500,"Media",IF(J8&lt;=5000,"Alta","Muy Alta")))))</f>
        <v>Media</v>
      </c>
      <c r="L8" s="2297">
        <f>IF(K8="","",IF(K8="Muy Baja",0.2,IF(K8="Baja",0.4,IF(K8="Media",0.6,IF(K8="Alta",0.8,IF(K8="Muy Alta",1,))))))</f>
        <v>0.6</v>
      </c>
      <c r="M8" s="2299" t="s">
        <v>199</v>
      </c>
      <c r="N8" s="2297" t="str">
        <f>IF(NOT(ISERROR(MATCH(M8,'[46]Tabla Impacto'!$B$221:$B$223,0))),'[46]Tabla Impacto'!$F$223&amp;"Por favor no seleccionar los criterios de impacto(Afectación Económica o presupuestal y Pérdida Reputacional)",M8)</f>
        <v xml:space="preserve">     El riesgo afecta la imagen de de la entidad con efecto publicitario sostenido a nivel de sector administrativo, nivel departamental o municipal</v>
      </c>
      <c r="O8" s="2295" t="str">
        <f>IF(OR(N8='[46]Tabla Impacto'!$C$11,N8='[46]Tabla Impacto'!$D$11),"Leve",IF(OR(N8='[46]Tabla Impacto'!$C$12,N8='[46]Tabla Impacto'!$D$12),"Menor",IF(OR(N8='[46]Tabla Impacto'!$C$13,N8='[46]Tabla Impacto'!$D$13),"Moderado",IF(OR(N8='[46]Tabla Impacto'!$C$14,N8='[46]Tabla Impacto'!$D$14),"Mayor",IF(OR(N8='[46]Tabla Impacto'!$C$15,N8='[46]Tabla Impacto'!$D$15),"Catastrófico","")))))</f>
        <v>Mayor</v>
      </c>
      <c r="P8" s="2297">
        <f>IF(O8="","",IF(O8="Leve",0.2,IF(O8="Menor",0.4,IF(O8="Moderado",0.6,IF(O8="Mayor",0.8,IF(O8="Catastrófico",1,))))))</f>
        <v>0.8</v>
      </c>
      <c r="Q8" s="2267" t="str">
        <f>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Alto</v>
      </c>
      <c r="R8" s="716">
        <v>1</v>
      </c>
      <c r="S8" s="1103" t="str">
        <f>+[46]DOFA!E46</f>
        <v>D4, A6 Contratación de personal idóneo para adelantar los procesos de contratación que permita el correcto desarrollo del proyecto de fortalecimiento de la estrategia de comunicación.</v>
      </c>
      <c r="T8" s="718" t="str">
        <f>IF(OR(U8="Preventivo",U8="Detectivo"),"Probabilidad",IF(U8="Correctivo","Impacto",""))</f>
        <v>Probabilidad</v>
      </c>
      <c r="U8" s="719" t="s">
        <v>207</v>
      </c>
      <c r="V8" s="719" t="s">
        <v>201</v>
      </c>
      <c r="W8" s="720" t="str">
        <f>IF(AND(U8="Preventivo",V8="Automático"),"50%",IF(AND(U8="Preventivo",V8="Manual"),"40%",IF(AND(U8="Detectivo",V8="Automático"),"40%",IF(AND(U8="Detectivo",V8="Manual"),"30%",IF(AND(U8="Correctivo",V8="Automático"),"35%",IF(AND(U8="Correctivo",V8="Manual"),"25%",""))))))</f>
        <v>40%</v>
      </c>
      <c r="X8" s="719" t="s">
        <v>202</v>
      </c>
      <c r="Y8" s="719" t="s">
        <v>203</v>
      </c>
      <c r="Z8" s="719" t="s">
        <v>204</v>
      </c>
      <c r="AA8" s="721">
        <f>IFERROR(IF(T8="Probabilidad",(L8-(+L8*W8)),IF(T8="Impacto",L8,"")),"")</f>
        <v>0.36</v>
      </c>
      <c r="AB8" s="722" t="str">
        <f>IFERROR(IF(AA8="","",IF(AA8&lt;=0.2,"Muy Baja",IF(AA8&lt;=0.4,"Baja",IF(AA8&lt;=0.6,"Media",IF(AA8&lt;=0.8,"Alta","Muy Alta"))))),"")</f>
        <v>Baja</v>
      </c>
      <c r="AC8" s="723">
        <f>+AA8</f>
        <v>0.36</v>
      </c>
      <c r="AD8" s="722" t="str">
        <f>IFERROR(IF(AE8="","",IF(AE8&lt;=0.2,"Leve",IF(AE8&lt;=0.4,"Menor",IF(AE8&lt;=0.6,"Moderado",IF(AE8&lt;=0.8,"Mayor","Catastrófico"))))),"")</f>
        <v>Mayor</v>
      </c>
      <c r="AE8" s="723">
        <f>IFERROR(IF(T8="Impacto",(P8-(+P8*W8)),IF(T8="Probabilidad",P8,"")),"")</f>
        <v>0.8</v>
      </c>
      <c r="AF8" s="724" t="str">
        <f>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Alto</v>
      </c>
      <c r="AG8" s="2282" t="s">
        <v>205</v>
      </c>
      <c r="AH8" s="2290" t="s">
        <v>1022</v>
      </c>
      <c r="AI8" s="2290" t="s">
        <v>1023</v>
      </c>
      <c r="AJ8" s="3325">
        <v>45535</v>
      </c>
      <c r="AK8" s="3325">
        <v>45538</v>
      </c>
      <c r="AL8" s="2290" t="s">
        <v>1024</v>
      </c>
      <c r="AM8" s="3327" t="s">
        <v>295</v>
      </c>
      <c r="AN8" s="3329">
        <v>45565</v>
      </c>
      <c r="AO8" s="3331" t="s">
        <v>1233</v>
      </c>
      <c r="AP8" s="3332" t="s">
        <v>295</v>
      </c>
    </row>
    <row r="9" spans="1:42" s="523" customFormat="1" ht="166.8" customHeight="1" x14ac:dyDescent="0.25">
      <c r="A9" s="2113"/>
      <c r="B9" s="2238"/>
      <c r="C9" s="2238"/>
      <c r="D9" s="3207"/>
      <c r="E9" s="1005" t="s">
        <v>1025</v>
      </c>
      <c r="F9" s="2355"/>
      <c r="G9" s="2357"/>
      <c r="H9" s="2355"/>
      <c r="I9" s="2359"/>
      <c r="J9" s="2294"/>
      <c r="K9" s="2296"/>
      <c r="L9" s="2298"/>
      <c r="M9" s="2300"/>
      <c r="N9" s="2298">
        <f>IF(NOT(ISERROR(MATCH(M9,_xlfn.ANCHORARRAY(F16),0))),L18&amp;"Por favor no seleccionar los criterios de impacto",M9)</f>
        <v>0</v>
      </c>
      <c r="O9" s="2296"/>
      <c r="P9" s="2298"/>
      <c r="Q9" s="2268"/>
      <c r="R9" s="716">
        <v>2</v>
      </c>
      <c r="S9" s="1104" t="str">
        <f>+[46]DOFA!E47</f>
        <v>D5,A5 Contratación de personal idóneo capacitado en lenguaje de señas para la traducción de los productos audiovisuales que sean requeridos.</v>
      </c>
      <c r="T9" s="718" t="str">
        <f>IF(OR(U9="Preventivo",U9="Detectivo"),"Probabilidad",IF(U9="Correctivo","Impacto",""))</f>
        <v>Probabilidad</v>
      </c>
      <c r="U9" s="719" t="s">
        <v>207</v>
      </c>
      <c r="V9" s="719" t="s">
        <v>201</v>
      </c>
      <c r="W9" s="720" t="str">
        <f t="shared" ref="W9" si="0">IF(AND(U9="Preventivo",V9="Automático"),"50%",IF(AND(U9="Preventivo",V9="Manual"),"40%",IF(AND(U9="Detectivo",V9="Automático"),"40%",IF(AND(U9="Detectivo",V9="Manual"),"30%",IF(AND(U9="Correctivo",V9="Automático"),"35%",IF(AND(U9="Correctivo",V9="Manual"),"25%",""))))))</f>
        <v>40%</v>
      </c>
      <c r="X9" s="719" t="s">
        <v>202</v>
      </c>
      <c r="Y9" s="719" t="s">
        <v>203</v>
      </c>
      <c r="Z9" s="719" t="s">
        <v>204</v>
      </c>
      <c r="AA9" s="721">
        <f>IFERROR(IF(AND(T8="Probabilidad",T9="Probabilidad"),(AC8-(+AC8*W9)),IF(AND(T8="Impacto",T9="Probabilidad"),(L8-(+L8*W9)),IF(T9="Impacto",AC8,""))),"")</f>
        <v>0.216</v>
      </c>
      <c r="AB9" s="722" t="str">
        <f t="shared" ref="AB9" si="1">IFERROR(IF(AA9="","",IF(AA9&lt;=0.2,"Muy Baja",IF(AA9&lt;=0.4,"Baja",IF(AA9&lt;=0.6,"Media",IF(AA9&lt;=0.8,"Alta","Muy Alta"))))),"")</f>
        <v>Baja</v>
      </c>
      <c r="AC9" s="723">
        <f>+AA9</f>
        <v>0.216</v>
      </c>
      <c r="AD9" s="722" t="str">
        <f t="shared" ref="AD9" si="2">IFERROR(IF(AE9="","",IF(AE9&lt;=0.2,"Leve",IF(AE9&lt;=0.4,"Menor",IF(AE9&lt;=0.6,"Moderado",IF(AE9&lt;=0.8,"Mayor","Catastrófico"))))),"")</f>
        <v>Mayor</v>
      </c>
      <c r="AE9" s="723">
        <f>IFERROR(IF(AND(T8="Impacto",T9="Impacto"),(AE8-(+AE8*W9)),IF(AND(T8="Probabilidad",T9="Impacto"),(P8-(+P8*W9)),IF(T9="Probabilidad",AE8,""))),"")</f>
        <v>0.8</v>
      </c>
      <c r="AF9" s="724" t="str">
        <f t="shared" ref="AF9" si="3">IFERROR(IF(OR(AND(AB9="Muy Baja",AD9="Leve"),AND(AB9="Muy Baja",AD9="Menor"),AND(AB9="Baja",AD9="Leve")),"Bajo",IF(OR(AND(AB9="Muy baja",AD9="Moderado"),AND(AB9="Baja",AD9="Menor"),AND(AB9="Baja",AD9="Moderado"),AND(AB9="Media",AD9="Leve"),AND(AB9="Media",AD9="Menor"),AND(AB9="Media",AD9="Moderado"),AND(AB9="Alta",AD9="Leve"),AND(AB9="Alta",AD9="Menor")),"Moderado",IF(OR(AND(AB9="Muy Baja",AD9="Mayor"),AND(AB9="Baja",AD9="Mayor"),AND(AB9="Media",AD9="Mayor"),AND(AB9="Alta",AD9="Moderado"),AND(AB9="Alta",AD9="Mayor"),AND(AB9="Muy Alta",AD9="Leve"),AND(AB9="Muy Alta",AD9="Menor"),AND(AB9="Muy Alta",AD9="Moderado"),AND(AB9="Muy Alta",AD9="Mayor")),"Alto",IF(OR(AND(AB9="Muy Baja",AD9="Catastrófico"),AND(AB9="Baja",AD9="Catastrófico"),AND(AB9="Media",AD9="Catastrófico"),AND(AB9="Alta",AD9="Catastrófico"),AND(AB9="Muy Alta",AD9="Catastrófico")),"Extremo","")))),"")</f>
        <v>Alto</v>
      </c>
      <c r="AG9" s="2284"/>
      <c r="AH9" s="2292"/>
      <c r="AI9" s="2292"/>
      <c r="AJ9" s="3326"/>
      <c r="AK9" s="3326"/>
      <c r="AL9" s="2292"/>
      <c r="AM9" s="3328"/>
      <c r="AN9" s="3330"/>
      <c r="AO9" s="3331"/>
      <c r="AP9" s="3333"/>
    </row>
    <row r="10" spans="1:42" s="523" customFormat="1" ht="15.6" x14ac:dyDescent="0.25">
      <c r="A10" s="912"/>
      <c r="B10" s="912"/>
      <c r="C10" s="912"/>
      <c r="D10" s="912"/>
      <c r="E10" s="990"/>
      <c r="F10" s="912"/>
      <c r="G10" s="239"/>
      <c r="H10" s="912"/>
      <c r="I10" s="239"/>
      <c r="J10" s="239"/>
      <c r="K10" s="239"/>
      <c r="L10" s="913"/>
      <c r="M10" s="912"/>
      <c r="N10" s="912"/>
      <c r="O10" s="912"/>
      <c r="P10" s="914"/>
      <c r="Q10" s="912"/>
      <c r="R10" s="991"/>
      <c r="S10" s="992"/>
      <c r="T10" s="993"/>
      <c r="U10" s="994"/>
      <c r="V10" s="994"/>
      <c r="W10" s="995"/>
      <c r="X10" s="994"/>
      <c r="Y10" s="994"/>
      <c r="Z10" s="994"/>
      <c r="AA10" s="996"/>
      <c r="AB10" s="997"/>
      <c r="AC10" s="995"/>
      <c r="AD10" s="997"/>
      <c r="AE10" s="995"/>
      <c r="AF10" s="998"/>
      <c r="AG10" s="999"/>
      <c r="AH10" s="1000"/>
      <c r="AI10" s="1000"/>
      <c r="AJ10" s="1001"/>
      <c r="AK10" s="1001"/>
      <c r="AL10" s="1000"/>
      <c r="AM10" s="1002"/>
    </row>
    <row r="11" spans="1:42" s="523" customFormat="1" x14ac:dyDescent="0.25">
      <c r="A11" s="2337" t="s">
        <v>156</v>
      </c>
      <c r="B11" s="2338"/>
      <c r="C11" s="2338"/>
      <c r="D11" s="2338"/>
      <c r="E11" s="2338"/>
      <c r="F11" s="2338"/>
      <c r="G11" s="2338"/>
      <c r="H11" s="2338"/>
      <c r="I11" s="2338"/>
      <c r="J11" s="2338"/>
      <c r="K11" s="2338"/>
      <c r="L11" s="2338"/>
      <c r="M11" s="2338"/>
      <c r="N11" s="2338"/>
      <c r="O11" s="2338"/>
      <c r="P11" s="2338"/>
      <c r="Q11" s="2338"/>
      <c r="R11" s="2338"/>
      <c r="S11" s="2338"/>
      <c r="T11" s="2338"/>
      <c r="U11" s="2338"/>
      <c r="V11" s="2338"/>
      <c r="W11" s="2338"/>
      <c r="X11" s="2338"/>
      <c r="Y11" s="2338"/>
      <c r="Z11" s="2338"/>
      <c r="AA11" s="2338"/>
      <c r="AB11" s="2338"/>
      <c r="AC11" s="2338"/>
      <c r="AD11" s="2338"/>
      <c r="AE11" s="2338"/>
      <c r="AF11" s="2338"/>
      <c r="AG11" s="2338"/>
      <c r="AH11" s="2338"/>
      <c r="AI11" s="2338"/>
      <c r="AJ11" s="2338"/>
      <c r="AK11" s="2338"/>
      <c r="AL11" s="2338"/>
      <c r="AM11" s="2339"/>
    </row>
    <row r="12" spans="1:42" s="523" customFormat="1" x14ac:dyDescent="0.25">
      <c r="A12" s="2333"/>
      <c r="B12" s="2327"/>
      <c r="C12" s="2327"/>
      <c r="D12" s="2327"/>
      <c r="E12" s="2327"/>
      <c r="F12" s="2327"/>
      <c r="G12" s="2327"/>
      <c r="H12" s="2327"/>
      <c r="I12" s="2327"/>
      <c r="J12" s="2327"/>
      <c r="K12" s="2327"/>
      <c r="L12" s="2327"/>
      <c r="M12" s="2327"/>
      <c r="N12" s="2327"/>
      <c r="O12" s="2327"/>
      <c r="P12" s="2327"/>
      <c r="Q12" s="2327"/>
      <c r="R12" s="2327"/>
      <c r="S12" s="2327"/>
      <c r="T12" s="2327"/>
      <c r="U12" s="2327"/>
      <c r="V12" s="2327"/>
      <c r="W12" s="2327"/>
      <c r="X12" s="2327"/>
      <c r="Y12" s="2327"/>
      <c r="Z12" s="2327"/>
      <c r="AA12" s="2327"/>
      <c r="AB12" s="2327"/>
      <c r="AC12" s="2327"/>
      <c r="AD12" s="2327"/>
      <c r="AE12" s="2327"/>
      <c r="AF12" s="2327"/>
      <c r="AG12" s="2327"/>
      <c r="AH12" s="2327"/>
      <c r="AI12" s="2327"/>
      <c r="AJ12" s="2327"/>
      <c r="AK12" s="2327"/>
      <c r="AL12" s="2327"/>
      <c r="AM12" s="2318"/>
    </row>
    <row r="13" spans="1:42" s="523" customFormat="1" x14ac:dyDescent="0.25">
      <c r="A13" s="694"/>
      <c r="B13" s="695"/>
      <c r="C13" s="694"/>
      <c r="D13" s="694"/>
      <c r="E13" s="694"/>
      <c r="F13" s="311"/>
      <c r="G13" s="311"/>
      <c r="H13" s="311"/>
      <c r="I13" s="696"/>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row>
    <row r="14" spans="1:42" s="523" customFormat="1" ht="45" customHeight="1" x14ac:dyDescent="0.3">
      <c r="A14" s="2340" t="s">
        <v>157</v>
      </c>
      <c r="B14" s="2324"/>
      <c r="C14" s="2341" t="s">
        <v>320</v>
      </c>
      <c r="D14" s="3334"/>
      <c r="E14" s="3334"/>
      <c r="F14" s="3334"/>
      <c r="G14" s="3334"/>
      <c r="H14" s="3334"/>
      <c r="I14" s="3334"/>
      <c r="J14" s="3334"/>
      <c r="K14" s="3334"/>
      <c r="L14" s="3334"/>
      <c r="M14" s="3334"/>
      <c r="N14" s="3334"/>
      <c r="O14" s="3334"/>
      <c r="P14" s="3334"/>
      <c r="Q14" s="3334"/>
      <c r="R14" s="3334"/>
      <c r="S14" s="3334"/>
      <c r="T14" s="3334"/>
      <c r="U14" s="3334"/>
      <c r="V14" s="3334"/>
      <c r="W14" s="3334"/>
      <c r="X14" s="3334"/>
      <c r="Y14" s="3334"/>
      <c r="Z14" s="3334"/>
      <c r="AA14" s="3334"/>
      <c r="AB14" s="3334"/>
      <c r="AC14" s="3334"/>
      <c r="AD14" s="3334"/>
      <c r="AE14" s="3334"/>
      <c r="AF14" s="3334"/>
      <c r="AG14" s="3334"/>
      <c r="AH14" s="3334"/>
      <c r="AI14" s="3334"/>
      <c r="AJ14" s="3334"/>
      <c r="AK14" s="3334"/>
      <c r="AL14" s="3334"/>
      <c r="AM14" s="3335"/>
    </row>
    <row r="15" spans="1:42" s="523" customFormat="1" ht="28.2" customHeight="1" x14ac:dyDescent="0.3">
      <c r="A15" s="2340" t="s">
        <v>158</v>
      </c>
      <c r="B15" s="2324"/>
      <c r="C15" s="2342" t="s">
        <v>321</v>
      </c>
      <c r="D15" s="3334"/>
      <c r="E15" s="3334"/>
      <c r="F15" s="3334"/>
      <c r="G15" s="3334"/>
      <c r="H15" s="3334"/>
      <c r="I15" s="3334"/>
      <c r="J15" s="3334"/>
      <c r="K15" s="3334"/>
      <c r="L15" s="3334"/>
      <c r="M15" s="3334"/>
      <c r="N15" s="3334"/>
      <c r="O15" s="3334"/>
      <c r="P15" s="3334"/>
      <c r="Q15" s="3334"/>
      <c r="R15" s="3334"/>
      <c r="S15" s="3334"/>
      <c r="T15" s="3334"/>
      <c r="U15" s="3334"/>
      <c r="V15" s="3334"/>
      <c r="W15" s="3334"/>
      <c r="X15" s="3334"/>
      <c r="Y15" s="3334"/>
      <c r="Z15" s="3334"/>
      <c r="AA15" s="3334"/>
      <c r="AB15" s="3334"/>
      <c r="AC15" s="3334"/>
      <c r="AD15" s="3334"/>
      <c r="AE15" s="3334"/>
      <c r="AF15" s="3334"/>
      <c r="AG15" s="3334"/>
      <c r="AH15" s="3334"/>
      <c r="AI15" s="3334"/>
      <c r="AJ15" s="3334"/>
      <c r="AK15" s="3334"/>
      <c r="AL15" s="3334"/>
      <c r="AM15" s="3335"/>
    </row>
    <row r="16" spans="1:42" s="523" customFormat="1" ht="45" customHeight="1" x14ac:dyDescent="0.3">
      <c r="A16" s="2340" t="s">
        <v>159</v>
      </c>
      <c r="B16" s="2324"/>
      <c r="C16" s="2342" t="s">
        <v>322</v>
      </c>
      <c r="D16" s="3334"/>
      <c r="E16" s="3334"/>
      <c r="F16" s="3334"/>
      <c r="G16" s="3334"/>
      <c r="H16" s="3334"/>
      <c r="I16" s="3334"/>
      <c r="J16" s="3334"/>
      <c r="K16" s="3334"/>
      <c r="L16" s="3334"/>
      <c r="M16" s="3334"/>
      <c r="N16" s="3334"/>
      <c r="O16" s="3334"/>
      <c r="P16" s="3334"/>
      <c r="Q16" s="3334"/>
      <c r="R16" s="3334"/>
      <c r="S16" s="3334"/>
      <c r="T16" s="3334"/>
      <c r="U16" s="3334"/>
      <c r="V16" s="3334"/>
      <c r="W16" s="3334"/>
      <c r="X16" s="3334"/>
      <c r="Y16" s="3334"/>
      <c r="Z16" s="3334"/>
      <c r="AA16" s="3334"/>
      <c r="AB16" s="3334"/>
      <c r="AC16" s="3334"/>
      <c r="AD16" s="3334"/>
      <c r="AE16" s="3334"/>
      <c r="AF16" s="3334"/>
      <c r="AG16" s="3334"/>
      <c r="AH16" s="3334"/>
      <c r="AI16" s="3334"/>
      <c r="AJ16" s="3334"/>
      <c r="AK16" s="3334"/>
      <c r="AL16" s="3334"/>
      <c r="AM16" s="3335"/>
    </row>
    <row r="17" spans="1:52" s="523" customFormat="1" ht="33.6" customHeight="1" x14ac:dyDescent="0.3">
      <c r="A17" s="2323" t="s">
        <v>160</v>
      </c>
      <c r="B17" s="2324"/>
      <c r="C17" s="2324"/>
      <c r="D17" s="2324"/>
      <c r="E17" s="2324"/>
      <c r="F17" s="2324"/>
      <c r="G17" s="2324"/>
      <c r="H17" s="2324"/>
      <c r="I17" s="2324"/>
      <c r="J17" s="2325"/>
      <c r="K17" s="2326" t="s">
        <v>161</v>
      </c>
      <c r="L17" s="2327"/>
      <c r="M17" s="2327"/>
      <c r="N17" s="2327"/>
      <c r="O17" s="2327"/>
      <c r="P17" s="2327"/>
      <c r="Q17" s="2318"/>
      <c r="R17" s="2326" t="s">
        <v>162</v>
      </c>
      <c r="S17" s="2327"/>
      <c r="T17" s="2327"/>
      <c r="U17" s="2327"/>
      <c r="V17" s="2327"/>
      <c r="W17" s="2327"/>
      <c r="X17" s="2327"/>
      <c r="Y17" s="2327"/>
      <c r="Z17" s="2318"/>
      <c r="AA17" s="2326" t="s">
        <v>163</v>
      </c>
      <c r="AB17" s="2327"/>
      <c r="AC17" s="2327"/>
      <c r="AD17" s="2327"/>
      <c r="AE17" s="2327"/>
      <c r="AF17" s="2327"/>
      <c r="AG17" s="2318"/>
      <c r="AH17" s="2326" t="s">
        <v>164</v>
      </c>
      <c r="AI17" s="2327"/>
      <c r="AJ17" s="2327"/>
      <c r="AK17" s="2327"/>
      <c r="AL17" s="2327"/>
      <c r="AM17" s="2318"/>
    </row>
    <row r="18" spans="1:52" s="523" customFormat="1" ht="14.4" x14ac:dyDescent="0.3">
      <c r="A18" s="2328" t="s">
        <v>165</v>
      </c>
      <c r="B18" s="2329" t="s">
        <v>142</v>
      </c>
      <c r="C18" s="2330" t="s">
        <v>166</v>
      </c>
      <c r="D18" s="2330" t="s">
        <v>167</v>
      </c>
      <c r="E18" s="2305" t="s">
        <v>168</v>
      </c>
      <c r="F18" s="2331" t="s">
        <v>60</v>
      </c>
      <c r="G18" s="697"/>
      <c r="H18" s="697"/>
      <c r="I18" s="2305" t="s">
        <v>169</v>
      </c>
      <c r="J18" s="2330" t="s">
        <v>170</v>
      </c>
      <c r="K18" s="2330" t="s">
        <v>171</v>
      </c>
      <c r="L18" s="2332" t="s">
        <v>172</v>
      </c>
      <c r="M18" s="2305" t="s">
        <v>173</v>
      </c>
      <c r="N18" s="2305" t="s">
        <v>174</v>
      </c>
      <c r="O18" s="2334" t="s">
        <v>175</v>
      </c>
      <c r="P18" s="2332" t="s">
        <v>172</v>
      </c>
      <c r="Q18" s="2330" t="s">
        <v>176</v>
      </c>
      <c r="R18" s="2335" t="s">
        <v>177</v>
      </c>
      <c r="S18" s="2305" t="s">
        <v>178</v>
      </c>
      <c r="T18" s="2305" t="s">
        <v>179</v>
      </c>
      <c r="U18" s="2336" t="s">
        <v>180</v>
      </c>
      <c r="V18" s="2324"/>
      <c r="W18" s="2324"/>
      <c r="X18" s="2324"/>
      <c r="Y18" s="2324"/>
      <c r="Z18" s="2325"/>
      <c r="AA18" s="2335" t="s">
        <v>181</v>
      </c>
      <c r="AB18" s="2335" t="s">
        <v>182</v>
      </c>
      <c r="AC18" s="2335" t="s">
        <v>172</v>
      </c>
      <c r="AD18" s="2335" t="s">
        <v>183</v>
      </c>
      <c r="AE18" s="2335" t="s">
        <v>172</v>
      </c>
      <c r="AF18" s="2335" t="s">
        <v>184</v>
      </c>
      <c r="AG18" s="2335" t="s">
        <v>185</v>
      </c>
      <c r="AH18" s="2305" t="s">
        <v>164</v>
      </c>
      <c r="AI18" s="2305" t="s">
        <v>143</v>
      </c>
      <c r="AJ18" s="2305" t="s">
        <v>186</v>
      </c>
      <c r="AK18" s="2305" t="s">
        <v>187</v>
      </c>
      <c r="AL18" s="2305" t="s">
        <v>188</v>
      </c>
      <c r="AM18" s="2305" t="s">
        <v>189</v>
      </c>
    </row>
    <row r="19" spans="1:52" s="523" customFormat="1" ht="101.4" customHeight="1" x14ac:dyDescent="0.25">
      <c r="A19" s="2306"/>
      <c r="B19" s="2306"/>
      <c r="C19" s="2306"/>
      <c r="D19" s="2306"/>
      <c r="E19" s="2308"/>
      <c r="F19" s="2308"/>
      <c r="G19" s="697" t="s">
        <v>511</v>
      </c>
      <c r="H19" s="697" t="s">
        <v>190</v>
      </c>
      <c r="I19" s="2306"/>
      <c r="J19" s="2306"/>
      <c r="K19" s="2306"/>
      <c r="L19" s="2333"/>
      <c r="M19" s="2306"/>
      <c r="N19" s="2306"/>
      <c r="O19" s="2333"/>
      <c r="P19" s="2333"/>
      <c r="Q19" s="2306"/>
      <c r="R19" s="2306"/>
      <c r="S19" s="2306"/>
      <c r="T19" s="2306"/>
      <c r="U19" s="698" t="s">
        <v>191</v>
      </c>
      <c r="V19" s="698" t="s">
        <v>192</v>
      </c>
      <c r="W19" s="698" t="s">
        <v>193</v>
      </c>
      <c r="X19" s="698" t="s">
        <v>194</v>
      </c>
      <c r="Y19" s="698" t="s">
        <v>195</v>
      </c>
      <c r="Z19" s="698" t="s">
        <v>196</v>
      </c>
      <c r="AA19" s="2306"/>
      <c r="AB19" s="2306"/>
      <c r="AC19" s="2306"/>
      <c r="AD19" s="2306"/>
      <c r="AE19" s="2306"/>
      <c r="AF19" s="2306"/>
      <c r="AG19" s="2306"/>
      <c r="AH19" s="2306"/>
      <c r="AI19" s="2306"/>
      <c r="AJ19" s="2306"/>
      <c r="AK19" s="2306"/>
      <c r="AL19" s="2306"/>
      <c r="AM19" s="2306"/>
    </row>
    <row r="20" spans="1:52" s="523" customFormat="1" ht="166.8" customHeight="1" x14ac:dyDescent="0.25">
      <c r="A20" s="2307">
        <v>1</v>
      </c>
      <c r="B20" s="2309" t="s">
        <v>197</v>
      </c>
      <c r="C20" s="2309" t="s">
        <v>323</v>
      </c>
      <c r="D20" s="2312" t="s">
        <v>324</v>
      </c>
      <c r="E20" s="942" t="s">
        <v>325</v>
      </c>
      <c r="F20" s="2309" t="s">
        <v>326</v>
      </c>
      <c r="G20" s="2309" t="s">
        <v>512</v>
      </c>
      <c r="H20" s="2309" t="s">
        <v>327</v>
      </c>
      <c r="I20" s="2974" t="s">
        <v>198</v>
      </c>
      <c r="J20" s="2975">
        <v>365</v>
      </c>
      <c r="K20" s="2976" t="str">
        <f>IF(J20&lt;=0,"",IF(J20&lt;=2,"Muy Baja",IF(J20&lt;=24,"Baja",IF(J20&lt;=500,"Media",IF(J20&lt;=5000,"Alta","Muy Alta")))))</f>
        <v>Media</v>
      </c>
      <c r="L20" s="2977">
        <f>IF(K20="","",IF(K20="Muy Baja",0.2,IF(K20="Baja",0.4,IF(K20="Media",0.6,IF(K20="Alta",0.8,IF(K20="Muy Alta",1,))))))</f>
        <v>0.6</v>
      </c>
      <c r="M20" s="2977" t="s">
        <v>225</v>
      </c>
      <c r="N20" s="2977" t="str">
        <f>IF(NOT(ISERROR(MATCH(M20,'[47]Tabla Impacto'!$B$221:$B$223,0))),'[47]Tabla Impacto'!$F$223&amp;"Por favor no seleccionar los criterios de impacto(Afectación Económica o presupuestal y Pérdida Reputacional)",M20)</f>
        <v xml:space="preserve">     El riesgo afecta la imagen de la entidad con algunos usuarios de relevancia frente al logro de los objetivos</v>
      </c>
      <c r="O20" s="2976" t="str">
        <f>IF(OR(N20='[47]Tabla Impacto'!$C$11,N20='[47]Tabla Impacto'!$D$11),"Leve",IF(OR(N20='[47]Tabla Impacto'!$C$12,N20='[47]Tabla Impacto'!$D$12),"Menor",IF(OR(N20='[47]Tabla Impacto'!$C$13,N20='[47]Tabla Impacto'!$D$13),"Moderado",IF(OR(N20='[47]Tabla Impacto'!$C$14,N20='[47]Tabla Impacto'!$D$14),"Mayor",IF(OR(N20='[47]Tabla Impacto'!$C$15,N20='[47]Tabla Impacto'!$D$15),"Catastrófico","")))))</f>
        <v>Moderado</v>
      </c>
      <c r="P20" s="2977">
        <f>IF(O20="","",IF(O20="Leve",0.2,IF(O20="Menor",0.4,IF(O20="Moderado",0.6,IF(O20="Mayor",0.8,IF(O20="Catastrófico",1,))))))</f>
        <v>0.6</v>
      </c>
      <c r="Q20" s="2978" t="str">
        <f>IF(OR(AND(K20="Muy Baja",O20="Leve"),AND(K20="Muy Baja",O20="Menor"),AND(K20="Baja",O20="Leve")),"Bajo",IF(OR(AND(K20="Muy baja",O20="Moderado"),AND(K20="Baja",O20="Menor"),AND(K20="Baja",O20="Moderado"),AND(K20="Media",O20="Leve"),AND(K20="Media",O20="Menor"),AND(K20="Media",O20="Moderado"),AND(K20="Alta",O20="Leve"),AND(K20="Alta",O20="Menor")),"Moderado",IF(OR(AND(K20="Muy Baja",O20="Mayor"),AND(K20="Baja",O20="Mayor"),AND(K20="Media",O20="Mayor"),AND(K20="Alta",O20="Moderado"),AND(K20="Alta",O20="Mayor"),AND(K20="Muy Alta",O20="Leve"),AND(K20="Muy Alta",O20="Menor"),AND(K20="Muy Alta",O20="Moderado"),AND(K20="Muy Alta",O20="Mayor")),"Alto",IF(OR(AND(K20="Muy Baja",O20="Catastrófico"),AND(K20="Baja",O20="Catastrófico"),AND(K20="Media",O20="Catastrófico"),AND(K20="Alta",O20="Catastrófico"),AND(K20="Muy Alta",O20="Catastrófico")),"Extremo",""))))</f>
        <v>Moderado</v>
      </c>
      <c r="R20" s="894">
        <v>1</v>
      </c>
      <c r="S20" s="943" t="s">
        <v>513</v>
      </c>
      <c r="T20" s="894" t="str">
        <f t="shared" ref="T20:T24" si="4">IF(OR(U20="Preventivo",U20="Detectivo"),"Probabilidad",IF(U20="Correctivo","Impacto",""))</f>
        <v>Probabilidad</v>
      </c>
      <c r="U20" s="944" t="s">
        <v>207</v>
      </c>
      <c r="V20" s="944" t="s">
        <v>201</v>
      </c>
      <c r="W20" s="945" t="str">
        <f t="shared" ref="W20:W24" si="5">IF(AND(U20="Preventivo",V20="Automático"),"50%",IF(AND(U20="Preventivo",V20="Manual"),"40%",IF(AND(U20="Detectivo",V20="Automático"),"40%",IF(AND(U20="Detectivo",V20="Manual"),"30%",IF(AND(U20="Correctivo",V20="Automático"),"35%",IF(AND(U20="Correctivo",V20="Manual"),"25%",""))))))</f>
        <v>40%</v>
      </c>
      <c r="X20" s="944" t="s">
        <v>202</v>
      </c>
      <c r="Y20" s="944" t="s">
        <v>203</v>
      </c>
      <c r="Z20" s="944" t="s">
        <v>298</v>
      </c>
      <c r="AA20" s="946">
        <f>IFERROR(IF(T20="Probabilidad",(L20-(+L20*W20)),IF(T20="Impacto",L20,"")),"")</f>
        <v>0.36</v>
      </c>
      <c r="AB20" s="947" t="str">
        <f t="shared" ref="AB20:AB24" si="6">IFERROR(IF(AA20="","",IF(AA20&lt;=0.2,"Muy Baja",IF(AA20&lt;=0.4,"Baja",IF(AA20&lt;=0.6,"Media",IF(AA20&lt;=0.8,"Alta","Muy Alta"))))),"")</f>
        <v>Baja</v>
      </c>
      <c r="AC20" s="948">
        <f t="shared" ref="AC20:AC24" si="7">+AA20</f>
        <v>0.36</v>
      </c>
      <c r="AD20" s="947" t="str">
        <f t="shared" ref="AD20:AD24" si="8">IFERROR(IF(AE20="","",IF(AE20&lt;=0.2,"Leve",IF(AE20&lt;=0.4,"Menor",IF(AE20&lt;=0.6,"Moderado",IF(AE20&lt;=0.8,"Mayor","Catastrófico"))))),"")</f>
        <v>Moderado</v>
      </c>
      <c r="AE20" s="948">
        <f>IFERROR(IF(T20="Impacto",(P20-(+P20*W20)),IF(T20="Probabilidad",P20,"")),"")</f>
        <v>0.6</v>
      </c>
      <c r="AF20" s="949" t="str">
        <f t="shared" ref="AF20:AF24" si="9">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Moderado</v>
      </c>
      <c r="AG20" s="950" t="s">
        <v>205</v>
      </c>
      <c r="AH20" s="891" t="s">
        <v>328</v>
      </c>
      <c r="AI20" s="891" t="s">
        <v>329</v>
      </c>
      <c r="AJ20" s="951">
        <v>45292</v>
      </c>
      <c r="AK20" s="951">
        <v>45596</v>
      </c>
      <c r="AL20" s="891" t="s">
        <v>1234</v>
      </c>
      <c r="AM20" s="1093" t="s">
        <v>206</v>
      </c>
    </row>
    <row r="21" spans="1:52" s="523" customFormat="1" ht="166.8" customHeight="1" x14ac:dyDescent="0.25">
      <c r="A21" s="2308"/>
      <c r="B21" s="2310"/>
      <c r="C21" s="2310"/>
      <c r="D21" s="2313"/>
      <c r="E21" s="942" t="s">
        <v>330</v>
      </c>
      <c r="F21" s="2310"/>
      <c r="G21" s="2310"/>
      <c r="H21" s="2310"/>
      <c r="I21" s="3322"/>
      <c r="J21" s="2310"/>
      <c r="K21" s="2310"/>
      <c r="L21" s="2310"/>
      <c r="M21" s="2310"/>
      <c r="N21" s="2310"/>
      <c r="O21" s="2310"/>
      <c r="P21" s="2310"/>
      <c r="Q21" s="2310"/>
      <c r="R21" s="894">
        <v>2</v>
      </c>
      <c r="S21" s="943" t="s">
        <v>515</v>
      </c>
      <c r="T21" s="894" t="str">
        <f t="shared" si="4"/>
        <v>Probabilidad</v>
      </c>
      <c r="U21" s="944" t="s">
        <v>207</v>
      </c>
      <c r="V21" s="944" t="s">
        <v>201</v>
      </c>
      <c r="W21" s="945" t="str">
        <f t="shared" si="5"/>
        <v>40%</v>
      </c>
      <c r="X21" s="944" t="s">
        <v>202</v>
      </c>
      <c r="Y21" s="944" t="s">
        <v>203</v>
      </c>
      <c r="Z21" s="944" t="s">
        <v>298</v>
      </c>
      <c r="AA21" s="946">
        <f>IFERROR(IF(AND(T20="Probabilidad",T21="Probabilidad"),(AC20-(+AC20*W21)),IF(AND(T20="Impacto",T21="Probabilidad"),(L20-(+L20*W21)),IF(T21="Impacto",AC20,""))),"")</f>
        <v>0.216</v>
      </c>
      <c r="AB21" s="947" t="str">
        <f t="shared" si="6"/>
        <v>Baja</v>
      </c>
      <c r="AC21" s="948">
        <f t="shared" si="7"/>
        <v>0.216</v>
      </c>
      <c r="AD21" s="947" t="str">
        <f t="shared" si="8"/>
        <v>Moderado</v>
      </c>
      <c r="AE21" s="948">
        <f>IFERROR(IF(AND(T20="Impacto",T21="Impacto"),(AE20-(+AE20*W21)),IF(AND(T20="Probabilidad",T21="Impacto"),(P20-(+P20*W21)),IF(T21="Probabilidad",AE20,""))),"")</f>
        <v>0.6</v>
      </c>
      <c r="AF21" s="949" t="str">
        <f t="shared" si="9"/>
        <v>Moderado</v>
      </c>
      <c r="AG21" s="950" t="s">
        <v>205</v>
      </c>
      <c r="AH21" s="892" t="s">
        <v>331</v>
      </c>
      <c r="AI21" s="892" t="s">
        <v>329</v>
      </c>
      <c r="AJ21" s="951">
        <v>45292</v>
      </c>
      <c r="AK21" s="951">
        <v>45596</v>
      </c>
      <c r="AL21" s="892" t="s">
        <v>1235</v>
      </c>
      <c r="AM21" s="894" t="s">
        <v>206</v>
      </c>
    </row>
    <row r="22" spans="1:52" s="523" customFormat="1" ht="166.8" customHeight="1" x14ac:dyDescent="0.25">
      <c r="A22" s="2308"/>
      <c r="B22" s="2310"/>
      <c r="C22" s="2310"/>
      <c r="D22" s="2313"/>
      <c r="E22" s="891" t="s">
        <v>332</v>
      </c>
      <c r="F22" s="2310"/>
      <c r="G22" s="2310"/>
      <c r="H22" s="2310"/>
      <c r="I22" s="3322"/>
      <c r="J22" s="2310"/>
      <c r="K22" s="2310"/>
      <c r="L22" s="2310"/>
      <c r="M22" s="2310"/>
      <c r="N22" s="2310"/>
      <c r="O22" s="2310"/>
      <c r="P22" s="2310"/>
      <c r="Q22" s="2310"/>
      <c r="R22" s="894">
        <v>3</v>
      </c>
      <c r="S22" s="943" t="s">
        <v>517</v>
      </c>
      <c r="T22" s="894" t="str">
        <f t="shared" si="4"/>
        <v>Probabilidad</v>
      </c>
      <c r="U22" s="944" t="s">
        <v>207</v>
      </c>
      <c r="V22" s="944" t="s">
        <v>201</v>
      </c>
      <c r="W22" s="945" t="str">
        <f t="shared" si="5"/>
        <v>40%</v>
      </c>
      <c r="X22" s="944" t="s">
        <v>202</v>
      </c>
      <c r="Y22" s="944" t="s">
        <v>203</v>
      </c>
      <c r="Z22" s="944" t="s">
        <v>298</v>
      </c>
      <c r="AA22" s="946">
        <f t="shared" ref="AA22" si="10">IFERROR(IF(AND(T21="Probabilidad",T22="Probabilidad"),(AC21-(+AC21*W22)),IF(AND(T21="Impacto",T22="Probabilidad"),(AC20-(+AC20*W22)),IF(T22="Impacto",AC21,""))),"")</f>
        <v>0.12959999999999999</v>
      </c>
      <c r="AB22" s="947" t="str">
        <f t="shared" si="6"/>
        <v>Muy Baja</v>
      </c>
      <c r="AC22" s="948">
        <f t="shared" si="7"/>
        <v>0.12959999999999999</v>
      </c>
      <c r="AD22" s="947" t="str">
        <f t="shared" si="8"/>
        <v>Moderado</v>
      </c>
      <c r="AE22" s="948">
        <f t="shared" ref="AE22" si="11">IFERROR(IF(AND(T21="Impacto",T22="Impacto"),(AE21-(+AE21*W22)),IF(AND(T21="Probabilidad",T22="Impacto"),(AE20-(+AE20*W22)),IF(T22="Probabilidad",AE21,""))),"")</f>
        <v>0.6</v>
      </c>
      <c r="AF22" s="949" t="str">
        <f t="shared" si="9"/>
        <v>Moderado</v>
      </c>
      <c r="AG22" s="950" t="s">
        <v>205</v>
      </c>
      <c r="AH22" s="892" t="s">
        <v>518</v>
      </c>
      <c r="AI22" s="892" t="s">
        <v>329</v>
      </c>
      <c r="AJ22" s="951">
        <v>45292</v>
      </c>
      <c r="AK22" s="951">
        <v>45596</v>
      </c>
      <c r="AL22" s="892" t="s">
        <v>519</v>
      </c>
      <c r="AM22" s="894" t="s">
        <v>206</v>
      </c>
    </row>
    <row r="23" spans="1:52" s="523" customFormat="1" ht="166.8" customHeight="1" x14ac:dyDescent="0.25">
      <c r="A23" s="2307">
        <v>2</v>
      </c>
      <c r="B23" s="2981" t="s">
        <v>197</v>
      </c>
      <c r="C23" s="2981" t="s">
        <v>520</v>
      </c>
      <c r="D23" s="2994" t="s">
        <v>333</v>
      </c>
      <c r="E23" s="892" t="s">
        <v>334</v>
      </c>
      <c r="F23" s="2981" t="s">
        <v>335</v>
      </c>
      <c r="G23" s="2309" t="s">
        <v>512</v>
      </c>
      <c r="H23" s="892" t="s">
        <v>336</v>
      </c>
      <c r="I23" s="2989" t="s">
        <v>337</v>
      </c>
      <c r="J23" s="2307">
        <v>365</v>
      </c>
      <c r="K23" s="3169" t="str">
        <f>IF(J23&lt;=0,"",IF(J23&lt;=2,"Muy Baja",IF(J23&lt;=24,"Baja",IF(J23&lt;=500,"Media",IF(J23&lt;=5000,"Alta","Muy Alta")))))</f>
        <v>Media</v>
      </c>
      <c r="L23" s="3170">
        <f>IF(K23="","",IF(K23="Muy Baja",0.2,IF(K23="Baja",0.4,IF(K23="Media",0.6,IF(K23="Alta",0.8,IF(K23="Muy Alta",1,))))))</f>
        <v>0.6</v>
      </c>
      <c r="M23" s="3170" t="s">
        <v>216</v>
      </c>
      <c r="N23" s="3170" t="str">
        <f>IF(NOT(ISERROR(MATCH(M23,'[47]Tabla Impacto'!$B$221:$B$223,0))),'[47]Tabla Impacto'!$F$223&amp;"Por favor no seleccionar los criterios de impacto(Afectación Económica o presupuestal y Pérdida Reputacional)",M23)</f>
        <v xml:space="preserve">     El riesgo afecta la imagen de alguna área de la organización</v>
      </c>
      <c r="O23" s="3169" t="str">
        <f>IF(OR(N23='[47]Tabla Impacto'!$C$11,N23='[47]Tabla Impacto'!$D$11),"Leve",IF(OR(N23='[47]Tabla Impacto'!$C$12,N23='[47]Tabla Impacto'!$D$12),"Menor",IF(OR(N23='[47]Tabla Impacto'!$C$13,N23='[47]Tabla Impacto'!$D$13),"Moderado",IF(OR(N23='[47]Tabla Impacto'!$C$14,N23='[47]Tabla Impacto'!$D$14),"Mayor",IF(OR(N23='[47]Tabla Impacto'!$C$15,N23='[47]Tabla Impacto'!$D$15),"Catastrófico","")))))</f>
        <v>Leve</v>
      </c>
      <c r="P23" s="3170">
        <f>IF(O23="","",IF(O23="Leve",0.2,IF(O23="Menor",0.4,IF(O23="Moderado",0.6,IF(O23="Mayor",0.8,IF(O23="Catastrófico",1,))))))</f>
        <v>0.2</v>
      </c>
      <c r="Q23" s="3171"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Moderado</v>
      </c>
      <c r="R23" s="894">
        <v>1</v>
      </c>
      <c r="S23" s="943" t="s">
        <v>521</v>
      </c>
      <c r="T23" s="894" t="str">
        <f t="shared" si="4"/>
        <v>Probabilidad</v>
      </c>
      <c r="U23" s="944" t="s">
        <v>207</v>
      </c>
      <c r="V23" s="944" t="s">
        <v>201</v>
      </c>
      <c r="W23" s="945" t="str">
        <f t="shared" si="5"/>
        <v>40%</v>
      </c>
      <c r="X23" s="944" t="s">
        <v>202</v>
      </c>
      <c r="Y23" s="944" t="s">
        <v>203</v>
      </c>
      <c r="Z23" s="944" t="s">
        <v>298</v>
      </c>
      <c r="AA23" s="946">
        <f>IFERROR(IF(T23="Probabilidad",(L23-(+L23*W23)),IF(T23="Impacto",L23,"")),"")</f>
        <v>0.36</v>
      </c>
      <c r="AB23" s="947" t="str">
        <f t="shared" si="6"/>
        <v>Baja</v>
      </c>
      <c r="AC23" s="948">
        <f t="shared" si="7"/>
        <v>0.36</v>
      </c>
      <c r="AD23" s="947" t="str">
        <f t="shared" si="8"/>
        <v>Leve</v>
      </c>
      <c r="AE23" s="948">
        <f>IFERROR(IF(T23="Impacto",(P23-(+P23*W23)),IF(T23="Probabilidad",P23,"")),"")</f>
        <v>0.2</v>
      </c>
      <c r="AF23" s="949" t="str">
        <f t="shared" si="9"/>
        <v>Bajo</v>
      </c>
      <c r="AG23" s="950" t="s">
        <v>205</v>
      </c>
      <c r="AH23" s="892" t="s">
        <v>338</v>
      </c>
      <c r="AI23" s="892" t="s">
        <v>329</v>
      </c>
      <c r="AJ23" s="951">
        <v>45292</v>
      </c>
      <c r="AK23" s="951">
        <v>45596</v>
      </c>
      <c r="AL23" s="892" t="s">
        <v>522</v>
      </c>
      <c r="AM23" s="894" t="s">
        <v>206</v>
      </c>
    </row>
    <row r="24" spans="1:52" s="523" customFormat="1" ht="166.8" customHeight="1" x14ac:dyDescent="0.25">
      <c r="A24" s="2308"/>
      <c r="B24" s="2310"/>
      <c r="C24" s="2310"/>
      <c r="D24" s="2313"/>
      <c r="E24" s="892" t="s">
        <v>339</v>
      </c>
      <c r="F24" s="2310"/>
      <c r="G24" s="2310"/>
      <c r="H24" s="892" t="s">
        <v>340</v>
      </c>
      <c r="I24" s="3322"/>
      <c r="J24" s="2310"/>
      <c r="K24" s="2310"/>
      <c r="L24" s="2310"/>
      <c r="M24" s="2310"/>
      <c r="N24" s="2310"/>
      <c r="O24" s="2310"/>
      <c r="P24" s="2310"/>
      <c r="Q24" s="2310"/>
      <c r="R24" s="894">
        <v>2</v>
      </c>
      <c r="S24" s="943" t="s">
        <v>523</v>
      </c>
      <c r="T24" s="894" t="str">
        <f t="shared" si="4"/>
        <v>Probabilidad</v>
      </c>
      <c r="U24" s="944" t="s">
        <v>207</v>
      </c>
      <c r="V24" s="944" t="s">
        <v>201</v>
      </c>
      <c r="W24" s="945" t="str">
        <f t="shared" si="5"/>
        <v>40%</v>
      </c>
      <c r="X24" s="944" t="s">
        <v>202</v>
      </c>
      <c r="Y24" s="944" t="s">
        <v>203</v>
      </c>
      <c r="Z24" s="944" t="s">
        <v>298</v>
      </c>
      <c r="AA24" s="946">
        <f>IFERROR(IF(AND(T23="Probabilidad",T24="Probabilidad"),(AC23-(+AC23*W24)),IF(AND(T23="Impacto",T24="Probabilidad"),(L23-(+L23*W24)),IF(T24="Impacto",AC23,""))),"")</f>
        <v>0.216</v>
      </c>
      <c r="AB24" s="947" t="str">
        <f t="shared" si="6"/>
        <v>Baja</v>
      </c>
      <c r="AC24" s="948">
        <f t="shared" si="7"/>
        <v>0.216</v>
      </c>
      <c r="AD24" s="947" t="str">
        <f t="shared" si="8"/>
        <v>Leve</v>
      </c>
      <c r="AE24" s="948">
        <f>IFERROR(IF(AND(T23="Impacto",T24="Impacto"),(AE23-(+AE23*W24)),IF(AND(T23="Probabilidad",T24="Impacto"),(P23-(+P23*W24)),IF(T24="Probabilidad",AE23,""))),"")</f>
        <v>0.2</v>
      </c>
      <c r="AF24" s="949" t="str">
        <f t="shared" si="9"/>
        <v>Bajo</v>
      </c>
      <c r="AG24" s="950" t="s">
        <v>205</v>
      </c>
      <c r="AH24" s="892" t="s">
        <v>341</v>
      </c>
      <c r="AI24" s="892" t="s">
        <v>329</v>
      </c>
      <c r="AJ24" s="951">
        <v>45292</v>
      </c>
      <c r="AK24" s="951">
        <v>45596</v>
      </c>
      <c r="AL24" s="892" t="s">
        <v>522</v>
      </c>
      <c r="AM24" s="894" t="s">
        <v>206</v>
      </c>
    </row>
    <row r="25" spans="1:52" s="523" customFormat="1" ht="15.6" x14ac:dyDescent="0.25">
      <c r="A25" s="912"/>
      <c r="B25" s="912"/>
      <c r="C25" s="912"/>
      <c r="D25" s="912"/>
      <c r="E25" s="990"/>
      <c r="F25" s="912"/>
      <c r="G25" s="239"/>
      <c r="H25" s="912"/>
      <c r="I25" s="239"/>
      <c r="J25" s="239"/>
      <c r="K25" s="239"/>
      <c r="L25" s="913"/>
      <c r="M25" s="912"/>
      <c r="N25" s="912"/>
      <c r="O25" s="912"/>
      <c r="P25" s="914"/>
      <c r="Q25" s="912"/>
      <c r="R25" s="991"/>
      <c r="S25" s="992"/>
      <c r="T25" s="993"/>
      <c r="U25" s="994"/>
      <c r="V25" s="994"/>
      <c r="W25" s="995"/>
      <c r="X25" s="994"/>
      <c r="Y25" s="994"/>
      <c r="Z25" s="994"/>
      <c r="AA25" s="996"/>
      <c r="AB25" s="997"/>
      <c r="AC25" s="995"/>
      <c r="AD25" s="997"/>
      <c r="AE25" s="995"/>
      <c r="AF25" s="998"/>
      <c r="AG25" s="999"/>
      <c r="AH25" s="1000"/>
      <c r="AI25" s="1000"/>
      <c r="AJ25" s="1001"/>
      <c r="AK25" s="1001"/>
      <c r="AL25" s="1000"/>
      <c r="AM25" s="1002"/>
    </row>
    <row r="26" spans="1:52" s="523" customFormat="1" x14ac:dyDescent="0.25">
      <c r="A26" s="912"/>
      <c r="B26" s="3323" t="s">
        <v>156</v>
      </c>
      <c r="C26" s="3323"/>
      <c r="D26" s="3323"/>
      <c r="E26" s="3323"/>
      <c r="F26" s="3323"/>
      <c r="G26" s="3323"/>
      <c r="H26" s="3323"/>
      <c r="I26" s="3323"/>
      <c r="J26" s="3323"/>
      <c r="K26" s="3323"/>
      <c r="L26" s="3323"/>
      <c r="M26" s="3323"/>
      <c r="N26" s="3323"/>
      <c r="O26" s="3323"/>
      <c r="P26" s="3323"/>
      <c r="Q26" s="3323"/>
      <c r="R26" s="3323"/>
      <c r="S26" s="3323"/>
      <c r="T26" s="3323"/>
      <c r="U26" s="3323"/>
      <c r="V26" s="3323"/>
      <c r="W26" s="3323"/>
      <c r="X26" s="3323"/>
      <c r="Y26" s="3323"/>
      <c r="Z26" s="3323"/>
      <c r="AA26" s="3323"/>
      <c r="AB26" s="3323"/>
      <c r="AC26" s="3323"/>
      <c r="AD26" s="3323"/>
      <c r="AE26" s="3323"/>
      <c r="AF26" s="3323"/>
      <c r="AG26" s="3323"/>
      <c r="AH26" s="3323"/>
      <c r="AI26" s="3323"/>
      <c r="AJ26" s="3323"/>
      <c r="AK26" s="3323"/>
      <c r="AL26" s="3323"/>
      <c r="AM26" s="3323"/>
      <c r="AN26" s="1007"/>
      <c r="AO26" s="1007"/>
      <c r="AP26" s="1007"/>
      <c r="AQ26" s="1007"/>
      <c r="AR26" s="1007"/>
      <c r="AS26" s="1007"/>
      <c r="AT26" s="1007"/>
      <c r="AU26" s="1007"/>
      <c r="AV26" s="1007"/>
      <c r="AW26" s="1007"/>
      <c r="AX26" s="1007"/>
      <c r="AY26" s="1007"/>
      <c r="AZ26" s="1007"/>
    </row>
    <row r="27" spans="1:52" s="523" customFormat="1" x14ac:dyDescent="0.25">
      <c r="A27" s="912"/>
      <c r="B27" s="3323"/>
      <c r="C27" s="3323"/>
      <c r="D27" s="3323"/>
      <c r="E27" s="3323"/>
      <c r="F27" s="3323"/>
      <c r="G27" s="3323"/>
      <c r="H27" s="3323"/>
      <c r="I27" s="3323"/>
      <c r="J27" s="3323"/>
      <c r="K27" s="3323"/>
      <c r="L27" s="3323"/>
      <c r="M27" s="3323"/>
      <c r="N27" s="3323"/>
      <c r="O27" s="3323"/>
      <c r="P27" s="3323"/>
      <c r="Q27" s="3323"/>
      <c r="R27" s="3323"/>
      <c r="S27" s="3323"/>
      <c r="T27" s="3323"/>
      <c r="U27" s="3323"/>
      <c r="V27" s="3323"/>
      <c r="W27" s="3323"/>
      <c r="X27" s="3323"/>
      <c r="Y27" s="3323"/>
      <c r="Z27" s="3323"/>
      <c r="AA27" s="3323"/>
      <c r="AB27" s="3323"/>
      <c r="AC27" s="3323"/>
      <c r="AD27" s="3323"/>
      <c r="AE27" s="3323"/>
      <c r="AF27" s="3323"/>
      <c r="AG27" s="3323"/>
      <c r="AH27" s="3323"/>
      <c r="AI27" s="3323"/>
      <c r="AJ27" s="3323"/>
      <c r="AK27" s="3323"/>
      <c r="AL27" s="3323"/>
      <c r="AM27" s="3323"/>
      <c r="AN27" s="1007"/>
      <c r="AO27" s="1007"/>
      <c r="AP27" s="1007"/>
      <c r="AQ27" s="1007"/>
      <c r="AR27" s="1007"/>
      <c r="AS27" s="1007"/>
      <c r="AT27" s="1007"/>
      <c r="AU27" s="1007"/>
      <c r="AV27" s="1007"/>
      <c r="AW27" s="1007"/>
      <c r="AX27" s="1007"/>
      <c r="AY27" s="1007"/>
      <c r="AZ27" s="1007"/>
    </row>
    <row r="28" spans="1:52" s="523" customFormat="1" x14ac:dyDescent="0.25">
      <c r="A28" s="912"/>
      <c r="B28" s="1008"/>
      <c r="C28" s="1009"/>
      <c r="D28" s="1008"/>
      <c r="E28" s="1008"/>
      <c r="F28" s="1008"/>
      <c r="G28" s="1007"/>
      <c r="H28" s="1007"/>
      <c r="I28" s="1007"/>
      <c r="J28" s="1010"/>
      <c r="K28" s="1007"/>
      <c r="L28" s="1007"/>
      <c r="M28" s="1007"/>
      <c r="N28" s="1007"/>
      <c r="O28" s="1007"/>
      <c r="P28" s="1007"/>
      <c r="Q28" s="1007"/>
      <c r="R28" s="1007"/>
      <c r="S28" s="1007"/>
      <c r="T28" s="1007"/>
      <c r="U28" s="1007"/>
      <c r="V28" s="1007"/>
      <c r="W28" s="1007"/>
      <c r="X28" s="1007"/>
      <c r="Y28" s="1007"/>
      <c r="Z28" s="1007"/>
      <c r="AA28" s="1007"/>
      <c r="AB28" s="1007"/>
      <c r="AC28" s="1007"/>
      <c r="AD28" s="1007"/>
      <c r="AE28" s="1007"/>
      <c r="AF28" s="1007"/>
      <c r="AG28" s="1007"/>
      <c r="AH28" s="1007"/>
      <c r="AI28" s="1007"/>
      <c r="AJ28" s="1007"/>
      <c r="AK28" s="1007"/>
      <c r="AL28" s="1007"/>
      <c r="AM28" s="1007"/>
      <c r="AN28" s="1007"/>
      <c r="AO28" s="1007"/>
      <c r="AP28" s="1007"/>
      <c r="AQ28" s="1007"/>
      <c r="AR28" s="1007"/>
      <c r="AS28" s="1007"/>
      <c r="AT28" s="1007"/>
      <c r="AU28" s="1007"/>
      <c r="AV28" s="1007"/>
      <c r="AW28" s="1007"/>
      <c r="AX28" s="1007"/>
      <c r="AY28" s="1007"/>
      <c r="AZ28" s="1007"/>
    </row>
    <row r="29" spans="1:52" s="523" customFormat="1" ht="44.4" customHeight="1" x14ac:dyDescent="0.25">
      <c r="A29" s="912"/>
      <c r="B29" s="3312" t="s">
        <v>157</v>
      </c>
      <c r="C29" s="3312"/>
      <c r="D29" s="3324" t="s">
        <v>466</v>
      </c>
      <c r="E29" s="3324"/>
      <c r="F29" s="3324"/>
      <c r="G29" s="3324"/>
      <c r="H29" s="3324"/>
      <c r="I29" s="3324"/>
      <c r="J29" s="3324"/>
      <c r="K29" s="3324"/>
      <c r="L29" s="3324"/>
      <c r="M29" s="3324"/>
      <c r="N29" s="3324"/>
      <c r="O29" s="3324"/>
      <c r="P29" s="3324"/>
      <c r="Q29" s="3324"/>
      <c r="R29" s="3324"/>
      <c r="S29" s="3324"/>
      <c r="T29" s="3324"/>
      <c r="U29" s="3324"/>
      <c r="V29" s="3324"/>
      <c r="W29" s="3324"/>
      <c r="X29" s="3324"/>
      <c r="Y29" s="3324"/>
      <c r="Z29" s="3324"/>
      <c r="AA29" s="3324"/>
      <c r="AB29" s="3324"/>
      <c r="AC29" s="3324"/>
      <c r="AD29" s="3324"/>
      <c r="AE29" s="3324"/>
      <c r="AF29" s="3324"/>
      <c r="AG29" s="3324"/>
      <c r="AH29" s="3324"/>
      <c r="AI29" s="3324"/>
      <c r="AJ29" s="3324"/>
      <c r="AK29" s="3324"/>
      <c r="AL29" s="3324"/>
      <c r="AM29" s="3324"/>
      <c r="AN29" s="1007"/>
      <c r="AO29" s="1007"/>
      <c r="AP29" s="1007"/>
      <c r="AQ29" s="1007"/>
      <c r="AR29" s="1007"/>
      <c r="AS29" s="1007"/>
      <c r="AT29" s="1007"/>
      <c r="AU29" s="1007"/>
      <c r="AV29" s="1007"/>
      <c r="AW29" s="1007"/>
      <c r="AX29" s="1007"/>
      <c r="AY29" s="1007"/>
      <c r="AZ29" s="1007"/>
    </row>
    <row r="30" spans="1:52" s="523" customFormat="1" ht="49.2" customHeight="1" x14ac:dyDescent="0.25">
      <c r="A30" s="912"/>
      <c r="B30" s="3312" t="s">
        <v>158</v>
      </c>
      <c r="C30" s="3312"/>
      <c r="D30" s="3313" t="s">
        <v>467</v>
      </c>
      <c r="E30" s="3313"/>
      <c r="F30" s="3313"/>
      <c r="G30" s="3313"/>
      <c r="H30" s="3313"/>
      <c r="I30" s="3313"/>
      <c r="J30" s="3313"/>
      <c r="K30" s="3313"/>
      <c r="L30" s="3313"/>
      <c r="M30" s="3313"/>
      <c r="N30" s="3313"/>
      <c r="O30" s="3313"/>
      <c r="P30" s="3313"/>
      <c r="Q30" s="3313"/>
      <c r="R30" s="3313"/>
      <c r="S30" s="3313"/>
      <c r="T30" s="3313"/>
      <c r="U30" s="3313"/>
      <c r="V30" s="3313"/>
      <c r="W30" s="3313"/>
      <c r="X30" s="3313"/>
      <c r="Y30" s="3313"/>
      <c r="Z30" s="3313"/>
      <c r="AA30" s="3313"/>
      <c r="AB30" s="3313"/>
      <c r="AC30" s="3313"/>
      <c r="AD30" s="3313"/>
      <c r="AE30" s="3313"/>
      <c r="AF30" s="3313"/>
      <c r="AG30" s="3313"/>
      <c r="AH30" s="3313"/>
      <c r="AI30" s="3313"/>
      <c r="AJ30" s="3313"/>
      <c r="AK30" s="3313"/>
      <c r="AL30" s="3313"/>
      <c r="AM30" s="3313"/>
      <c r="AN30" s="1007"/>
      <c r="AO30" s="1007"/>
      <c r="AP30" s="1007"/>
      <c r="AQ30" s="1007"/>
      <c r="AR30" s="1007"/>
      <c r="AS30" s="1007"/>
      <c r="AT30" s="1007"/>
      <c r="AU30" s="1007"/>
      <c r="AV30" s="1007"/>
      <c r="AW30" s="1007"/>
      <c r="AX30" s="1007"/>
      <c r="AY30" s="1007"/>
      <c r="AZ30" s="1007"/>
    </row>
    <row r="31" spans="1:52" s="523" customFormat="1" ht="63.6" customHeight="1" x14ac:dyDescent="0.25">
      <c r="A31" s="912"/>
      <c r="B31" s="3312" t="s">
        <v>159</v>
      </c>
      <c r="C31" s="3312"/>
      <c r="D31" s="3313" t="s">
        <v>468</v>
      </c>
      <c r="E31" s="3313"/>
      <c r="F31" s="3313"/>
      <c r="G31" s="3313"/>
      <c r="H31" s="3313"/>
      <c r="I31" s="3313"/>
      <c r="J31" s="3313"/>
      <c r="K31" s="3313"/>
      <c r="L31" s="3313"/>
      <c r="M31" s="3313"/>
      <c r="N31" s="3313"/>
      <c r="O31" s="3313"/>
      <c r="P31" s="3313"/>
      <c r="Q31" s="3313"/>
      <c r="R31" s="3313"/>
      <c r="S31" s="3313"/>
      <c r="T31" s="3313"/>
      <c r="U31" s="3313"/>
      <c r="V31" s="3313"/>
      <c r="W31" s="3313"/>
      <c r="X31" s="3313"/>
      <c r="Y31" s="3313"/>
      <c r="Z31" s="3313"/>
      <c r="AA31" s="3313"/>
      <c r="AB31" s="3313"/>
      <c r="AC31" s="3313"/>
      <c r="AD31" s="3313"/>
      <c r="AE31" s="3313"/>
      <c r="AF31" s="3313"/>
      <c r="AG31" s="3313"/>
      <c r="AH31" s="3313"/>
      <c r="AI31" s="3313"/>
      <c r="AJ31" s="3313"/>
      <c r="AK31" s="3313"/>
      <c r="AL31" s="3313"/>
      <c r="AM31" s="3313"/>
      <c r="AN31" s="1007"/>
      <c r="AO31" s="1007"/>
      <c r="AP31" s="1007"/>
      <c r="AQ31" s="1007"/>
      <c r="AR31" s="1007"/>
      <c r="AS31" s="1007"/>
      <c r="AT31" s="1007"/>
      <c r="AU31" s="1007"/>
      <c r="AV31" s="1007"/>
      <c r="AW31" s="1007"/>
      <c r="AX31" s="1007"/>
      <c r="AY31" s="1007"/>
      <c r="AZ31" s="1007"/>
    </row>
    <row r="32" spans="1:52" s="523" customFormat="1" ht="52.2" customHeight="1" x14ac:dyDescent="0.25">
      <c r="A32" s="912"/>
      <c r="B32" s="3314" t="s">
        <v>160</v>
      </c>
      <c r="C32" s="3314"/>
      <c r="D32" s="3314"/>
      <c r="E32" s="3314"/>
      <c r="F32" s="3314"/>
      <c r="G32" s="3314"/>
      <c r="H32" s="3314"/>
      <c r="I32" s="3314"/>
      <c r="J32" s="3314"/>
      <c r="K32" s="3314"/>
      <c r="L32" s="3315" t="s">
        <v>161</v>
      </c>
      <c r="M32" s="3315"/>
      <c r="N32" s="3315"/>
      <c r="O32" s="3315"/>
      <c r="P32" s="3315"/>
      <c r="Q32" s="3315"/>
      <c r="R32" s="3315"/>
      <c r="S32" s="3315" t="s">
        <v>162</v>
      </c>
      <c r="T32" s="3315"/>
      <c r="U32" s="3315"/>
      <c r="V32" s="3315"/>
      <c r="W32" s="3315"/>
      <c r="X32" s="3315"/>
      <c r="Y32" s="3315"/>
      <c r="Z32" s="3315"/>
      <c r="AA32" s="3315"/>
      <c r="AB32" s="3315" t="s">
        <v>163</v>
      </c>
      <c r="AC32" s="3315"/>
      <c r="AD32" s="3315"/>
      <c r="AE32" s="3315"/>
      <c r="AF32" s="3315"/>
      <c r="AG32" s="3315"/>
      <c r="AH32" s="3315"/>
      <c r="AI32" s="3315" t="s">
        <v>164</v>
      </c>
      <c r="AJ32" s="3315"/>
      <c r="AK32" s="3315"/>
      <c r="AL32" s="3315"/>
      <c r="AM32" s="3315"/>
      <c r="AN32" s="1007"/>
      <c r="AO32" s="1007"/>
      <c r="AP32" s="1007"/>
      <c r="AQ32" s="1007"/>
      <c r="AR32" s="1007"/>
      <c r="AS32" s="1007"/>
      <c r="AT32" s="1007"/>
      <c r="AU32" s="1007"/>
      <c r="AV32" s="1007"/>
      <c r="AW32" s="1007"/>
      <c r="AX32" s="1007"/>
      <c r="AY32" s="1007"/>
      <c r="AZ32" s="1007"/>
    </row>
    <row r="33" spans="1:52" s="523" customFormat="1" ht="61.2" customHeight="1" x14ac:dyDescent="0.25">
      <c r="A33" s="912"/>
      <c r="B33" s="3316" t="s">
        <v>165</v>
      </c>
      <c r="C33" s="3314" t="s">
        <v>142</v>
      </c>
      <c r="D33" s="3317" t="s">
        <v>166</v>
      </c>
      <c r="E33" s="3317" t="s">
        <v>167</v>
      </c>
      <c r="F33" s="3318" t="s">
        <v>168</v>
      </c>
      <c r="G33" s="3319" t="s">
        <v>60</v>
      </c>
      <c r="H33" s="1011"/>
      <c r="I33" s="1011"/>
      <c r="J33" s="3299" t="s">
        <v>169</v>
      </c>
      <c r="K33" s="3317" t="s">
        <v>170</v>
      </c>
      <c r="L33" s="3317" t="s">
        <v>171</v>
      </c>
      <c r="M33" s="3320" t="s">
        <v>172</v>
      </c>
      <c r="N33" s="3299" t="s">
        <v>173</v>
      </c>
      <c r="O33" s="3299" t="s">
        <v>174</v>
      </c>
      <c r="P33" s="3321" t="s">
        <v>175</v>
      </c>
      <c r="Q33" s="3320" t="s">
        <v>172</v>
      </c>
      <c r="R33" s="3317" t="s">
        <v>176</v>
      </c>
      <c r="S33" s="3311" t="s">
        <v>177</v>
      </c>
      <c r="T33" s="3299" t="s">
        <v>178</v>
      </c>
      <c r="U33" s="3299" t="s">
        <v>179</v>
      </c>
      <c r="V33" s="3299" t="s">
        <v>180</v>
      </c>
      <c r="W33" s="3299"/>
      <c r="X33" s="3299"/>
      <c r="Y33" s="3299"/>
      <c r="Z33" s="3299"/>
      <c r="AA33" s="3299"/>
      <c r="AB33" s="3311" t="s">
        <v>181</v>
      </c>
      <c r="AC33" s="3311" t="s">
        <v>182</v>
      </c>
      <c r="AD33" s="3311" t="s">
        <v>172</v>
      </c>
      <c r="AE33" s="3311" t="s">
        <v>183</v>
      </c>
      <c r="AF33" s="3311" t="s">
        <v>172</v>
      </c>
      <c r="AG33" s="3311" t="s">
        <v>184</v>
      </c>
      <c r="AH33" s="3311" t="s">
        <v>185</v>
      </c>
      <c r="AI33" s="3299" t="s">
        <v>164</v>
      </c>
      <c r="AJ33" s="3299" t="s">
        <v>143</v>
      </c>
      <c r="AK33" s="3299" t="s">
        <v>187</v>
      </c>
      <c r="AL33" s="3299" t="s">
        <v>188</v>
      </c>
      <c r="AM33" s="3299" t="s">
        <v>186</v>
      </c>
      <c r="AN33" s="3299" t="s">
        <v>187</v>
      </c>
      <c r="AO33" s="3299" t="s">
        <v>188</v>
      </c>
      <c r="AP33" s="3299" t="s">
        <v>186</v>
      </c>
      <c r="AQ33" s="3299" t="s">
        <v>187</v>
      </c>
      <c r="AR33" s="3299" t="s">
        <v>188</v>
      </c>
      <c r="AS33" s="3299" t="s">
        <v>186</v>
      </c>
      <c r="AT33" s="3299" t="s">
        <v>187</v>
      </c>
      <c r="AU33" s="3299" t="s">
        <v>188</v>
      </c>
      <c r="AV33" s="3299" t="s">
        <v>186</v>
      </c>
      <c r="AW33" s="3299" t="s">
        <v>187</v>
      </c>
      <c r="AX33" s="3299" t="s">
        <v>188</v>
      </c>
      <c r="AY33" s="3299" t="s">
        <v>186</v>
      </c>
      <c r="AZ33" s="3299" t="s">
        <v>188</v>
      </c>
    </row>
    <row r="34" spans="1:52" s="523" customFormat="1" ht="92.4" customHeight="1" x14ac:dyDescent="0.25">
      <c r="A34" s="912"/>
      <c r="B34" s="3316"/>
      <c r="C34" s="3314"/>
      <c r="D34" s="3317"/>
      <c r="E34" s="3317"/>
      <c r="F34" s="3318"/>
      <c r="G34" s="3319"/>
      <c r="H34" s="1011" t="s">
        <v>610</v>
      </c>
      <c r="I34" s="1011" t="s">
        <v>190</v>
      </c>
      <c r="J34" s="3299"/>
      <c r="K34" s="3317"/>
      <c r="L34" s="3317"/>
      <c r="M34" s="3320"/>
      <c r="N34" s="3299"/>
      <c r="O34" s="3299"/>
      <c r="P34" s="3321"/>
      <c r="Q34" s="3321"/>
      <c r="R34" s="3317"/>
      <c r="S34" s="3311"/>
      <c r="T34" s="3299"/>
      <c r="U34" s="3299"/>
      <c r="V34" s="1012" t="s">
        <v>191</v>
      </c>
      <c r="W34" s="1012" t="s">
        <v>192</v>
      </c>
      <c r="X34" s="1012" t="s">
        <v>193</v>
      </c>
      <c r="Y34" s="1012" t="s">
        <v>194</v>
      </c>
      <c r="Z34" s="1012" t="s">
        <v>195</v>
      </c>
      <c r="AA34" s="1012" t="s">
        <v>196</v>
      </c>
      <c r="AB34" s="3311"/>
      <c r="AC34" s="3311"/>
      <c r="AD34" s="3311"/>
      <c r="AE34" s="3311"/>
      <c r="AF34" s="3311"/>
      <c r="AG34" s="3311"/>
      <c r="AH34" s="3311"/>
      <c r="AI34" s="3299"/>
      <c r="AJ34" s="3299"/>
      <c r="AK34" s="3299"/>
      <c r="AL34" s="3299"/>
      <c r="AM34" s="3299"/>
      <c r="AN34" s="3299"/>
      <c r="AO34" s="3299"/>
      <c r="AP34" s="3299"/>
      <c r="AQ34" s="3299"/>
      <c r="AR34" s="3299"/>
      <c r="AS34" s="3299"/>
      <c r="AT34" s="3299"/>
      <c r="AU34" s="3299"/>
      <c r="AV34" s="3299"/>
      <c r="AW34" s="3299"/>
      <c r="AX34" s="3299"/>
      <c r="AY34" s="3299"/>
      <c r="AZ34" s="3299"/>
    </row>
    <row r="35" spans="1:52" s="523" customFormat="1" ht="226.8" customHeight="1" x14ac:dyDescent="0.25">
      <c r="A35" s="912"/>
      <c r="B35" s="3279">
        <v>1</v>
      </c>
      <c r="C35" s="3300" t="s">
        <v>197</v>
      </c>
      <c r="D35" s="3300" t="s">
        <v>469</v>
      </c>
      <c r="E35" s="3300" t="s">
        <v>1030</v>
      </c>
      <c r="F35" s="1022" t="s">
        <v>471</v>
      </c>
      <c r="G35" s="3283" t="s">
        <v>1031</v>
      </c>
      <c r="H35" s="3282" t="s">
        <v>1236</v>
      </c>
      <c r="I35" s="3301" t="s">
        <v>1032</v>
      </c>
      <c r="J35" s="3285" t="s">
        <v>198</v>
      </c>
      <c r="K35" s="3302">
        <v>240</v>
      </c>
      <c r="L35" s="3287" t="str">
        <f>IF(K35&lt;=0,"",IF(K35&lt;=2,"Muy Baja",IF(K35&lt;=24,"Baja",IF(K35&lt;=500,"Media",IF(K35&lt;=5000,"Alta","Muy Alta")))))</f>
        <v>Media</v>
      </c>
      <c r="M35" s="3288">
        <f>IF(L35="","",IF(L35="Muy Baja",0.2,IF(L35="Baja",0.4,IF(L35="Media",0.6,IF(L35="Alta",0.8,IF(L35="Muy Alta",1,))))))</f>
        <v>0.6</v>
      </c>
      <c r="N35" s="3303" t="s">
        <v>225</v>
      </c>
      <c r="O35" s="3304" t="str">
        <f>IF(NOT(ISERROR(MATCH(N35,'[48]Tabla Impacto'!$B$221:$B$223,0))),'[48]Tabla Impacto'!$F$223&amp;"Por favor no seleccionar los criterios de impacto(Afectación Económica o presupuestal y Pérdida Reputacional)",N35)</f>
        <v xml:space="preserve">     El riesgo afecta la imagen de la entidad con algunos usuarios de relevancia frente al logro de los objetivos</v>
      </c>
      <c r="P35" s="3305" t="str">
        <f>IF(OR(O35='[48]Tabla Impacto'!$C$11,O35='[48]Tabla Impacto'!$D$11),"Leve",IF(OR(O35='[48]Tabla Impacto'!$C$12,O35='[48]Tabla Impacto'!$D$12),"Menor",IF(OR(O35='[48]Tabla Impacto'!$C$13,O35='[48]Tabla Impacto'!$D$13),"Moderado",IF(OR(O35='[48]Tabla Impacto'!$C$14,O35='[48]Tabla Impacto'!$D$14),"Mayor",IF(OR(O35='[48]Tabla Impacto'!$C$15,O35='[48]Tabla Impacto'!$D$15),"Catastrófico","")))))</f>
        <v>Moderado</v>
      </c>
      <c r="Q35" s="3304">
        <f>IF(P35="","",IF(P35="Leve",0.2,IF(P35="Menor",0.4,IF(P35="Moderado",0.6,IF(P35="Mayor",0.8,IF(P35="Catastrófico",1,))))))</f>
        <v>0.6</v>
      </c>
      <c r="R35" s="3306" t="str">
        <f>IF(OR(AND(L35="Muy Baja",P35="Leve"),AND(L35="Muy Baja",P35="Menor"),AND(L35="Baja",P35="Leve")),"Bajo",IF(OR(AND(L35="Muy baja",P35="Moderado"),AND(L35="Baja",P35="Menor"),AND(L35="Baja",P35="Moderado"),AND(L35="Media",P35="Leve"),AND(L35="Media",P35="Menor"),AND(L35="Media",P35="Moderado"),AND(L35="Alta",P35="Leve"),AND(L35="Alta",P35="Menor")),"Moderado",IF(OR(AND(L35="Muy Baja",P35="Mayor"),AND(L35="Baja",P35="Mayor"),AND(L35="Media",P35="Mayor"),AND(L35="Alta",P35="Moderado"),AND(L35="Alta",P35="Mayor"),AND(L35="Muy Alta",P35="Leve"),AND(L35="Muy Alta",P35="Menor"),AND(L35="Muy Alta",P35="Moderado"),AND(L35="Muy Alta",P35="Mayor")),"Alto",IF(OR(AND(L35="Muy Baja",P35="Catastrófico"),AND(L35="Baja",P35="Catastrófico"),AND(L35="Media",P35="Catastrófico"),AND(L35="Alta",P35="Catastrófico"),AND(L35="Muy Alta",P35="Catastrófico")),"Extremo",""))))</f>
        <v>Moderado</v>
      </c>
      <c r="S35" s="1013">
        <v>1</v>
      </c>
      <c r="T35" s="1105" t="s">
        <v>1033</v>
      </c>
      <c r="U35" s="1015" t="str">
        <f t="shared" ref="U35:U39" si="12">IF(OR(V35="Preventivo",V35="Detectivo"),"Probabilidad",IF(V35="Correctivo","Impacto",""))</f>
        <v>Probabilidad</v>
      </c>
      <c r="V35" s="1016" t="s">
        <v>207</v>
      </c>
      <c r="W35" s="1016" t="s">
        <v>201</v>
      </c>
      <c r="X35" s="1017" t="str">
        <f t="shared" ref="X35:X41" si="13">IF(AND(V35="Preventivo",W35="Automático"),"50%",IF(AND(V35="Preventivo",W35="Manual"),"40%",IF(AND(V35="Detectivo",W35="Automático"),"40%",IF(AND(V35="Detectivo",W35="Manual"),"30%",IF(AND(V35="Correctivo",W35="Automático"),"35%",IF(AND(V35="Correctivo",W35="Manual"),"25%",""))))))</f>
        <v>40%</v>
      </c>
      <c r="Y35" s="1016" t="s">
        <v>202</v>
      </c>
      <c r="Z35" s="1016" t="s">
        <v>203</v>
      </c>
      <c r="AA35" s="1016" t="s">
        <v>298</v>
      </c>
      <c r="AB35" s="272">
        <f>IFERROR(IF(U35="Probabilidad",(M35-(+M35*X35)),IF(U35="Impacto",M35,"")),"")</f>
        <v>0.36</v>
      </c>
      <c r="AC35" s="1024" t="str">
        <f t="shared" ref="AC35:AC41" si="14">IFERROR(IF(AB35="","",IF(AB35&lt;=0.2,"Muy Baja",IF(AB35&lt;=0.4,"Baja",IF(AB35&lt;=0.6,"Media",IF(AB35&lt;=0.8,"Alta","Muy Alta"))))),"")</f>
        <v>Baja</v>
      </c>
      <c r="AD35" s="1025">
        <f t="shared" ref="AD35:AD41" si="15">+AB35</f>
        <v>0.36</v>
      </c>
      <c r="AE35" s="1024" t="str">
        <f t="shared" ref="AE35:AE39" si="16">IFERROR(IF(AF35="","",IF(AF35&lt;=0.2,"Leve",IF(AF35&lt;=0.4,"Menor",IF(AF35&lt;=0.6,"Moderado",IF(AF35&lt;=0.8,"Mayor","Catastrófico"))))),"")</f>
        <v>Moderado</v>
      </c>
      <c r="AF35" s="1025">
        <f>IFERROR(IF(U35="Impacto",(Q35-(+Q35*X35)),IF(U35="Probabilidad",Q35,"")),"")</f>
        <v>0.6</v>
      </c>
      <c r="AG35" s="1026" t="str">
        <f t="shared" ref="AG35:AG41" si="17">IFERROR(IF(OR(AND(AC35="Muy Baja",AE35="Leve"),AND(AC35="Muy Baja",AE35="Menor"),AND(AC35="Baja",AE35="Leve")),"Bajo",IF(OR(AND(AC35="Muy baja",AE35="Moderado"),AND(AC35="Baja",AE35="Menor"),AND(AC35="Baja",AE35="Moderado"),AND(AC35="Media",AE35="Leve"),AND(AC35="Media",AE35="Menor"),AND(AC35="Media",AE35="Moderado"),AND(AC35="Alta",AE35="Leve"),AND(AC35="Alta",AE35="Menor")),"Moderado",IF(OR(AND(AC35="Muy Baja",AE35="Mayor"),AND(AC35="Baja",AE35="Mayor"),AND(AC35="Media",AE35="Mayor"),AND(AC35="Alta",AE35="Moderado"),AND(AC35="Alta",AE35="Mayor"),AND(AC35="Muy Alta",AE35="Leve"),AND(AC35="Muy Alta",AE35="Menor"),AND(AC35="Muy Alta",AE35="Moderado"),AND(AC35="Muy Alta",AE35="Mayor")),"Alto",IF(OR(AND(AC35="Muy Baja",AE35="Catastrófico"),AND(AC35="Baja",AE35="Catastrófico"),AND(AC35="Media",AE35="Catastrófico"),AND(AC35="Alta",AE35="Catastrófico"),AND(AC35="Muy Alta",AE35="Catastrófico")),"Extremo","")))),"")</f>
        <v>Moderado</v>
      </c>
      <c r="AH35" s="3296" t="s">
        <v>312</v>
      </c>
      <c r="AI35" s="1029" t="s">
        <v>1034</v>
      </c>
      <c r="AJ35" s="3274" t="s">
        <v>149</v>
      </c>
      <c r="AK35" s="3293" t="s">
        <v>528</v>
      </c>
      <c r="AL35" s="1027" t="s">
        <v>1035</v>
      </c>
      <c r="AM35" s="3307">
        <v>45311</v>
      </c>
      <c r="AN35" s="3293" t="s">
        <v>530</v>
      </c>
      <c r="AO35" s="1027" t="s">
        <v>1035</v>
      </c>
      <c r="AP35" s="3293">
        <v>45412</v>
      </c>
      <c r="AQ35" s="3293" t="s">
        <v>532</v>
      </c>
      <c r="AR35" s="1027" t="s">
        <v>1035</v>
      </c>
      <c r="AS35" s="3293">
        <v>45473</v>
      </c>
      <c r="AT35" s="3293" t="s">
        <v>534</v>
      </c>
      <c r="AU35" s="1027" t="s">
        <v>1035</v>
      </c>
      <c r="AV35" s="3293">
        <v>45534</v>
      </c>
      <c r="AW35" s="3293" t="s">
        <v>1036</v>
      </c>
      <c r="AX35" s="1027" t="s">
        <v>1237</v>
      </c>
      <c r="AY35" s="3310" t="s">
        <v>1037</v>
      </c>
      <c r="AZ35" s="3293"/>
    </row>
    <row r="36" spans="1:52" s="523" customFormat="1" ht="166.8" customHeight="1" x14ac:dyDescent="0.25">
      <c r="A36" s="912"/>
      <c r="B36" s="3279"/>
      <c r="C36" s="3300"/>
      <c r="D36" s="3300"/>
      <c r="E36" s="3300"/>
      <c r="F36" s="1022" t="s">
        <v>535</v>
      </c>
      <c r="G36" s="3283"/>
      <c r="H36" s="3282"/>
      <c r="I36" s="3301"/>
      <c r="J36" s="3285"/>
      <c r="K36" s="3302"/>
      <c r="L36" s="3287"/>
      <c r="M36" s="3288"/>
      <c r="N36" s="3303"/>
      <c r="O36" s="3304">
        <f>IF(NOT(ISERROR(MATCH(N36,_xlfn.ANCHORARRAY(G40),0))),#REF!&amp;"Por favor no seleccionar los criterios de impacto",N36)</f>
        <v>0</v>
      </c>
      <c r="P36" s="3305"/>
      <c r="Q36" s="3304"/>
      <c r="R36" s="3306"/>
      <c r="S36" s="1013">
        <v>2</v>
      </c>
      <c r="T36" s="1106" t="s">
        <v>536</v>
      </c>
      <c r="U36" s="1015" t="str">
        <f t="shared" si="12"/>
        <v>Probabilidad</v>
      </c>
      <c r="V36" s="1016" t="s">
        <v>207</v>
      </c>
      <c r="W36" s="1016" t="s">
        <v>201</v>
      </c>
      <c r="X36" s="1017" t="str">
        <f t="shared" si="13"/>
        <v>40%</v>
      </c>
      <c r="Y36" s="1016" t="s">
        <v>202</v>
      </c>
      <c r="Z36" s="1016" t="s">
        <v>203</v>
      </c>
      <c r="AA36" s="1016" t="s">
        <v>298</v>
      </c>
      <c r="AB36" s="272">
        <f>IFERROR(IF(AND(U35="Probabilidad",U36="Probabilidad"),(AD35-(+AD35*X36)),IF(AND(U35="Impacto",U36="Probabilidad"),(M35-(+M35*X36)),IF(U36="Impacto",AD35,""))),"")</f>
        <v>0.216</v>
      </c>
      <c r="AC36" s="1024" t="str">
        <f t="shared" si="14"/>
        <v>Baja</v>
      </c>
      <c r="AD36" s="1025">
        <f t="shared" si="15"/>
        <v>0.216</v>
      </c>
      <c r="AE36" s="1024" t="str">
        <f t="shared" si="16"/>
        <v>Moderado</v>
      </c>
      <c r="AF36" s="1025">
        <f>IFERROR(IF(AND(U35="Impacto",U36="Impacto"),(AF35-(+AF35*X36)),IF(AND(U35="Probabilidad",U36="Impacto"),(Q35-(+Q35*X36)),IF(U36="Probabilidad",AF35,""))),"")</f>
        <v>0.6</v>
      </c>
      <c r="AG36" s="1026" t="str">
        <f t="shared" si="17"/>
        <v>Moderado</v>
      </c>
      <c r="AH36" s="3296"/>
      <c r="AI36" s="1107" t="s">
        <v>527</v>
      </c>
      <c r="AJ36" s="3274"/>
      <c r="AK36" s="3294"/>
      <c r="AL36" s="1019" t="s">
        <v>529</v>
      </c>
      <c r="AM36" s="3308"/>
      <c r="AN36" s="3294"/>
      <c r="AO36" s="1019" t="s">
        <v>529</v>
      </c>
      <c r="AP36" s="3309"/>
      <c r="AQ36" s="3294"/>
      <c r="AR36" s="1019" t="s">
        <v>1038</v>
      </c>
      <c r="AS36" s="3309"/>
      <c r="AT36" s="3294"/>
      <c r="AU36" s="1019" t="s">
        <v>1038</v>
      </c>
      <c r="AV36" s="3309"/>
      <c r="AW36" s="3294"/>
      <c r="AX36" s="1019" t="s">
        <v>1038</v>
      </c>
      <c r="AY36" s="3309"/>
      <c r="AZ36" s="3294"/>
    </row>
    <row r="37" spans="1:52" s="523" customFormat="1" ht="166.8" customHeight="1" x14ac:dyDescent="0.25">
      <c r="A37" s="912"/>
      <c r="B37" s="3279"/>
      <c r="C37" s="3300"/>
      <c r="D37" s="3300"/>
      <c r="E37" s="3300"/>
      <c r="F37" s="1014" t="s">
        <v>472</v>
      </c>
      <c r="G37" s="3283"/>
      <c r="H37" s="3282"/>
      <c r="I37" s="3301"/>
      <c r="J37" s="3285"/>
      <c r="K37" s="3302"/>
      <c r="L37" s="3287"/>
      <c r="M37" s="3288"/>
      <c r="N37" s="3303"/>
      <c r="O37" s="3304">
        <f>IF(NOT(ISERROR(MATCH(N37,_xlfn.ANCHORARRAY(G41),0))),#REF!&amp;"Por favor no seleccionar los criterios de impacto",N37)</f>
        <v>0</v>
      </c>
      <c r="P37" s="3305"/>
      <c r="Q37" s="3304"/>
      <c r="R37" s="3306"/>
      <c r="S37" s="1013">
        <v>3</v>
      </c>
      <c r="T37" s="1106" t="s">
        <v>1039</v>
      </c>
      <c r="U37" s="1015" t="str">
        <f t="shared" si="12"/>
        <v>Probabilidad</v>
      </c>
      <c r="V37" s="1016" t="s">
        <v>207</v>
      </c>
      <c r="W37" s="1016" t="s">
        <v>201</v>
      </c>
      <c r="X37" s="1017" t="str">
        <f t="shared" si="13"/>
        <v>40%</v>
      </c>
      <c r="Y37" s="1016" t="s">
        <v>202</v>
      </c>
      <c r="Z37" s="1016" t="s">
        <v>203</v>
      </c>
      <c r="AA37" s="1016" t="s">
        <v>298</v>
      </c>
      <c r="AB37" s="272">
        <f>IFERROR(IF(AND(U36="Probabilidad",U37="Probabilidad"),(AD36-(+AD36*X37)),IF(AND(U36="Impacto",U37="Probabilidad"),(AD35-(+AD35*X37)),IF(U37="Impacto",AD36,""))),"")</f>
        <v>0.12959999999999999</v>
      </c>
      <c r="AC37" s="1024" t="str">
        <f t="shared" si="14"/>
        <v>Muy Baja</v>
      </c>
      <c r="AD37" s="1025">
        <f t="shared" si="15"/>
        <v>0.12959999999999999</v>
      </c>
      <c r="AE37" s="1024" t="str">
        <f t="shared" si="16"/>
        <v>Moderado</v>
      </c>
      <c r="AF37" s="1025">
        <f>IFERROR(IF(AND(U36="Impacto",U37="Impacto"),(AF36-(+AF36*X37)),IF(AND(U36="Probabilidad",U37="Impacto"),(AF35-(+AF35*X37)),IF(U37="Probabilidad",AF36,""))),"")</f>
        <v>0.6</v>
      </c>
      <c r="AG37" s="1026" t="str">
        <f t="shared" si="17"/>
        <v>Moderado</v>
      </c>
      <c r="AH37" s="1110"/>
      <c r="AI37" s="1018" t="s">
        <v>1040</v>
      </c>
      <c r="AJ37" s="1028" t="s">
        <v>1041</v>
      </c>
      <c r="AK37" s="1021" t="s">
        <v>1042</v>
      </c>
      <c r="AL37" s="1020" t="s">
        <v>1043</v>
      </c>
      <c r="AM37" s="1021">
        <v>45350</v>
      </c>
      <c r="AN37" s="1021" t="s">
        <v>530</v>
      </c>
      <c r="AO37" s="1020" t="s">
        <v>1044</v>
      </c>
      <c r="AP37" s="1021">
        <v>45412</v>
      </c>
      <c r="AQ37" s="1021" t="s">
        <v>1045</v>
      </c>
      <c r="AR37" s="1020" t="s">
        <v>1044</v>
      </c>
      <c r="AS37" s="1021">
        <v>45469</v>
      </c>
      <c r="AT37" s="1021" t="s">
        <v>1046</v>
      </c>
      <c r="AU37" s="1020" t="s">
        <v>1044</v>
      </c>
      <c r="AV37" s="1021">
        <v>45534</v>
      </c>
      <c r="AW37" s="1021" t="s">
        <v>1036</v>
      </c>
      <c r="AX37" s="1020" t="s">
        <v>1044</v>
      </c>
      <c r="AY37" s="1028"/>
      <c r="AZ37" s="1021"/>
    </row>
    <row r="38" spans="1:52" s="523" customFormat="1" ht="176.4" customHeight="1" x14ac:dyDescent="0.25">
      <c r="A38" s="912"/>
      <c r="B38" s="3279">
        <v>2</v>
      </c>
      <c r="C38" s="3274" t="s">
        <v>197</v>
      </c>
      <c r="D38" s="3295" t="s">
        <v>1047</v>
      </c>
      <c r="E38" s="3274" t="s">
        <v>474</v>
      </c>
      <c r="F38" s="1018" t="s">
        <v>537</v>
      </c>
      <c r="G38" s="3273" t="s">
        <v>1048</v>
      </c>
      <c r="H38" s="3273" t="s">
        <v>1236</v>
      </c>
      <c r="I38" s="3284" t="s">
        <v>538</v>
      </c>
      <c r="J38" s="3285" t="s">
        <v>198</v>
      </c>
      <c r="K38" s="3286">
        <v>12</v>
      </c>
      <c r="L38" s="3287" t="str">
        <f>IF(K38&lt;=0,"",IF(K38&lt;=2,"Muy Baja",IF(K38&lt;=24,"Baja",IF(K38&lt;=500,"Media",IF(K38&lt;=5000,"Alta","Muy Alta")))))</f>
        <v>Baja</v>
      </c>
      <c r="M38" s="3288">
        <f>IF(L38="","",IF(L38="Muy Baja",0.2,IF(L38="Baja",0.4,IF(L38="Media",0.6,IF(L38="Alta",0.8,IF(L38="Muy Alta",1,))))))</f>
        <v>0.4</v>
      </c>
      <c r="N38" s="3289" t="s">
        <v>213</v>
      </c>
      <c r="O38" s="3288" t="str">
        <f>IF(NOT(ISERROR(MATCH(N38,'[48]Tabla Impacto'!$B$221:$B$223,0))),'[48]Tabla Impacto'!$F$223&amp;"Por favor no seleccionar los criterios de impacto(Afectación Económica o presupuestal y Pérdida Reputacional)",N38)</f>
        <v xml:space="preserve">     El riesgo afecta la imagen de la entidad internamente, de conocimiento general, nivel interno, de junta dircetiva y accionistas y/o de provedores</v>
      </c>
      <c r="P38" s="3287" t="str">
        <f>IF(OR(O38='[48]Tabla Impacto'!$C$11,O38='[48]Tabla Impacto'!$D$11),"Leve",IF(OR(O38='[48]Tabla Impacto'!$C$12,O38='[48]Tabla Impacto'!$D$12),"Menor",IF(OR(O38='[48]Tabla Impacto'!$C$13,O38='[48]Tabla Impacto'!$D$13),"Moderado",IF(OR(O38='[48]Tabla Impacto'!$C$14,O38='[48]Tabla Impacto'!$D$14),"Mayor",IF(OR(O38='[48]Tabla Impacto'!$C$15,O38='[48]Tabla Impacto'!$D$15),"Catastrófico","")))))</f>
        <v>Menor</v>
      </c>
      <c r="Q38" s="3288">
        <f>IF(P38="","",IF(P38="Leve",0.2,IF(P38="Menor",0.4,IF(P38="Moderado",0.6,IF(P38="Mayor",0.8,IF(P38="Catastrófico",1,))))))</f>
        <v>0.4</v>
      </c>
      <c r="R38" s="3290" t="str">
        <f>IF(OR(AND(L38="Muy Baja",P38="Leve"),AND(L38="Muy Baja",P38="Menor"),AND(L38="Baja",P38="Leve")),"Bajo",IF(OR(AND(L38="Muy baja",P38="Moderado"),AND(L38="Baja",P38="Menor"),AND(L38="Baja",P38="Moderado"),AND(L38="Media",P38="Leve"),AND(L38="Media",P38="Menor"),AND(L38="Media",P38="Moderado"),AND(L38="Alta",P38="Leve"),AND(L38="Alta",P38="Menor")),"Moderado",IF(OR(AND(L38="Muy Baja",P38="Mayor"),AND(L38="Baja",P38="Mayor"),AND(L38="Media",P38="Mayor"),AND(L38="Alta",P38="Moderado"),AND(L38="Alta",P38="Mayor"),AND(L38="Muy Alta",P38="Leve"),AND(L38="Muy Alta",P38="Menor"),AND(L38="Muy Alta",P38="Moderado"),AND(L38="Muy Alta",P38="Mayor")),"Alto",IF(OR(AND(L38="Muy Baja",P38="Catastrófico"),AND(L38="Baja",P38="Catastrófico"),AND(L38="Media",P38="Catastrófico"),AND(L38="Alta",P38="Catastrófico"),AND(L38="Muy Alta",P38="Catastrófico")),"Extremo",""))))</f>
        <v>Moderado</v>
      </c>
      <c r="S38" s="1013">
        <v>1</v>
      </c>
      <c r="T38" s="1023" t="s">
        <v>476</v>
      </c>
      <c r="U38" s="1015" t="str">
        <f t="shared" si="12"/>
        <v>Probabilidad</v>
      </c>
      <c r="V38" s="1016" t="s">
        <v>207</v>
      </c>
      <c r="W38" s="1016" t="s">
        <v>201</v>
      </c>
      <c r="X38" s="1017" t="str">
        <f t="shared" si="13"/>
        <v>40%</v>
      </c>
      <c r="Y38" s="1016" t="s">
        <v>202</v>
      </c>
      <c r="Z38" s="1016" t="s">
        <v>203</v>
      </c>
      <c r="AA38" s="1016" t="s">
        <v>204</v>
      </c>
      <c r="AB38" s="272">
        <f>IFERROR(IF(U38="Probabilidad",(M38-(+M38*X38)),IF(U38="Impacto",M38,"")),"")</f>
        <v>0.24</v>
      </c>
      <c r="AC38" s="1024" t="str">
        <f t="shared" si="14"/>
        <v>Baja</v>
      </c>
      <c r="AD38" s="1025">
        <f t="shared" si="15"/>
        <v>0.24</v>
      </c>
      <c r="AE38" s="1024" t="str">
        <f t="shared" si="16"/>
        <v>Menor</v>
      </c>
      <c r="AF38" s="1025">
        <f>IFERROR(IF(U38="Impacto",(Q38-(+Q38*X38)),IF(U38="Probabilidad",Q38,"")),"")</f>
        <v>0.4</v>
      </c>
      <c r="AG38" s="1026" t="str">
        <f t="shared" si="17"/>
        <v>Moderado</v>
      </c>
      <c r="AH38" s="3296" t="s">
        <v>205</v>
      </c>
      <c r="AI38" s="1029" t="s">
        <v>539</v>
      </c>
      <c r="AJ38" s="3274" t="s">
        <v>149</v>
      </c>
      <c r="AK38" s="3276" t="s">
        <v>528</v>
      </c>
      <c r="AL38" s="1027" t="s">
        <v>542</v>
      </c>
      <c r="AM38" s="3269">
        <v>45351</v>
      </c>
      <c r="AN38" s="3276" t="s">
        <v>530</v>
      </c>
      <c r="AO38" s="1027" t="s">
        <v>542</v>
      </c>
      <c r="AP38" s="3269">
        <v>45412</v>
      </c>
      <c r="AQ38" s="3276" t="s">
        <v>532</v>
      </c>
      <c r="AR38" s="1027" t="s">
        <v>542</v>
      </c>
      <c r="AS38" s="3269" t="s">
        <v>543</v>
      </c>
      <c r="AT38" s="3276" t="s">
        <v>534</v>
      </c>
      <c r="AU38" s="1027" t="s">
        <v>542</v>
      </c>
      <c r="AV38" s="3269">
        <v>45534</v>
      </c>
      <c r="AW38" s="3276" t="s">
        <v>1036</v>
      </c>
      <c r="AX38" s="1027" t="s">
        <v>542</v>
      </c>
      <c r="AY38" s="3269" t="s">
        <v>1037</v>
      </c>
      <c r="AZ38" s="3276"/>
    </row>
    <row r="39" spans="1:52" s="523" customFormat="1" ht="207.6" customHeight="1" x14ac:dyDescent="0.25">
      <c r="A39" s="912"/>
      <c r="B39" s="3279"/>
      <c r="C39" s="3274"/>
      <c r="D39" s="3295"/>
      <c r="E39" s="3274"/>
      <c r="F39" s="1018" t="s">
        <v>477</v>
      </c>
      <c r="G39" s="3273"/>
      <c r="H39" s="3273"/>
      <c r="I39" s="3284"/>
      <c r="J39" s="3285"/>
      <c r="K39" s="3286"/>
      <c r="L39" s="3287"/>
      <c r="M39" s="3288"/>
      <c r="N39" s="3289"/>
      <c r="O39" s="3288">
        <f>IF(NOT(ISERROR(MATCH(N39,_xlfn.ANCHORARRAY(G42),0))),M44&amp;"Por favor no seleccionar los criterios de impacto",N39)</f>
        <v>0</v>
      </c>
      <c r="P39" s="3287"/>
      <c r="Q39" s="3288"/>
      <c r="R39" s="3290"/>
      <c r="S39" s="1013">
        <v>2</v>
      </c>
      <c r="T39" s="1023" t="s">
        <v>544</v>
      </c>
      <c r="U39" s="1015" t="str">
        <f t="shared" si="12"/>
        <v>Probabilidad</v>
      </c>
      <c r="V39" s="1016" t="s">
        <v>200</v>
      </c>
      <c r="W39" s="1016" t="s">
        <v>201</v>
      </c>
      <c r="X39" s="1017" t="str">
        <f t="shared" si="13"/>
        <v>30%</v>
      </c>
      <c r="Y39" s="1016" t="s">
        <v>202</v>
      </c>
      <c r="Z39" s="1016" t="s">
        <v>203</v>
      </c>
      <c r="AA39" s="1016" t="s">
        <v>204</v>
      </c>
      <c r="AB39" s="272">
        <f>IFERROR(IF(AND(U38="Probabilidad",U39="Probabilidad"),(AD38-(+AD38*X39)),IF(AND(U38="Impacto",U39="Probabilidad"),(M38-(+M38*X39)),IF(U39="Impacto",AD38,""))),"")</f>
        <v>0.16799999999999998</v>
      </c>
      <c r="AC39" s="1024" t="str">
        <f t="shared" si="14"/>
        <v>Muy Baja</v>
      </c>
      <c r="AD39" s="1025">
        <f t="shared" si="15"/>
        <v>0.16799999999999998</v>
      </c>
      <c r="AE39" s="1024" t="str">
        <f t="shared" si="16"/>
        <v>Menor</v>
      </c>
      <c r="AF39" s="1025">
        <f>IFERROR(IF(AND(U38="Impacto",U39="Impacto"),(AF38-(+AF38*X39)),IF(AND(U38="Probabilidad",U39="Impacto"),(Q38-(+Q38*X39)),IF(U39="Probabilidad",AF38,""))),"")</f>
        <v>0.4</v>
      </c>
      <c r="AG39" s="1026" t="str">
        <f t="shared" si="17"/>
        <v>Bajo</v>
      </c>
      <c r="AH39" s="3296"/>
      <c r="AI39" s="1029" t="s">
        <v>1049</v>
      </c>
      <c r="AJ39" s="3274"/>
      <c r="AK39" s="3297"/>
      <c r="AL39" s="1029" t="s">
        <v>1050</v>
      </c>
      <c r="AM39" s="3298"/>
      <c r="AN39" s="3297"/>
      <c r="AO39" s="1029" t="s">
        <v>1050</v>
      </c>
      <c r="AP39" s="3270"/>
      <c r="AQ39" s="3297"/>
      <c r="AR39" s="1029" t="s">
        <v>1050</v>
      </c>
      <c r="AS39" s="3270"/>
      <c r="AT39" s="3297"/>
      <c r="AU39" s="1029" t="s">
        <v>1050</v>
      </c>
      <c r="AV39" s="3270"/>
      <c r="AW39" s="3297"/>
      <c r="AX39" s="1029" t="s">
        <v>1050</v>
      </c>
      <c r="AY39" s="3270"/>
      <c r="AZ39" s="3277"/>
    </row>
    <row r="40" spans="1:52" s="523" customFormat="1" ht="166.8" customHeight="1" x14ac:dyDescent="0.25">
      <c r="A40" s="912"/>
      <c r="B40" s="3279">
        <v>3</v>
      </c>
      <c r="C40" s="3274" t="s">
        <v>197</v>
      </c>
      <c r="D40" s="3274" t="s">
        <v>478</v>
      </c>
      <c r="E40" s="3280" t="s">
        <v>545</v>
      </c>
      <c r="F40" s="1018" t="s">
        <v>546</v>
      </c>
      <c r="G40" s="3273" t="s">
        <v>1051</v>
      </c>
      <c r="H40" s="3282" t="s">
        <v>1236</v>
      </c>
      <c r="I40" s="3284" t="s">
        <v>548</v>
      </c>
      <c r="J40" s="3285" t="s">
        <v>198</v>
      </c>
      <c r="K40" s="3286">
        <v>12</v>
      </c>
      <c r="L40" s="3287" t="str">
        <f>IF(K40&lt;=0,"",IF(K40&lt;=2,"Muy Baja",IF(K40&lt;=24,"Baja",IF(K40&lt;=500,"Media",IF(K40&lt;=5000,"Alta","Muy Alta")))))</f>
        <v>Baja</v>
      </c>
      <c r="M40" s="3288">
        <f>IF(L40="","",IF(L40="Muy Baja",0.2,IF(L40="Baja",0.4,IF(L40="Media",0.6,IF(L40="Alta",0.8,IF(L40="Muy Alta",1,))))))</f>
        <v>0.4</v>
      </c>
      <c r="N40" s="3289" t="s">
        <v>479</v>
      </c>
      <c r="O40" s="3288" t="str">
        <f>IF(NOT(ISERROR(MATCH(N40,'[48]Tabla Impacto'!$B$221:$B$223,0))),'[48]Tabla Impacto'!$F$223&amp;"Por favor no seleccionar los criterios de impacto(Afectación Económica o presupuestal y Pérdida Reputacional)",N40)</f>
        <v>❌Por favor no seleccionar los criterios de impacto(Afectación Económica o presupuestal y Pérdida Reputacional)</v>
      </c>
      <c r="P40" s="3287" t="s">
        <v>62</v>
      </c>
      <c r="Q40" s="3288">
        <f>IF(P40="","",IF(P40="Leve",0.2,IF(P40="Menor",0.4,IF(P40="Moderado",0.6,IF(P40="Mayor",0.8,IF(P40="Catastrófico",1,))))))</f>
        <v>0.4</v>
      </c>
      <c r="R40" s="3290" t="str">
        <f>IF(OR(AND(L40="Muy Baja",P40="Leve"),AND(L40="Muy Baja",P40="Menor"),AND(L40="Baja",P40="Leve")),"Bajo",IF(OR(AND(L40="Muy baja",P40="Moderado"),AND(L40="Baja",P40="Menor"),AND(L40="Baja",P40="Moderado"),AND(L40="Media",P40="Leve"),AND(L40="Media",P40="Menor"),AND(L40="Media",P40="Moderado"),AND(L40="Alta",P40="Leve"),AND(L40="Alta",P40="Menor")),"Moderado",IF(OR(AND(L40="Muy Baja",P40="Mayor"),AND(L40="Baja",P40="Mayor"),AND(L40="Media",P40="Mayor"),AND(L40="Alta",P40="Moderado"),AND(L40="Alta",P40="Mayor"),AND(L40="Muy Alta",P40="Leve"),AND(L40="Muy Alta",P40="Menor"),AND(L40="Muy Alta",P40="Moderado"),AND(L40="Muy Alta",P40="Mayor")),"Alto",IF(OR(AND(L40="Muy Baja",P40="Catastrófico"),AND(L40="Baja",P40="Catastrófico"),AND(L40="Media",P40="Catastrófico"),AND(L40="Alta",P40="Catastrófico"),AND(L40="Muy Alta",P40="Catastrófico")),"Extremo",""))))</f>
        <v>Moderado</v>
      </c>
      <c r="S40" s="3291">
        <v>1</v>
      </c>
      <c r="T40" s="1108" t="s">
        <v>549</v>
      </c>
      <c r="U40" s="1015" t="s">
        <v>141</v>
      </c>
      <c r="V40" s="1016" t="s">
        <v>308</v>
      </c>
      <c r="W40" s="1016" t="s">
        <v>201</v>
      </c>
      <c r="X40" s="1017" t="str">
        <f t="shared" si="13"/>
        <v>25%</v>
      </c>
      <c r="Y40" s="1016" t="s">
        <v>208</v>
      </c>
      <c r="Z40" s="1016" t="s">
        <v>203</v>
      </c>
      <c r="AA40" s="1016" t="s">
        <v>204</v>
      </c>
      <c r="AB40" s="272">
        <f>IFERROR(IF(U40="Probabilidad",(M40-(+M40*X40)),IF(U40="Impacto",M40,"")),"")</f>
        <v>0.30000000000000004</v>
      </c>
      <c r="AC40" s="1024" t="str">
        <f t="shared" si="14"/>
        <v>Baja</v>
      </c>
      <c r="AD40" s="1025">
        <f t="shared" si="15"/>
        <v>0.30000000000000004</v>
      </c>
      <c r="AE40" s="1024" t="s">
        <v>62</v>
      </c>
      <c r="AF40" s="1025">
        <f>IFERROR(IF(U40="Impacto",(Q40-(+Q40*X40)),IF(U40="Probabilidad",Q40,"")),"")</f>
        <v>0.4</v>
      </c>
      <c r="AG40" s="1026" t="str">
        <f t="shared" si="17"/>
        <v>Moderado</v>
      </c>
      <c r="AH40" s="3272" t="s">
        <v>205</v>
      </c>
      <c r="AI40" s="3273" t="s">
        <v>1052</v>
      </c>
      <c r="AJ40" s="3275" t="s">
        <v>149</v>
      </c>
      <c r="AK40" s="3276" t="s">
        <v>528</v>
      </c>
      <c r="AL40" s="3271" t="s">
        <v>551</v>
      </c>
      <c r="AM40" s="3276">
        <v>45351</v>
      </c>
      <c r="AN40" s="3276" t="s">
        <v>530</v>
      </c>
      <c r="AO40" s="3271" t="s">
        <v>551</v>
      </c>
      <c r="AP40" s="3276">
        <v>45412</v>
      </c>
      <c r="AQ40" s="3276" t="s">
        <v>532</v>
      </c>
      <c r="AR40" s="3271" t="s">
        <v>552</v>
      </c>
      <c r="AS40" s="3269">
        <v>45473</v>
      </c>
      <c r="AT40" s="3276" t="s">
        <v>534</v>
      </c>
      <c r="AU40" s="3271" t="s">
        <v>552</v>
      </c>
      <c r="AV40" s="3269">
        <v>45534</v>
      </c>
      <c r="AW40" s="3276" t="s">
        <v>1036</v>
      </c>
      <c r="AX40" s="3271" t="s">
        <v>552</v>
      </c>
      <c r="AY40" s="3269" t="s">
        <v>1037</v>
      </c>
      <c r="AZ40" s="3271"/>
    </row>
    <row r="41" spans="1:52" s="523" customFormat="1" ht="166.8" customHeight="1" x14ac:dyDescent="0.25">
      <c r="A41" s="912"/>
      <c r="B41" s="3279"/>
      <c r="C41" s="3274"/>
      <c r="D41" s="3274"/>
      <c r="E41" s="3281"/>
      <c r="F41" s="1018" t="s">
        <v>480</v>
      </c>
      <c r="G41" s="3273"/>
      <c r="H41" s="3283"/>
      <c r="I41" s="3284"/>
      <c r="J41" s="3285"/>
      <c r="K41" s="3286"/>
      <c r="L41" s="3287"/>
      <c r="M41" s="3288"/>
      <c r="N41" s="3289"/>
      <c r="O41" s="3288">
        <f>IF(NOT(ISERROR(MATCH(N41,_xlfn.ANCHORARRAY(G44),0))),M46&amp;"Por favor no seleccionar los criterios de impacto",N41)</f>
        <v>0</v>
      </c>
      <c r="P41" s="3287"/>
      <c r="Q41" s="3288"/>
      <c r="R41" s="3290"/>
      <c r="S41" s="3292"/>
      <c r="T41" s="1109" t="s">
        <v>1053</v>
      </c>
      <c r="U41" s="1015" t="s">
        <v>141</v>
      </c>
      <c r="V41" s="1016" t="s">
        <v>308</v>
      </c>
      <c r="W41" s="1016" t="s">
        <v>201</v>
      </c>
      <c r="X41" s="1017" t="str">
        <f t="shared" si="13"/>
        <v>25%</v>
      </c>
      <c r="Y41" s="1016" t="s">
        <v>208</v>
      </c>
      <c r="Z41" s="1016" t="s">
        <v>203</v>
      </c>
      <c r="AA41" s="1016" t="s">
        <v>204</v>
      </c>
      <c r="AB41" s="272">
        <f>IFERROR(IF(AND(U40="Probabilidad",U41="Probabilidad"),(AD40-(+AD40*X41)),IF(AND(U40="Impacto",U41="Probabilidad"),(M40-(+M40*X41)),IF(U41="Impacto",AD40,""))),"")</f>
        <v>0.22500000000000003</v>
      </c>
      <c r="AC41" s="1024" t="str">
        <f t="shared" si="14"/>
        <v>Baja</v>
      </c>
      <c r="AD41" s="1025">
        <f t="shared" si="15"/>
        <v>0.22500000000000003</v>
      </c>
      <c r="AE41" s="1024" t="s">
        <v>62</v>
      </c>
      <c r="AF41" s="1025">
        <f>IFERROR(IF(AND(U40="Impacto",U41="Impacto"),(AF40-(+AF40*X41)),IF(AND(U40="Probabilidad",U41="Impacto"),(Q40-(+Q40*X41)),IF(U41="Probabilidad",AF40,""))),"")</f>
        <v>0.4</v>
      </c>
      <c r="AG41" s="1026" t="str">
        <f t="shared" si="17"/>
        <v>Moderado</v>
      </c>
      <c r="AH41" s="3272"/>
      <c r="AI41" s="3274"/>
      <c r="AJ41" s="3275"/>
      <c r="AK41" s="3277"/>
      <c r="AL41" s="3271"/>
      <c r="AM41" s="3278"/>
      <c r="AN41" s="3277"/>
      <c r="AO41" s="3271"/>
      <c r="AP41" s="3278"/>
      <c r="AQ41" s="3277"/>
      <c r="AR41" s="3271"/>
      <c r="AS41" s="3270"/>
      <c r="AT41" s="3277"/>
      <c r="AU41" s="3271"/>
      <c r="AV41" s="3270"/>
      <c r="AW41" s="3277"/>
      <c r="AX41" s="3271"/>
      <c r="AY41" s="3270"/>
      <c r="AZ41" s="3271"/>
    </row>
    <row r="42" spans="1:52" s="523" customFormat="1" ht="15.6" x14ac:dyDescent="0.25">
      <c r="A42" s="912"/>
      <c r="B42" s="912"/>
      <c r="C42" s="912"/>
      <c r="D42" s="912"/>
      <c r="E42" s="990"/>
      <c r="F42" s="912"/>
      <c r="G42" s="239"/>
      <c r="H42" s="912"/>
      <c r="I42" s="239"/>
      <c r="J42" s="239"/>
      <c r="K42" s="239"/>
      <c r="L42" s="913"/>
      <c r="M42" s="912"/>
      <c r="N42" s="912"/>
      <c r="O42" s="912"/>
      <c r="P42" s="914"/>
      <c r="Q42" s="912"/>
      <c r="R42" s="991"/>
      <c r="S42" s="992"/>
      <c r="T42" s="993"/>
      <c r="U42" s="994"/>
      <c r="V42" s="994"/>
      <c r="W42" s="995"/>
      <c r="X42" s="994"/>
      <c r="Y42" s="994"/>
      <c r="Z42" s="994"/>
      <c r="AA42" s="996"/>
      <c r="AB42" s="997"/>
      <c r="AC42" s="995"/>
      <c r="AD42" s="997"/>
      <c r="AE42" s="995"/>
      <c r="AF42" s="998"/>
      <c r="AG42" s="999"/>
      <c r="AH42" s="1000"/>
      <c r="AI42" s="1000"/>
      <c r="AJ42" s="1001"/>
      <c r="AK42" s="1001"/>
      <c r="AL42" s="1000"/>
      <c r="AM42" s="1002"/>
    </row>
    <row r="43" spans="1:52" s="523" customFormat="1" ht="13.8" customHeight="1" x14ac:dyDescent="0.25">
      <c r="A43" s="2788" t="s">
        <v>156</v>
      </c>
      <c r="B43" s="3260"/>
      <c r="C43" s="3260"/>
      <c r="D43" s="3260"/>
      <c r="E43" s="3260"/>
      <c r="F43" s="3260"/>
      <c r="G43" s="3260"/>
      <c r="H43" s="3260"/>
      <c r="I43" s="3260"/>
      <c r="J43" s="3260"/>
      <c r="K43" s="3260"/>
      <c r="L43" s="3260"/>
      <c r="M43" s="3260"/>
      <c r="N43" s="3260"/>
      <c r="O43" s="3260"/>
      <c r="P43" s="3260"/>
      <c r="Q43" s="3260"/>
      <c r="R43" s="3260"/>
      <c r="S43" s="3260"/>
      <c r="T43" s="3260"/>
      <c r="U43" s="3260"/>
      <c r="V43" s="3260"/>
      <c r="W43" s="3260"/>
      <c r="X43" s="3260"/>
      <c r="Y43" s="3260"/>
      <c r="Z43" s="3260"/>
      <c r="AA43" s="3260"/>
      <c r="AB43" s="3260"/>
      <c r="AC43" s="3260"/>
      <c r="AD43" s="3260"/>
      <c r="AE43" s="3260"/>
      <c r="AF43" s="3260"/>
      <c r="AG43" s="3260"/>
      <c r="AH43" s="3260"/>
      <c r="AI43" s="3260"/>
      <c r="AJ43" s="3260"/>
      <c r="AK43" s="3260"/>
      <c r="AL43" s="3260"/>
      <c r="AM43" s="3260"/>
      <c r="AN43" s="3260"/>
    </row>
    <row r="44" spans="1:52" s="523" customFormat="1" ht="13.8" customHeight="1" x14ac:dyDescent="0.25">
      <c r="A44" s="2788"/>
      <c r="B44" s="3260"/>
      <c r="C44" s="3260"/>
      <c r="D44" s="3260"/>
      <c r="E44" s="3260"/>
      <c r="F44" s="3260"/>
      <c r="G44" s="3260"/>
      <c r="H44" s="3260"/>
      <c r="I44" s="3260"/>
      <c r="J44" s="3260"/>
      <c r="K44" s="3260"/>
      <c r="L44" s="3260"/>
      <c r="M44" s="3260"/>
      <c r="N44" s="3260"/>
      <c r="O44" s="3260"/>
      <c r="P44" s="3260"/>
      <c r="Q44" s="3260"/>
      <c r="R44" s="3260"/>
      <c r="S44" s="3260"/>
      <c r="T44" s="3260"/>
      <c r="U44" s="3260"/>
      <c r="V44" s="3260"/>
      <c r="W44" s="3260"/>
      <c r="X44" s="3260"/>
      <c r="Y44" s="3260"/>
      <c r="Z44" s="3260"/>
      <c r="AA44" s="3260"/>
      <c r="AB44" s="3260"/>
      <c r="AC44" s="3260"/>
      <c r="AD44" s="3260"/>
      <c r="AE44" s="3260"/>
      <c r="AF44" s="3260"/>
      <c r="AG44" s="3260"/>
      <c r="AH44" s="3260"/>
      <c r="AI44" s="3260"/>
      <c r="AJ44" s="3260"/>
      <c r="AK44" s="3260"/>
      <c r="AL44" s="3260"/>
      <c r="AM44" s="3260"/>
      <c r="AN44" s="3260"/>
    </row>
    <row r="45" spans="1:52" s="523" customFormat="1" x14ac:dyDescent="0.25">
      <c r="A45" s="703"/>
      <c r="B45" s="704"/>
      <c r="C45" s="703"/>
      <c r="D45" s="703"/>
      <c r="E45" s="703"/>
      <c r="F45" s="700"/>
      <c r="G45" s="700"/>
      <c r="H45" s="700"/>
      <c r="I45" s="705"/>
      <c r="J45" s="700"/>
      <c r="K45" s="700"/>
      <c r="L45" s="700"/>
      <c r="M45" s="700"/>
      <c r="N45" s="700"/>
      <c r="O45" s="700"/>
      <c r="P45" s="700"/>
      <c r="Q45" s="700"/>
      <c r="R45" s="700"/>
      <c r="S45" s="700"/>
      <c r="T45" s="700"/>
      <c r="U45" s="700"/>
      <c r="V45" s="700"/>
      <c r="W45" s="700"/>
      <c r="X45" s="700"/>
      <c r="Y45" s="700"/>
      <c r="Z45" s="700"/>
      <c r="AA45" s="700"/>
      <c r="AB45" s="700"/>
      <c r="AC45" s="700"/>
      <c r="AD45" s="700"/>
      <c r="AE45" s="700"/>
      <c r="AF45" s="700"/>
      <c r="AG45" s="700"/>
      <c r="AH45" s="700"/>
      <c r="AI45" s="700"/>
      <c r="AJ45" s="700"/>
      <c r="AK45" s="700"/>
      <c r="AL45" s="700"/>
      <c r="AM45" s="700"/>
    </row>
    <row r="46" spans="1:52" s="523" customFormat="1" ht="40.799999999999997" customHeight="1" x14ac:dyDescent="0.25">
      <c r="A46" s="2349" t="s">
        <v>157</v>
      </c>
      <c r="B46" s="2350"/>
      <c r="C46" s="3261" t="s">
        <v>640</v>
      </c>
      <c r="D46" s="3262"/>
      <c r="E46" s="3262"/>
      <c r="F46" s="3262"/>
      <c r="G46" s="3262"/>
      <c r="H46" s="3262"/>
      <c r="I46" s="3262"/>
      <c r="J46" s="3262"/>
      <c r="K46" s="3262"/>
      <c r="L46" s="3262"/>
      <c r="M46" s="3262"/>
      <c r="N46" s="3262"/>
      <c r="O46" s="3262"/>
      <c r="P46" s="3262"/>
      <c r="Q46" s="3262"/>
      <c r="R46" s="3262"/>
      <c r="S46" s="3262"/>
      <c r="T46" s="3262"/>
      <c r="U46" s="3262"/>
      <c r="V46" s="3262"/>
      <c r="W46" s="3262"/>
      <c r="X46" s="3262"/>
      <c r="Y46" s="3262"/>
      <c r="Z46" s="3262"/>
      <c r="AA46" s="3262"/>
      <c r="AB46" s="3262"/>
      <c r="AC46" s="3262"/>
      <c r="AD46" s="3262"/>
      <c r="AE46" s="3262"/>
      <c r="AF46" s="3262"/>
      <c r="AG46" s="3262"/>
      <c r="AH46" s="3262"/>
      <c r="AI46" s="3262"/>
      <c r="AJ46" s="3262"/>
      <c r="AK46" s="3262"/>
      <c r="AL46" s="3262"/>
      <c r="AM46" s="3262"/>
      <c r="AN46" s="3263"/>
    </row>
    <row r="47" spans="1:52" s="523" customFormat="1" ht="73.2" customHeight="1" x14ac:dyDescent="0.25">
      <c r="A47" s="2349" t="s">
        <v>158</v>
      </c>
      <c r="B47" s="2350"/>
      <c r="C47" s="3264" t="s">
        <v>1242</v>
      </c>
      <c r="D47" s="3265"/>
      <c r="E47" s="3265"/>
      <c r="F47" s="3265"/>
      <c r="G47" s="3265"/>
      <c r="H47" s="3265"/>
      <c r="I47" s="3265"/>
      <c r="J47" s="3265"/>
      <c r="K47" s="3265"/>
      <c r="L47" s="3265"/>
      <c r="M47" s="3265"/>
      <c r="N47" s="3265"/>
      <c r="O47" s="3265"/>
      <c r="P47" s="3265"/>
      <c r="Q47" s="3265"/>
      <c r="R47" s="3265"/>
      <c r="S47" s="3265"/>
      <c r="T47" s="3265"/>
      <c r="U47" s="3265"/>
      <c r="V47" s="3265"/>
      <c r="W47" s="3265"/>
      <c r="X47" s="3265"/>
      <c r="Y47" s="3265"/>
      <c r="Z47" s="3265"/>
      <c r="AA47" s="3265"/>
      <c r="AB47" s="3265"/>
      <c r="AC47" s="3265"/>
      <c r="AD47" s="3265"/>
      <c r="AE47" s="3265"/>
      <c r="AF47" s="3265"/>
      <c r="AG47" s="3265"/>
      <c r="AH47" s="3265"/>
      <c r="AI47" s="3265"/>
      <c r="AJ47" s="3265"/>
      <c r="AK47" s="3265"/>
      <c r="AL47" s="3265"/>
      <c r="AM47" s="3265"/>
      <c r="AN47" s="3266"/>
    </row>
    <row r="48" spans="1:52" s="523" customFormat="1" ht="76.8" customHeight="1" x14ac:dyDescent="0.25">
      <c r="A48" s="2349" t="s">
        <v>159</v>
      </c>
      <c r="B48" s="2350"/>
      <c r="C48" s="3264" t="s">
        <v>1243</v>
      </c>
      <c r="D48" s="3265"/>
      <c r="E48" s="3265"/>
      <c r="F48" s="3265"/>
      <c r="G48" s="3265"/>
      <c r="H48" s="3265"/>
      <c r="I48" s="3265"/>
      <c r="J48" s="3265"/>
      <c r="K48" s="3265"/>
      <c r="L48" s="3265"/>
      <c r="M48" s="3265"/>
      <c r="N48" s="3265"/>
      <c r="O48" s="3265"/>
      <c r="P48" s="3265"/>
      <c r="Q48" s="3265"/>
      <c r="R48" s="3265"/>
      <c r="S48" s="3265"/>
      <c r="T48" s="3265"/>
      <c r="U48" s="3265"/>
      <c r="V48" s="3265"/>
      <c r="W48" s="3265"/>
      <c r="X48" s="3265"/>
      <c r="Y48" s="3265"/>
      <c r="Z48" s="3265"/>
      <c r="AA48" s="3265"/>
      <c r="AB48" s="3265"/>
      <c r="AC48" s="3265"/>
      <c r="AD48" s="3265"/>
      <c r="AE48" s="3265"/>
      <c r="AF48" s="3265"/>
      <c r="AG48" s="3265"/>
      <c r="AH48" s="3265"/>
      <c r="AI48" s="3265"/>
      <c r="AJ48" s="3265"/>
      <c r="AK48" s="3265"/>
      <c r="AL48" s="3265"/>
      <c r="AM48" s="3265"/>
      <c r="AN48" s="3266"/>
    </row>
    <row r="49" spans="1:40" s="523" customFormat="1" ht="147.6" customHeight="1" x14ac:dyDescent="0.25">
      <c r="A49" s="912"/>
      <c r="B49" s="2351" t="s">
        <v>160</v>
      </c>
      <c r="C49" s="2353"/>
      <c r="D49" s="2353"/>
      <c r="E49" s="2353"/>
      <c r="F49" s="2353"/>
      <c r="G49" s="2353"/>
      <c r="H49" s="2353"/>
      <c r="I49" s="2353"/>
      <c r="J49" s="2353"/>
      <c r="K49" s="2354"/>
      <c r="L49" s="2101" t="s">
        <v>161</v>
      </c>
      <c r="M49" s="2353"/>
      <c r="N49" s="2353"/>
      <c r="O49" s="2353"/>
      <c r="P49" s="2353"/>
      <c r="Q49" s="2353"/>
      <c r="R49" s="2354"/>
      <c r="S49" s="2101" t="s">
        <v>162</v>
      </c>
      <c r="T49" s="2353"/>
      <c r="U49" s="2353"/>
      <c r="V49" s="2353"/>
      <c r="W49" s="2353"/>
      <c r="X49" s="2353"/>
      <c r="Y49" s="2353"/>
      <c r="Z49" s="2353"/>
      <c r="AA49" s="2354"/>
      <c r="AB49" s="2101" t="s">
        <v>163</v>
      </c>
      <c r="AC49" s="2353"/>
      <c r="AD49" s="2353"/>
      <c r="AE49" s="2353"/>
      <c r="AF49" s="2353"/>
      <c r="AG49" s="2353"/>
      <c r="AH49" s="2354"/>
      <c r="AI49" s="2101" t="s">
        <v>164</v>
      </c>
      <c r="AJ49" s="2353"/>
      <c r="AK49" s="2353"/>
      <c r="AL49" s="2353"/>
      <c r="AM49" s="2353"/>
      <c r="AN49" s="2354"/>
    </row>
    <row r="50" spans="1:40" s="523" customFormat="1" ht="93" customHeight="1" x14ac:dyDescent="0.25">
      <c r="A50" s="912"/>
      <c r="B50" s="2140" t="s">
        <v>165</v>
      </c>
      <c r="C50" s="2142" t="s">
        <v>142</v>
      </c>
      <c r="D50" s="2042" t="s">
        <v>166</v>
      </c>
      <c r="E50" s="2042" t="s">
        <v>167</v>
      </c>
      <c r="F50" s="2041" t="s">
        <v>168</v>
      </c>
      <c r="G50" s="2103" t="s">
        <v>60</v>
      </c>
      <c r="H50" s="2103" t="s">
        <v>610</v>
      </c>
      <c r="I50" s="280"/>
      <c r="J50" s="2041" t="s">
        <v>169</v>
      </c>
      <c r="K50" s="2042" t="s">
        <v>170</v>
      </c>
      <c r="L50" s="2105" t="s">
        <v>171</v>
      </c>
      <c r="M50" s="2100" t="s">
        <v>172</v>
      </c>
      <c r="N50" s="2041" t="s">
        <v>173</v>
      </c>
      <c r="O50" s="2041" t="s">
        <v>174</v>
      </c>
      <c r="P50" s="2102" t="s">
        <v>175</v>
      </c>
      <c r="Q50" s="2100" t="s">
        <v>172</v>
      </c>
      <c r="R50" s="2042" t="s">
        <v>176</v>
      </c>
      <c r="S50" s="2161" t="s">
        <v>177</v>
      </c>
      <c r="T50" s="2043" t="s">
        <v>178</v>
      </c>
      <c r="U50" s="2041" t="s">
        <v>179</v>
      </c>
      <c r="V50" s="2043" t="s">
        <v>180</v>
      </c>
      <c r="W50" s="2043"/>
      <c r="X50" s="2043"/>
      <c r="Y50" s="2043"/>
      <c r="Z50" s="2043"/>
      <c r="AA50" s="2043"/>
      <c r="AB50" s="2099" t="s">
        <v>181</v>
      </c>
      <c r="AC50" s="2099" t="s">
        <v>182</v>
      </c>
      <c r="AD50" s="2099" t="s">
        <v>172</v>
      </c>
      <c r="AE50" s="2099" t="s">
        <v>183</v>
      </c>
      <c r="AF50" s="2099" t="s">
        <v>172</v>
      </c>
      <c r="AG50" s="2099" t="s">
        <v>184</v>
      </c>
      <c r="AH50" s="2161" t="s">
        <v>185</v>
      </c>
      <c r="AI50" s="2043" t="s">
        <v>164</v>
      </c>
      <c r="AJ50" s="2043" t="s">
        <v>143</v>
      </c>
      <c r="AK50" s="2043" t="s">
        <v>186</v>
      </c>
      <c r="AL50" s="2043" t="s">
        <v>187</v>
      </c>
      <c r="AM50" s="2043" t="s">
        <v>188</v>
      </c>
      <c r="AN50" s="2043" t="s">
        <v>189</v>
      </c>
    </row>
    <row r="51" spans="1:40" s="523" customFormat="1" ht="109.8" customHeight="1" x14ac:dyDescent="0.25">
      <c r="A51" s="912"/>
      <c r="B51" s="2141"/>
      <c r="C51" s="2142"/>
      <c r="D51" s="2043"/>
      <c r="E51" s="2043"/>
      <c r="F51" s="2105"/>
      <c r="G51" s="2104"/>
      <c r="H51" s="2104"/>
      <c r="I51" s="280" t="s">
        <v>190</v>
      </c>
      <c r="J51" s="2042"/>
      <c r="K51" s="2043"/>
      <c r="L51" s="2042"/>
      <c r="M51" s="2101"/>
      <c r="N51" s="2042"/>
      <c r="O51" s="2042"/>
      <c r="P51" s="2101"/>
      <c r="Q51" s="2101"/>
      <c r="R51" s="2043"/>
      <c r="S51" s="2162"/>
      <c r="T51" s="2043"/>
      <c r="U51" s="2042"/>
      <c r="V51" s="281" t="s">
        <v>191</v>
      </c>
      <c r="W51" s="281" t="s">
        <v>192</v>
      </c>
      <c r="X51" s="281" t="s">
        <v>193</v>
      </c>
      <c r="Y51" s="281" t="s">
        <v>194</v>
      </c>
      <c r="Z51" s="281" t="s">
        <v>195</v>
      </c>
      <c r="AA51" s="281" t="s">
        <v>196</v>
      </c>
      <c r="AB51" s="2099"/>
      <c r="AC51" s="2099"/>
      <c r="AD51" s="2099"/>
      <c r="AE51" s="2099"/>
      <c r="AF51" s="2099"/>
      <c r="AG51" s="2099"/>
      <c r="AH51" s="2162"/>
      <c r="AI51" s="2043"/>
      <c r="AJ51" s="2043"/>
      <c r="AK51" s="2043"/>
      <c r="AL51" s="2043"/>
      <c r="AM51" s="2043"/>
      <c r="AN51" s="2043"/>
    </row>
    <row r="52" spans="1:40" s="523" customFormat="1" ht="166.8" customHeight="1" x14ac:dyDescent="0.25">
      <c r="A52" s="912"/>
      <c r="B52" s="2112">
        <v>1</v>
      </c>
      <c r="C52" s="2237" t="s">
        <v>209</v>
      </c>
      <c r="D52" s="2237" t="s">
        <v>444</v>
      </c>
      <c r="E52" s="3206" t="s">
        <v>445</v>
      </c>
      <c r="F52" s="3267" t="s">
        <v>446</v>
      </c>
      <c r="G52" s="2355" t="s">
        <v>447</v>
      </c>
      <c r="H52" s="2356" t="s">
        <v>1238</v>
      </c>
      <c r="I52" s="2355" t="s">
        <v>448</v>
      </c>
      <c r="J52" s="2358" t="s">
        <v>198</v>
      </c>
      <c r="K52" s="2293">
        <v>360</v>
      </c>
      <c r="L52" s="2295" t="str">
        <f>IF(K52&lt;=0,"",IF(K52&lt;=2,"Muy Baja",IF(K52&lt;=24,"Baja",IF(K52&lt;=500,"Media",IF(K52&lt;=5000,"Alta","Muy Alta")))))</f>
        <v>Media</v>
      </c>
      <c r="M52" s="2297">
        <f>IF(L52="","",IF(L52="Muy Baja",0.2,IF(L52="Baja",0.4,IF(L52="Media",0.6,IF(L52="Alta",0.8,IF(L52="Muy Alta",1,))))))</f>
        <v>0.6</v>
      </c>
      <c r="N52" s="2299" t="s">
        <v>303</v>
      </c>
      <c r="O52" s="2297" t="str">
        <f>IF(NOT(ISERROR(MATCH(N52,'[49]Tabla Impacto'!$B$221:$B$223,0))),'[49]Tabla Impacto'!$F$223&amp;"Por favor no seleccionar los criterios de impacto(Afectación Económica o presupuestal y Pérdida Reputacional)",N52)</f>
        <v xml:space="preserve">     El riesgo afecta la imagen de la entidad a nivel nacional, con efecto publicitarios sostenible a nivel país</v>
      </c>
      <c r="P52" s="2295" t="str">
        <f>IF(OR(O52='[49]Tabla Impacto'!$C$11,O52='[49]Tabla Impacto'!$D$11),"Leve",IF(OR(O52='[49]Tabla Impacto'!$C$12,O52='[49]Tabla Impacto'!$D$12),"Menor",IF(OR(O52='[49]Tabla Impacto'!$C$13,O52='[49]Tabla Impacto'!$D$13),"Moderado",IF(OR(O52='[49]Tabla Impacto'!$C$14,O52='[49]Tabla Impacto'!$D$14),"Mayor",IF(OR(O52='[49]Tabla Impacto'!$C$15,O52='[49]Tabla Impacto'!$D$15),"Catastrófico","")))))</f>
        <v>Catastrófico</v>
      </c>
      <c r="Q52" s="2297">
        <f>IF(P52="","",IF(P52="Leve",0.2,IF(P52="Menor",0.4,IF(P52="Moderado",0.6,IF(P52="Mayor",0.8,IF(P52="Catastrófico",1,))))))</f>
        <v>1</v>
      </c>
      <c r="R52" s="2267" t="str">
        <f>IF(OR(AND(L52="Muy Baja",P52="Leve"),AND(L52="Muy Baja",P52="Menor"),AND(L52="Baja",P52="Leve")),"Bajo",IF(OR(AND(L52="Muy baja",P52="Moderado"),AND(L52="Baja",P52="Menor"),AND(L52="Baja",P52="Moderado"),AND(L52="Media",P52="Leve"),AND(L52="Media",P52="Menor"),AND(L52="Media",P52="Moderado"),AND(L52="Alta",P52="Leve"),AND(L52="Alta",P52="Menor")),"Moderado",IF(OR(AND(L52="Muy Baja",P52="Mayor"),AND(L52="Baja",P52="Mayor"),AND(L52="Media",P52="Mayor"),AND(L52="Alta",P52="Moderado"),AND(L52="Alta",P52="Mayor"),AND(L52="Muy Alta",P52="Leve"),AND(L52="Muy Alta",P52="Menor"),AND(L52="Muy Alta",P52="Moderado"),AND(L52="Muy Alta",P52="Mayor")),"Alto",IF(OR(AND(L52="Muy Baja",P52="Catastrófico"),AND(L52="Baja",P52="Catastrófico"),AND(L52="Media",P52="Catastrófico"),AND(L52="Alta",P52="Catastrófico"),AND(L52="Muy Alta",P52="Catastrófico")),"Extremo",""))))</f>
        <v>Extremo</v>
      </c>
      <c r="S52" s="716">
        <v>1</v>
      </c>
      <c r="T52" s="300" t="s">
        <v>449</v>
      </c>
      <c r="U52" s="718" t="str">
        <f>IF(OR(V52="Preventivo",V52="Detectivo"),"Probabilidad",IF(V52="Correctivo","Impacto",""))</f>
        <v>Probabilidad</v>
      </c>
      <c r="V52" s="719" t="s">
        <v>200</v>
      </c>
      <c r="W52" s="719" t="s">
        <v>201</v>
      </c>
      <c r="X52" s="720" t="str">
        <f>IF(AND(V52="Preventivo",W52="Automático"),"50%",IF(AND(V52="Preventivo",W52="Manual"),"40%",IF(AND(V52="Detectivo",W52="Automático"),"40%",IF(AND(V52="Detectivo",W52="Manual"),"30%",IF(AND(V52="Correctivo",W52="Automático"),"35%",IF(AND(V52="Correctivo",W52="Manual"),"25%",""))))))</f>
        <v>30%</v>
      </c>
      <c r="Y52" s="719" t="s">
        <v>202</v>
      </c>
      <c r="Z52" s="719" t="s">
        <v>203</v>
      </c>
      <c r="AA52" s="719" t="s">
        <v>204</v>
      </c>
      <c r="AB52" s="721">
        <f>IFERROR(IF(U52="Probabilidad",(M52-(+M52*X52)),IF(U52="Impacto",M52,"")),"")</f>
        <v>0.42</v>
      </c>
      <c r="AC52" s="722" t="str">
        <f>IFERROR(IF(AB52="","",IF(AB52&lt;=0.2,"Muy Baja",IF(AB52&lt;=0.4,"Baja",IF(AB52&lt;=0.6,"Media",IF(AB52&lt;=0.8,"Alta","Muy Alta"))))),"")</f>
        <v>Media</v>
      </c>
      <c r="AD52" s="723">
        <f>+AB52</f>
        <v>0.42</v>
      </c>
      <c r="AE52" s="722" t="str">
        <f>IFERROR(IF(AF52="","",IF(AF52&lt;=0.2,"Leve",IF(AF52&lt;=0.4,"Menor",IF(AF52&lt;=0.6,"Moderado",IF(AF52&lt;=0.8,"Mayor","Catastrófico"))))),"")</f>
        <v>Catastrófico</v>
      </c>
      <c r="AF52" s="723">
        <f>IFERROR(IF(U52="Impacto",(Q52-(+Q52*X52)),IF(U52="Probabilidad",Q52,"")),"")</f>
        <v>1</v>
      </c>
      <c r="AG52" s="724" t="str">
        <f>IFERROR(IF(OR(AND(AC52="Muy Baja",AE52="Leve"),AND(AC52="Muy Baja",AE52="Menor"),AND(AC52="Baja",AE52="Leve")),"Bajo",IF(OR(AND(AC52="Muy baja",AE52="Moderado"),AND(AC52="Baja",AE52="Menor"),AND(AC52="Baja",AE52="Moderado"),AND(AC52="Media",AE52="Leve"),AND(AC52="Media",AE52="Menor"),AND(AC52="Media",AE52="Moderado"),AND(AC52="Alta",AE52="Leve"),AND(AC52="Alta",AE52="Menor")),"Moderado",IF(OR(AND(AC52="Muy Baja",AE52="Mayor"),AND(AC52="Baja",AE52="Mayor"),AND(AC52="Media",AE52="Mayor"),AND(AC52="Alta",AE52="Moderado"),AND(AC52="Alta",AE52="Mayor"),AND(AC52="Muy Alta",AE52="Leve"),AND(AC52="Muy Alta",AE52="Menor"),AND(AC52="Muy Alta",AE52="Moderado"),AND(AC52="Muy Alta",AE52="Mayor")),"Alto",IF(OR(AND(AC52="Muy Baja",AE52="Catastrófico"),AND(AC52="Baja",AE52="Catastrófico"),AND(AC52="Media",AE52="Catastrófico"),AND(AC52="Alta",AE52="Catastrófico"),AND(AC52="Muy Alta",AE52="Catastrófico")),"Extremo","")))),"")</f>
        <v>Extremo</v>
      </c>
      <c r="AH52" s="295"/>
      <c r="AI52" s="2237" t="s">
        <v>450</v>
      </c>
      <c r="AJ52" s="2293" t="s">
        <v>451</v>
      </c>
      <c r="AK52" s="3257">
        <v>45444</v>
      </c>
      <c r="AL52" s="3257" t="s">
        <v>643</v>
      </c>
      <c r="AM52" s="760" t="s">
        <v>1239</v>
      </c>
      <c r="AN52" s="730" t="s">
        <v>206</v>
      </c>
    </row>
    <row r="53" spans="1:40" s="523" customFormat="1" ht="166.8" customHeight="1" x14ac:dyDescent="0.25">
      <c r="A53" s="912"/>
      <c r="B53" s="2113"/>
      <c r="C53" s="2238"/>
      <c r="D53" s="2238"/>
      <c r="E53" s="3207"/>
      <c r="F53" s="3268"/>
      <c r="G53" s="2355"/>
      <c r="H53" s="2357"/>
      <c r="I53" s="2355"/>
      <c r="J53" s="2359"/>
      <c r="K53" s="2294"/>
      <c r="L53" s="2296"/>
      <c r="M53" s="2298"/>
      <c r="N53" s="2300"/>
      <c r="O53" s="2298">
        <f>IF(NOT(ISERROR(MATCH(N53,_xlfn.ANCHORARRAY(G63),0))),M65&amp;"Por favor no seleccionar los criterios de impacto",N53)</f>
        <v>0</v>
      </c>
      <c r="P53" s="2296"/>
      <c r="Q53" s="2298"/>
      <c r="R53" s="2268"/>
      <c r="S53" s="716">
        <v>2</v>
      </c>
      <c r="T53" s="812" t="s">
        <v>452</v>
      </c>
      <c r="U53" s="718" t="str">
        <f t="shared" ref="U53:U56" si="18">IF(OR(V53="Preventivo",V53="Detectivo"),"Probabilidad",IF(V53="Correctivo","Impacto",""))</f>
        <v>Probabilidad</v>
      </c>
      <c r="V53" s="719" t="s">
        <v>200</v>
      </c>
      <c r="W53" s="719" t="s">
        <v>201</v>
      </c>
      <c r="X53" s="720" t="str">
        <f t="shared" ref="X53:X56" si="19">IF(AND(V53="Preventivo",W53="Automático"),"50%",IF(AND(V53="Preventivo",W53="Manual"),"40%",IF(AND(V53="Detectivo",W53="Automático"),"40%",IF(AND(V53="Detectivo",W53="Manual"),"30%",IF(AND(V53="Correctivo",W53="Automático"),"35%",IF(AND(V53="Correctivo",W53="Manual"),"25%",""))))))</f>
        <v>30%</v>
      </c>
      <c r="Y53" s="719" t="s">
        <v>208</v>
      </c>
      <c r="Z53" s="719" t="s">
        <v>203</v>
      </c>
      <c r="AA53" s="719" t="s">
        <v>204</v>
      </c>
      <c r="AB53" s="721">
        <f>IFERROR(IF(AND(U52="Probabilidad",U53="Probabilidad"),(AD52-(+AD52*X53)),IF(AND(U52="Impacto",U53="Probabilidad"),(AD51-(+AD51*X53)),IF(U53="Impacto",AD52,""))),"")</f>
        <v>0.29399999999999998</v>
      </c>
      <c r="AC53" s="722" t="str">
        <f t="shared" ref="AC53:AC55" si="20">IFERROR(IF(AB53="","",IF(AB53&lt;=0.2,"Muy Baja",IF(AB53&lt;=0.4,"Baja",IF(AB53&lt;=0.6,"Media",IF(AB53&lt;=0.8,"Alta","Muy Alta"))))),"")</f>
        <v>Baja</v>
      </c>
      <c r="AD53" s="723">
        <f t="shared" ref="AD53:AD56" si="21">+AB53</f>
        <v>0.29399999999999998</v>
      </c>
      <c r="AE53" s="789" t="str">
        <f t="shared" ref="AE53:AE55" si="22">IFERROR(IF(AF53="","",IF(AF53&lt;=0.2,"Leve",IF(AF53&lt;=0.4,"Menor",IF(AF53&lt;=0.6,"Moderado",IF(AF53&lt;=0.8,"Mayor","Catastrófico"))))),"")</f>
        <v>Catastrófico</v>
      </c>
      <c r="AF53" s="790">
        <f>IFERROR(IF(AND(U52="Impacto",U53="Impacto"),(AF52-(+AF52*X53)),IF(AND(U52="Probabilidad",U53="Impacto"),(AF51-(+AF51*X53)),IF(U53="Probabilidad",AF52,""))),"")</f>
        <v>1</v>
      </c>
      <c r="AG53" s="724" t="str">
        <f t="shared" ref="AG53:AG55" si="23">IFERROR(IF(OR(AND(AC53="Muy Baja",AE53="Leve"),AND(AC53="Muy Baja",AE53="Menor"),AND(AC53="Baja",AE53="Leve")),"Bajo",IF(OR(AND(AC53="Muy baja",AE53="Moderado"),AND(AC53="Baja",AE53="Menor"),AND(AC53="Baja",AE53="Moderado"),AND(AC53="Media",AE53="Leve"),AND(AC53="Media",AE53="Menor"),AND(AC53="Media",AE53="Moderado"),AND(AC53="Alta",AE53="Leve"),AND(AC53="Alta",AE53="Menor")),"Moderado",IF(OR(AND(AC53="Muy Baja",AE53="Mayor"),AND(AC53="Baja",AE53="Mayor"),AND(AC53="Media",AE53="Mayor"),AND(AC53="Alta",AE53="Moderado"),AND(AC53="Alta",AE53="Mayor"),AND(AC53="Muy Alta",AE53="Leve"),AND(AC53="Muy Alta",AE53="Menor"),AND(AC53="Muy Alta",AE53="Moderado"),AND(AC53="Muy Alta",AE53="Mayor")),"Alto",IF(OR(AND(AC53="Muy Baja",AE53="Catastrófico"),AND(AC53="Baja",AE53="Catastrófico"),AND(AC53="Media",AE53="Catastrófico"),AND(AC53="Alta",AE53="Catastrófico"),AND(AC53="Muy Alta",AE53="Catastrófico")),"Extremo","")))),"")</f>
        <v>Extremo</v>
      </c>
      <c r="AH53" s="295"/>
      <c r="AI53" s="2238"/>
      <c r="AJ53" s="2294"/>
      <c r="AK53" s="3258"/>
      <c r="AL53" s="3258"/>
      <c r="AM53" s="300" t="s">
        <v>1240</v>
      </c>
      <c r="AN53" s="780" t="s">
        <v>206</v>
      </c>
    </row>
    <row r="54" spans="1:40" s="523" customFormat="1" ht="166.8" customHeight="1" x14ac:dyDescent="0.25">
      <c r="A54" s="912"/>
      <c r="B54" s="2113"/>
      <c r="C54" s="2238"/>
      <c r="D54" s="2238"/>
      <c r="E54" s="3207"/>
      <c r="F54" s="810" t="s">
        <v>453</v>
      </c>
      <c r="G54" s="2355"/>
      <c r="H54" s="2357"/>
      <c r="I54" s="2355"/>
      <c r="J54" s="2359"/>
      <c r="K54" s="2294"/>
      <c r="L54" s="2296"/>
      <c r="M54" s="2298"/>
      <c r="N54" s="2300"/>
      <c r="O54" s="2298">
        <f>IF(NOT(ISERROR(MATCH(N54,_xlfn.ANCHORARRAY(G64),0))),M66&amp;"Por favor no seleccionar los criterios de impacto",N54)</f>
        <v>0</v>
      </c>
      <c r="P54" s="2296"/>
      <c r="Q54" s="2298"/>
      <c r="R54" s="2268"/>
      <c r="S54" s="716">
        <v>3</v>
      </c>
      <c r="T54" s="780" t="s">
        <v>454</v>
      </c>
      <c r="U54" s="718" t="str">
        <f t="shared" si="18"/>
        <v>Probabilidad</v>
      </c>
      <c r="V54" s="719" t="s">
        <v>207</v>
      </c>
      <c r="W54" s="719" t="s">
        <v>201</v>
      </c>
      <c r="X54" s="720" t="str">
        <f t="shared" si="19"/>
        <v>40%</v>
      </c>
      <c r="Y54" s="719" t="s">
        <v>208</v>
      </c>
      <c r="Z54" s="719" t="s">
        <v>203</v>
      </c>
      <c r="AA54" s="719" t="s">
        <v>204</v>
      </c>
      <c r="AB54" s="721">
        <f t="shared" ref="AB54:AB56" si="24">IFERROR(IF(AND(U53="Probabilidad",U54="Probabilidad"),(AD53-(+AD53*X54)),IF(AND(U53="Impacto",U54="Probabilidad"),(AD52-(+AD52*X54)),IF(U54="Impacto",AD53,""))),"")</f>
        <v>0.1764</v>
      </c>
      <c r="AC54" s="722" t="str">
        <f t="shared" si="20"/>
        <v>Muy Baja</v>
      </c>
      <c r="AD54" s="723">
        <f t="shared" si="21"/>
        <v>0.1764</v>
      </c>
      <c r="AE54" s="789" t="str">
        <f t="shared" si="22"/>
        <v>Catastrófico</v>
      </c>
      <c r="AF54" s="790">
        <f t="shared" ref="AF54:AF56" si="25">IFERROR(IF(AND(U53="Impacto",U54="Impacto"),(AF53-(+AF53*X54)),IF(AND(U53="Probabilidad",U54="Impacto"),(AF52-(+AF52*X54)),IF(U54="Probabilidad",AF53,""))),"")</f>
        <v>1</v>
      </c>
      <c r="AG54" s="724" t="str">
        <f t="shared" si="23"/>
        <v>Extremo</v>
      </c>
      <c r="AH54" s="295"/>
      <c r="AI54" s="2287"/>
      <c r="AJ54" s="2971"/>
      <c r="AK54" s="3259"/>
      <c r="AL54" s="3259"/>
      <c r="AM54" s="300"/>
      <c r="AN54" s="780"/>
    </row>
    <row r="55" spans="1:40" s="523" customFormat="1" ht="166.8" customHeight="1" x14ac:dyDescent="0.25">
      <c r="A55" s="912"/>
      <c r="B55" s="2113"/>
      <c r="C55" s="2238"/>
      <c r="D55" s="2238"/>
      <c r="E55" s="3207"/>
      <c r="F55" s="810" t="s">
        <v>455</v>
      </c>
      <c r="G55" s="2355"/>
      <c r="H55" s="2357"/>
      <c r="I55" s="2355"/>
      <c r="J55" s="2359"/>
      <c r="K55" s="2294"/>
      <c r="L55" s="2296"/>
      <c r="M55" s="2298"/>
      <c r="N55" s="2300"/>
      <c r="O55" s="2298">
        <f>IF(NOT(ISERROR(MATCH(N55,_xlfn.ANCHORARRAY(G65),0))),M67&amp;"Por favor no seleccionar los criterios de impacto",N55)</f>
        <v>0</v>
      </c>
      <c r="P55" s="2296"/>
      <c r="Q55" s="2298"/>
      <c r="R55" s="2268"/>
      <c r="S55" s="716">
        <v>4</v>
      </c>
      <c r="T55" s="1111" t="s">
        <v>456</v>
      </c>
      <c r="U55" s="718" t="str">
        <f t="shared" si="18"/>
        <v>Impacto</v>
      </c>
      <c r="V55" s="719" t="s">
        <v>308</v>
      </c>
      <c r="W55" s="719" t="s">
        <v>201</v>
      </c>
      <c r="X55" s="720" t="str">
        <f t="shared" si="19"/>
        <v>25%</v>
      </c>
      <c r="Y55" s="719" t="s">
        <v>208</v>
      </c>
      <c r="Z55" s="719" t="s">
        <v>210</v>
      </c>
      <c r="AA55" s="719" t="s">
        <v>204</v>
      </c>
      <c r="AB55" s="721">
        <f t="shared" si="24"/>
        <v>0.1764</v>
      </c>
      <c r="AC55" s="722" t="str">
        <f t="shared" si="20"/>
        <v>Muy Baja</v>
      </c>
      <c r="AD55" s="723">
        <f t="shared" si="21"/>
        <v>0.1764</v>
      </c>
      <c r="AE55" s="789" t="str">
        <f t="shared" si="22"/>
        <v>Mayor</v>
      </c>
      <c r="AF55" s="790">
        <f t="shared" si="25"/>
        <v>0.75</v>
      </c>
      <c r="AG55" s="724" t="str">
        <f t="shared" si="23"/>
        <v>Alto</v>
      </c>
      <c r="AH55" s="295"/>
      <c r="AI55" s="761" t="s">
        <v>457</v>
      </c>
      <c r="AJ55" s="300" t="s">
        <v>451</v>
      </c>
      <c r="AK55" s="769"/>
      <c r="AL55" s="779" t="s">
        <v>1241</v>
      </c>
      <c r="AM55" s="300" t="s">
        <v>155</v>
      </c>
      <c r="AN55" s="780" t="s">
        <v>206</v>
      </c>
    </row>
    <row r="56" spans="1:40" s="523" customFormat="1" ht="166.8" customHeight="1" x14ac:dyDescent="0.25">
      <c r="A56" s="912"/>
      <c r="B56" s="2113"/>
      <c r="C56" s="2238"/>
      <c r="D56" s="2238"/>
      <c r="E56" s="3207"/>
      <c r="F56" s="1036" t="s">
        <v>458</v>
      </c>
      <c r="G56" s="2355"/>
      <c r="H56" s="2357"/>
      <c r="I56" s="2355"/>
      <c r="J56" s="2359"/>
      <c r="K56" s="2294"/>
      <c r="L56" s="2296"/>
      <c r="M56" s="2298"/>
      <c r="N56" s="2300"/>
      <c r="O56" s="2298">
        <f>IF(NOT(ISERROR(MATCH(N56,_xlfn.ANCHORARRAY(G66),0))),M68&amp;"Por favor no seleccionar los criterios de impacto",N56)</f>
        <v>0</v>
      </c>
      <c r="P56" s="2296"/>
      <c r="Q56" s="2298"/>
      <c r="R56" s="2268"/>
      <c r="S56" s="716">
        <v>5</v>
      </c>
      <c r="T56" s="812" t="s">
        <v>459</v>
      </c>
      <c r="U56" s="718" t="str">
        <f t="shared" si="18"/>
        <v>Probabilidad</v>
      </c>
      <c r="V56" s="719" t="s">
        <v>207</v>
      </c>
      <c r="W56" s="719" t="s">
        <v>201</v>
      </c>
      <c r="X56" s="720" t="str">
        <f t="shared" si="19"/>
        <v>40%</v>
      </c>
      <c r="Y56" s="719" t="s">
        <v>208</v>
      </c>
      <c r="Z56" s="719" t="s">
        <v>203</v>
      </c>
      <c r="AA56" s="719" t="s">
        <v>204</v>
      </c>
      <c r="AB56" s="721">
        <f t="shared" si="24"/>
        <v>0.10584</v>
      </c>
      <c r="AC56" s="722" t="s">
        <v>460</v>
      </c>
      <c r="AD56" s="723">
        <f t="shared" si="21"/>
        <v>0.10584</v>
      </c>
      <c r="AE56" s="789" t="s">
        <v>461</v>
      </c>
      <c r="AF56" s="790">
        <f t="shared" si="25"/>
        <v>0.75</v>
      </c>
      <c r="AG56" s="724" t="s">
        <v>462</v>
      </c>
      <c r="AH56" s="295"/>
      <c r="AI56" s="300" t="s">
        <v>463</v>
      </c>
      <c r="AJ56" s="300" t="s">
        <v>464</v>
      </c>
      <c r="AK56" s="779"/>
      <c r="AL56" s="779" t="s">
        <v>646</v>
      </c>
      <c r="AM56" s="300" t="s">
        <v>465</v>
      </c>
      <c r="AN56" s="780" t="s">
        <v>295</v>
      </c>
    </row>
    <row r="57" spans="1:40" s="523" customFormat="1" ht="15.6" x14ac:dyDescent="0.25">
      <c r="A57" s="912"/>
      <c r="B57" s="912"/>
      <c r="C57" s="912"/>
      <c r="D57" s="912"/>
      <c r="E57" s="990"/>
      <c r="F57" s="912"/>
      <c r="G57" s="239"/>
      <c r="H57" s="912"/>
      <c r="I57" s="239"/>
      <c r="J57" s="239"/>
      <c r="K57" s="239"/>
      <c r="L57" s="913"/>
      <c r="M57" s="912"/>
      <c r="N57" s="912"/>
      <c r="O57" s="912"/>
      <c r="P57" s="914"/>
      <c r="Q57" s="912"/>
      <c r="R57" s="991"/>
      <c r="S57" s="992"/>
      <c r="T57" s="993"/>
      <c r="U57" s="994"/>
      <c r="V57" s="994"/>
      <c r="W57" s="995"/>
      <c r="X57" s="994"/>
      <c r="Y57" s="994"/>
      <c r="Z57" s="994"/>
      <c r="AA57" s="996"/>
      <c r="AB57" s="997"/>
      <c r="AC57" s="995"/>
      <c r="AD57" s="997"/>
      <c r="AE57" s="995"/>
      <c r="AF57" s="998"/>
      <c r="AG57" s="999"/>
      <c r="AH57" s="1000"/>
      <c r="AI57" s="1000"/>
      <c r="AJ57" s="1001"/>
      <c r="AK57" s="1001"/>
      <c r="AL57" s="1000"/>
      <c r="AM57" s="1002"/>
    </row>
    <row r="58" spans="1:40" s="523" customFormat="1" ht="21.6" customHeight="1" x14ac:dyDescent="0.25">
      <c r="A58" s="912"/>
      <c r="B58" s="2343" t="s">
        <v>156</v>
      </c>
      <c r="C58" s="2344"/>
      <c r="D58" s="2344"/>
      <c r="E58" s="2344"/>
      <c r="F58" s="2344"/>
      <c r="G58" s="2344"/>
      <c r="H58" s="2344"/>
      <c r="I58" s="2344"/>
      <c r="J58" s="2344"/>
      <c r="K58" s="2344"/>
      <c r="L58" s="2344"/>
      <c r="M58" s="2344"/>
      <c r="N58" s="2344"/>
      <c r="O58" s="2344"/>
      <c r="P58" s="2344"/>
      <c r="Q58" s="2344"/>
      <c r="R58" s="2344"/>
      <c r="S58" s="2344"/>
      <c r="T58" s="2344"/>
      <c r="U58" s="2344"/>
      <c r="V58" s="2344"/>
      <c r="W58" s="2344"/>
      <c r="X58" s="2344"/>
      <c r="Y58" s="2344"/>
      <c r="Z58" s="2344"/>
      <c r="AA58" s="2344"/>
      <c r="AB58" s="2344"/>
      <c r="AC58" s="2344"/>
      <c r="AD58" s="2344"/>
      <c r="AE58" s="2344"/>
      <c r="AF58" s="2344"/>
      <c r="AG58" s="2344"/>
      <c r="AH58" s="2344"/>
      <c r="AI58" s="2344"/>
      <c r="AJ58" s="2344"/>
      <c r="AK58" s="2344"/>
      <c r="AL58" s="2344"/>
      <c r="AM58" s="2345"/>
    </row>
    <row r="59" spans="1:40" s="523" customFormat="1" x14ac:dyDescent="0.25">
      <c r="A59" s="912"/>
      <c r="B59" s="2346"/>
      <c r="C59" s="2347"/>
      <c r="D59" s="2347"/>
      <c r="E59" s="2347"/>
      <c r="F59" s="2347"/>
      <c r="G59" s="2347"/>
      <c r="H59" s="2347"/>
      <c r="I59" s="2347"/>
      <c r="J59" s="2347"/>
      <c r="K59" s="2347"/>
      <c r="L59" s="2347"/>
      <c r="M59" s="2347"/>
      <c r="N59" s="2347"/>
      <c r="O59" s="2347"/>
      <c r="P59" s="2347"/>
      <c r="Q59" s="2347"/>
      <c r="R59" s="2347"/>
      <c r="S59" s="2347"/>
      <c r="T59" s="2347"/>
      <c r="U59" s="2347"/>
      <c r="V59" s="2347"/>
      <c r="W59" s="2347"/>
      <c r="X59" s="2347"/>
      <c r="Y59" s="2347"/>
      <c r="Z59" s="2347"/>
      <c r="AA59" s="2347"/>
      <c r="AB59" s="2347"/>
      <c r="AC59" s="2347"/>
      <c r="AD59" s="2347"/>
      <c r="AE59" s="2347"/>
      <c r="AF59" s="2347"/>
      <c r="AG59" s="2347"/>
      <c r="AH59" s="2347"/>
      <c r="AI59" s="2347"/>
      <c r="AJ59" s="2347"/>
      <c r="AK59" s="2347"/>
      <c r="AL59" s="2347"/>
      <c r="AM59" s="2348"/>
    </row>
    <row r="60" spans="1:40" s="523" customFormat="1" x14ac:dyDescent="0.25">
      <c r="A60" s="912"/>
      <c r="B60" s="703"/>
      <c r="C60" s="704"/>
      <c r="D60" s="703"/>
      <c r="E60" s="703"/>
      <c r="F60" s="703"/>
      <c r="G60" s="700"/>
      <c r="H60" s="700"/>
      <c r="I60" s="700"/>
      <c r="J60" s="705"/>
      <c r="K60" s="700"/>
      <c r="L60" s="700"/>
      <c r="M60" s="700"/>
      <c r="N60" s="700"/>
      <c r="O60" s="700"/>
      <c r="P60" s="700"/>
      <c r="Q60" s="700"/>
      <c r="R60" s="700"/>
      <c r="S60" s="700"/>
      <c r="T60" s="700"/>
      <c r="U60" s="700"/>
      <c r="V60" s="700"/>
      <c r="W60" s="700"/>
      <c r="X60" s="700"/>
      <c r="Y60" s="700"/>
      <c r="Z60" s="700"/>
      <c r="AA60" s="700"/>
      <c r="AB60" s="700"/>
      <c r="AC60" s="700"/>
      <c r="AD60" s="700"/>
      <c r="AE60" s="700"/>
      <c r="AF60" s="700"/>
      <c r="AG60" s="700"/>
      <c r="AH60" s="700"/>
      <c r="AI60" s="700"/>
      <c r="AJ60" s="700"/>
      <c r="AK60" s="700"/>
      <c r="AL60" s="700"/>
      <c r="AM60" s="700"/>
    </row>
    <row r="61" spans="1:40" s="523" customFormat="1" ht="43.8" customHeight="1" x14ac:dyDescent="0.25">
      <c r="A61" s="912"/>
      <c r="B61" s="2349" t="s">
        <v>157</v>
      </c>
      <c r="C61" s="2350"/>
      <c r="D61" s="2039" t="s">
        <v>1244</v>
      </c>
      <c r="E61" s="2039"/>
      <c r="F61" s="2039"/>
      <c r="G61" s="2039"/>
      <c r="H61" s="2039"/>
      <c r="I61" s="2039"/>
      <c r="J61" s="2039"/>
      <c r="K61" s="2039"/>
      <c r="L61" s="2039"/>
      <c r="M61" s="2039"/>
      <c r="N61" s="2039"/>
      <c r="O61" s="2039"/>
      <c r="P61" s="2039"/>
      <c r="Q61" s="2039"/>
      <c r="R61" s="2039"/>
      <c r="S61" s="2039"/>
      <c r="T61" s="2039"/>
      <c r="U61" s="2039"/>
      <c r="V61" s="2039"/>
      <c r="W61" s="2039"/>
      <c r="X61" s="2039"/>
      <c r="Y61" s="2039"/>
      <c r="Z61" s="2039"/>
      <c r="AA61" s="2039"/>
      <c r="AB61" s="2039"/>
      <c r="AC61" s="2039"/>
      <c r="AD61" s="2039"/>
      <c r="AE61" s="2039"/>
      <c r="AF61" s="2039"/>
      <c r="AG61" s="2039"/>
      <c r="AH61" s="2039"/>
      <c r="AI61" s="2039"/>
      <c r="AJ61" s="2039"/>
      <c r="AK61" s="2039"/>
      <c r="AL61" s="2039"/>
      <c r="AM61" s="2039"/>
    </row>
    <row r="62" spans="1:40" s="523" customFormat="1" ht="43.8" customHeight="1" x14ac:dyDescent="0.25">
      <c r="A62" s="912"/>
      <c r="B62" s="2349" t="s">
        <v>158</v>
      </c>
      <c r="C62" s="2350"/>
      <c r="D62" s="2040" t="s">
        <v>1245</v>
      </c>
      <c r="E62" s="2040"/>
      <c r="F62" s="2040"/>
      <c r="G62" s="2040"/>
      <c r="H62" s="2040"/>
      <c r="I62" s="2040"/>
      <c r="J62" s="2040"/>
      <c r="K62" s="2040"/>
      <c r="L62" s="2040"/>
      <c r="M62" s="2040"/>
      <c r="N62" s="2040"/>
      <c r="O62" s="2040"/>
      <c r="P62" s="2040"/>
      <c r="Q62" s="2040"/>
      <c r="R62" s="2040"/>
      <c r="S62" s="2040"/>
      <c r="T62" s="2040"/>
      <c r="U62" s="2040"/>
      <c r="V62" s="2040"/>
      <c r="W62" s="2040"/>
      <c r="X62" s="2040"/>
      <c r="Y62" s="2040"/>
      <c r="Z62" s="2040"/>
      <c r="AA62" s="2040"/>
      <c r="AB62" s="2040"/>
      <c r="AC62" s="2040"/>
      <c r="AD62" s="2040"/>
      <c r="AE62" s="2040"/>
      <c r="AF62" s="2040"/>
      <c r="AG62" s="2040"/>
      <c r="AH62" s="2040"/>
      <c r="AI62" s="2040"/>
      <c r="AJ62" s="2040"/>
      <c r="AK62" s="2040"/>
      <c r="AL62" s="2040"/>
      <c r="AM62" s="2040"/>
    </row>
    <row r="63" spans="1:40" s="523" customFormat="1" ht="55.8" customHeight="1" x14ac:dyDescent="0.25">
      <c r="A63" s="912"/>
      <c r="B63" s="2349" t="s">
        <v>159</v>
      </c>
      <c r="C63" s="2350"/>
      <c r="D63" s="2040" t="s">
        <v>1246</v>
      </c>
      <c r="E63" s="2040"/>
      <c r="F63" s="2040"/>
      <c r="G63" s="2040"/>
      <c r="H63" s="2040"/>
      <c r="I63" s="2040"/>
      <c r="J63" s="2040"/>
      <c r="K63" s="2040"/>
      <c r="L63" s="2040"/>
      <c r="M63" s="2040"/>
      <c r="N63" s="2040"/>
      <c r="O63" s="2040"/>
      <c r="P63" s="2040"/>
      <c r="Q63" s="2040"/>
      <c r="R63" s="2040"/>
      <c r="S63" s="2040"/>
      <c r="T63" s="2040"/>
      <c r="U63" s="2040"/>
      <c r="V63" s="2040"/>
      <c r="W63" s="2040"/>
      <c r="X63" s="2040"/>
      <c r="Y63" s="2040"/>
      <c r="Z63" s="2040"/>
      <c r="AA63" s="2040"/>
      <c r="AB63" s="2040"/>
      <c r="AC63" s="2040"/>
      <c r="AD63" s="2040"/>
      <c r="AE63" s="2040"/>
      <c r="AF63" s="2040"/>
      <c r="AG63" s="2040"/>
      <c r="AH63" s="2040"/>
      <c r="AI63" s="2040"/>
      <c r="AJ63" s="2040"/>
      <c r="AK63" s="2040"/>
      <c r="AL63" s="2040"/>
      <c r="AM63" s="2040"/>
    </row>
    <row r="64" spans="1:40" s="523" customFormat="1" ht="57" customHeight="1" x14ac:dyDescent="0.25">
      <c r="A64" s="912"/>
      <c r="B64" s="2351" t="s">
        <v>160</v>
      </c>
      <c r="C64" s="2352"/>
      <c r="D64" s="2353"/>
      <c r="E64" s="2353"/>
      <c r="F64" s="2353"/>
      <c r="G64" s="2353"/>
      <c r="H64" s="2353"/>
      <c r="I64" s="2353"/>
      <c r="J64" s="2353"/>
      <c r="K64" s="2354"/>
      <c r="L64" s="2101" t="s">
        <v>161</v>
      </c>
      <c r="M64" s="2353"/>
      <c r="N64" s="2353"/>
      <c r="O64" s="2353"/>
      <c r="P64" s="2353"/>
      <c r="Q64" s="2353"/>
      <c r="R64" s="2354"/>
      <c r="S64" s="2101" t="s">
        <v>162</v>
      </c>
      <c r="T64" s="2353"/>
      <c r="U64" s="2353"/>
      <c r="V64" s="2353"/>
      <c r="W64" s="2353"/>
      <c r="X64" s="2353"/>
      <c r="Y64" s="2353"/>
      <c r="Z64" s="2353"/>
      <c r="AA64" s="2354"/>
      <c r="AB64" s="2101" t="s">
        <v>163</v>
      </c>
      <c r="AC64" s="2353"/>
      <c r="AD64" s="2353"/>
      <c r="AE64" s="2353"/>
      <c r="AF64" s="2353"/>
      <c r="AG64" s="2353"/>
      <c r="AH64" s="2354"/>
      <c r="AI64" s="2101" t="s">
        <v>164</v>
      </c>
      <c r="AJ64" s="2353"/>
      <c r="AK64" s="2353"/>
      <c r="AL64" s="2353"/>
      <c r="AM64" s="2354"/>
    </row>
    <row r="65" spans="1:52" s="523" customFormat="1" ht="84" customHeight="1" x14ac:dyDescent="0.25">
      <c r="A65" s="912"/>
      <c r="B65" s="2140" t="s">
        <v>165</v>
      </c>
      <c r="C65" s="2142" t="s">
        <v>142</v>
      </c>
      <c r="D65" s="2042" t="s">
        <v>166</v>
      </c>
      <c r="E65" s="2042" t="s">
        <v>167</v>
      </c>
      <c r="F65" s="2041" t="s">
        <v>168</v>
      </c>
      <c r="G65" s="2103" t="s">
        <v>60</v>
      </c>
      <c r="H65" s="2104" t="s">
        <v>610</v>
      </c>
      <c r="I65" s="280"/>
      <c r="J65" s="2041" t="s">
        <v>169</v>
      </c>
      <c r="K65" s="2042" t="s">
        <v>170</v>
      </c>
      <c r="L65" s="2105" t="s">
        <v>171</v>
      </c>
      <c r="M65" s="2100" t="s">
        <v>172</v>
      </c>
      <c r="N65" s="2041" t="s">
        <v>173</v>
      </c>
      <c r="O65" s="2041" t="s">
        <v>174</v>
      </c>
      <c r="P65" s="2102" t="s">
        <v>175</v>
      </c>
      <c r="Q65" s="2100" t="s">
        <v>172</v>
      </c>
      <c r="R65" s="2042" t="s">
        <v>176</v>
      </c>
      <c r="S65" s="2161" t="s">
        <v>177</v>
      </c>
      <c r="T65" s="2043" t="s">
        <v>178</v>
      </c>
      <c r="U65" s="2041" t="s">
        <v>179</v>
      </c>
      <c r="V65" s="2043" t="s">
        <v>180</v>
      </c>
      <c r="W65" s="2043"/>
      <c r="X65" s="2043"/>
      <c r="Y65" s="2043"/>
      <c r="Z65" s="2043"/>
      <c r="AA65" s="2043"/>
      <c r="AB65" s="2099" t="s">
        <v>181</v>
      </c>
      <c r="AC65" s="2099" t="s">
        <v>182</v>
      </c>
      <c r="AD65" s="2099" t="s">
        <v>172</v>
      </c>
      <c r="AE65" s="2099" t="s">
        <v>183</v>
      </c>
      <c r="AF65" s="2099" t="s">
        <v>172</v>
      </c>
      <c r="AG65" s="2099" t="s">
        <v>184</v>
      </c>
      <c r="AH65" s="2161" t="s">
        <v>185</v>
      </c>
      <c r="AI65" s="2043" t="s">
        <v>164</v>
      </c>
      <c r="AJ65" s="2043" t="s">
        <v>143</v>
      </c>
      <c r="AK65" s="2043" t="s">
        <v>186</v>
      </c>
      <c r="AL65" s="2043" t="s">
        <v>187</v>
      </c>
      <c r="AM65" s="2043" t="s">
        <v>189</v>
      </c>
    </row>
    <row r="66" spans="1:52" s="523" customFormat="1" ht="87" customHeight="1" x14ac:dyDescent="0.25">
      <c r="A66" s="912"/>
      <c r="B66" s="2141"/>
      <c r="C66" s="2142"/>
      <c r="D66" s="2043"/>
      <c r="E66" s="2043"/>
      <c r="F66" s="2105"/>
      <c r="G66" s="2104"/>
      <c r="H66" s="3256"/>
      <c r="I66" s="280" t="s">
        <v>190</v>
      </c>
      <c r="J66" s="2042"/>
      <c r="K66" s="2043"/>
      <c r="L66" s="2042"/>
      <c r="M66" s="2101"/>
      <c r="N66" s="2042"/>
      <c r="O66" s="2042"/>
      <c r="P66" s="2101"/>
      <c r="Q66" s="2101"/>
      <c r="R66" s="2043"/>
      <c r="S66" s="2162"/>
      <c r="T66" s="2043"/>
      <c r="U66" s="2042"/>
      <c r="V66" s="281" t="s">
        <v>191</v>
      </c>
      <c r="W66" s="281" t="s">
        <v>192</v>
      </c>
      <c r="X66" s="281" t="s">
        <v>193</v>
      </c>
      <c r="Y66" s="281" t="s">
        <v>194</v>
      </c>
      <c r="Z66" s="281" t="s">
        <v>195</v>
      </c>
      <c r="AA66" s="281" t="s">
        <v>196</v>
      </c>
      <c r="AB66" s="2099"/>
      <c r="AC66" s="2099"/>
      <c r="AD66" s="2099"/>
      <c r="AE66" s="2099"/>
      <c r="AF66" s="2099"/>
      <c r="AG66" s="2099"/>
      <c r="AH66" s="2162"/>
      <c r="AI66" s="2043"/>
      <c r="AJ66" s="2043"/>
      <c r="AK66" s="2043"/>
      <c r="AL66" s="2043"/>
      <c r="AM66" s="2043"/>
    </row>
    <row r="67" spans="1:52" s="523" customFormat="1" ht="166.8" customHeight="1" x14ac:dyDescent="0.25">
      <c r="A67" s="912"/>
      <c r="B67" s="2112">
        <v>1</v>
      </c>
      <c r="C67" s="2237" t="s">
        <v>209</v>
      </c>
      <c r="D67" s="2237" t="s">
        <v>1247</v>
      </c>
      <c r="E67" s="3206" t="s">
        <v>1248</v>
      </c>
      <c r="F67" s="941" t="s">
        <v>1249</v>
      </c>
      <c r="G67" s="2355" t="s">
        <v>1250</v>
      </c>
      <c r="H67" s="2356" t="s">
        <v>1238</v>
      </c>
      <c r="I67" s="2355" t="s">
        <v>1251</v>
      </c>
      <c r="J67" s="2358" t="s">
        <v>198</v>
      </c>
      <c r="K67" s="2293">
        <f>300*246</f>
        <v>73800</v>
      </c>
      <c r="L67" s="2295" t="str">
        <f>IF(K67&lt;=0,"",IF(K67&lt;=2,"Muy Baja",IF(K67&lt;=24,"Baja",IF(K67&lt;=500,"Media",IF(K67&lt;=5000,"Alta","Muy Alta")))))</f>
        <v>Muy Alta</v>
      </c>
      <c r="M67" s="2297">
        <f>IF(L67="","",IF(L67="Muy Baja",0.2,IF(L67="Baja",0.4,IF(L67="Media",0.6,IF(L67="Alta",0.8,IF(L67="Muy Alta",1,))))))</f>
        <v>1</v>
      </c>
      <c r="N67" s="2299" t="s">
        <v>225</v>
      </c>
      <c r="O67" s="2297" t="str">
        <f>IF(NOT(ISERROR(MATCH(N67,'[50]Tabla Impacto'!$B$221:$B$223,0))),'[50]Tabla Impacto'!$F$223&amp;"Por favor no seleccionar los criterios de impacto(Afectación Económica o presupuestal y Pérdida Reputacional)",N67)</f>
        <v xml:space="preserve">     El riesgo afecta la imagen de la entidad con algunos usuarios de relevancia frente al logro de los objetivos</v>
      </c>
      <c r="P67" s="2295" t="str">
        <f>IF(OR(O67='[50]Tabla Impacto'!$C$11,O67='[50]Tabla Impacto'!$D$11),"Leve",IF(OR(O67='[50]Tabla Impacto'!$C$12,O67='[50]Tabla Impacto'!$D$12),"Menor",IF(OR(O67='[50]Tabla Impacto'!$C$13,O67='[50]Tabla Impacto'!$D$13),"Moderado",IF(OR(O67='[50]Tabla Impacto'!$C$14,O67='[50]Tabla Impacto'!$D$14),"Mayor",IF(OR(O67='[50]Tabla Impacto'!$C$15,O67='[50]Tabla Impacto'!$D$15),"Catastrófico","")))))</f>
        <v>Moderado</v>
      </c>
      <c r="Q67" s="2297">
        <f>IF(P67="","",IF(P67="Leve",0.2,IF(P67="Menor",0.4,IF(P67="Moderado",0.6,IF(P67="Mayor",0.8,IF(P67="Catastrófico",1,))))))</f>
        <v>0.6</v>
      </c>
      <c r="R67" s="2267" t="str">
        <f>IF(OR(AND(L67="Muy Baja",P67="Leve"),AND(L67="Muy Baja",P67="Menor"),AND(L67="Baja",P67="Leve")),"Bajo",IF(OR(AND(L67="Muy baja",P67="Moderado"),AND(L67="Baja",P67="Menor"),AND(L67="Baja",P67="Moderado"),AND(L67="Media",P67="Leve"),AND(L67="Media",P67="Menor"),AND(L67="Media",P67="Moderado"),AND(L67="Alta",P67="Leve"),AND(L67="Alta",P67="Menor")),"Moderado",IF(OR(AND(L67="Muy Baja",P67="Mayor"),AND(L67="Baja",P67="Mayor"),AND(L67="Media",P67="Mayor"),AND(L67="Alta",P67="Moderado"),AND(L67="Alta",P67="Mayor"),AND(L67="Muy Alta",P67="Leve"),AND(L67="Muy Alta",P67="Menor"),AND(L67="Muy Alta",P67="Moderado"),AND(L67="Muy Alta",P67="Mayor")),"Alto",IF(OR(AND(L67="Muy Baja",P67="Catastrófico"),AND(L67="Baja",P67="Catastrófico"),AND(L67="Media",P67="Catastrófico"),AND(L67="Alta",P67="Catastrófico"),AND(L67="Muy Alta",P67="Catastrófico")),"Extremo",""))))</f>
        <v>Alto</v>
      </c>
      <c r="S67" s="716">
        <v>1</v>
      </c>
      <c r="T67" s="796" t="s">
        <v>1252</v>
      </c>
      <c r="U67" s="718" t="str">
        <f>IF(OR(V67="Preventivo",V67="Detectivo"),"Probabilidad",IF(V67="Correctivo","Impacto",""))</f>
        <v>Probabilidad</v>
      </c>
      <c r="V67" s="719" t="s">
        <v>207</v>
      </c>
      <c r="W67" s="719" t="s">
        <v>201</v>
      </c>
      <c r="X67" s="720" t="str">
        <f>IF(AND(V67="Preventivo",W67="Automático"),"50%",IF(AND(V67="Preventivo",W67="Manual"),"40%",IF(AND(V67="Detectivo",W67="Automático"),"40%",IF(AND(V67="Detectivo",W67="Manual"),"30%",IF(AND(V67="Correctivo",W67="Automático"),"35%",IF(AND(V67="Correctivo",W67="Manual"),"25%",""))))))</f>
        <v>40%</v>
      </c>
      <c r="Y67" s="719" t="s">
        <v>208</v>
      </c>
      <c r="Z67" s="719" t="s">
        <v>203</v>
      </c>
      <c r="AA67" s="719" t="s">
        <v>204</v>
      </c>
      <c r="AB67" s="721">
        <f>IFERROR(IF(U67="Probabilidad",(M67-(+M67*X67)),IF(U67="Impacto",M67,"")),"")</f>
        <v>0.6</v>
      </c>
      <c r="AC67" s="722" t="str">
        <f>IFERROR(IF(AB67="","",IF(AB67&lt;=0.2,"Muy Baja",IF(AB67&lt;=0.4,"Baja",IF(AB67&lt;=0.6,"Media",IF(AB67&lt;=0.8,"Alta","Muy Alta"))))),"")</f>
        <v>Media</v>
      </c>
      <c r="AD67" s="723">
        <f>+AB67</f>
        <v>0.6</v>
      </c>
      <c r="AE67" s="722" t="str">
        <f>IFERROR(IF(AF67="","",IF(AF67&lt;=0.2,"Leve",IF(AF67&lt;=0.4,"Menor",IF(AF67&lt;=0.6,"Moderado",IF(AF67&lt;=0.8,"Mayor","Catastrófico"))))),"")</f>
        <v>Moderado</v>
      </c>
      <c r="AF67" s="723">
        <f>IFERROR(IF(U67="Impacto",(Q67-(+Q67*X67)),IF(U67="Probabilidad",Q67,"")),"")</f>
        <v>0.6</v>
      </c>
      <c r="AG67" s="724" t="str">
        <f>IFERROR(IF(OR(AND(AC67="Muy Baja",AE67="Leve"),AND(AC67="Muy Baja",AE67="Menor"),AND(AC67="Baja",AE67="Leve")),"Bajo",IF(OR(AND(AC67="Muy baja",AE67="Moderado"),AND(AC67="Baja",AE67="Menor"),AND(AC67="Baja",AE67="Moderado"),AND(AC67="Media",AE67="Leve"),AND(AC67="Media",AE67="Menor"),AND(AC67="Media",AE67="Moderado"),AND(AC67="Alta",AE67="Leve"),AND(AC67="Alta",AE67="Menor")),"Moderado",IF(OR(AND(AC67="Muy Baja",AE67="Mayor"),AND(AC67="Baja",AE67="Mayor"),AND(AC67="Media",AE67="Mayor"),AND(AC67="Alta",AE67="Moderado"),AND(AC67="Alta",AE67="Mayor"),AND(AC67="Muy Alta",AE67="Leve"),AND(AC67="Muy Alta",AE67="Menor"),AND(AC67="Muy Alta",AE67="Moderado"),AND(AC67="Muy Alta",AE67="Mayor")),"Alto",IF(OR(AND(AC67="Muy Baja",AE67="Catastrófico"),AND(AC67="Baja",AE67="Catastrófico"),AND(AC67="Media",AE67="Catastrófico"),AND(AC67="Alta",AE67="Catastrófico"),AND(AC67="Muy Alta",AE67="Catastrófico")),"Extremo","")))),"")</f>
        <v>Moderado</v>
      </c>
      <c r="AH67" s="295" t="s">
        <v>205</v>
      </c>
      <c r="AI67" s="2237" t="s">
        <v>1253</v>
      </c>
      <c r="AJ67" s="2293" t="s">
        <v>1254</v>
      </c>
      <c r="AK67" s="2804" t="s">
        <v>1255</v>
      </c>
      <c r="AL67" s="3254">
        <v>45609</v>
      </c>
      <c r="AM67" s="1031" t="s">
        <v>206</v>
      </c>
    </row>
    <row r="68" spans="1:52" s="523" customFormat="1" ht="166.8" customHeight="1" x14ac:dyDescent="0.25">
      <c r="A68" s="912"/>
      <c r="B68" s="2113"/>
      <c r="C68" s="2238"/>
      <c r="D68" s="2238"/>
      <c r="E68" s="3207"/>
      <c r="F68" s="1036" t="s">
        <v>1256</v>
      </c>
      <c r="G68" s="2355"/>
      <c r="H68" s="2357"/>
      <c r="I68" s="2355"/>
      <c r="J68" s="2359"/>
      <c r="K68" s="2294"/>
      <c r="L68" s="2296"/>
      <c r="M68" s="2298"/>
      <c r="N68" s="2300"/>
      <c r="O68" s="2298">
        <f>IF(NOT(ISERROR(MATCH(N68,_xlfn.ANCHORARRAY(G71),0))),M73&amp;"Por favor no seleccionar los criterios de impacto",N68)</f>
        <v>0</v>
      </c>
      <c r="P68" s="2296"/>
      <c r="Q68" s="2298"/>
      <c r="R68" s="2268"/>
      <c r="S68" s="716">
        <v>2</v>
      </c>
      <c r="T68" s="806" t="s">
        <v>1257</v>
      </c>
      <c r="U68" s="718" t="str">
        <f t="shared" ref="U68" si="26">IF(OR(V68="Preventivo",V68="Detectivo"),"Probabilidad",IF(V68="Correctivo","Impacto",""))</f>
        <v>Probabilidad</v>
      </c>
      <c r="V68" s="719" t="s">
        <v>207</v>
      </c>
      <c r="W68" s="719" t="s">
        <v>201</v>
      </c>
      <c r="X68" s="720" t="str">
        <f t="shared" ref="X68" si="27">IF(AND(V68="Preventivo",W68="Automático"),"50%",IF(AND(V68="Preventivo",W68="Manual"),"40%",IF(AND(V68="Detectivo",W68="Automático"),"40%",IF(AND(V68="Detectivo",W68="Manual"),"30%",IF(AND(V68="Correctivo",W68="Automático"),"35%",IF(AND(V68="Correctivo",W68="Manual"),"25%",""))))))</f>
        <v>40%</v>
      </c>
      <c r="Y68" s="719" t="s">
        <v>202</v>
      </c>
      <c r="Z68" s="719" t="s">
        <v>203</v>
      </c>
      <c r="AA68" s="719" t="s">
        <v>204</v>
      </c>
      <c r="AB68" s="721">
        <f>IFERROR(IF(AND(U67="Probabilidad",U68="Probabilidad"),(AD67-(+AD67*X68)),IF(AND(U67="Impacto",U68="Probabilidad"),(M67-(+M67*X68)),IF(U68="Impacto",AD67,""))),"")</f>
        <v>0.36</v>
      </c>
      <c r="AC68" s="722" t="str">
        <f t="shared" ref="AC68" si="28">IFERROR(IF(AB68="","",IF(AB68&lt;=0.2,"Muy Baja",IF(AB68&lt;=0.4,"Baja",IF(AB68&lt;=0.6,"Media",IF(AB68&lt;=0.8,"Alta","Muy Alta"))))),"")</f>
        <v>Baja</v>
      </c>
      <c r="AD68" s="723">
        <f>+AB68</f>
        <v>0.36</v>
      </c>
      <c r="AE68" s="722" t="str">
        <f t="shared" ref="AE68" si="29">IFERROR(IF(AF68="","",IF(AF68&lt;=0.2,"Leve",IF(AF68&lt;=0.4,"Menor",IF(AF68&lt;=0.6,"Moderado",IF(AF68&lt;=0.8,"Mayor","Catastrófico"))))),"")</f>
        <v>Moderado</v>
      </c>
      <c r="AF68" s="723">
        <f>IFERROR(IF(AND(U67="Impacto",U68="Impacto"),(AF67-(+AF67*X68)),IF(AND(U67="Probabilidad",U68="Impacto"),(Q67-(+Q67*X68)),IF(U68="Probabilidad",AF67,""))),"")</f>
        <v>0.6</v>
      </c>
      <c r="AG68" s="724" t="str">
        <f t="shared" ref="AG68" si="30">IFERROR(IF(OR(AND(AC68="Muy Baja",AE68="Leve"),AND(AC68="Muy Baja",AE68="Menor"),AND(AC68="Baja",AE68="Leve")),"Bajo",IF(OR(AND(AC68="Muy baja",AE68="Moderado"),AND(AC68="Baja",AE68="Menor"),AND(AC68="Baja",AE68="Moderado"),AND(AC68="Media",AE68="Leve"),AND(AC68="Media",AE68="Menor"),AND(AC68="Media",AE68="Moderado"),AND(AC68="Alta",AE68="Leve"),AND(AC68="Alta",AE68="Menor")),"Moderado",IF(OR(AND(AC68="Muy Baja",AE68="Mayor"),AND(AC68="Baja",AE68="Mayor"),AND(AC68="Media",AE68="Mayor"),AND(AC68="Alta",AE68="Moderado"),AND(AC68="Alta",AE68="Mayor"),AND(AC68="Muy Alta",AE68="Leve"),AND(AC68="Muy Alta",AE68="Menor"),AND(AC68="Muy Alta",AE68="Moderado"),AND(AC68="Muy Alta",AE68="Mayor")),"Alto",IF(OR(AND(AC68="Muy Baja",AE68="Catastrófico"),AND(AC68="Baja",AE68="Catastrófico"),AND(AC68="Media",AE68="Catastrófico"),AND(AC68="Alta",AE68="Catastrófico"),AND(AC68="Muy Alta",AE68="Catastrófico")),"Extremo","")))),"")</f>
        <v>Moderado</v>
      </c>
      <c r="AH68" s="295" t="s">
        <v>205</v>
      </c>
      <c r="AI68" s="2287"/>
      <c r="AJ68" s="2971"/>
      <c r="AK68" s="2805"/>
      <c r="AL68" s="3255"/>
      <c r="AM68" s="1032"/>
    </row>
    <row r="69" spans="1:52" s="523" customFormat="1" ht="166.8" customHeight="1" x14ac:dyDescent="0.25">
      <c r="A69" s="912"/>
      <c r="B69" s="2112">
        <v>2</v>
      </c>
      <c r="C69" s="2234" t="s">
        <v>209</v>
      </c>
      <c r="D69" s="2234" t="s">
        <v>1258</v>
      </c>
      <c r="E69" s="3206" t="s">
        <v>1259</v>
      </c>
      <c r="F69" s="799" t="s">
        <v>1260</v>
      </c>
      <c r="G69" s="3251" t="s">
        <v>1261</v>
      </c>
      <c r="H69" s="2963" t="s">
        <v>1238</v>
      </c>
      <c r="I69" s="2963" t="s">
        <v>1262</v>
      </c>
      <c r="J69" s="3252" t="s">
        <v>198</v>
      </c>
      <c r="K69" s="2249">
        <v>28</v>
      </c>
      <c r="L69" s="2252" t="str">
        <f>IF(K69&lt;=0,"",IF(K69&lt;=2,"Muy Baja",IF(K69&lt;=24,"Baja",IF(K69&lt;=500,"Media",IF(K69&lt;=5000,"Alta","Muy Alta")))))</f>
        <v>Media</v>
      </c>
      <c r="M69" s="2255">
        <f>IF(L69="","",IF(L69="Muy Baja",0.2,IF(L69="Baja",0.4,IF(L69="Media",0.6,IF(L69="Alta",0.8,IF(L69="Muy Alta",1,))))))</f>
        <v>0.6</v>
      </c>
      <c r="N69" s="2258" t="s">
        <v>225</v>
      </c>
      <c r="O69" s="2255" t="str">
        <f>IF(NOT(ISERROR(MATCH(N69,'[50]Tabla Impacto'!$B$221:$B$223,0))),'[50]Tabla Impacto'!$F$223&amp;"Por favor no seleccionar los criterios de impacto(Afectación Económica o presupuestal y Pérdida Reputacional)",N69)</f>
        <v xml:space="preserve">     El riesgo afecta la imagen de la entidad con algunos usuarios de relevancia frente al logro de los objetivos</v>
      </c>
      <c r="P69" s="2252" t="str">
        <f>IF(OR(O69='[50]Tabla Impacto'!$C$11,O69='[50]Tabla Impacto'!$D$11),"Leve",IF(OR(O69='[50]Tabla Impacto'!$C$12,O69='[50]Tabla Impacto'!$D$12),"Menor",IF(OR(O69='[50]Tabla Impacto'!$C$13,O69='[50]Tabla Impacto'!$D$13),"Moderado",IF(OR(O69='[50]Tabla Impacto'!$C$14,O69='[50]Tabla Impacto'!$D$14),"Mayor",IF(OR(O69='[50]Tabla Impacto'!$C$15,O69='[50]Tabla Impacto'!$D$15),"Catastrófico","")))))</f>
        <v>Moderado</v>
      </c>
      <c r="Q69" s="2255">
        <f>IF(P69="","",IF(P69="Leve",0.2,IF(P69="Menor",0.4,IF(P69="Moderado",0.6,IF(P69="Mayor",0.8,IF(P69="Catastrófico",1,))))))</f>
        <v>0.6</v>
      </c>
      <c r="R69" s="2261" t="str">
        <f>IF(OR(AND(L69="Muy Baja",P69="Leve"),AND(L69="Muy Baja",P69="Menor"),AND(L69="Baja",P69="Leve")),"Bajo",IF(OR(AND(L69="Muy baja",P69="Moderado"),AND(L69="Baja",P69="Menor"),AND(L69="Baja",P69="Moderado"),AND(L69="Media",P69="Leve"),AND(L69="Media",P69="Menor"),AND(L69="Media",P69="Moderado"),AND(L69="Alta",P69="Leve"),AND(L69="Alta",P69="Menor")),"Moderado",IF(OR(AND(L69="Muy Baja",P69="Mayor"),AND(L69="Baja",P69="Mayor"),AND(L69="Media",P69="Mayor"),AND(L69="Alta",P69="Moderado"),AND(L69="Alta",P69="Mayor"),AND(L69="Muy Alta",P69="Leve"),AND(L69="Muy Alta",P69="Menor"),AND(L69="Muy Alta",P69="Moderado"),AND(L69="Muy Alta",P69="Mayor")),"Alto",IF(OR(AND(L69="Muy Baja",P69="Catastrófico"),AND(L69="Baja",P69="Catastrófico"),AND(L69="Media",P69="Catastrófico"),AND(L69="Alta",P69="Catastrófico"),AND(L69="Muy Alta",P69="Catastrófico")),"Extremo",""))))</f>
        <v>Moderado</v>
      </c>
      <c r="S69" s="716">
        <v>1</v>
      </c>
      <c r="T69" s="1112" t="s">
        <v>1263</v>
      </c>
      <c r="U69" s="718" t="str">
        <f>IF(OR(V69="Preventivo",V69="Detectivo"),"Probabilidad",IF(V69="Correctivo","Impacto",""))</f>
        <v>Probabilidad</v>
      </c>
      <c r="V69" s="719" t="s">
        <v>207</v>
      </c>
      <c r="W69" s="719" t="s">
        <v>1010</v>
      </c>
      <c r="X69" s="720" t="str">
        <f>IF(AND(V69="Preventivo",W69="Automático"),"50%",IF(AND(V69="Preventivo",W69="Manual"),"40%",IF(AND(V69="Detectivo",W69="Automático"),"40%",IF(AND(V69="Detectivo",W69="Manual"),"30%",IF(AND(V69="Correctivo",W69="Automático"),"35%",IF(AND(V69="Correctivo",W69="Manual"),"25%",""))))))</f>
        <v>50%</v>
      </c>
      <c r="Y69" s="719" t="s">
        <v>208</v>
      </c>
      <c r="Z69" s="719" t="s">
        <v>203</v>
      </c>
      <c r="AA69" s="719" t="s">
        <v>204</v>
      </c>
      <c r="AB69" s="721">
        <f>IFERROR(IF(U69="Probabilidad",(M69-(+M69*X69)),IF(U69="Impacto",M69,"")),"")</f>
        <v>0.3</v>
      </c>
      <c r="AC69" s="722" t="str">
        <f>IFERROR(IF(AB69="","",IF(AB69&lt;=0.2,"Muy Baja",IF(AB69&lt;=0.4,"Baja",IF(AB69&lt;=0.6,"Media",IF(AB69&lt;=0.8,"Alta","Muy Alta"))))),"")</f>
        <v>Baja</v>
      </c>
      <c r="AD69" s="723">
        <f>+AB69</f>
        <v>0.3</v>
      </c>
      <c r="AE69" s="722" t="str">
        <f>IFERROR(IF(AF69="","",IF(AF69&lt;=0.2,"Leve",IF(AF69&lt;=0.4,"Menor",IF(AF69&lt;=0.6,"Moderado",IF(AF69&lt;=0.8,"Mayor","Catastrófico"))))),"")</f>
        <v>Moderado</v>
      </c>
      <c r="AF69" s="723">
        <f>IFERROR(IF(U69="Impacto",(Q69-(+Q69*X69)),IF(U69="Probabilidad",Q69,"")),"")</f>
        <v>0.6</v>
      </c>
      <c r="AG69" s="724" t="str">
        <f>IFERROR(IF(OR(AND(AC69="Muy Baja",AE69="Leve"),AND(AC69="Muy Baja",AE69="Menor"),AND(AC69="Baja",AE69="Leve")),"Bajo",IF(OR(AND(AC69="Muy baja",AE69="Moderado"),AND(AC69="Baja",AE69="Menor"),AND(AC69="Baja",AE69="Moderado"),AND(AC69="Media",AE69="Leve"),AND(AC69="Media",AE69="Menor"),AND(AC69="Media",AE69="Moderado"),AND(AC69="Alta",AE69="Leve"),AND(AC69="Alta",AE69="Menor")),"Moderado",IF(OR(AND(AC69="Muy Baja",AE69="Mayor"),AND(AC69="Baja",AE69="Mayor"),AND(AC69="Media",AE69="Mayor"),AND(AC69="Alta",AE69="Moderado"),AND(AC69="Alta",AE69="Mayor"),AND(AC69="Muy Alta",AE69="Leve"),AND(AC69="Muy Alta",AE69="Menor"),AND(AC69="Muy Alta",AE69="Moderado"),AND(AC69="Muy Alta",AE69="Mayor")),"Alto",IF(OR(AND(AC69="Muy Baja",AE69="Catastrófico"),AND(AC69="Baja",AE69="Catastrófico"),AND(AC69="Media",AE69="Catastrófico"),AND(AC69="Alta",AE69="Catastrófico"),AND(AC69="Muy Alta",AE69="Catastrófico")),"Extremo","")))),"")</f>
        <v>Moderado</v>
      </c>
      <c r="AH69" s="295" t="s">
        <v>205</v>
      </c>
      <c r="AI69" s="300" t="s">
        <v>1264</v>
      </c>
      <c r="AJ69" s="780" t="s">
        <v>1265</v>
      </c>
      <c r="AK69" s="769" t="s">
        <v>1255</v>
      </c>
      <c r="AL69" s="1033">
        <v>45609</v>
      </c>
      <c r="AM69" s="1031" t="s">
        <v>206</v>
      </c>
    </row>
    <row r="70" spans="1:52" s="523" customFormat="1" ht="166.8" customHeight="1" x14ac:dyDescent="0.25">
      <c r="A70" s="912"/>
      <c r="B70" s="2113"/>
      <c r="C70" s="2235"/>
      <c r="D70" s="2235"/>
      <c r="E70" s="3207"/>
      <c r="F70" s="1113" t="s">
        <v>1266</v>
      </c>
      <c r="G70" s="3251"/>
      <c r="H70" s="2965"/>
      <c r="I70" s="2964"/>
      <c r="J70" s="3253"/>
      <c r="K70" s="2250"/>
      <c r="L70" s="2253"/>
      <c r="M70" s="2256"/>
      <c r="N70" s="2259"/>
      <c r="O70" s="2256">
        <f>IF(NOT(ISERROR(MATCH(N70,_xlfn.ANCHORARRAY(G77),0))),M79&amp;"Por favor no seleccionar los criterios de impacto",N70)</f>
        <v>0</v>
      </c>
      <c r="P70" s="2253"/>
      <c r="Q70" s="2256"/>
      <c r="R70" s="2262"/>
      <c r="S70" s="716">
        <v>2</v>
      </c>
      <c r="T70" s="1112" t="s">
        <v>1267</v>
      </c>
      <c r="U70" s="718" t="str">
        <f>IF(OR(V70="Preventivo",V70="Detectivo"),"Probabilidad",IF(V70="Correctivo","Impacto",""))</f>
        <v>Probabilidad</v>
      </c>
      <c r="V70" s="719" t="s">
        <v>207</v>
      </c>
      <c r="W70" s="719" t="s">
        <v>201</v>
      </c>
      <c r="X70" s="720" t="str">
        <f t="shared" ref="X70" si="31">IF(AND(V70="Preventivo",W70="Automático"),"50%",IF(AND(V70="Preventivo",W70="Manual"),"40%",IF(AND(V70="Detectivo",W70="Automático"),"40%",IF(AND(V70="Detectivo",W70="Manual"),"30%",IF(AND(V70="Correctivo",W70="Automático"),"35%",IF(AND(V70="Correctivo",W70="Manual"),"25%",""))))))</f>
        <v>40%</v>
      </c>
      <c r="Y70" s="719" t="s">
        <v>208</v>
      </c>
      <c r="Z70" s="719" t="s">
        <v>203</v>
      </c>
      <c r="AA70" s="719" t="s">
        <v>204</v>
      </c>
      <c r="AB70" s="721">
        <f>IFERROR(IF(AND(U69="Probabilidad",U70="Probabilidad"),(AD69-(+AD69*X70)),IF(AND(U69="Impacto",U70="Probabilidad"),(M69-(+M69*X70)),IF(U70="Impacto",AD69,""))),"")</f>
        <v>0.18</v>
      </c>
      <c r="AC70" s="722" t="str">
        <f t="shared" ref="AC70" si="32">IFERROR(IF(AB70="","",IF(AB70&lt;=0.2,"Muy Baja",IF(AB70&lt;=0.4,"Baja",IF(AB70&lt;=0.6,"Media",IF(AB70&lt;=0.8,"Alta","Muy Alta"))))),"")</f>
        <v>Muy Baja</v>
      </c>
      <c r="AD70" s="723">
        <f>+AB70</f>
        <v>0.18</v>
      </c>
      <c r="AE70" s="722" t="str">
        <f t="shared" ref="AE70" si="33">IFERROR(IF(AF70="","",IF(AF70&lt;=0.2,"Leve",IF(AF70&lt;=0.4,"Menor",IF(AF70&lt;=0.6,"Moderado",IF(AF70&lt;=0.8,"Mayor","Catastrófico"))))),"")</f>
        <v>Moderado</v>
      </c>
      <c r="AF70" s="723">
        <f>IFERROR(IF(AND(U69="Impacto",U70="Impacto"),(AF69-(+AF69*X70)),IF(AND(U69="Probabilidad",U70="Impacto"),(Q69-(+Q69*X70)),IF(U70="Probabilidad",AF69,""))),"")</f>
        <v>0.6</v>
      </c>
      <c r="AG70" s="724" t="str">
        <f t="shared" ref="AG70" si="34">IFERROR(IF(OR(AND(AC70="Muy Baja",AE70="Leve"),AND(AC70="Muy Baja",AE70="Menor"),AND(AC70="Baja",AE70="Leve")),"Bajo",IF(OR(AND(AC70="Muy baja",AE70="Moderado"),AND(AC70="Baja",AE70="Menor"),AND(AC70="Baja",AE70="Moderado"),AND(AC70="Media",AE70="Leve"),AND(AC70="Media",AE70="Menor"),AND(AC70="Media",AE70="Moderado"),AND(AC70="Alta",AE70="Leve"),AND(AC70="Alta",AE70="Menor")),"Moderado",IF(OR(AND(AC70="Muy Baja",AE70="Mayor"),AND(AC70="Baja",AE70="Mayor"),AND(AC70="Media",AE70="Mayor"),AND(AC70="Alta",AE70="Moderado"),AND(AC70="Alta",AE70="Mayor"),AND(AC70="Muy Alta",AE70="Leve"),AND(AC70="Muy Alta",AE70="Menor"),AND(AC70="Muy Alta",AE70="Moderado"),AND(AC70="Muy Alta",AE70="Mayor")),"Alto",IF(OR(AND(AC70="Muy Baja",AE70="Catastrófico"),AND(AC70="Baja",AE70="Catastrófico"),AND(AC70="Media",AE70="Catastrófico"),AND(AC70="Alta",AE70="Catastrófico"),AND(AC70="Muy Alta",AE70="Catastrófico")),"Extremo","")))),"")</f>
        <v>Moderado</v>
      </c>
      <c r="AH70" s="295" t="s">
        <v>205</v>
      </c>
      <c r="AI70" s="300" t="s">
        <v>1268</v>
      </c>
      <c r="AJ70" s="780" t="s">
        <v>1265</v>
      </c>
      <c r="AK70" s="769" t="s">
        <v>1269</v>
      </c>
      <c r="AL70" s="1033">
        <v>45609</v>
      </c>
      <c r="AM70" s="1031" t="s">
        <v>206</v>
      </c>
    </row>
    <row r="71" spans="1:52" s="523" customFormat="1" ht="15.6" x14ac:dyDescent="0.25">
      <c r="A71" s="912"/>
      <c r="B71" s="912"/>
      <c r="C71" s="912"/>
      <c r="D71" s="912"/>
      <c r="E71" s="990"/>
      <c r="F71" s="912"/>
      <c r="G71" s="239"/>
      <c r="H71" s="912"/>
      <c r="I71" s="239"/>
      <c r="J71" s="239"/>
      <c r="K71" s="239"/>
      <c r="L71" s="913"/>
      <c r="M71" s="912"/>
      <c r="N71" s="912"/>
      <c r="O71" s="912"/>
      <c r="P71" s="914"/>
      <c r="Q71" s="912"/>
      <c r="R71" s="991"/>
      <c r="S71" s="992"/>
      <c r="T71" s="993"/>
      <c r="U71" s="994"/>
      <c r="V71" s="994"/>
      <c r="W71" s="995"/>
      <c r="X71" s="994"/>
      <c r="Y71" s="994"/>
      <c r="Z71" s="994"/>
      <c r="AA71" s="996"/>
      <c r="AB71" s="997"/>
      <c r="AC71" s="995"/>
      <c r="AD71" s="997"/>
      <c r="AE71" s="995"/>
      <c r="AF71" s="998"/>
      <c r="AG71" s="999"/>
      <c r="AH71" s="1000"/>
      <c r="AI71" s="1000"/>
      <c r="AJ71" s="1001"/>
      <c r="AK71" s="1001"/>
      <c r="AL71" s="1000"/>
      <c r="AM71" s="1002"/>
    </row>
    <row r="72" spans="1:52" s="523" customFormat="1" ht="28.2" x14ac:dyDescent="0.25">
      <c r="A72" s="912"/>
      <c r="B72" s="2343" t="s">
        <v>156</v>
      </c>
      <c r="C72" s="2344"/>
      <c r="D72" s="2344"/>
      <c r="E72" s="2344"/>
      <c r="F72" s="2344"/>
      <c r="G72" s="2344"/>
      <c r="H72" s="2344"/>
      <c r="I72" s="2344"/>
      <c r="J72" s="2344"/>
      <c r="K72" s="2344"/>
      <c r="L72" s="2344"/>
      <c r="M72" s="2344"/>
      <c r="N72" s="2344"/>
      <c r="O72" s="2344"/>
      <c r="P72" s="2344"/>
      <c r="Q72" s="2344"/>
      <c r="R72" s="2344"/>
      <c r="S72" s="2344"/>
      <c r="T72" s="2344"/>
      <c r="U72" s="2344"/>
      <c r="V72" s="2344"/>
      <c r="W72" s="2344"/>
      <c r="X72" s="2344"/>
      <c r="Y72" s="2344"/>
      <c r="Z72" s="2344"/>
      <c r="AA72" s="2344"/>
      <c r="AB72" s="2344"/>
      <c r="AC72" s="2344"/>
      <c r="AD72" s="2344"/>
      <c r="AE72" s="2344"/>
      <c r="AF72" s="2344"/>
      <c r="AG72" s="2344"/>
      <c r="AH72" s="2344"/>
      <c r="AI72" s="2344"/>
      <c r="AJ72" s="2344"/>
      <c r="AK72" s="2344"/>
      <c r="AL72" s="2344"/>
      <c r="AM72" s="2344"/>
      <c r="AN72" s="2345"/>
      <c r="AO72" s="699"/>
      <c r="AP72" s="700"/>
      <c r="AQ72" s="700"/>
      <c r="AR72" s="700"/>
      <c r="AS72" s="701"/>
      <c r="AT72" s="700"/>
      <c r="AU72" s="700"/>
      <c r="AV72" s="700"/>
      <c r="AW72" s="700"/>
      <c r="AX72" s="700"/>
      <c r="AY72" s="700"/>
      <c r="AZ72" s="700"/>
    </row>
    <row r="73" spans="1:52" s="523" customFormat="1" ht="28.2" x14ac:dyDescent="0.25">
      <c r="A73" s="912"/>
      <c r="B73" s="2346"/>
      <c r="C73" s="2347"/>
      <c r="D73" s="2347"/>
      <c r="E73" s="2347"/>
      <c r="F73" s="2347"/>
      <c r="G73" s="2347"/>
      <c r="H73" s="2347"/>
      <c r="I73" s="2347"/>
      <c r="J73" s="2347"/>
      <c r="K73" s="2347"/>
      <c r="L73" s="2347"/>
      <c r="M73" s="2347"/>
      <c r="N73" s="2347"/>
      <c r="O73" s="2347"/>
      <c r="P73" s="2347"/>
      <c r="Q73" s="2347"/>
      <c r="R73" s="2347"/>
      <c r="S73" s="2347"/>
      <c r="T73" s="2347"/>
      <c r="U73" s="2347"/>
      <c r="V73" s="2347"/>
      <c r="W73" s="2347"/>
      <c r="X73" s="2347"/>
      <c r="Y73" s="2347"/>
      <c r="Z73" s="2347"/>
      <c r="AA73" s="2347"/>
      <c r="AB73" s="2347"/>
      <c r="AC73" s="2347"/>
      <c r="AD73" s="2347"/>
      <c r="AE73" s="2347"/>
      <c r="AF73" s="2347"/>
      <c r="AG73" s="2347"/>
      <c r="AH73" s="2347"/>
      <c r="AI73" s="2347"/>
      <c r="AJ73" s="2347"/>
      <c r="AK73" s="2347"/>
      <c r="AL73" s="2347"/>
      <c r="AM73" s="2347"/>
      <c r="AN73" s="2348"/>
      <c r="AO73" s="699"/>
      <c r="AP73" s="702"/>
      <c r="AQ73" s="700"/>
      <c r="AR73" s="700"/>
      <c r="AS73" s="701"/>
      <c r="AT73" s="700"/>
      <c r="AU73" s="700"/>
      <c r="AV73" s="700"/>
      <c r="AW73" s="700"/>
      <c r="AX73" s="700"/>
      <c r="AY73" s="700"/>
      <c r="AZ73" s="700"/>
    </row>
    <row r="74" spans="1:52" s="523" customFormat="1" x14ac:dyDescent="0.25">
      <c r="A74" s="912"/>
      <c r="B74" s="703"/>
      <c r="C74" s="704"/>
      <c r="D74" s="703"/>
      <c r="E74" s="703"/>
      <c r="F74" s="703"/>
      <c r="G74" s="700"/>
      <c r="H74" s="700"/>
      <c r="I74" s="700"/>
      <c r="J74" s="705"/>
      <c r="K74" s="700"/>
      <c r="L74" s="700"/>
      <c r="M74" s="700"/>
      <c r="N74" s="700"/>
      <c r="O74" s="700"/>
      <c r="P74" s="700"/>
      <c r="Q74" s="700"/>
      <c r="R74" s="700"/>
      <c r="S74" s="700"/>
      <c r="T74" s="700"/>
      <c r="U74" s="700"/>
      <c r="V74" s="700"/>
      <c r="W74" s="700"/>
      <c r="X74" s="700"/>
      <c r="Y74" s="700"/>
      <c r="Z74" s="700"/>
      <c r="AA74" s="700"/>
      <c r="AB74" s="700"/>
      <c r="AC74" s="700"/>
      <c r="AD74" s="700"/>
      <c r="AE74" s="700"/>
      <c r="AF74" s="700"/>
      <c r="AG74" s="700"/>
      <c r="AH74" s="700"/>
      <c r="AI74" s="700"/>
      <c r="AJ74" s="700"/>
      <c r="AK74" s="700"/>
      <c r="AL74" s="700"/>
      <c r="AM74" s="700"/>
      <c r="AN74" s="700"/>
      <c r="AO74" s="700"/>
      <c r="AP74" s="706"/>
      <c r="AQ74" s="700"/>
      <c r="AR74" s="700"/>
      <c r="AS74" s="701"/>
      <c r="AT74" s="700"/>
      <c r="AU74" s="700"/>
      <c r="AV74" s="700"/>
      <c r="AW74" s="700"/>
      <c r="AX74" s="700"/>
      <c r="AY74" s="700"/>
      <c r="AZ74" s="700"/>
    </row>
    <row r="75" spans="1:52" s="523" customFormat="1" ht="61.8" customHeight="1" x14ac:dyDescent="0.25">
      <c r="A75" s="912"/>
      <c r="B75" s="2349" t="s">
        <v>157</v>
      </c>
      <c r="C75" s="2350"/>
      <c r="D75" s="2039" t="s">
        <v>705</v>
      </c>
      <c r="E75" s="2039"/>
      <c r="F75" s="2039"/>
      <c r="G75" s="2039"/>
      <c r="H75" s="2039"/>
      <c r="I75" s="2039"/>
      <c r="J75" s="2039"/>
      <c r="K75" s="2039"/>
      <c r="L75" s="2039"/>
      <c r="M75" s="2039"/>
      <c r="N75" s="2039"/>
      <c r="O75" s="2039"/>
      <c r="P75" s="2039"/>
      <c r="Q75" s="2039"/>
      <c r="R75" s="2039"/>
      <c r="S75" s="2039"/>
      <c r="T75" s="2039"/>
      <c r="U75" s="2039"/>
      <c r="V75" s="2039"/>
      <c r="W75" s="2039"/>
      <c r="X75" s="2039"/>
      <c r="Y75" s="2039"/>
      <c r="Z75" s="2039"/>
      <c r="AA75" s="2039"/>
      <c r="AB75" s="2039"/>
      <c r="AC75" s="2039"/>
      <c r="AD75" s="2039"/>
      <c r="AE75" s="2039"/>
      <c r="AF75" s="2039"/>
      <c r="AG75" s="2039"/>
      <c r="AH75" s="2039"/>
      <c r="AI75" s="2039"/>
      <c r="AJ75" s="2039"/>
      <c r="AK75" s="2039"/>
      <c r="AL75" s="2039"/>
      <c r="AM75" s="2039"/>
      <c r="AN75" s="2039"/>
      <c r="AO75" s="707"/>
      <c r="AP75" s="700"/>
      <c r="AQ75" s="700"/>
      <c r="AR75" s="700"/>
      <c r="AS75" s="701"/>
      <c r="AT75" s="700"/>
      <c r="AU75" s="700"/>
      <c r="AV75" s="700"/>
      <c r="AW75" s="700"/>
      <c r="AX75" s="700"/>
      <c r="AY75" s="700"/>
      <c r="AZ75" s="700"/>
    </row>
    <row r="76" spans="1:52" s="523" customFormat="1" ht="62.4" customHeight="1" x14ac:dyDescent="0.25">
      <c r="A76" s="912"/>
      <c r="B76" s="2349" t="s">
        <v>158</v>
      </c>
      <c r="C76" s="2350"/>
      <c r="D76" s="2040" t="s">
        <v>706</v>
      </c>
      <c r="E76" s="2040"/>
      <c r="F76" s="2040"/>
      <c r="G76" s="2040"/>
      <c r="H76" s="2040"/>
      <c r="I76" s="2040"/>
      <c r="J76" s="2040"/>
      <c r="K76" s="2040"/>
      <c r="L76" s="2040"/>
      <c r="M76" s="2040"/>
      <c r="N76" s="2040"/>
      <c r="O76" s="2040"/>
      <c r="P76" s="2040"/>
      <c r="Q76" s="2040"/>
      <c r="R76" s="2040"/>
      <c r="S76" s="2040"/>
      <c r="T76" s="2040"/>
      <c r="U76" s="2040"/>
      <c r="V76" s="2040"/>
      <c r="W76" s="2040"/>
      <c r="X76" s="2040"/>
      <c r="Y76" s="2040"/>
      <c r="Z76" s="2040"/>
      <c r="AA76" s="2040"/>
      <c r="AB76" s="2040"/>
      <c r="AC76" s="2040"/>
      <c r="AD76" s="2040"/>
      <c r="AE76" s="2040"/>
      <c r="AF76" s="2040"/>
      <c r="AG76" s="2040"/>
      <c r="AH76" s="2040"/>
      <c r="AI76" s="2040"/>
      <c r="AJ76" s="2040"/>
      <c r="AK76" s="2040"/>
      <c r="AL76" s="2040"/>
      <c r="AM76" s="2040"/>
      <c r="AN76" s="2040"/>
      <c r="AO76" s="708"/>
      <c r="AP76" s="709"/>
      <c r="AQ76" s="700"/>
      <c r="AR76" s="700"/>
      <c r="AS76" s="700"/>
      <c r="AT76" s="700"/>
      <c r="AU76" s="700"/>
      <c r="AV76" s="700"/>
      <c r="AW76" s="700"/>
      <c r="AX76" s="700"/>
      <c r="AY76" s="700"/>
      <c r="AZ76" s="700"/>
    </row>
    <row r="77" spans="1:52" s="523" customFormat="1" ht="62.4" customHeight="1" x14ac:dyDescent="0.25">
      <c r="A77" s="912"/>
      <c r="B77" s="2349" t="s">
        <v>159</v>
      </c>
      <c r="C77" s="2350"/>
      <c r="D77" s="2040" t="s">
        <v>687</v>
      </c>
      <c r="E77" s="2040"/>
      <c r="F77" s="2040"/>
      <c r="G77" s="2040"/>
      <c r="H77" s="2040"/>
      <c r="I77" s="2040"/>
      <c r="J77" s="2040"/>
      <c r="K77" s="2040"/>
      <c r="L77" s="2040"/>
      <c r="M77" s="2040"/>
      <c r="N77" s="2040"/>
      <c r="O77" s="2040"/>
      <c r="P77" s="2040"/>
      <c r="Q77" s="2040"/>
      <c r="R77" s="2040"/>
      <c r="S77" s="2040"/>
      <c r="T77" s="2040"/>
      <c r="U77" s="2040"/>
      <c r="V77" s="2040"/>
      <c r="W77" s="2040"/>
      <c r="X77" s="2040"/>
      <c r="Y77" s="2040"/>
      <c r="Z77" s="2040"/>
      <c r="AA77" s="2040"/>
      <c r="AB77" s="2040"/>
      <c r="AC77" s="2040"/>
      <c r="AD77" s="2040"/>
      <c r="AE77" s="2040"/>
      <c r="AF77" s="2040"/>
      <c r="AG77" s="2040"/>
      <c r="AH77" s="2040"/>
      <c r="AI77" s="3248"/>
      <c r="AJ77" s="3248"/>
      <c r="AK77" s="3248"/>
      <c r="AL77" s="3248"/>
      <c r="AM77" s="3248"/>
      <c r="AN77" s="3248"/>
      <c r="AO77" s="708"/>
      <c r="AP77" s="709"/>
      <c r="AQ77" s="700"/>
      <c r="AR77" s="700"/>
      <c r="AS77" s="701"/>
      <c r="AT77" s="700"/>
      <c r="AU77" s="700"/>
      <c r="AV77" s="700"/>
      <c r="AW77" s="700"/>
      <c r="AX77" s="700"/>
      <c r="AY77" s="700"/>
      <c r="AZ77" s="700"/>
    </row>
    <row r="78" spans="1:52" s="523" customFormat="1" ht="56.4" customHeight="1" x14ac:dyDescent="0.25">
      <c r="A78" s="912"/>
      <c r="B78" s="2351" t="s">
        <v>160</v>
      </c>
      <c r="C78" s="2352"/>
      <c r="D78" s="2353"/>
      <c r="E78" s="2353"/>
      <c r="F78" s="2353"/>
      <c r="G78" s="2353"/>
      <c r="H78" s="2353"/>
      <c r="I78" s="2353"/>
      <c r="J78" s="2353"/>
      <c r="K78" s="2354"/>
      <c r="L78" s="2101" t="s">
        <v>161</v>
      </c>
      <c r="M78" s="2353"/>
      <c r="N78" s="2353"/>
      <c r="O78" s="2353"/>
      <c r="P78" s="2353"/>
      <c r="Q78" s="2353"/>
      <c r="R78" s="2354"/>
      <c r="S78" s="2101" t="s">
        <v>162</v>
      </c>
      <c r="T78" s="2353"/>
      <c r="U78" s="2353"/>
      <c r="V78" s="2353"/>
      <c r="W78" s="2353"/>
      <c r="X78" s="2353"/>
      <c r="Y78" s="2353"/>
      <c r="Z78" s="2353"/>
      <c r="AA78" s="2354"/>
      <c r="AB78" s="2101" t="s">
        <v>163</v>
      </c>
      <c r="AC78" s="2353"/>
      <c r="AD78" s="2353"/>
      <c r="AE78" s="2353"/>
      <c r="AF78" s="2353"/>
      <c r="AG78" s="2353"/>
      <c r="AH78" s="2353"/>
      <c r="AI78" s="3249" t="s">
        <v>164</v>
      </c>
      <c r="AJ78" s="3249"/>
      <c r="AK78" s="3249"/>
      <c r="AL78" s="3249"/>
      <c r="AM78" s="3249"/>
      <c r="AN78" s="3249"/>
      <c r="AO78" s="3249"/>
      <c r="AP78" s="3249"/>
      <c r="AQ78" s="3249"/>
      <c r="AR78" s="3249"/>
      <c r="AS78" s="3249"/>
      <c r="AT78" s="3249"/>
      <c r="AU78" s="3249"/>
      <c r="AV78" s="3249"/>
      <c r="AW78" s="3249"/>
      <c r="AX78" s="3249"/>
      <c r="AY78" s="3249"/>
      <c r="AZ78" s="3249"/>
    </row>
    <row r="79" spans="1:52" s="523" customFormat="1" ht="43.2" customHeight="1" x14ac:dyDescent="0.25">
      <c r="A79" s="912"/>
      <c r="B79" s="2140" t="s">
        <v>165</v>
      </c>
      <c r="C79" s="2142" t="s">
        <v>142</v>
      </c>
      <c r="D79" s="2042" t="s">
        <v>166</v>
      </c>
      <c r="E79" s="2042" t="s">
        <v>167</v>
      </c>
      <c r="F79" s="2041" t="s">
        <v>168</v>
      </c>
      <c r="G79" s="2103" t="s">
        <v>60</v>
      </c>
      <c r="H79" s="280"/>
      <c r="I79" s="280"/>
      <c r="J79" s="2041" t="s">
        <v>169</v>
      </c>
      <c r="K79" s="2042" t="s">
        <v>170</v>
      </c>
      <c r="L79" s="2105" t="s">
        <v>171</v>
      </c>
      <c r="M79" s="2100" t="s">
        <v>172</v>
      </c>
      <c r="N79" s="2041" t="s">
        <v>173</v>
      </c>
      <c r="O79" s="2041" t="s">
        <v>174</v>
      </c>
      <c r="P79" s="2102" t="s">
        <v>175</v>
      </c>
      <c r="Q79" s="2100" t="s">
        <v>172</v>
      </c>
      <c r="R79" s="2042" t="s">
        <v>176</v>
      </c>
      <c r="S79" s="2161" t="s">
        <v>177</v>
      </c>
      <c r="T79" s="2043" t="s">
        <v>178</v>
      </c>
      <c r="U79" s="2041" t="s">
        <v>179</v>
      </c>
      <c r="V79" s="2043" t="s">
        <v>180</v>
      </c>
      <c r="W79" s="2043"/>
      <c r="X79" s="2043"/>
      <c r="Y79" s="2043"/>
      <c r="Z79" s="2043"/>
      <c r="AA79" s="2043"/>
      <c r="AB79" s="2099" t="s">
        <v>181</v>
      </c>
      <c r="AC79" s="2099" t="s">
        <v>182</v>
      </c>
      <c r="AD79" s="2099" t="s">
        <v>172</v>
      </c>
      <c r="AE79" s="2099" t="s">
        <v>183</v>
      </c>
      <c r="AF79" s="2099" t="s">
        <v>172</v>
      </c>
      <c r="AG79" s="2099" t="s">
        <v>184</v>
      </c>
      <c r="AH79" s="2161" t="s">
        <v>185</v>
      </c>
      <c r="AI79" s="2042" t="s">
        <v>164</v>
      </c>
      <c r="AJ79" s="2042" t="s">
        <v>143</v>
      </c>
      <c r="AK79" s="2042" t="s">
        <v>186</v>
      </c>
      <c r="AL79" s="3250" t="s">
        <v>187</v>
      </c>
      <c r="AM79" s="3250" t="s">
        <v>688</v>
      </c>
      <c r="AN79" s="3250" t="s">
        <v>189</v>
      </c>
      <c r="AO79" s="2042" t="s">
        <v>187</v>
      </c>
      <c r="AP79" s="712"/>
      <c r="AQ79" s="2042" t="s">
        <v>189</v>
      </c>
      <c r="AR79" s="3250" t="s">
        <v>187</v>
      </c>
      <c r="AS79" s="713"/>
      <c r="AT79" s="3250" t="s">
        <v>189</v>
      </c>
      <c r="AU79" s="2042" t="s">
        <v>187</v>
      </c>
      <c r="AV79" s="2042" t="s">
        <v>1111</v>
      </c>
      <c r="AW79" s="2042" t="s">
        <v>189</v>
      </c>
      <c r="AX79" s="3250" t="s">
        <v>187</v>
      </c>
      <c r="AY79" s="713"/>
      <c r="AZ79" s="3250" t="s">
        <v>189</v>
      </c>
    </row>
    <row r="80" spans="1:52" s="523" customFormat="1" ht="77.400000000000006" customHeight="1" x14ac:dyDescent="0.25">
      <c r="A80" s="912"/>
      <c r="B80" s="2141"/>
      <c r="C80" s="2104"/>
      <c r="D80" s="2041"/>
      <c r="E80" s="2041"/>
      <c r="F80" s="2105"/>
      <c r="G80" s="2104"/>
      <c r="H80" s="280" t="s">
        <v>511</v>
      </c>
      <c r="I80" s="280" t="s">
        <v>190</v>
      </c>
      <c r="J80" s="2105"/>
      <c r="K80" s="2041"/>
      <c r="L80" s="2105"/>
      <c r="M80" s="2100"/>
      <c r="N80" s="2105"/>
      <c r="O80" s="2042"/>
      <c r="P80" s="2101"/>
      <c r="Q80" s="2100"/>
      <c r="R80" s="2041"/>
      <c r="S80" s="2162"/>
      <c r="T80" s="2043"/>
      <c r="U80" s="2042"/>
      <c r="V80" s="281" t="s">
        <v>191</v>
      </c>
      <c r="W80" s="281" t="s">
        <v>192</v>
      </c>
      <c r="X80" s="281" t="s">
        <v>193</v>
      </c>
      <c r="Y80" s="281" t="s">
        <v>194</v>
      </c>
      <c r="Z80" s="281" t="s">
        <v>195</v>
      </c>
      <c r="AA80" s="281" t="s">
        <v>196</v>
      </c>
      <c r="AB80" s="2099"/>
      <c r="AC80" s="2099"/>
      <c r="AD80" s="2099"/>
      <c r="AE80" s="2099"/>
      <c r="AF80" s="2099"/>
      <c r="AG80" s="2099"/>
      <c r="AH80" s="2162"/>
      <c r="AI80" s="2043"/>
      <c r="AJ80" s="2043"/>
      <c r="AK80" s="2043"/>
      <c r="AL80" s="2361"/>
      <c r="AM80" s="2360"/>
      <c r="AN80" s="2360"/>
      <c r="AO80" s="2041"/>
      <c r="AP80" s="710" t="s">
        <v>689</v>
      </c>
      <c r="AQ80" s="2041"/>
      <c r="AR80" s="2361"/>
      <c r="AS80" s="714" t="s">
        <v>690</v>
      </c>
      <c r="AT80" s="2360"/>
      <c r="AU80" s="2041"/>
      <c r="AV80" s="2041"/>
      <c r="AW80" s="2041"/>
      <c r="AX80" s="2361"/>
      <c r="AY80" s="714" t="s">
        <v>1270</v>
      </c>
      <c r="AZ80" s="2360"/>
    </row>
    <row r="81" spans="1:52" s="523" customFormat="1" ht="294.60000000000002" customHeight="1" x14ac:dyDescent="0.25">
      <c r="A81" s="912"/>
      <c r="B81" s="3234">
        <v>1</v>
      </c>
      <c r="C81" s="3236" t="s">
        <v>209</v>
      </c>
      <c r="D81" s="3237" t="s">
        <v>691</v>
      </c>
      <c r="E81" s="3237" t="s">
        <v>1271</v>
      </c>
      <c r="F81" s="811" t="s">
        <v>1272</v>
      </c>
      <c r="G81" s="3238" t="s">
        <v>1273</v>
      </c>
      <c r="H81" s="3238" t="s">
        <v>512</v>
      </c>
      <c r="I81" s="3238" t="s">
        <v>1274</v>
      </c>
      <c r="J81" s="3236" t="s">
        <v>198</v>
      </c>
      <c r="K81" s="3239">
        <v>240</v>
      </c>
      <c r="L81" s="3240" t="str">
        <f>IF(K81&lt;=0,"",IF(K81&lt;=2,"Muy Baja",IF(K81&lt;=24,"Baja",IF(K81&lt;=500,"Media",IF(K81&lt;=5000,"Alta","Muy Alta")))))</f>
        <v>Media</v>
      </c>
      <c r="M81" s="3241">
        <f>IF(L81="","",IF(L81="Muy Baja",0.2,IF(L81="Baja",0.4,IF(L81="Media",0.6,IF(L81="Alta",0.8,IF(L81="Muy Alta",1,))))))</f>
        <v>0.6</v>
      </c>
      <c r="N81" s="3242" t="s">
        <v>199</v>
      </c>
      <c r="O81" s="3243" t="str">
        <f>IF(NOT(ISERROR(MATCH(N81,'[51]Tabla Impacto'!$B$221:$B$223,0))),'[51]Tabla Impacto'!$F$223&amp;"Por favor no seleccionar los criterios de impacto(Afectación Económica o presupuestal y Pérdida Reputacional)",N81)</f>
        <v xml:space="preserve">     El riesgo afecta la imagen de de la entidad con efecto publicitario sostenido a nivel de sector administrativo, nivel departamental o municipal</v>
      </c>
      <c r="P81" s="3245" t="str">
        <f>IF(OR(O81='[51]Tabla Impacto'!$C$11,O81='[51]Tabla Impacto'!$D$11),"Leve",IF(OR(O81='[51]Tabla Impacto'!$C$12,O81='[51]Tabla Impacto'!$D$12),"Menor",IF(OR(O81='[51]Tabla Impacto'!$C$13,O81='[51]Tabla Impacto'!$D$13),"Moderado",IF(OR(O81='[51]Tabla Impacto'!$C$14,O81='[51]Tabla Impacto'!$D$14),"Mayor",IF(OR(O81='[51]Tabla Impacto'!$C$15,O81='[51]Tabla Impacto'!$D$15),"Catastrófico","")))))</f>
        <v>Mayor</v>
      </c>
      <c r="Q81" s="3241">
        <f>IF(P81="","",IF(P81="Leve",0.2,IF(P81="Menor",0.4,IF(P81="Moderado",0.6,IF(P81="Mayor",0.8,IF(P81="Catastrófico",1,))))))</f>
        <v>0.8</v>
      </c>
      <c r="R81" s="3247" t="str">
        <f>IF(OR(AND(L81="Muy Baja",P81="Leve"),AND(L81="Muy Baja",P81="Menor"),AND(L81="Baja",P81="Leve")),"Bajo",IF(OR(AND(L81="Muy baja",P81="Moderado"),AND(L81="Baja",P81="Menor"),AND(L81="Baja",P81="Moderado"),AND(L81="Media",P81="Leve"),AND(L81="Media",P81="Menor"),AND(L81="Media",P81="Moderado"),AND(L81="Alta",P81="Leve"),AND(L81="Alta",P81="Menor")),"Moderado",IF(OR(AND(L81="Muy Baja",P81="Mayor"),AND(L81="Baja",P81="Mayor"),AND(L81="Media",P81="Mayor"),AND(L81="Alta",P81="Moderado"),AND(L81="Alta",P81="Mayor"),AND(L81="Muy Alta",P81="Leve"),AND(L81="Muy Alta",P81="Menor"),AND(L81="Muy Alta",P81="Moderado"),AND(L81="Muy Alta",P81="Mayor")),"Alto",IF(OR(AND(L81="Muy Baja",P81="Catastrófico"),AND(L81="Baja",P81="Catastrófico"),AND(L81="Media",P81="Catastrófico"),AND(L81="Alta",P81="Catastrófico"),AND(L81="Muy Alta",P81="Catastrófico")),"Extremo",""))))</f>
        <v>Alto</v>
      </c>
      <c r="S81" s="1034">
        <v>1</v>
      </c>
      <c r="T81" s="717" t="s">
        <v>1275</v>
      </c>
      <c r="U81" s="718" t="str">
        <f>IF(OR(V81="Preventivo",V81="Detectivo"),"Probabilidad",IF(V81="Correctivo","Impacto",""))</f>
        <v>Probabilidad</v>
      </c>
      <c r="V81" s="719" t="s">
        <v>207</v>
      </c>
      <c r="W81" s="719" t="s">
        <v>201</v>
      </c>
      <c r="X81" s="720" t="str">
        <f>IF(AND(V81="Preventivo",W81="Automático"),"50%",IF(AND(V81="Preventivo",W81="Manual"),"40%",IF(AND(V81="Detectivo",W81="Automático"),"40%",IF(AND(V81="Detectivo",W81="Manual"),"30%",IF(AND(V81="Correctivo",W81="Automático"),"35%",IF(AND(V81="Correctivo",W81="Manual"),"25%",""))))))</f>
        <v>40%</v>
      </c>
      <c r="Y81" s="719" t="s">
        <v>208</v>
      </c>
      <c r="Z81" s="719" t="s">
        <v>203</v>
      </c>
      <c r="AA81" s="719" t="s">
        <v>204</v>
      </c>
      <c r="AB81" s="721">
        <f>IFERROR(IF(U81="Probabilidad",(M81-(+M81*X81)),IF(U81="Impacto",M81,"")),"")</f>
        <v>0.36</v>
      </c>
      <c r="AC81" s="722" t="str">
        <f>IFERROR(IF(AB81="","",IF(AB81&lt;=0.2,"Muy Baja",IF(AB81&lt;=0.4,"Baja",IF(AB81&lt;=0.6,"Media",IF(AB81&lt;=0.8,"Alta","Muy Alta"))))),"")</f>
        <v>Baja</v>
      </c>
      <c r="AD81" s="723">
        <f>+AB81</f>
        <v>0.36</v>
      </c>
      <c r="AE81" s="722" t="str">
        <f>IFERROR(IF(AF81="","",IF(AF81&lt;=0.2,"Leve",IF(AF81&lt;=0.4,"Menor",IF(AF81&lt;=0.6,"Moderado",IF(AF81&lt;=0.8,"Mayor","Catastrófico"))))),"")</f>
        <v>Mayor</v>
      </c>
      <c r="AF81" s="723">
        <f>IFERROR(IF(U81="Impacto",(Q81-(+Q81*X81)),IF(U81="Probabilidad",Q81,"")),"")</f>
        <v>0.8</v>
      </c>
      <c r="AG81" s="724" t="str">
        <f>IFERROR(IF(OR(AND(AC81="Muy Baja",AE81="Leve"),AND(AC81="Muy Baja",AE81="Menor"),AND(AC81="Baja",AE81="Leve")),"Bajo",IF(OR(AND(AC81="Muy baja",AE81="Moderado"),AND(AC81="Baja",AE81="Menor"),AND(AC81="Baja",AE81="Moderado"),AND(AC81="Media",AE81="Leve"),AND(AC81="Media",AE81="Menor"),AND(AC81="Media",AE81="Moderado"),AND(AC81="Alta",AE81="Leve"),AND(AC81="Alta",AE81="Menor")),"Moderado",IF(OR(AND(AC81="Muy Baja",AE81="Mayor"),AND(AC81="Baja",AE81="Mayor"),AND(AC81="Media",AE81="Mayor"),AND(AC81="Alta",AE81="Moderado"),AND(AC81="Alta",AE81="Mayor"),AND(AC81="Muy Alta",AE81="Leve"),AND(AC81="Muy Alta",AE81="Menor"),AND(AC81="Muy Alta",AE81="Moderado"),AND(AC81="Muy Alta",AE81="Mayor")),"Alto",IF(OR(AND(AC81="Muy Baja",AE81="Catastrófico"),AND(AC81="Baja",AE81="Catastrófico"),AND(AC81="Media",AE81="Catastrófico"),AND(AC81="Alta",AE81="Catastrófico"),AND(AC81="Muy Alta",AE81="Catastrófico")),"Extremo","")))),"")</f>
        <v>Alto</v>
      </c>
      <c r="AH81" s="2282" t="s">
        <v>205</v>
      </c>
      <c r="AI81" s="725" t="s">
        <v>1113</v>
      </c>
      <c r="AJ81" s="726" t="s">
        <v>697</v>
      </c>
      <c r="AK81" s="727">
        <v>45168</v>
      </c>
      <c r="AL81" s="728">
        <v>45338</v>
      </c>
      <c r="AM81" s="729" t="s">
        <v>698</v>
      </c>
      <c r="AN81" s="730" t="s">
        <v>206</v>
      </c>
      <c r="AO81" s="728">
        <v>45412</v>
      </c>
      <c r="AP81" s="731" t="s">
        <v>699</v>
      </c>
      <c r="AQ81" s="730" t="s">
        <v>206</v>
      </c>
      <c r="AR81" s="728">
        <v>45420</v>
      </c>
      <c r="AS81" s="731" t="s">
        <v>700</v>
      </c>
      <c r="AT81" s="730" t="s">
        <v>206</v>
      </c>
      <c r="AU81" s="728">
        <v>45534</v>
      </c>
      <c r="AV81" s="731" t="s">
        <v>1114</v>
      </c>
      <c r="AW81" s="730" t="s">
        <v>206</v>
      </c>
      <c r="AX81" s="728">
        <v>45595</v>
      </c>
      <c r="AY81" s="731" t="s">
        <v>1276</v>
      </c>
      <c r="AZ81" s="730" t="s">
        <v>206</v>
      </c>
    </row>
    <row r="82" spans="1:52" s="523" customFormat="1" ht="184.8" customHeight="1" x14ac:dyDescent="0.25">
      <c r="A82" s="912"/>
      <c r="B82" s="3235"/>
      <c r="C82" s="3236"/>
      <c r="D82" s="3237"/>
      <c r="E82" s="3237"/>
      <c r="F82" s="811" t="s">
        <v>701</v>
      </c>
      <c r="G82" s="3238"/>
      <c r="H82" s="3238"/>
      <c r="I82" s="3238"/>
      <c r="J82" s="3236"/>
      <c r="K82" s="3239"/>
      <c r="L82" s="3240"/>
      <c r="M82" s="3241"/>
      <c r="N82" s="3242"/>
      <c r="O82" s="3244">
        <f>IF(NOT(ISERROR(MATCH(N82,_xlfn.ANCHORARRAY(G90),0))),M92&amp;"Por favor no seleccionar los criterios de impacto",N82)</f>
        <v>0</v>
      </c>
      <c r="P82" s="3246"/>
      <c r="Q82" s="3241"/>
      <c r="R82" s="3247"/>
      <c r="S82" s="1034">
        <v>2</v>
      </c>
      <c r="T82" s="717" t="s">
        <v>1115</v>
      </c>
      <c r="U82" s="718" t="str">
        <f>IF(OR(V82="Preventivo",V82="Detectivo"),"Probabilidad",IF(V82="Correctivo","Impacto",""))</f>
        <v>Probabilidad</v>
      </c>
      <c r="V82" s="719" t="s">
        <v>207</v>
      </c>
      <c r="W82" s="719" t="s">
        <v>201</v>
      </c>
      <c r="X82" s="720" t="str">
        <f>IF(AND(V82="Preventivo",W82="Automático"),"50%",IF(AND(V82="Preventivo",W82="Manual"),"40%",IF(AND(V82="Detectivo",W82="Automático"),"40%",IF(AND(V82="Detectivo",W82="Manual"),"30%",IF(AND(V82="Correctivo",W82="Automático"),"35%",IF(AND(V82="Correctivo",W82="Manual"),"25%",""))))))</f>
        <v>40%</v>
      </c>
      <c r="Y82" s="719" t="s">
        <v>202</v>
      </c>
      <c r="Z82" s="719" t="s">
        <v>203</v>
      </c>
      <c r="AA82" s="719" t="s">
        <v>204</v>
      </c>
      <c r="AB82" s="721">
        <f>IFERROR(IF(AND(U81="Probabilidad",U82="Probabilidad"),(AD81-(+AD81*X82)),IF(AND(U81="Impacto",U82="Probabilidad"),(M81-(+M81*X82)),IF(U82="Impacto",AD81,""))),"")</f>
        <v>0.216</v>
      </c>
      <c r="AC82" s="722" t="str">
        <f t="shared" ref="AC82:AC83" si="35">IFERROR(IF(AB82="","",IF(AB82&lt;=0.2,"Muy Baja",IF(AB82&lt;=0.4,"Baja",IF(AB82&lt;=0.6,"Media",IF(AB82&lt;=0.8,"Alta","Muy Alta"))))),"")</f>
        <v>Baja</v>
      </c>
      <c r="AD82" s="723">
        <f>+AB82</f>
        <v>0.216</v>
      </c>
      <c r="AE82" s="722" t="str">
        <f t="shared" ref="AE82:AE83" si="36">IFERROR(IF(AF82="","",IF(AF82&lt;=0.2,"Leve",IF(AF82&lt;=0.4,"Menor",IF(AF82&lt;=0.6,"Moderado",IF(AF82&lt;=0.8,"Mayor","Catastrófico"))))),"")</f>
        <v>Mayor</v>
      </c>
      <c r="AF82" s="723">
        <f>IFERROR(IF(AND(U81="Impacto",U82="Impacto"),(AF81-(+AF81*X82)),IF(AND(U81="Probabilidad",U82="Impacto"),(Q81-(+Q81*X82)),IF(U82="Probabilidad",AF81,""))),"")</f>
        <v>0.8</v>
      </c>
      <c r="AG82" s="724" t="str">
        <f t="shared" ref="AG82:AG83" si="37">IFERROR(IF(OR(AND(AC82="Muy Baja",AE82="Leve"),AND(AC82="Muy Baja",AE82="Menor"),AND(AC82="Baja",AE82="Leve")),"Bajo",IF(OR(AND(AC82="Muy baja",AE82="Moderado"),AND(AC82="Baja",AE82="Menor"),AND(AC82="Baja",AE82="Moderado"),AND(AC82="Media",AE82="Leve"),AND(AC82="Media",AE82="Menor"),AND(AC82="Media",AE82="Moderado"),AND(AC82="Alta",AE82="Leve"),AND(AC82="Alta",AE82="Menor")),"Moderado",IF(OR(AND(AC82="Muy Baja",AE82="Mayor"),AND(AC82="Baja",AE82="Mayor"),AND(AC82="Media",AE82="Mayor"),AND(AC82="Alta",AE82="Moderado"),AND(AC82="Alta",AE82="Mayor"),AND(AC82="Muy Alta",AE82="Leve"),AND(AC82="Muy Alta",AE82="Menor"),AND(AC82="Muy Alta",AE82="Moderado"),AND(AC82="Muy Alta",AE82="Mayor")),"Alto",IF(OR(AND(AC82="Muy Baja",AE82="Catastrófico"),AND(AC82="Baja",AE82="Catastrófico"),AND(AC82="Media",AE82="Catastrófico"),AND(AC82="Alta",AE82="Catastrófico"),AND(AC82="Muy Alta",AE82="Catastrófico")),"Extremo","")))),"")</f>
        <v>Alto</v>
      </c>
      <c r="AH82" s="2283"/>
      <c r="AI82" s="725" t="s">
        <v>1116</v>
      </c>
      <c r="AJ82" s="726" t="s">
        <v>697</v>
      </c>
      <c r="AK82" s="727">
        <v>45168</v>
      </c>
      <c r="AL82" s="728">
        <v>45338</v>
      </c>
      <c r="AM82" s="733" t="s">
        <v>702</v>
      </c>
      <c r="AN82" s="730" t="s">
        <v>206</v>
      </c>
      <c r="AO82" s="728">
        <v>45412</v>
      </c>
      <c r="AP82" s="731" t="s">
        <v>699</v>
      </c>
      <c r="AQ82" s="730" t="s">
        <v>206</v>
      </c>
      <c r="AR82" s="728">
        <v>45420</v>
      </c>
      <c r="AS82" s="733" t="s">
        <v>702</v>
      </c>
      <c r="AT82" s="730" t="s">
        <v>206</v>
      </c>
      <c r="AU82" s="728">
        <v>45534</v>
      </c>
      <c r="AV82" s="731" t="s">
        <v>1117</v>
      </c>
      <c r="AW82" s="730" t="s">
        <v>206</v>
      </c>
      <c r="AX82" s="728">
        <v>45595</v>
      </c>
      <c r="AY82" s="731" t="s">
        <v>1277</v>
      </c>
      <c r="AZ82" s="730" t="s">
        <v>206</v>
      </c>
    </row>
    <row r="83" spans="1:52" s="523" customFormat="1" ht="207.6" customHeight="1" x14ac:dyDescent="0.25">
      <c r="A83" s="912"/>
      <c r="B83" s="3235"/>
      <c r="C83" s="3236"/>
      <c r="D83" s="3237"/>
      <c r="E83" s="3237"/>
      <c r="F83" s="811" t="s">
        <v>1278</v>
      </c>
      <c r="G83" s="3238"/>
      <c r="H83" s="3238"/>
      <c r="I83" s="3238"/>
      <c r="J83" s="3236"/>
      <c r="K83" s="3239"/>
      <c r="L83" s="3240"/>
      <c r="M83" s="3241"/>
      <c r="N83" s="3242"/>
      <c r="O83" s="3244">
        <f>IF(NOT(ISERROR(MATCH(N83,_xlfn.ANCHORARRAY(G91),0))),M93&amp;"Por favor no seleccionar los criterios de impacto",N83)</f>
        <v>0</v>
      </c>
      <c r="P83" s="3246"/>
      <c r="Q83" s="3241"/>
      <c r="R83" s="3247"/>
      <c r="S83" s="1034">
        <v>3</v>
      </c>
      <c r="T83" s="717" t="s">
        <v>1118</v>
      </c>
      <c r="U83" s="718" t="str">
        <f>IF(OR(V83="Preventivo",V83="Detectivo"),"Probabilidad",IF(V83="Correctivo","Impacto",""))</f>
        <v>Probabilidad</v>
      </c>
      <c r="V83" s="719" t="s">
        <v>207</v>
      </c>
      <c r="W83" s="719" t="s">
        <v>201</v>
      </c>
      <c r="X83" s="720" t="str">
        <f>IF(AND(V83="Preventivo",W83="Automático"),"50%",IF(AND(V83="Preventivo",W83="Manual"),"40%",IF(AND(V83="Detectivo",W83="Automático"),"40%",IF(AND(V83="Detectivo",W83="Manual"),"30%",IF(AND(V83="Correctivo",W83="Automático"),"35%",IF(AND(V83="Correctivo",W83="Manual"),"25%",""))))))</f>
        <v>40%</v>
      </c>
      <c r="Y83" s="719" t="s">
        <v>202</v>
      </c>
      <c r="Z83" s="719" t="s">
        <v>203</v>
      </c>
      <c r="AA83" s="719" t="s">
        <v>204</v>
      </c>
      <c r="AB83" s="721">
        <f>IFERROR(IF(AND(U82="Probabilidad",U83="Probabilidad"),(AD82-(+AD82*X83)),IF(AND(U82="Impacto",U83="Probabilidad"),(AD81-(+AD81*X83)),IF(U83="Impacto",AD82,""))),"")</f>
        <v>0.12959999999999999</v>
      </c>
      <c r="AC83" s="722" t="str">
        <f t="shared" si="35"/>
        <v>Muy Baja</v>
      </c>
      <c r="AD83" s="723">
        <f t="shared" ref="AD83" si="38">+AB83</f>
        <v>0.12959999999999999</v>
      </c>
      <c r="AE83" s="722" t="str">
        <f t="shared" si="36"/>
        <v>Mayor</v>
      </c>
      <c r="AF83" s="723">
        <f t="shared" ref="AF83" si="39">IFERROR(IF(AND(U82="Impacto",U83="Impacto"),(AF82-(+AF82*X83)),IF(AND(U82="Probabilidad",U83="Impacto"),(AF81-(+AF81*X83)),IF(U83="Probabilidad",AF82,""))),"")</f>
        <v>0.8</v>
      </c>
      <c r="AG83" s="724" t="str">
        <f t="shared" si="37"/>
        <v>Alto</v>
      </c>
      <c r="AH83" s="2284"/>
      <c r="AI83" s="725" t="s">
        <v>1119</v>
      </c>
      <c r="AJ83" s="726" t="s">
        <v>697</v>
      </c>
      <c r="AK83" s="727">
        <v>45168</v>
      </c>
      <c r="AL83" s="727">
        <v>45345</v>
      </c>
      <c r="AM83" s="731" t="s">
        <v>703</v>
      </c>
      <c r="AN83" s="730" t="s">
        <v>206</v>
      </c>
      <c r="AO83" s="728">
        <v>45383</v>
      </c>
      <c r="AP83" s="735" t="s">
        <v>704</v>
      </c>
      <c r="AQ83" s="730" t="s">
        <v>206</v>
      </c>
      <c r="AR83" s="728">
        <v>45420</v>
      </c>
      <c r="AS83" s="731" t="s">
        <v>700</v>
      </c>
      <c r="AT83" s="730" t="s">
        <v>206</v>
      </c>
      <c r="AU83" s="728">
        <v>45534</v>
      </c>
      <c r="AV83" s="731" t="s">
        <v>1120</v>
      </c>
      <c r="AW83" s="730" t="s">
        <v>206</v>
      </c>
      <c r="AX83" s="728">
        <v>45595</v>
      </c>
      <c r="AY83" s="731" t="s">
        <v>1276</v>
      </c>
      <c r="AZ83" s="730" t="s">
        <v>206</v>
      </c>
    </row>
    <row r="84" spans="1:52" s="523" customFormat="1" ht="19.8" customHeight="1" x14ac:dyDescent="0.25">
      <c r="A84" s="912"/>
      <c r="B84" s="2343" t="s">
        <v>156</v>
      </c>
      <c r="C84" s="2344"/>
      <c r="D84" s="2344"/>
      <c r="E84" s="2344"/>
      <c r="F84" s="2344"/>
      <c r="G84" s="2344"/>
      <c r="H84" s="2344"/>
      <c r="I84" s="2344"/>
      <c r="J84" s="2344"/>
      <c r="K84" s="2344"/>
      <c r="L84" s="2344"/>
      <c r="M84" s="2344"/>
      <c r="N84" s="2344"/>
      <c r="O84" s="2344"/>
      <c r="P84" s="2344"/>
      <c r="Q84" s="2344"/>
      <c r="R84" s="2344"/>
      <c r="S84" s="2344"/>
      <c r="T84" s="2344"/>
      <c r="U84" s="2344"/>
      <c r="V84" s="2344"/>
      <c r="W84" s="2344"/>
      <c r="X84" s="2344"/>
      <c r="Y84" s="2344"/>
      <c r="Z84" s="2344"/>
      <c r="AA84" s="2344"/>
      <c r="AB84" s="2344"/>
      <c r="AC84" s="2344"/>
      <c r="AD84" s="2344"/>
      <c r="AE84" s="2344"/>
      <c r="AF84" s="2344"/>
      <c r="AG84" s="2344"/>
      <c r="AH84" s="2344"/>
      <c r="AI84" s="2344"/>
      <c r="AJ84" s="2344"/>
      <c r="AK84" s="2344"/>
      <c r="AL84" s="2344"/>
      <c r="AM84" s="2344"/>
      <c r="AN84" s="2345"/>
    </row>
    <row r="85" spans="1:52" s="523" customFormat="1" ht="61.2" customHeight="1" x14ac:dyDescent="0.25">
      <c r="A85" s="912"/>
      <c r="B85" s="2346"/>
      <c r="C85" s="2347"/>
      <c r="D85" s="2347"/>
      <c r="E85" s="2347"/>
      <c r="F85" s="2347"/>
      <c r="G85" s="2347"/>
      <c r="H85" s="2347"/>
      <c r="I85" s="2347"/>
      <c r="J85" s="2347"/>
      <c r="K85" s="2347"/>
      <c r="L85" s="2347"/>
      <c r="M85" s="2347"/>
      <c r="N85" s="2347"/>
      <c r="O85" s="2347"/>
      <c r="P85" s="2347"/>
      <c r="Q85" s="2347"/>
      <c r="R85" s="2347"/>
      <c r="S85" s="2347"/>
      <c r="T85" s="2347"/>
      <c r="U85" s="2347"/>
      <c r="V85" s="2347"/>
      <c r="W85" s="2347"/>
      <c r="X85" s="2347"/>
      <c r="Y85" s="2347"/>
      <c r="Z85" s="2347"/>
      <c r="AA85" s="2347"/>
      <c r="AB85" s="2347"/>
      <c r="AC85" s="2347"/>
      <c r="AD85" s="2347"/>
      <c r="AE85" s="2347"/>
      <c r="AF85" s="2347"/>
      <c r="AG85" s="2347"/>
      <c r="AH85" s="2347"/>
      <c r="AI85" s="2347"/>
      <c r="AJ85" s="2347"/>
      <c r="AK85" s="2347"/>
      <c r="AL85" s="2347"/>
      <c r="AM85" s="2347"/>
      <c r="AN85" s="2348"/>
    </row>
    <row r="86" spans="1:52" s="523" customFormat="1" x14ac:dyDescent="0.25">
      <c r="A86" s="912"/>
      <c r="B86" s="703"/>
      <c r="C86" s="704"/>
      <c r="D86" s="703"/>
      <c r="E86" s="703"/>
      <c r="F86" s="703"/>
      <c r="G86" s="700"/>
      <c r="H86" s="700"/>
      <c r="I86" s="700"/>
      <c r="J86" s="705"/>
      <c r="K86" s="700"/>
      <c r="L86" s="700"/>
      <c r="M86" s="700"/>
      <c r="N86" s="700"/>
      <c r="O86" s="700"/>
      <c r="P86" s="700"/>
      <c r="Q86" s="700"/>
      <c r="R86" s="700"/>
      <c r="S86" s="700"/>
      <c r="T86" s="700"/>
      <c r="U86" s="700"/>
      <c r="V86" s="700"/>
      <c r="W86" s="700"/>
      <c r="X86" s="700"/>
      <c r="Y86" s="700"/>
      <c r="Z86" s="700"/>
      <c r="AA86" s="700"/>
      <c r="AB86" s="700"/>
      <c r="AC86" s="700"/>
      <c r="AD86" s="700"/>
      <c r="AE86" s="700"/>
      <c r="AF86" s="700"/>
      <c r="AG86" s="700"/>
      <c r="AH86" s="700"/>
      <c r="AI86" s="700"/>
      <c r="AJ86" s="743"/>
      <c r="AK86" s="743"/>
      <c r="AL86" s="743"/>
      <c r="AM86" s="700"/>
      <c r="AN86" s="700"/>
    </row>
    <row r="87" spans="1:52" s="523" customFormat="1" ht="58.8" customHeight="1" x14ac:dyDescent="0.25">
      <c r="A87" s="912"/>
      <c r="B87" s="2349" t="s">
        <v>157</v>
      </c>
      <c r="C87" s="2350"/>
      <c r="D87" s="2039" t="s">
        <v>299</v>
      </c>
      <c r="E87" s="2039"/>
      <c r="F87" s="2039"/>
      <c r="G87" s="2039"/>
      <c r="H87" s="2039"/>
      <c r="I87" s="2039"/>
      <c r="J87" s="2039"/>
      <c r="K87" s="2039"/>
      <c r="L87" s="2039"/>
      <c r="M87" s="2039"/>
      <c r="N87" s="2039"/>
      <c r="O87" s="2039"/>
      <c r="P87" s="2039"/>
      <c r="Q87" s="2039"/>
      <c r="R87" s="2039"/>
      <c r="S87" s="2039"/>
      <c r="T87" s="2039"/>
      <c r="U87" s="2039"/>
      <c r="V87" s="2039"/>
      <c r="W87" s="2039"/>
      <c r="X87" s="2039"/>
      <c r="Y87" s="2039"/>
      <c r="Z87" s="2039"/>
      <c r="AA87" s="2039"/>
      <c r="AB87" s="2039"/>
      <c r="AC87" s="2039"/>
      <c r="AD87" s="2039"/>
      <c r="AE87" s="2039"/>
      <c r="AF87" s="2039"/>
      <c r="AG87" s="2039"/>
      <c r="AH87" s="2039"/>
      <c r="AI87" s="2039"/>
      <c r="AJ87" s="2039"/>
      <c r="AK87" s="2039"/>
      <c r="AL87" s="2039"/>
      <c r="AM87" s="2039"/>
      <c r="AN87" s="2039"/>
    </row>
    <row r="88" spans="1:52" s="523" customFormat="1" ht="80.400000000000006" customHeight="1" x14ac:dyDescent="0.25">
      <c r="A88" s="912"/>
      <c r="B88" s="2349" t="s">
        <v>158</v>
      </c>
      <c r="C88" s="2350"/>
      <c r="D88" s="2040" t="s">
        <v>1121</v>
      </c>
      <c r="E88" s="2040"/>
      <c r="F88" s="2040"/>
      <c r="G88" s="2040"/>
      <c r="H88" s="2040"/>
      <c r="I88" s="2040"/>
      <c r="J88" s="2040"/>
      <c r="K88" s="2040"/>
      <c r="L88" s="2040"/>
      <c r="M88" s="2040"/>
      <c r="N88" s="2040"/>
      <c r="O88" s="2040"/>
      <c r="P88" s="2040"/>
      <c r="Q88" s="2040"/>
      <c r="R88" s="2040"/>
      <c r="S88" s="2040"/>
      <c r="T88" s="2040"/>
      <c r="U88" s="2040"/>
      <c r="V88" s="2040"/>
      <c r="W88" s="2040"/>
      <c r="X88" s="2040"/>
      <c r="Y88" s="2040"/>
      <c r="Z88" s="2040"/>
      <c r="AA88" s="2040"/>
      <c r="AB88" s="2040"/>
      <c r="AC88" s="2040"/>
      <c r="AD88" s="2040"/>
      <c r="AE88" s="2040"/>
      <c r="AF88" s="2040"/>
      <c r="AG88" s="2040"/>
      <c r="AH88" s="2040"/>
      <c r="AI88" s="2040"/>
      <c r="AJ88" s="2040"/>
      <c r="AK88" s="2040"/>
      <c r="AL88" s="2040"/>
      <c r="AM88" s="2040"/>
      <c r="AN88" s="2040"/>
    </row>
    <row r="89" spans="1:52" s="523" customFormat="1" ht="80.400000000000006" customHeight="1" x14ac:dyDescent="0.25">
      <c r="A89" s="912"/>
      <c r="B89" s="2349" t="s">
        <v>159</v>
      </c>
      <c r="C89" s="2350"/>
      <c r="D89" s="2040" t="s">
        <v>1122</v>
      </c>
      <c r="E89" s="2040"/>
      <c r="F89" s="2040"/>
      <c r="G89" s="2040"/>
      <c r="H89" s="2040"/>
      <c r="I89" s="2040"/>
      <c r="J89" s="2040"/>
      <c r="K89" s="2040"/>
      <c r="L89" s="2040"/>
      <c r="M89" s="2040"/>
      <c r="N89" s="2040"/>
      <c r="O89" s="2040"/>
      <c r="P89" s="2040"/>
      <c r="Q89" s="2040"/>
      <c r="R89" s="2040"/>
      <c r="S89" s="2040"/>
      <c r="T89" s="2040"/>
      <c r="U89" s="2040"/>
      <c r="V89" s="2040"/>
      <c r="W89" s="2040"/>
      <c r="X89" s="2040"/>
      <c r="Y89" s="2040"/>
      <c r="Z89" s="2040"/>
      <c r="AA89" s="2040"/>
      <c r="AB89" s="2040"/>
      <c r="AC89" s="2040"/>
      <c r="AD89" s="2040"/>
      <c r="AE89" s="2040"/>
      <c r="AF89" s="2040"/>
      <c r="AG89" s="2040"/>
      <c r="AH89" s="2040"/>
      <c r="AI89" s="2040"/>
      <c r="AJ89" s="2040"/>
      <c r="AK89" s="2040"/>
      <c r="AL89" s="2040"/>
      <c r="AM89" s="2040"/>
      <c r="AN89" s="2040"/>
    </row>
    <row r="90" spans="1:52" s="523" customFormat="1" ht="87.6" customHeight="1" x14ac:dyDescent="0.25">
      <c r="A90" s="912"/>
      <c r="B90" s="2351" t="s">
        <v>160</v>
      </c>
      <c r="C90" s="2352"/>
      <c r="D90" s="2353"/>
      <c r="E90" s="2353"/>
      <c r="F90" s="2353"/>
      <c r="G90" s="2353"/>
      <c r="H90" s="2353"/>
      <c r="I90" s="2353"/>
      <c r="J90" s="2353"/>
      <c r="K90" s="2354"/>
      <c r="L90" s="2101" t="s">
        <v>161</v>
      </c>
      <c r="M90" s="2353"/>
      <c r="N90" s="2353"/>
      <c r="O90" s="2353"/>
      <c r="P90" s="2353"/>
      <c r="Q90" s="2353"/>
      <c r="R90" s="2354"/>
      <c r="S90" s="2101" t="s">
        <v>162</v>
      </c>
      <c r="T90" s="2353"/>
      <c r="U90" s="2353"/>
      <c r="V90" s="2353"/>
      <c r="W90" s="2353"/>
      <c r="X90" s="2353"/>
      <c r="Y90" s="2353"/>
      <c r="Z90" s="2353"/>
      <c r="AA90" s="2354"/>
      <c r="AB90" s="2101" t="s">
        <v>163</v>
      </c>
      <c r="AC90" s="2353"/>
      <c r="AD90" s="2353"/>
      <c r="AE90" s="2353"/>
      <c r="AF90" s="2353"/>
      <c r="AG90" s="2353"/>
      <c r="AH90" s="2354"/>
      <c r="AI90" s="2101" t="s">
        <v>164</v>
      </c>
      <c r="AJ90" s="2353"/>
      <c r="AK90" s="2353"/>
      <c r="AL90" s="2353"/>
      <c r="AM90" s="2353"/>
      <c r="AN90" s="2354"/>
    </row>
    <row r="91" spans="1:52" s="523" customFormat="1" ht="60.6" customHeight="1" x14ac:dyDescent="0.25">
      <c r="A91" s="912"/>
      <c r="B91" s="2140" t="s">
        <v>165</v>
      </c>
      <c r="C91" s="2142" t="s">
        <v>142</v>
      </c>
      <c r="D91" s="2042" t="s">
        <v>166</v>
      </c>
      <c r="E91" s="2042" t="s">
        <v>167</v>
      </c>
      <c r="F91" s="2041" t="s">
        <v>168</v>
      </c>
      <c r="G91" s="2103" t="s">
        <v>60</v>
      </c>
      <c r="H91" s="280"/>
      <c r="I91" s="280"/>
      <c r="J91" s="2041" t="s">
        <v>169</v>
      </c>
      <c r="K91" s="2042" t="s">
        <v>170</v>
      </c>
      <c r="L91" s="2105" t="s">
        <v>171</v>
      </c>
      <c r="M91" s="2100" t="s">
        <v>172</v>
      </c>
      <c r="N91" s="2041" t="s">
        <v>173</v>
      </c>
      <c r="O91" s="2041" t="s">
        <v>174</v>
      </c>
      <c r="P91" s="2102" t="s">
        <v>175</v>
      </c>
      <c r="Q91" s="2100" t="s">
        <v>172</v>
      </c>
      <c r="R91" s="2042" t="s">
        <v>176</v>
      </c>
      <c r="S91" s="2161" t="s">
        <v>177</v>
      </c>
      <c r="T91" s="2043" t="s">
        <v>178</v>
      </c>
      <c r="U91" s="2041" t="s">
        <v>179</v>
      </c>
      <c r="V91" s="2043" t="s">
        <v>180</v>
      </c>
      <c r="W91" s="2043"/>
      <c r="X91" s="2043"/>
      <c r="Y91" s="2043"/>
      <c r="Z91" s="2043"/>
      <c r="AA91" s="2043"/>
      <c r="AB91" s="2099" t="s">
        <v>181</v>
      </c>
      <c r="AC91" s="2099" t="s">
        <v>182</v>
      </c>
      <c r="AD91" s="2099" t="s">
        <v>172</v>
      </c>
      <c r="AE91" s="2099" t="s">
        <v>183</v>
      </c>
      <c r="AF91" s="2099" t="s">
        <v>172</v>
      </c>
      <c r="AG91" s="2099" t="s">
        <v>184</v>
      </c>
      <c r="AH91" s="2161" t="s">
        <v>185</v>
      </c>
      <c r="AI91" s="2043" t="s">
        <v>164</v>
      </c>
      <c r="AJ91" s="2043" t="s">
        <v>143</v>
      </c>
      <c r="AK91" s="2043" t="s">
        <v>186</v>
      </c>
      <c r="AL91" s="2043" t="s">
        <v>187</v>
      </c>
      <c r="AM91" s="2043" t="s">
        <v>1279</v>
      </c>
      <c r="AN91" s="2043" t="s">
        <v>189</v>
      </c>
    </row>
    <row r="92" spans="1:52" s="523" customFormat="1" ht="90.6" customHeight="1" x14ac:dyDescent="0.25">
      <c r="A92" s="912"/>
      <c r="B92" s="2141"/>
      <c r="C92" s="2142"/>
      <c r="D92" s="2043"/>
      <c r="E92" s="2043"/>
      <c r="F92" s="2105"/>
      <c r="G92" s="2104"/>
      <c r="H92" s="280" t="s">
        <v>511</v>
      </c>
      <c r="I92" s="280" t="s">
        <v>190</v>
      </c>
      <c r="J92" s="2042"/>
      <c r="K92" s="2043"/>
      <c r="L92" s="2042"/>
      <c r="M92" s="2101"/>
      <c r="N92" s="2042"/>
      <c r="O92" s="2042"/>
      <c r="P92" s="2101"/>
      <c r="Q92" s="2101"/>
      <c r="R92" s="2043"/>
      <c r="S92" s="2162"/>
      <c r="T92" s="2043"/>
      <c r="U92" s="2042"/>
      <c r="V92" s="281" t="s">
        <v>191</v>
      </c>
      <c r="W92" s="281" t="s">
        <v>192</v>
      </c>
      <c r="X92" s="281" t="s">
        <v>193</v>
      </c>
      <c r="Y92" s="281" t="s">
        <v>194</v>
      </c>
      <c r="Z92" s="281" t="s">
        <v>195</v>
      </c>
      <c r="AA92" s="281" t="s">
        <v>196</v>
      </c>
      <c r="AB92" s="2099"/>
      <c r="AC92" s="2099"/>
      <c r="AD92" s="2099"/>
      <c r="AE92" s="2099"/>
      <c r="AF92" s="2099"/>
      <c r="AG92" s="2099"/>
      <c r="AH92" s="2162"/>
      <c r="AI92" s="2043"/>
      <c r="AJ92" s="2043"/>
      <c r="AK92" s="2043"/>
      <c r="AL92" s="2043"/>
      <c r="AM92" s="2043"/>
      <c r="AN92" s="2043"/>
    </row>
    <row r="93" spans="1:52" s="523" customFormat="1" ht="270" customHeight="1" x14ac:dyDescent="0.25">
      <c r="A93" s="912"/>
      <c r="B93" s="2112">
        <v>1</v>
      </c>
      <c r="C93" s="2237" t="s">
        <v>209</v>
      </c>
      <c r="D93" s="2237" t="s">
        <v>302</v>
      </c>
      <c r="E93" s="3206" t="s">
        <v>707</v>
      </c>
      <c r="F93" s="1035" t="s">
        <v>1134</v>
      </c>
      <c r="G93" s="2355" t="s">
        <v>1124</v>
      </c>
      <c r="H93" s="2356" t="s">
        <v>512</v>
      </c>
      <c r="I93" s="2355" t="s">
        <v>710</v>
      </c>
      <c r="J93" s="2358" t="s">
        <v>198</v>
      </c>
      <c r="K93" s="2293">
        <v>365</v>
      </c>
      <c r="L93" s="2295" t="str">
        <f>IF(K93&lt;=0,"",IF(K93&lt;=2,"Muy Baja",IF(K93&lt;=24,"Baja",IF(K93&lt;=500,"Media",IF(K93&lt;=5000,"Alta","Muy Alta")))))</f>
        <v>Media</v>
      </c>
      <c r="M93" s="2297">
        <f>IF(L93="","",IF(L93="Muy Baja",0.2,IF(L93="Baja",0.4,IF(L93="Media",0.6,IF(L93="Alta",0.8,IF(L93="Muy Alta",1,))))))</f>
        <v>0.6</v>
      </c>
      <c r="N93" s="2299" t="s">
        <v>303</v>
      </c>
      <c r="O93" s="2297" t="str">
        <f>IF(NOT(ISERROR(MATCH(N93,'[52]Tabla Impacto'!$B$221:$B$223,0))),'[52]Tabla Impacto'!$F$223&amp;"Por favor no seleccionar los criterios de impacto(Afectación Económica o presupuestal y Pérdida Reputacional)",N93)</f>
        <v xml:space="preserve">     El riesgo afecta la imagen de la entidad a nivel nacional, con efecto publicitarios sostenible a nivel país</v>
      </c>
      <c r="P93" s="2295" t="str">
        <f>IF(OR(O93='[52]Tabla Impacto'!$C$11,O93='[52]Tabla Impacto'!$D$11),"Leve",IF(OR(O93='[52]Tabla Impacto'!$C$12,O93='[52]Tabla Impacto'!$D$12),"Menor",IF(OR(O93='[52]Tabla Impacto'!$C$13,O93='[52]Tabla Impacto'!$D$13),"Moderado",IF(OR(O93='[52]Tabla Impacto'!$C$14,O93='[52]Tabla Impacto'!$D$14),"Mayor",IF(OR(O93='[52]Tabla Impacto'!$C$15,O93='[52]Tabla Impacto'!$D$15),"Catastrófico","")))))</f>
        <v>Catastrófico</v>
      </c>
      <c r="Q93" s="2297">
        <f>IF(P93="","",IF(P93="Leve",0.2,IF(P93="Menor",0.4,IF(P93="Moderado",0.6,IF(P93="Mayor",0.8,IF(P93="Catastrófico",1,))))))</f>
        <v>1</v>
      </c>
      <c r="R93" s="2267" t="str">
        <f>IF(OR(AND(L93="Muy Baja",P93="Leve"),AND(L93="Muy Baja",P93="Menor"),AND(L93="Baja",P93="Leve")),"Bajo",IF(OR(AND(L93="Muy baja",P93="Moderado"),AND(L93="Baja",P93="Menor"),AND(L93="Baja",P93="Moderado"),AND(L93="Media",P93="Leve"),AND(L93="Media",P93="Menor"),AND(L93="Media",P93="Moderado"),AND(L93="Alta",P93="Leve"),AND(L93="Alta",P93="Menor")),"Moderado",IF(OR(AND(L93="Muy Baja",P93="Mayor"),AND(L93="Baja",P93="Mayor"),AND(L93="Media",P93="Mayor"),AND(L93="Alta",P93="Moderado"),AND(L93="Alta",P93="Mayor"),AND(L93="Muy Alta",P93="Leve"),AND(L93="Muy Alta",P93="Menor"),AND(L93="Muy Alta",P93="Moderado"),AND(L93="Muy Alta",P93="Mayor")),"Alto",IF(OR(AND(L93="Muy Baja",P93="Catastrófico"),AND(L93="Baja",P93="Catastrófico"),AND(L93="Media",P93="Catastrófico"),AND(L93="Alta",P93="Catastrófico"),AND(L93="Muy Alta",P93="Catastrófico")),"Extremo",""))))</f>
        <v>Extremo</v>
      </c>
      <c r="S93" s="716">
        <v>1</v>
      </c>
      <c r="T93" s="812" t="s">
        <v>304</v>
      </c>
      <c r="U93" s="718" t="str">
        <f>IF(OR(V93="Preventivo",V93="Detectivo"),"Probabilidad",IF(V93="Correctivo","Impacto",""))</f>
        <v>Probabilidad</v>
      </c>
      <c r="V93" s="719" t="s">
        <v>207</v>
      </c>
      <c r="W93" s="719" t="s">
        <v>201</v>
      </c>
      <c r="X93" s="720" t="str">
        <f>IF(AND(V93="Preventivo",W93="Automático"),"50%",IF(AND(V93="Preventivo",W93="Manual"),"40%",IF(AND(V93="Detectivo",W93="Automático"),"40%",IF(AND(V93="Detectivo",W93="Manual"),"30%",IF(AND(V93="Correctivo",W93="Automático"),"35%",IF(AND(V93="Correctivo",W93="Manual"),"25%",""))))))</f>
        <v>40%</v>
      </c>
      <c r="Y93" s="719" t="s">
        <v>208</v>
      </c>
      <c r="Z93" s="719" t="s">
        <v>203</v>
      </c>
      <c r="AA93" s="719" t="s">
        <v>204</v>
      </c>
      <c r="AB93" s="721">
        <f>IFERROR(IF(U93="Probabilidad",(M93-(+M93*X93)),IF(U93="Impacto",M93,"")),"")</f>
        <v>0.36</v>
      </c>
      <c r="AC93" s="722" t="str">
        <f>IFERROR(IF(AB93="","",IF(AB93&lt;=0.2,"Muy Baja",IF(AB93&lt;=0.4,"Baja",IF(AB93&lt;=0.6,"Media",IF(AB93&lt;=0.8,"Alta","Muy Alta"))))),"")</f>
        <v>Baja</v>
      </c>
      <c r="AD93" s="723">
        <f>+AB93</f>
        <v>0.36</v>
      </c>
      <c r="AE93" s="722" t="str">
        <f>IFERROR(IF(AF93="","",IF(AF93&lt;=0.2,"Leve",IF(AF93&lt;=0.4,"Menor",IF(AF93&lt;=0.6,"Moderado",IF(AF93&lt;=0.8,"Mayor","Catastrófico"))))),"")</f>
        <v>Catastrófico</v>
      </c>
      <c r="AF93" s="723">
        <f>IFERROR(IF(U93="Impacto",(Q93-(+Q93*X93)),IF(U93="Probabilidad",Q93,"")),"")</f>
        <v>1</v>
      </c>
      <c r="AG93" s="724" t="str">
        <f>IFERROR(IF(OR(AND(AC93="Muy Baja",AE93="Leve"),AND(AC93="Muy Baja",AE93="Menor"),AND(AC93="Baja",AE93="Leve")),"Bajo",IF(OR(AND(AC93="Muy baja",AE93="Moderado"),AND(AC93="Baja",AE93="Menor"),AND(AC93="Baja",AE93="Moderado"),AND(AC93="Media",AE93="Leve"),AND(AC93="Media",AE93="Menor"),AND(AC93="Media",AE93="Moderado"),AND(AC93="Alta",AE93="Leve"),AND(AC93="Alta",AE93="Menor")),"Moderado",IF(OR(AND(AC93="Muy Baja",AE93="Mayor"),AND(AC93="Baja",AE93="Mayor"),AND(AC93="Media",AE93="Mayor"),AND(AC93="Alta",AE93="Moderado"),AND(AC93="Alta",AE93="Mayor"),AND(AC93="Muy Alta",AE93="Leve"),AND(AC93="Muy Alta",AE93="Menor"),AND(AC93="Muy Alta",AE93="Moderado"),AND(AC93="Muy Alta",AE93="Mayor")),"Alto",IF(OR(AND(AC93="Muy Baja",AE93="Catastrófico"),AND(AC93="Baja",AE93="Catastrófico"),AND(AC93="Media",AE93="Catastrófico"),AND(AC93="Alta",AE93="Catastrófico"),AND(AC93="Muy Alta",AE93="Catastrófico")),"Extremo","")))),"")</f>
        <v>Extremo</v>
      </c>
      <c r="AH93" s="295" t="s">
        <v>205</v>
      </c>
      <c r="AI93" s="761" t="s">
        <v>1125</v>
      </c>
      <c r="AJ93" s="761" t="s">
        <v>293</v>
      </c>
      <c r="AK93" s="804" t="s">
        <v>154</v>
      </c>
      <c r="AL93" s="804">
        <v>45538</v>
      </c>
      <c r="AM93" s="761" t="s">
        <v>1280</v>
      </c>
      <c r="AN93" s="730" t="s">
        <v>206</v>
      </c>
    </row>
    <row r="94" spans="1:52" s="523" customFormat="1" ht="219.6" customHeight="1" x14ac:dyDescent="0.25">
      <c r="A94" s="912"/>
      <c r="B94" s="2113"/>
      <c r="C94" s="2238"/>
      <c r="D94" s="2238"/>
      <c r="E94" s="3207"/>
      <c r="F94" s="1035" t="s">
        <v>1127</v>
      </c>
      <c r="G94" s="2355"/>
      <c r="H94" s="2357"/>
      <c r="I94" s="2355"/>
      <c r="J94" s="2359"/>
      <c r="K94" s="2294"/>
      <c r="L94" s="2296"/>
      <c r="M94" s="2298"/>
      <c r="N94" s="2300"/>
      <c r="O94" s="2298">
        <f>IF(NOT(ISERROR(MATCH(N94,_xlfn.ANCHORARRAY(G103),0))),M105&amp;"Por favor no seleccionar los criterios de impacto",N94)</f>
        <v>0</v>
      </c>
      <c r="P94" s="2296"/>
      <c r="Q94" s="2298"/>
      <c r="R94" s="2268"/>
      <c r="S94" s="716">
        <v>2</v>
      </c>
      <c r="T94" s="812" t="s">
        <v>307</v>
      </c>
      <c r="U94" s="718" t="str">
        <f>IF(OR(V94="Preventivo",V94="Detectivo"),"Probabilidad",IF(V94="Correctivo","Impacto",""))</f>
        <v>Impacto</v>
      </c>
      <c r="V94" s="719" t="s">
        <v>308</v>
      </c>
      <c r="W94" s="719" t="s">
        <v>201</v>
      </c>
      <c r="X94" s="720" t="str">
        <f t="shared" ref="X94:X96" si="40">IF(AND(V94="Preventivo",W94="Automático"),"50%",IF(AND(V94="Preventivo",W94="Manual"),"40%",IF(AND(V94="Detectivo",W94="Automático"),"40%",IF(AND(V94="Detectivo",W94="Manual"),"30%",IF(AND(V94="Correctivo",W94="Automático"),"35%",IF(AND(V94="Correctivo",W94="Manual"),"25%",""))))))</f>
        <v>25%</v>
      </c>
      <c r="Y94" s="719" t="s">
        <v>202</v>
      </c>
      <c r="Z94" s="719" t="s">
        <v>203</v>
      </c>
      <c r="AA94" s="719" t="s">
        <v>204</v>
      </c>
      <c r="AB94" s="721">
        <f>IFERROR(IF(AND(U93="Probabilidad",U94="Probabilidad"),(AD93-(+AD93*X94)),IF(AND(U93="Impacto",U94="Probabilidad"),(M93-(+M93*X94)),IF(U94="Impacto",AD93,""))),"")</f>
        <v>0.36</v>
      </c>
      <c r="AC94" s="722" t="str">
        <f t="shared" ref="AC94:AC96" si="41">IFERROR(IF(AB94="","",IF(AB94&lt;=0.2,"Muy Baja",IF(AB94&lt;=0.4,"Baja",IF(AB94&lt;=0.6,"Media",IF(AB94&lt;=0.8,"Alta","Muy Alta"))))),"")</f>
        <v>Baja</v>
      </c>
      <c r="AD94" s="723">
        <f>+AB94</f>
        <v>0.36</v>
      </c>
      <c r="AE94" s="722" t="str">
        <f t="shared" ref="AE94:AE96" si="42">IFERROR(IF(AF94="","",IF(AF94&lt;=0.2,"Leve",IF(AF94&lt;=0.4,"Menor",IF(AF94&lt;=0.6,"Moderado",IF(AF94&lt;=0.8,"Mayor","Catastrófico"))))),"")</f>
        <v>Mayor</v>
      </c>
      <c r="AF94" s="723">
        <f>IFERROR(IF(AND(U93="Impacto",U94="Impacto"),(AF93-(+AF93*X94)),IF(AND(U93="Probabilidad",U94="Impacto"),(Q93-(+Q93*X94)),IF(U94="Probabilidad",AF93,""))),"")</f>
        <v>0.75</v>
      </c>
      <c r="AG94" s="724" t="str">
        <f t="shared" ref="AG94:AG96" si="43">IFERROR(IF(OR(AND(AC94="Muy Baja",AE94="Leve"),AND(AC94="Muy Baja",AE94="Menor"),AND(AC94="Baja",AE94="Leve")),"Bajo",IF(OR(AND(AC94="Muy baja",AE94="Moderado"),AND(AC94="Baja",AE94="Menor"),AND(AC94="Baja",AE94="Moderado"),AND(AC94="Media",AE94="Leve"),AND(AC94="Media",AE94="Menor"),AND(AC94="Media",AE94="Moderado"),AND(AC94="Alta",AE94="Leve"),AND(AC94="Alta",AE94="Menor")),"Moderado",IF(OR(AND(AC94="Muy Baja",AE94="Mayor"),AND(AC94="Baja",AE94="Mayor"),AND(AC94="Media",AE94="Mayor"),AND(AC94="Alta",AE94="Moderado"),AND(AC94="Alta",AE94="Mayor"),AND(AC94="Muy Alta",AE94="Leve"),AND(AC94="Muy Alta",AE94="Menor"),AND(AC94="Muy Alta",AE94="Moderado"),AND(AC94="Muy Alta",AE94="Mayor")),"Alto",IF(OR(AND(AC94="Muy Baja",AE94="Catastrófico"),AND(AC94="Baja",AE94="Catastrófico"),AND(AC94="Media",AE94="Catastrófico"),AND(AC94="Alta",AE94="Catastrófico"),AND(AC94="Muy Alta",AE94="Catastrófico")),"Extremo","")))),"")</f>
        <v>Alto</v>
      </c>
      <c r="AH94" s="295" t="s">
        <v>205</v>
      </c>
      <c r="AI94" s="300" t="s">
        <v>1128</v>
      </c>
      <c r="AJ94" s="300" t="s">
        <v>293</v>
      </c>
      <c r="AK94" s="779" t="s">
        <v>154</v>
      </c>
      <c r="AL94" s="779">
        <v>45538</v>
      </c>
      <c r="AM94" s="300" t="s">
        <v>1281</v>
      </c>
      <c r="AN94" s="780" t="s">
        <v>206</v>
      </c>
    </row>
    <row r="95" spans="1:52" s="523" customFormat="1" ht="366" customHeight="1" x14ac:dyDescent="0.25">
      <c r="A95" s="912"/>
      <c r="B95" s="2113"/>
      <c r="C95" s="2238"/>
      <c r="D95" s="2238"/>
      <c r="E95" s="3207"/>
      <c r="F95" s="1036" t="s">
        <v>1135</v>
      </c>
      <c r="G95" s="2355"/>
      <c r="H95" s="2357"/>
      <c r="I95" s="2355"/>
      <c r="J95" s="2359"/>
      <c r="K95" s="2294"/>
      <c r="L95" s="2296"/>
      <c r="M95" s="2298"/>
      <c r="N95" s="2300"/>
      <c r="O95" s="2298">
        <f>IF(NOT(ISERROR(MATCH(N95,_xlfn.ANCHORARRAY(G104),0))),M106&amp;"Por favor no seleccionar los criterios de impacto",N95)</f>
        <v>0</v>
      </c>
      <c r="P95" s="2296"/>
      <c r="Q95" s="2298"/>
      <c r="R95" s="2268"/>
      <c r="S95" s="716">
        <v>3</v>
      </c>
      <c r="T95" s="1060" t="s">
        <v>311</v>
      </c>
      <c r="U95" s="718" t="str">
        <f t="shared" ref="U95:U96" si="44">IF(OR(V95="Preventivo",V95="Detectivo"),"Probabilidad",IF(V95="Correctivo","Impacto",""))</f>
        <v>Impacto</v>
      </c>
      <c r="V95" s="719" t="s">
        <v>308</v>
      </c>
      <c r="W95" s="719" t="s">
        <v>201</v>
      </c>
      <c r="X95" s="720" t="str">
        <f t="shared" si="40"/>
        <v>25%</v>
      </c>
      <c r="Y95" s="719" t="s">
        <v>202</v>
      </c>
      <c r="Z95" s="719" t="s">
        <v>203</v>
      </c>
      <c r="AA95" s="719" t="s">
        <v>204</v>
      </c>
      <c r="AB95" s="721">
        <f>IFERROR(IF(AND(U94="Probabilidad",U95="Probabilidad"),(AD94-(+AD94*X95)),IF(AND(U94="Impacto",U95="Probabilidad"),(AD93-(+AD93*X95)),IF(U95="Impacto",AD94,""))),"")</f>
        <v>0.36</v>
      </c>
      <c r="AC95" s="722" t="str">
        <f t="shared" si="41"/>
        <v>Baja</v>
      </c>
      <c r="AD95" s="723">
        <f t="shared" ref="AD95:AD96" si="45">+AB95</f>
        <v>0.36</v>
      </c>
      <c r="AE95" s="722" t="str">
        <f t="shared" si="42"/>
        <v>Moderado</v>
      </c>
      <c r="AF95" s="723">
        <f t="shared" ref="AF95:AF96" si="46">IFERROR(IF(AND(U94="Impacto",U95="Impacto"),(AF94-(+AF94*X95)),IF(AND(U94="Probabilidad",U95="Impacto"),(AF93-(+AF93*X95)),IF(U95="Probabilidad",AF94,""))),"")</f>
        <v>0.5625</v>
      </c>
      <c r="AG95" s="724" t="str">
        <f t="shared" si="43"/>
        <v>Moderado</v>
      </c>
      <c r="AH95" s="295" t="s">
        <v>205</v>
      </c>
      <c r="AI95" s="300" t="s">
        <v>1130</v>
      </c>
      <c r="AJ95" s="300" t="s">
        <v>293</v>
      </c>
      <c r="AK95" s="779" t="s">
        <v>154</v>
      </c>
      <c r="AL95" s="779">
        <v>45538</v>
      </c>
      <c r="AM95" s="300" t="s">
        <v>1282</v>
      </c>
      <c r="AN95" s="780" t="s">
        <v>206</v>
      </c>
    </row>
    <row r="96" spans="1:52" s="523" customFormat="1" ht="217.2" customHeight="1" x14ac:dyDescent="0.25">
      <c r="A96" s="912"/>
      <c r="B96" s="2113"/>
      <c r="C96" s="2238"/>
      <c r="D96" s="2238"/>
      <c r="E96" s="3207"/>
      <c r="F96" s="1036" t="s">
        <v>714</v>
      </c>
      <c r="G96" s="2355"/>
      <c r="H96" s="2357"/>
      <c r="I96" s="2355"/>
      <c r="J96" s="2359"/>
      <c r="K96" s="2294"/>
      <c r="L96" s="2296"/>
      <c r="M96" s="2298"/>
      <c r="N96" s="2300"/>
      <c r="O96" s="2298">
        <f>IF(NOT(ISERROR(MATCH(N96,_xlfn.ANCHORARRAY(G105),0))),M107&amp;"Por favor no seleccionar los criterios de impacto",N96)</f>
        <v>0</v>
      </c>
      <c r="P96" s="2296"/>
      <c r="Q96" s="2298"/>
      <c r="R96" s="2268"/>
      <c r="S96" s="716">
        <v>4</v>
      </c>
      <c r="T96" s="812" t="s">
        <v>314</v>
      </c>
      <c r="U96" s="718" t="str">
        <f t="shared" si="44"/>
        <v>Probabilidad</v>
      </c>
      <c r="V96" s="719" t="s">
        <v>200</v>
      </c>
      <c r="W96" s="719" t="s">
        <v>201</v>
      </c>
      <c r="X96" s="720" t="str">
        <f t="shared" si="40"/>
        <v>30%</v>
      </c>
      <c r="Y96" s="719" t="s">
        <v>202</v>
      </c>
      <c r="Z96" s="719" t="s">
        <v>203</v>
      </c>
      <c r="AA96" s="719" t="s">
        <v>204</v>
      </c>
      <c r="AB96" s="721">
        <f t="shared" ref="AB96" si="47">IFERROR(IF(AND(U95="Probabilidad",U96="Probabilidad"),(AD95-(+AD95*X96)),IF(AND(U95="Impacto",U96="Probabilidad"),(AD94-(+AD94*X96)),IF(U96="Impacto",AD95,""))),"")</f>
        <v>0.252</v>
      </c>
      <c r="AC96" s="722" t="str">
        <f t="shared" si="41"/>
        <v>Baja</v>
      </c>
      <c r="AD96" s="723">
        <f t="shared" si="45"/>
        <v>0.252</v>
      </c>
      <c r="AE96" s="722" t="str">
        <f t="shared" si="42"/>
        <v>Moderado</v>
      </c>
      <c r="AF96" s="723">
        <f t="shared" si="46"/>
        <v>0.5625</v>
      </c>
      <c r="AG96" s="724" t="str">
        <f t="shared" si="43"/>
        <v>Moderado</v>
      </c>
      <c r="AH96" s="295" t="s">
        <v>312</v>
      </c>
      <c r="AI96" s="300" t="s">
        <v>1132</v>
      </c>
      <c r="AJ96" s="300" t="s">
        <v>293</v>
      </c>
      <c r="AK96" s="779" t="s">
        <v>154</v>
      </c>
      <c r="AL96" s="779">
        <v>45538</v>
      </c>
      <c r="AM96" s="1114" t="s">
        <v>1283</v>
      </c>
      <c r="AN96" s="780" t="s">
        <v>206</v>
      </c>
    </row>
    <row r="97" spans="1:45" s="523" customFormat="1" ht="15.6" x14ac:dyDescent="0.25">
      <c r="A97" s="912"/>
      <c r="B97" s="912"/>
      <c r="C97" s="912"/>
      <c r="D97" s="912"/>
      <c r="E97" s="990"/>
      <c r="F97" s="912"/>
      <c r="G97" s="239"/>
      <c r="H97" s="912"/>
      <c r="I97" s="239"/>
      <c r="J97" s="239"/>
      <c r="K97" s="239"/>
      <c r="L97" s="913"/>
      <c r="M97" s="912"/>
      <c r="N97" s="912"/>
      <c r="O97" s="912"/>
      <c r="P97" s="914"/>
      <c r="Q97" s="912"/>
      <c r="R97" s="991"/>
      <c r="S97" s="992"/>
      <c r="T97" s="993"/>
      <c r="U97" s="994"/>
      <c r="V97" s="994"/>
      <c r="W97" s="995"/>
      <c r="X97" s="994"/>
      <c r="Y97" s="994"/>
      <c r="Z97" s="994"/>
      <c r="AA97" s="996"/>
      <c r="AB97" s="997"/>
      <c r="AC97" s="995"/>
      <c r="AD97" s="997"/>
      <c r="AE97" s="995"/>
      <c r="AF97" s="998"/>
      <c r="AG97" s="999"/>
      <c r="AH97" s="1000"/>
      <c r="AI97" s="1000"/>
      <c r="AJ97" s="1001"/>
      <c r="AK97" s="1001"/>
      <c r="AL97" s="1000"/>
      <c r="AM97" s="1002"/>
    </row>
    <row r="98" spans="1:45" s="523" customFormat="1" ht="58.8" customHeight="1" x14ac:dyDescent="0.25">
      <c r="A98" s="912"/>
      <c r="B98" s="2788" t="s">
        <v>156</v>
      </c>
      <c r="C98" s="2789"/>
      <c r="D98" s="2789"/>
      <c r="E98" s="2789"/>
      <c r="F98" s="2789"/>
      <c r="G98" s="2789"/>
      <c r="H98" s="2789"/>
      <c r="I98" s="2789"/>
      <c r="J98" s="2789"/>
      <c r="K98" s="2789"/>
      <c r="L98" s="2789"/>
      <c r="M98" s="2789"/>
      <c r="N98" s="2789"/>
      <c r="O98" s="2789"/>
      <c r="P98" s="2789"/>
      <c r="Q98" s="2789"/>
      <c r="R98" s="2789"/>
      <c r="S98" s="2789"/>
      <c r="T98" s="2789"/>
      <c r="U98" s="2789"/>
      <c r="V98" s="2789"/>
      <c r="W98" s="2789"/>
      <c r="X98" s="2789"/>
      <c r="Y98" s="2789"/>
      <c r="Z98" s="2789"/>
      <c r="AA98" s="2789"/>
      <c r="AB98" s="2789"/>
      <c r="AC98" s="2789"/>
      <c r="AD98" s="2789"/>
      <c r="AE98" s="2789"/>
      <c r="AF98" s="2789"/>
      <c r="AG98" s="2789"/>
      <c r="AH98" s="2789"/>
      <c r="AI98" s="2789"/>
      <c r="AJ98" s="2789"/>
      <c r="AK98" s="2789"/>
      <c r="AL98" s="2789"/>
      <c r="AM98" s="2789"/>
      <c r="AN98" s="700"/>
      <c r="AO98" s="700"/>
      <c r="AP98" s="700"/>
      <c r="AQ98" s="700"/>
      <c r="AR98" s="700"/>
      <c r="AS98" s="700"/>
    </row>
    <row r="99" spans="1:45" s="523" customFormat="1" ht="58.8" customHeight="1" x14ac:dyDescent="0.25">
      <c r="A99" s="912"/>
      <c r="B99" s="2788"/>
      <c r="C99" s="2789"/>
      <c r="D99" s="2789"/>
      <c r="E99" s="2789"/>
      <c r="F99" s="2789"/>
      <c r="G99" s="2789"/>
      <c r="H99" s="2789"/>
      <c r="I99" s="2789"/>
      <c r="J99" s="2789"/>
      <c r="K99" s="2789"/>
      <c r="L99" s="2789"/>
      <c r="M99" s="2789"/>
      <c r="N99" s="2789"/>
      <c r="O99" s="2789"/>
      <c r="P99" s="2789"/>
      <c r="Q99" s="2789"/>
      <c r="R99" s="2789"/>
      <c r="S99" s="2789"/>
      <c r="T99" s="2789"/>
      <c r="U99" s="2789"/>
      <c r="V99" s="2789"/>
      <c r="W99" s="2789"/>
      <c r="X99" s="2789"/>
      <c r="Y99" s="2789"/>
      <c r="Z99" s="2789"/>
      <c r="AA99" s="2789"/>
      <c r="AB99" s="2789"/>
      <c r="AC99" s="2789"/>
      <c r="AD99" s="2789"/>
      <c r="AE99" s="2789"/>
      <c r="AF99" s="2789"/>
      <c r="AG99" s="2789"/>
      <c r="AH99" s="2789"/>
      <c r="AI99" s="2789"/>
      <c r="AJ99" s="2789"/>
      <c r="AK99" s="2789"/>
      <c r="AL99" s="2789"/>
      <c r="AM99" s="2789"/>
      <c r="AN99" s="700"/>
      <c r="AO99" s="700"/>
      <c r="AP99" s="700"/>
      <c r="AQ99" s="700"/>
      <c r="AR99" s="700"/>
      <c r="AS99" s="700"/>
    </row>
    <row r="100" spans="1:45" s="523" customFormat="1" x14ac:dyDescent="0.25">
      <c r="A100" s="912"/>
      <c r="B100" s="3233"/>
      <c r="C100" s="3233"/>
      <c r="D100" s="3233"/>
      <c r="E100" s="3233"/>
      <c r="F100" s="3233"/>
      <c r="G100" s="3233"/>
      <c r="H100" s="3233"/>
      <c r="I100" s="3233"/>
      <c r="J100" s="3233"/>
      <c r="K100" s="3233"/>
      <c r="L100" s="3233"/>
      <c r="M100" s="3233"/>
      <c r="N100" s="3233"/>
      <c r="O100" s="3233"/>
      <c r="P100" s="3233"/>
      <c r="Q100" s="3233"/>
      <c r="R100" s="3233"/>
      <c r="S100" s="3233"/>
      <c r="T100" s="3233"/>
      <c r="U100" s="3233"/>
      <c r="V100" s="3233"/>
      <c r="W100" s="3233"/>
      <c r="X100" s="3233"/>
      <c r="Y100" s="3233"/>
      <c r="Z100" s="3233"/>
      <c r="AA100" s="3233"/>
      <c r="AB100" s="3233"/>
      <c r="AC100" s="3233"/>
      <c r="AD100" s="3233"/>
      <c r="AE100" s="3233"/>
      <c r="AF100" s="3233"/>
      <c r="AG100" s="3233"/>
      <c r="AH100" s="3233"/>
      <c r="AI100" s="3233"/>
      <c r="AJ100" s="3233"/>
      <c r="AK100" s="3233"/>
      <c r="AL100" s="3233"/>
      <c r="AM100" s="3233"/>
      <c r="AN100" s="700"/>
      <c r="AO100" s="700"/>
      <c r="AP100" s="700"/>
      <c r="AQ100" s="700"/>
      <c r="AR100" s="700"/>
      <c r="AS100" s="700"/>
    </row>
    <row r="101" spans="1:45" s="523" customFormat="1" ht="56.4" customHeight="1" x14ac:dyDescent="0.25">
      <c r="A101" s="912"/>
      <c r="B101" s="2349" t="s">
        <v>157</v>
      </c>
      <c r="C101" s="2350"/>
      <c r="D101" s="3229" t="s">
        <v>379</v>
      </c>
      <c r="E101" s="3230"/>
      <c r="F101" s="3230"/>
      <c r="G101" s="3230"/>
      <c r="H101" s="3230"/>
      <c r="I101" s="3230"/>
      <c r="J101" s="3230"/>
      <c r="K101" s="3230"/>
      <c r="L101" s="3230"/>
      <c r="M101" s="3230"/>
      <c r="N101" s="3230"/>
      <c r="O101" s="3230"/>
      <c r="P101" s="3230"/>
      <c r="Q101" s="3230"/>
      <c r="R101" s="3230"/>
      <c r="S101" s="3230"/>
      <c r="T101" s="3230"/>
      <c r="U101" s="3230"/>
      <c r="V101" s="3230"/>
      <c r="W101" s="3230"/>
      <c r="X101" s="3230"/>
      <c r="Y101" s="3230"/>
      <c r="Z101" s="3230"/>
      <c r="AA101" s="3230"/>
      <c r="AB101" s="3230"/>
      <c r="AC101" s="3230"/>
      <c r="AD101" s="3230"/>
      <c r="AE101" s="3230"/>
      <c r="AF101" s="3230"/>
      <c r="AG101" s="3230"/>
      <c r="AH101" s="3230"/>
      <c r="AI101" s="3230"/>
      <c r="AJ101" s="3230"/>
      <c r="AK101" s="3230"/>
      <c r="AL101" s="3230"/>
      <c r="AM101" s="3230"/>
      <c r="AN101" s="700"/>
      <c r="AO101" s="700"/>
      <c r="AP101" s="700"/>
      <c r="AQ101" s="700"/>
      <c r="AR101" s="700"/>
      <c r="AS101" s="700"/>
    </row>
    <row r="102" spans="1:45" s="523" customFormat="1" ht="87.6" customHeight="1" x14ac:dyDescent="0.25">
      <c r="A102" s="912"/>
      <c r="B102" s="2349" t="s">
        <v>158</v>
      </c>
      <c r="C102" s="2350"/>
      <c r="D102" s="3231" t="s">
        <v>380</v>
      </c>
      <c r="E102" s="3232"/>
      <c r="F102" s="3232"/>
      <c r="G102" s="3232"/>
      <c r="H102" s="3232"/>
      <c r="I102" s="3232"/>
      <c r="J102" s="3232"/>
      <c r="K102" s="3232"/>
      <c r="L102" s="3232"/>
      <c r="M102" s="3232"/>
      <c r="N102" s="3232"/>
      <c r="O102" s="3232"/>
      <c r="P102" s="3232"/>
      <c r="Q102" s="3232"/>
      <c r="R102" s="3232"/>
      <c r="S102" s="3232"/>
      <c r="T102" s="3232"/>
      <c r="U102" s="3232"/>
      <c r="V102" s="3232"/>
      <c r="W102" s="3232"/>
      <c r="X102" s="3232"/>
      <c r="Y102" s="3232"/>
      <c r="Z102" s="3232"/>
      <c r="AA102" s="3232"/>
      <c r="AB102" s="3232"/>
      <c r="AC102" s="3232"/>
      <c r="AD102" s="3232"/>
      <c r="AE102" s="3232"/>
      <c r="AF102" s="3232"/>
      <c r="AG102" s="3232"/>
      <c r="AH102" s="3232"/>
      <c r="AI102" s="3232"/>
      <c r="AJ102" s="3232"/>
      <c r="AK102" s="3232"/>
      <c r="AL102" s="3232"/>
      <c r="AM102" s="3232"/>
      <c r="AN102" s="700"/>
      <c r="AO102" s="700"/>
      <c r="AP102" s="700"/>
      <c r="AQ102" s="700"/>
      <c r="AR102" s="700"/>
      <c r="AS102" s="700"/>
    </row>
    <row r="103" spans="1:45" s="523" customFormat="1" ht="104.4" customHeight="1" x14ac:dyDescent="0.25">
      <c r="A103" s="912"/>
      <c r="B103" s="2349" t="s">
        <v>159</v>
      </c>
      <c r="C103" s="2350"/>
      <c r="D103" s="3231" t="s">
        <v>381</v>
      </c>
      <c r="E103" s="3232"/>
      <c r="F103" s="3232"/>
      <c r="G103" s="3232"/>
      <c r="H103" s="3232"/>
      <c r="I103" s="3232"/>
      <c r="J103" s="3232"/>
      <c r="K103" s="3232"/>
      <c r="L103" s="3232"/>
      <c r="M103" s="3232"/>
      <c r="N103" s="3232"/>
      <c r="O103" s="3232"/>
      <c r="P103" s="3232"/>
      <c r="Q103" s="3232"/>
      <c r="R103" s="3232"/>
      <c r="S103" s="3232"/>
      <c r="T103" s="3232"/>
      <c r="U103" s="3232"/>
      <c r="V103" s="3232"/>
      <c r="W103" s="3232"/>
      <c r="X103" s="3232"/>
      <c r="Y103" s="3232"/>
      <c r="Z103" s="3232"/>
      <c r="AA103" s="3232"/>
      <c r="AB103" s="3232"/>
      <c r="AC103" s="3232"/>
      <c r="AD103" s="3232"/>
      <c r="AE103" s="3232"/>
      <c r="AF103" s="3232"/>
      <c r="AG103" s="3232"/>
      <c r="AH103" s="3232"/>
      <c r="AI103" s="3232"/>
      <c r="AJ103" s="3232"/>
      <c r="AK103" s="3232"/>
      <c r="AL103" s="3232"/>
      <c r="AM103" s="3232"/>
      <c r="AN103" s="700"/>
      <c r="AO103" s="700"/>
      <c r="AP103" s="700"/>
      <c r="AQ103" s="700"/>
      <c r="AR103" s="700"/>
      <c r="AS103" s="700"/>
    </row>
    <row r="104" spans="1:45" s="523" customFormat="1" ht="99.6" customHeight="1" x14ac:dyDescent="0.25">
      <c r="A104" s="912"/>
      <c r="B104" s="752" t="s">
        <v>160</v>
      </c>
      <c r="C104" s="753"/>
      <c r="D104" s="754"/>
      <c r="E104" s="754"/>
      <c r="F104" s="754"/>
      <c r="G104" s="754"/>
      <c r="H104" s="754"/>
      <c r="I104" s="754"/>
      <c r="J104" s="754"/>
      <c r="K104" s="755"/>
      <c r="L104" s="756" t="s">
        <v>161</v>
      </c>
      <c r="M104" s="754"/>
      <c r="N104" s="754"/>
      <c r="O104" s="754"/>
      <c r="P104" s="754"/>
      <c r="Q104" s="754"/>
      <c r="R104" s="755"/>
      <c r="S104" s="756" t="s">
        <v>162</v>
      </c>
      <c r="T104" s="754"/>
      <c r="U104" s="754"/>
      <c r="V104" s="754"/>
      <c r="W104" s="754"/>
      <c r="X104" s="754"/>
      <c r="Y104" s="754"/>
      <c r="Z104" s="754"/>
      <c r="AA104" s="755"/>
      <c r="AB104" s="756" t="s">
        <v>163</v>
      </c>
      <c r="AC104" s="754"/>
      <c r="AD104" s="754"/>
      <c r="AE104" s="754"/>
      <c r="AF104" s="754"/>
      <c r="AG104" s="754"/>
      <c r="AH104" s="755"/>
      <c r="AI104" s="756" t="s">
        <v>164</v>
      </c>
      <c r="AJ104" s="754"/>
      <c r="AK104" s="754"/>
      <c r="AL104" s="754"/>
      <c r="AM104" s="754"/>
      <c r="AN104" s="700"/>
      <c r="AO104" s="700"/>
      <c r="AP104" s="700"/>
      <c r="AQ104" s="700"/>
      <c r="AR104" s="700"/>
      <c r="AS104" s="700"/>
    </row>
    <row r="105" spans="1:45" s="523" customFormat="1" ht="58.8" customHeight="1" x14ac:dyDescent="0.25">
      <c r="A105" s="912"/>
      <c r="B105" s="2140" t="s">
        <v>165</v>
      </c>
      <c r="C105" s="2142" t="s">
        <v>142</v>
      </c>
      <c r="D105" s="2042" t="s">
        <v>166</v>
      </c>
      <c r="E105" s="2042" t="s">
        <v>167</v>
      </c>
      <c r="F105" s="2041" t="s">
        <v>168</v>
      </c>
      <c r="G105" s="2103" t="s">
        <v>60</v>
      </c>
      <c r="H105" s="280"/>
      <c r="I105" s="280"/>
      <c r="J105" s="2041" t="s">
        <v>169</v>
      </c>
      <c r="K105" s="2042" t="s">
        <v>170</v>
      </c>
      <c r="L105" s="2105" t="s">
        <v>171</v>
      </c>
      <c r="M105" s="2100" t="s">
        <v>172</v>
      </c>
      <c r="N105" s="2041" t="s">
        <v>173</v>
      </c>
      <c r="O105" s="2041" t="s">
        <v>174</v>
      </c>
      <c r="P105" s="2102" t="s">
        <v>175</v>
      </c>
      <c r="Q105" s="2100" t="s">
        <v>172</v>
      </c>
      <c r="R105" s="2042" t="s">
        <v>176</v>
      </c>
      <c r="S105" s="2161" t="s">
        <v>177</v>
      </c>
      <c r="T105" s="2043" t="s">
        <v>178</v>
      </c>
      <c r="U105" s="2041" t="s">
        <v>179</v>
      </c>
      <c r="V105" s="2043" t="s">
        <v>180</v>
      </c>
      <c r="W105" s="2043"/>
      <c r="X105" s="2043"/>
      <c r="Y105" s="2043"/>
      <c r="Z105" s="2043"/>
      <c r="AA105" s="2043"/>
      <c r="AB105" s="2099" t="s">
        <v>181</v>
      </c>
      <c r="AC105" s="2099" t="s">
        <v>182</v>
      </c>
      <c r="AD105" s="2099" t="s">
        <v>172</v>
      </c>
      <c r="AE105" s="2099" t="s">
        <v>183</v>
      </c>
      <c r="AF105" s="2099" t="s">
        <v>172</v>
      </c>
      <c r="AG105" s="2099" t="s">
        <v>184</v>
      </c>
      <c r="AH105" s="2161" t="s">
        <v>185</v>
      </c>
      <c r="AI105" s="2043" t="s">
        <v>164</v>
      </c>
      <c r="AJ105" s="2043" t="s">
        <v>143</v>
      </c>
      <c r="AK105" s="2043" t="s">
        <v>186</v>
      </c>
      <c r="AL105" s="2043" t="s">
        <v>187</v>
      </c>
      <c r="AM105" s="2041" t="s">
        <v>189</v>
      </c>
      <c r="AN105" s="700"/>
      <c r="AO105" s="700"/>
      <c r="AP105" s="700"/>
      <c r="AQ105" s="700"/>
      <c r="AR105" s="700"/>
      <c r="AS105" s="700"/>
    </row>
    <row r="106" spans="1:45" s="523" customFormat="1" ht="130.80000000000001" customHeight="1" x14ac:dyDescent="0.25">
      <c r="A106" s="912"/>
      <c r="B106" s="2141"/>
      <c r="C106" s="2142"/>
      <c r="D106" s="2043"/>
      <c r="E106" s="2043"/>
      <c r="F106" s="2105"/>
      <c r="G106" s="2104"/>
      <c r="H106" s="280" t="s">
        <v>610</v>
      </c>
      <c r="I106" s="280" t="s">
        <v>190</v>
      </c>
      <c r="J106" s="2042"/>
      <c r="K106" s="2043"/>
      <c r="L106" s="2042"/>
      <c r="M106" s="2101"/>
      <c r="N106" s="2042"/>
      <c r="O106" s="2042"/>
      <c r="P106" s="2101"/>
      <c r="Q106" s="2101"/>
      <c r="R106" s="2043"/>
      <c r="S106" s="2162"/>
      <c r="T106" s="2043"/>
      <c r="U106" s="2042"/>
      <c r="V106" s="281" t="s">
        <v>191</v>
      </c>
      <c r="W106" s="281" t="s">
        <v>192</v>
      </c>
      <c r="X106" s="281" t="s">
        <v>193</v>
      </c>
      <c r="Y106" s="281" t="s">
        <v>194</v>
      </c>
      <c r="Z106" s="281" t="s">
        <v>195</v>
      </c>
      <c r="AA106" s="281" t="s">
        <v>196</v>
      </c>
      <c r="AB106" s="2099"/>
      <c r="AC106" s="2099"/>
      <c r="AD106" s="2099"/>
      <c r="AE106" s="2099"/>
      <c r="AF106" s="2099"/>
      <c r="AG106" s="2099"/>
      <c r="AH106" s="2162"/>
      <c r="AI106" s="2043"/>
      <c r="AJ106" s="2043"/>
      <c r="AK106" s="2043"/>
      <c r="AL106" s="2043"/>
      <c r="AM106" s="2790"/>
      <c r="AN106" s="757" t="s">
        <v>716</v>
      </c>
      <c r="AO106" s="757" t="s">
        <v>717</v>
      </c>
      <c r="AP106" s="757" t="s">
        <v>718</v>
      </c>
      <c r="AQ106" s="757" t="s">
        <v>1136</v>
      </c>
      <c r="AR106" s="757" t="s">
        <v>1284</v>
      </c>
      <c r="AS106" s="1117" t="s">
        <v>1285</v>
      </c>
    </row>
    <row r="107" spans="1:45" s="523" customFormat="1" ht="224.4" customHeight="1" x14ac:dyDescent="0.25">
      <c r="A107" s="912"/>
      <c r="B107" s="2112">
        <v>1</v>
      </c>
      <c r="C107" s="2237" t="s">
        <v>209</v>
      </c>
      <c r="D107" s="2237" t="s">
        <v>382</v>
      </c>
      <c r="E107" s="3206" t="s">
        <v>719</v>
      </c>
      <c r="F107" s="941" t="s">
        <v>720</v>
      </c>
      <c r="G107" s="2355" t="s">
        <v>721</v>
      </c>
      <c r="H107" s="2356" t="s">
        <v>512</v>
      </c>
      <c r="I107" s="2355" t="s">
        <v>722</v>
      </c>
      <c r="J107" s="2358" t="s">
        <v>198</v>
      </c>
      <c r="K107" s="2293">
        <v>7162</v>
      </c>
      <c r="L107" s="2295" t="str">
        <f>IF(K107&lt;=0,"",IF(K107&lt;=2,"Muy Baja",IF(K107&lt;=24,"Baja",IF(K107&lt;=500,"Media",IF(K107&lt;=5000,"Alta","Muy Alta")))))</f>
        <v>Muy Alta</v>
      </c>
      <c r="M107" s="2297">
        <f>IF(L107="","",IF(L107="Muy Baja",0.2,IF(L107="Baja",0.4,IF(L107="Media",0.6,IF(L107="Alta",0.8,IF(L107="Muy Alta",1,))))))</f>
        <v>1</v>
      </c>
      <c r="N107" s="2299" t="s">
        <v>199</v>
      </c>
      <c r="O107" s="2297" t="str">
        <f>IF(NOT(ISERROR(MATCH(N107,'[53]Tabla Impacto'!$B$221:$B$223,0))),'[53]Tabla Impacto'!$F$223&amp;"Por favor no seleccionar los criterios de impacto(Afectación Económica o presupuestal y Pérdida Reputacional)",N107)</f>
        <v xml:space="preserve">     El riesgo afecta la imagen de de la entidad con efecto publicitario sostenido a nivel de sector administrativo, nivel departamental o municipal</v>
      </c>
      <c r="P107" s="2295" t="str">
        <f>IF(OR(O107='[53]Tabla Impacto'!$C$11,O107='[53]Tabla Impacto'!$D$11),"Leve",IF(OR(O107='[53]Tabla Impacto'!$C$12,O107='[53]Tabla Impacto'!$D$12),"Menor",IF(OR(O107='[53]Tabla Impacto'!$C$13,O107='[53]Tabla Impacto'!$D$13),"Moderado",IF(OR(O107='[53]Tabla Impacto'!$C$14,O107='[53]Tabla Impacto'!$D$14),"Mayor",IF(OR(O107='[53]Tabla Impacto'!$C$15,O107='[53]Tabla Impacto'!$D$15),"Catastrófico","")))))</f>
        <v>Mayor</v>
      </c>
      <c r="Q107" s="2297">
        <f>IF(P107="","",IF(P107="Leve",0.2,IF(P107="Menor",0.4,IF(P107="Moderado",0.6,IF(P107="Mayor",0.8,IF(P107="Catastrófico",1,))))))</f>
        <v>0.8</v>
      </c>
      <c r="R107" s="2267" t="str">
        <f>IF(OR(AND(L107="Muy Baja",P107="Leve"),AND(L107="Muy Baja",P107="Menor"),AND(L107="Baja",P107="Leve")),"Bajo",IF(OR(AND(L107="Muy baja",P107="Moderado"),AND(L107="Baja",P107="Menor"),AND(L107="Baja",P107="Moderado"),AND(L107="Media",P107="Leve"),AND(L107="Media",P107="Menor"),AND(L107="Media",P107="Moderado"),AND(L107="Alta",P107="Leve"),AND(L107="Alta",P107="Menor")),"Moderado",IF(OR(AND(L107="Muy Baja",P107="Mayor"),AND(L107="Baja",P107="Mayor"),AND(L107="Media",P107="Mayor"),AND(L107="Alta",P107="Moderado"),AND(L107="Alta",P107="Mayor"),AND(L107="Muy Alta",P107="Leve"),AND(L107="Muy Alta",P107="Menor"),AND(L107="Muy Alta",P107="Moderado"),AND(L107="Muy Alta",P107="Mayor")),"Alto",IF(OR(AND(L107="Muy Baja",P107="Catastrófico"),AND(L107="Baja",P107="Catastrófico"),AND(L107="Media",P107="Catastrófico"),AND(L107="Alta",P107="Catastrófico"),AND(L107="Muy Alta",P107="Catastrófico")),"Extremo",""))))</f>
        <v>Alto</v>
      </c>
      <c r="S107" s="716">
        <v>1</v>
      </c>
      <c r="T107" s="761" t="s">
        <v>723</v>
      </c>
      <c r="U107" s="718" t="str">
        <f>IF(OR(V107="Preventivo",V107="Detectivo"),"Probabilidad",IF(V107="Correctivo","Impacto",""))</f>
        <v>Impacto</v>
      </c>
      <c r="V107" s="719" t="s">
        <v>308</v>
      </c>
      <c r="W107" s="719" t="s">
        <v>201</v>
      </c>
      <c r="X107" s="720" t="str">
        <f>IF(AND(V107="Preventivo",W107="Automático"),"50%",IF(AND(V107="Preventivo",W107="Manual"),"40%",IF(AND(V107="Detectivo",W107="Automático"),"40%",IF(AND(V107="Detectivo",W107="Manual"),"30%",IF(AND(V107="Correctivo",W107="Automático"),"35%",IF(AND(V107="Correctivo",W107="Manual"),"25%",""))))))</f>
        <v>25%</v>
      </c>
      <c r="Y107" s="719" t="s">
        <v>208</v>
      </c>
      <c r="Z107" s="719" t="s">
        <v>203</v>
      </c>
      <c r="AA107" s="719" t="s">
        <v>204</v>
      </c>
      <c r="AB107" s="721">
        <f>IFERROR(IF(U107="Probabilidad",(M107-(+M107*X107)),IF(U107="Impacto",M107,"")),"")</f>
        <v>1</v>
      </c>
      <c r="AC107" s="722" t="str">
        <f>IFERROR(IF(AB107="","",IF(AB107&lt;=0.2,"Muy Baja",IF(AB107&lt;=0.4,"Baja",IF(AB107&lt;=0.6,"Media",IF(AB107&lt;=0.8,"Alta","Muy Alta"))))),"")</f>
        <v>Muy Alta</v>
      </c>
      <c r="AD107" s="723">
        <f>+AB107</f>
        <v>1</v>
      </c>
      <c r="AE107" s="722" t="str">
        <f>IFERROR(IF(AF107="","",IF(AF107&lt;=0.2,"Leve",IF(AF107&lt;=0.4,"Menor",IF(AF107&lt;=0.6,"Moderado",IF(AF107&lt;=0.8,"Mayor","Catastrófico"))))),"")</f>
        <v>Moderado</v>
      </c>
      <c r="AF107" s="723">
        <f>IFERROR(IF(U107="Impacto",(Q107-(+Q107*X107)),IF(U107="Probabilidad",Q107,"")),"")</f>
        <v>0.60000000000000009</v>
      </c>
      <c r="AG107" s="724" t="str">
        <f>IFERROR(IF(OR(AND(AC107="Muy Baja",AE107="Leve"),AND(AC107="Muy Baja",AE107="Menor"),AND(AC107="Baja",AE107="Leve")),"Bajo",IF(OR(AND(AC107="Muy baja",AE107="Moderado"),AND(AC107="Baja",AE107="Menor"),AND(AC107="Baja",AE107="Moderado"),AND(AC107="Media",AE107="Leve"),AND(AC107="Media",AE107="Menor"),AND(AC107="Media",AE107="Moderado"),AND(AC107="Alta",AE107="Leve"),AND(AC107="Alta",AE107="Menor")),"Moderado",IF(OR(AND(AC107="Muy Baja",AE107="Mayor"),AND(AC107="Baja",AE107="Mayor"),AND(AC107="Media",AE107="Mayor"),AND(AC107="Alta",AE107="Moderado"),AND(AC107="Alta",AE107="Mayor"),AND(AC107="Muy Alta",AE107="Leve"),AND(AC107="Muy Alta",AE107="Menor"),AND(AC107="Muy Alta",AE107="Moderado"),AND(AC107="Muy Alta",AE107="Mayor")),"Alto",IF(OR(AND(AC107="Muy Baja",AE107="Catastrófico"),AND(AC107="Baja",AE107="Catastrófico"),AND(AC107="Media",AE107="Catastrófico"),AND(AC107="Alta",AE107="Catastrófico"),AND(AC107="Muy Alta",AE107="Catastrófico")),"Extremo","")))),"")</f>
        <v>Alto</v>
      </c>
      <c r="AH107" s="295" t="s">
        <v>205</v>
      </c>
      <c r="AI107" s="760" t="s">
        <v>724</v>
      </c>
      <c r="AJ107" s="761" t="s">
        <v>383</v>
      </c>
      <c r="AK107" s="301">
        <v>45292</v>
      </c>
      <c r="AL107" s="301">
        <v>45657</v>
      </c>
      <c r="AM107" s="762" t="s">
        <v>206</v>
      </c>
      <c r="AN107" s="1115" t="s">
        <v>725</v>
      </c>
      <c r="AO107" s="1004" t="s">
        <v>726</v>
      </c>
      <c r="AP107" s="1004" t="s">
        <v>727</v>
      </c>
      <c r="AQ107" s="1004" t="s">
        <v>1286</v>
      </c>
      <c r="AR107" s="1004" t="s">
        <v>1287</v>
      </c>
      <c r="AS107" s="1006"/>
    </row>
    <row r="108" spans="1:45" s="523" customFormat="1" ht="166.8" customHeight="1" x14ac:dyDescent="0.25">
      <c r="A108" s="912"/>
      <c r="B108" s="2113"/>
      <c r="C108" s="2238"/>
      <c r="D108" s="2238"/>
      <c r="E108" s="3207"/>
      <c r="F108" s="2791" t="s">
        <v>384</v>
      </c>
      <c r="G108" s="2355"/>
      <c r="H108" s="2357"/>
      <c r="I108" s="2355"/>
      <c r="J108" s="2359"/>
      <c r="K108" s="2294"/>
      <c r="L108" s="2296"/>
      <c r="M108" s="2298"/>
      <c r="N108" s="2300"/>
      <c r="O108" s="2298"/>
      <c r="P108" s="2296"/>
      <c r="Q108" s="2298"/>
      <c r="R108" s="2268"/>
      <c r="S108" s="2112">
        <v>2</v>
      </c>
      <c r="T108" s="2237" t="s">
        <v>728</v>
      </c>
      <c r="U108" s="3214" t="str">
        <f>IF(OR(V108="Preventivo",V108="Detectivo"),"Probabilidad",IF(V108="Correctivo","Impacto",""))</f>
        <v>Impacto</v>
      </c>
      <c r="V108" s="2282" t="s">
        <v>308</v>
      </c>
      <c r="W108" s="2282" t="s">
        <v>201</v>
      </c>
      <c r="X108" s="2276" t="str">
        <f>IF(AND(V108="Preventivo",W108="Automático"),"50%",IF(AND(V108="Preventivo",W108="Manual"),"40%",IF(AND(V108="Detectivo",W108="Automático"),"40%",IF(AND(V108="Detectivo",W108="Manual"),"30%",IF(AND(V108="Correctivo",W108="Automático"),"35%",IF(AND(V108="Correctivo",W108="Manual"),"25%",""))))))</f>
        <v>25%</v>
      </c>
      <c r="Y108" s="2282" t="s">
        <v>208</v>
      </c>
      <c r="Z108" s="2282" t="s">
        <v>203</v>
      </c>
      <c r="AA108" s="2282" t="s">
        <v>204</v>
      </c>
      <c r="AB108" s="3202">
        <f>IFERROR(IF(AND(U107="Probabilidad",U108="Probabilidad"),(AD107-(+AD107*X108)),IF(AND(U107="Impacto",U108="Probabilidad"),(AD106-(+AD106*X108)),IF(U108="Impacto",AD107,""))),"")</f>
        <v>1</v>
      </c>
      <c r="AC108" s="2273" t="str">
        <f>IFERROR(IF(AB108="","",IF(AB108&lt;=0.2,"Muy Baja",IF(AB108&lt;=0.4,"Baja",IF(AB108&lt;=0.6,"Media",IF(AB108&lt;=0.8,"Alta","Muy Alta"))))),"")</f>
        <v>Muy Alta</v>
      </c>
      <c r="AD108" s="2276">
        <f>+AB108</f>
        <v>1</v>
      </c>
      <c r="AE108" s="2273" t="str">
        <f>IFERROR(IF(AF108="","",IF(AF108&lt;=0.2,"Leve",IF(AF108&lt;=0.4,"Menor",IF(AF108&lt;=0.6,"Moderado",IF(AF108&lt;=0.8,"Mayor","Catastrófico"))))),"")</f>
        <v>Moderado</v>
      </c>
      <c r="AF108" s="2276">
        <f>IFERROR(IF(AND(U107="Impacto",U108="Impacto"),(AF107-(+AF107*X108)),IF(AND(U107="Probabilidad",U108="Impacto"),(AF106-(+AF106*X108)),IF(U108="Probabilidad",AF107,""))),"")</f>
        <v>0.45000000000000007</v>
      </c>
      <c r="AG108" s="2279" t="str">
        <f>IFERROR(IF(OR(AND(AC108="Muy Baja",AE108="Leve"),AND(AC108="Muy Baja",AE108="Menor"),AND(AC108="Baja",AE108="Leve")),"Bajo",IF(OR(AND(AC108="Muy baja",AE108="Moderado"),AND(AC108="Baja",AE108="Menor"),AND(AC108="Baja",AE108="Moderado"),AND(AC108="Media",AE108="Leve"),AND(AC108="Media",AE108="Menor"),AND(AC108="Media",AE108="Moderado"),AND(AC108="Alta",AE108="Leve"),AND(AC108="Alta",AE108="Menor")),"Moderado",IF(OR(AND(AC108="Muy Baja",AE108="Mayor"),AND(AC108="Baja",AE108="Mayor"),AND(AC108="Media",AE108="Mayor"),AND(AC108="Alta",AE108="Moderado"),AND(AC108="Alta",AE108="Mayor"),AND(AC108="Muy Alta",AE108="Leve"),AND(AC108="Muy Alta",AE108="Menor"),AND(AC108="Muy Alta",AE108="Moderado"),AND(AC108="Muy Alta",AE108="Mayor")),"Alto",IF(OR(AND(AC108="Muy Baja",AE108="Catastrófico"),AND(AC108="Baja",AE108="Catastrófico"),AND(AC108="Media",AE108="Catastrófico"),AND(AC108="Alta",AE108="Catastrófico"),AND(AC108="Muy Alta",AE108="Catastrófico")),"Extremo","")))),"")</f>
        <v>Alto</v>
      </c>
      <c r="AH108" s="2282" t="s">
        <v>205</v>
      </c>
      <c r="AI108" s="765" t="s">
        <v>385</v>
      </c>
      <c r="AJ108" s="736" t="s">
        <v>383</v>
      </c>
      <c r="AK108" s="766">
        <v>45292</v>
      </c>
      <c r="AL108" s="766">
        <v>45657</v>
      </c>
      <c r="AM108" s="767" t="s">
        <v>206</v>
      </c>
      <c r="AN108" s="1004" t="s">
        <v>729</v>
      </c>
      <c r="AO108" s="1004" t="s">
        <v>730</v>
      </c>
      <c r="AP108" s="1004" t="s">
        <v>731</v>
      </c>
      <c r="AQ108" s="1004" t="s">
        <v>1288</v>
      </c>
      <c r="AR108" s="1004" t="s">
        <v>1289</v>
      </c>
      <c r="AS108" s="1006"/>
    </row>
    <row r="109" spans="1:45" s="523" customFormat="1" ht="166.8" customHeight="1" x14ac:dyDescent="0.25">
      <c r="A109" s="912"/>
      <c r="B109" s="2113"/>
      <c r="C109" s="2238"/>
      <c r="D109" s="2238"/>
      <c r="E109" s="3207"/>
      <c r="F109" s="2792"/>
      <c r="G109" s="2355"/>
      <c r="H109" s="2357"/>
      <c r="I109" s="2355"/>
      <c r="J109" s="2359"/>
      <c r="K109" s="2294"/>
      <c r="L109" s="2296"/>
      <c r="M109" s="2298"/>
      <c r="N109" s="2300"/>
      <c r="O109" s="2298">
        <f>IF(NOT(ISERROR(MATCH(N109,_xlfn.ANCHORARRAY(G114),0))),M116&amp;"Por favor no seleccionar los criterios de impacto",N109)</f>
        <v>0</v>
      </c>
      <c r="P109" s="2296"/>
      <c r="Q109" s="2298"/>
      <c r="R109" s="2268"/>
      <c r="S109" s="2114"/>
      <c r="T109" s="2287"/>
      <c r="U109" s="3215"/>
      <c r="V109" s="2284"/>
      <c r="W109" s="2284"/>
      <c r="X109" s="2278"/>
      <c r="Y109" s="2284"/>
      <c r="Z109" s="2284"/>
      <c r="AA109" s="2284"/>
      <c r="AB109" s="3204"/>
      <c r="AC109" s="2275"/>
      <c r="AD109" s="2278"/>
      <c r="AE109" s="2275"/>
      <c r="AF109" s="2278"/>
      <c r="AG109" s="2281"/>
      <c r="AH109" s="2284"/>
      <c r="AI109" s="2803" t="s">
        <v>732</v>
      </c>
      <c r="AJ109" s="2237" t="s">
        <v>383</v>
      </c>
      <c r="AK109" s="2804">
        <v>45292</v>
      </c>
      <c r="AL109" s="2806">
        <v>45657</v>
      </c>
      <c r="AM109" s="2808" t="s">
        <v>206</v>
      </c>
      <c r="AN109" s="3225" t="s">
        <v>733</v>
      </c>
      <c r="AO109" s="3225" t="s">
        <v>734</v>
      </c>
      <c r="AP109" s="3227" t="s">
        <v>1139</v>
      </c>
      <c r="AQ109" s="3225" t="s">
        <v>1140</v>
      </c>
      <c r="AR109" s="3225" t="s">
        <v>1290</v>
      </c>
      <c r="AS109" s="3219"/>
    </row>
    <row r="110" spans="1:45" s="523" customFormat="1" ht="260.39999999999998" customHeight="1" x14ac:dyDescent="0.25">
      <c r="A110" s="912"/>
      <c r="B110" s="2113"/>
      <c r="C110" s="2238"/>
      <c r="D110" s="2238"/>
      <c r="E110" s="3207"/>
      <c r="F110" s="1036" t="s">
        <v>386</v>
      </c>
      <c r="G110" s="2355"/>
      <c r="H110" s="2357"/>
      <c r="I110" s="2355"/>
      <c r="J110" s="2359"/>
      <c r="K110" s="2294"/>
      <c r="L110" s="2296"/>
      <c r="M110" s="2298"/>
      <c r="N110" s="2300"/>
      <c r="O110" s="2298">
        <f>IF(NOT(ISERROR(MATCH(N110,_xlfn.ANCHORARRAY(G115),0))),M117&amp;"Por favor no seleccionar los criterios de impacto",N110)</f>
        <v>0</v>
      </c>
      <c r="P110" s="2296"/>
      <c r="Q110" s="2298"/>
      <c r="R110" s="2268"/>
      <c r="S110" s="716">
        <v>3</v>
      </c>
      <c r="T110" s="730" t="s">
        <v>387</v>
      </c>
      <c r="U110" s="718" t="str">
        <f t="shared" ref="U110:U111" si="48">IF(OR(V110="Preventivo",V110="Detectivo"),"Probabilidad",IF(V110="Correctivo","Impacto",""))</f>
        <v>Impacto</v>
      </c>
      <c r="V110" s="719" t="s">
        <v>308</v>
      </c>
      <c r="W110" s="719" t="s">
        <v>201</v>
      </c>
      <c r="X110" s="720" t="str">
        <f t="shared" ref="X110:X113" si="49">IF(AND(V110="Preventivo",W110="Automático"),"50%",IF(AND(V110="Preventivo",W110="Manual"),"40%",IF(AND(V110="Detectivo",W110="Automático"),"40%",IF(AND(V110="Detectivo",W110="Manual"),"30%",IF(AND(V110="Correctivo",W110="Automático"),"35%",IF(AND(V110="Correctivo",W110="Manual"),"25%",""))))))</f>
        <v>25%</v>
      </c>
      <c r="Y110" s="719" t="s">
        <v>208</v>
      </c>
      <c r="Z110" s="719" t="s">
        <v>203</v>
      </c>
      <c r="AA110" s="719" t="s">
        <v>204</v>
      </c>
      <c r="AB110" s="721">
        <f>IFERROR(IF(AND(U108="Probabilidad",U110="Probabilidad"),(AD108-(+AD108*X110)),IF(AND(U108="Impacto",U110="Probabilidad"),(AD107-(+AD107*X110)),IF(U110="Impacto",AD108,""))),"")</f>
        <v>1</v>
      </c>
      <c r="AC110" s="722" t="str">
        <f t="shared" ref="AC110:AC111" si="50">IFERROR(IF(AB110="","",IF(AB110&lt;=0.2,"Muy Baja",IF(AB110&lt;=0.4,"Baja",IF(AB110&lt;=0.6,"Media",IF(AB110&lt;=0.8,"Alta","Muy Alta"))))),"")</f>
        <v>Muy Alta</v>
      </c>
      <c r="AD110" s="723">
        <f t="shared" ref="AD110:AD111" si="51">+AB110</f>
        <v>1</v>
      </c>
      <c r="AE110" s="722" t="str">
        <f t="shared" ref="AE110:AE111" si="52">IFERROR(IF(AF110="","",IF(AF110&lt;=0.2,"Leve",IF(AF110&lt;=0.4,"Menor",IF(AF110&lt;=0.6,"Moderado",IF(AF110&lt;=0.8,"Mayor","Catastrófico"))))),"")</f>
        <v>Menor</v>
      </c>
      <c r="AF110" s="723">
        <f>IFERROR(IF(AND(U108="Impacto",U110="Impacto"),(AF108-(+AF108*X110)),IF(AND(U108="Probabilidad",U110="Impacto"),(AF107-(+AF107*X110)),IF(U110="Probabilidad",AF108,""))),"")</f>
        <v>0.33750000000000002</v>
      </c>
      <c r="AG110" s="724" t="str">
        <f t="shared" ref="AG110:AG111" si="53">IFERROR(IF(OR(AND(AC110="Muy Baja",AE110="Leve"),AND(AC110="Muy Baja",AE110="Menor"),AND(AC110="Baja",AE110="Leve")),"Bajo",IF(OR(AND(AC110="Muy baja",AE110="Moderado"),AND(AC110="Baja",AE110="Menor"),AND(AC110="Baja",AE110="Moderado"),AND(AC110="Media",AE110="Leve"),AND(AC110="Media",AE110="Menor"),AND(AC110="Media",AE110="Moderado"),AND(AC110="Alta",AE110="Leve"),AND(AC110="Alta",AE110="Menor")),"Moderado",IF(OR(AND(AC110="Muy Baja",AE110="Mayor"),AND(AC110="Baja",AE110="Mayor"),AND(AC110="Media",AE110="Mayor"),AND(AC110="Alta",AE110="Moderado"),AND(AC110="Alta",AE110="Mayor"),AND(AC110="Muy Alta",AE110="Leve"),AND(AC110="Muy Alta",AE110="Menor"),AND(AC110="Muy Alta",AE110="Moderado"),AND(AC110="Muy Alta",AE110="Mayor")),"Alto",IF(OR(AND(AC110="Muy Baja",AE110="Catastrófico"),AND(AC110="Baja",AE110="Catastrófico"),AND(AC110="Media",AE110="Catastrófico"),AND(AC110="Alta",AE110="Catastrófico"),AND(AC110="Muy Alta",AE110="Catastrófico")),"Extremo","")))),"")</f>
        <v>Alto</v>
      </c>
      <c r="AH110" s="295" t="s">
        <v>205</v>
      </c>
      <c r="AI110" s="2286"/>
      <c r="AJ110" s="2287"/>
      <c r="AK110" s="2805"/>
      <c r="AL110" s="2807"/>
      <c r="AM110" s="2809"/>
      <c r="AN110" s="3226"/>
      <c r="AO110" s="3220"/>
      <c r="AP110" s="3228"/>
      <c r="AQ110" s="3220"/>
      <c r="AR110" s="3220"/>
      <c r="AS110" s="3220"/>
    </row>
    <row r="111" spans="1:45" s="523" customFormat="1" ht="315.60000000000002" customHeight="1" x14ac:dyDescent="0.25">
      <c r="A111" s="912"/>
      <c r="B111" s="2113"/>
      <c r="C111" s="2238"/>
      <c r="D111" s="2238"/>
      <c r="E111" s="3207"/>
      <c r="F111" s="1036" t="s">
        <v>388</v>
      </c>
      <c r="G111" s="2355"/>
      <c r="H111" s="2357"/>
      <c r="I111" s="2355"/>
      <c r="J111" s="2359"/>
      <c r="K111" s="2294"/>
      <c r="L111" s="2296"/>
      <c r="M111" s="2298"/>
      <c r="N111" s="2300"/>
      <c r="O111" s="2298">
        <f>IF(NOT(ISERROR(MATCH(N111,_xlfn.ANCHORARRAY(G116),0))),M118&amp;"Por favor no seleccionar los criterios de impacto",N111)</f>
        <v>0</v>
      </c>
      <c r="P111" s="2296"/>
      <c r="Q111" s="2298"/>
      <c r="R111" s="2268"/>
      <c r="S111" s="716">
        <v>4</v>
      </c>
      <c r="T111" s="761" t="s">
        <v>389</v>
      </c>
      <c r="U111" s="718" t="str">
        <f t="shared" si="48"/>
        <v>Impacto</v>
      </c>
      <c r="V111" s="719" t="s">
        <v>308</v>
      </c>
      <c r="W111" s="719" t="s">
        <v>201</v>
      </c>
      <c r="X111" s="720" t="str">
        <f t="shared" si="49"/>
        <v>25%</v>
      </c>
      <c r="Y111" s="719" t="s">
        <v>208</v>
      </c>
      <c r="Z111" s="719" t="s">
        <v>203</v>
      </c>
      <c r="AA111" s="719" t="s">
        <v>204</v>
      </c>
      <c r="AB111" s="721">
        <f>IFERROR(IF(AND(U110="Probabilidad",U111="Probabilidad"),(AD110-(+AD110*X111)),IF(AND(U110="Impacto",U111="Probabilidad"),(AD108-(+AD108*X111)),IF(U111="Impacto",AD110,""))),"")</f>
        <v>1</v>
      </c>
      <c r="AC111" s="722" t="str">
        <f t="shared" si="50"/>
        <v>Muy Alta</v>
      </c>
      <c r="AD111" s="723">
        <f t="shared" si="51"/>
        <v>1</v>
      </c>
      <c r="AE111" s="722" t="str">
        <f t="shared" si="52"/>
        <v>Menor</v>
      </c>
      <c r="AF111" s="723">
        <f>IFERROR(IF(AND(U110="Impacto",U111="Impacto"),(AF110-(+AF110*X111)),IF(AND(U110="Probabilidad",U111="Impacto"),(AF108-(+AF108*X111)),IF(U111="Probabilidad",AF110,""))),"")</f>
        <v>0.25312500000000004</v>
      </c>
      <c r="AG111" s="724" t="str">
        <f t="shared" si="53"/>
        <v>Alto</v>
      </c>
      <c r="AH111" s="295"/>
      <c r="AI111" s="760" t="s">
        <v>390</v>
      </c>
      <c r="AJ111" s="300" t="s">
        <v>383</v>
      </c>
      <c r="AK111" s="769">
        <v>45292</v>
      </c>
      <c r="AL111" s="769">
        <v>45657</v>
      </c>
      <c r="AM111" s="770" t="s">
        <v>206</v>
      </c>
      <c r="AN111" s="1004" t="s">
        <v>736</v>
      </c>
      <c r="AO111" s="1004" t="s">
        <v>737</v>
      </c>
      <c r="AP111" s="1115" t="s">
        <v>736</v>
      </c>
      <c r="AQ111" s="1004" t="s">
        <v>1141</v>
      </c>
      <c r="AR111" s="1004" t="s">
        <v>1291</v>
      </c>
      <c r="AS111" s="1006"/>
    </row>
    <row r="112" spans="1:45" s="523" customFormat="1" ht="298.8" customHeight="1" x14ac:dyDescent="0.25">
      <c r="A112" s="912"/>
      <c r="B112" s="2112">
        <v>2</v>
      </c>
      <c r="C112" s="2237" t="s">
        <v>197</v>
      </c>
      <c r="D112" s="2237" t="s">
        <v>739</v>
      </c>
      <c r="E112" s="3221" t="s">
        <v>740</v>
      </c>
      <c r="F112" s="915" t="s">
        <v>391</v>
      </c>
      <c r="G112" s="2355" t="s">
        <v>741</v>
      </c>
      <c r="H112" s="2357"/>
      <c r="I112" s="3223" t="s">
        <v>742</v>
      </c>
      <c r="J112" s="2358" t="s">
        <v>392</v>
      </c>
      <c r="K112" s="2249">
        <v>7162</v>
      </c>
      <c r="L112" s="2252" t="str">
        <f>IF(K112&lt;=0,"",IF(K112&lt;=2,"Muy Baja",IF(K112&lt;=24,"Baja",IF(K112&lt;=500,"Media",IF(K112&lt;=5000,"Alta","Muy Alta")))))</f>
        <v>Muy Alta</v>
      </c>
      <c r="M112" s="2255">
        <f>IF(L112="","",IF(L112="Muy Baja",0.2,IF(L112="Baja",0.4,IF(L112="Media",0.6,IF(L112="Alta",0.8,IF(L112="Muy Alta",1,))))))</f>
        <v>1</v>
      </c>
      <c r="N112" s="2258" t="s">
        <v>393</v>
      </c>
      <c r="O112" s="2255" t="str">
        <f>IF(NOT(ISERROR(MATCH(N112,'[53]Tabla Impacto'!$B$221:$B$223,0))),'[53]Tabla Impacto'!$F$223&amp;"Por favor no seleccionar los criterios de impacto(Afectación Económica o presupuestal y Pérdida Reputacional)",N112)</f>
        <v xml:space="preserve">     Entre 200 y 1000 SMLMV</v>
      </c>
      <c r="P112" s="2252" t="str">
        <f>IF(OR(O112='[53]Tabla Impacto'!$C$11,O112='[53]Tabla Impacto'!$D$11),"Leve",IF(OR(O112='[53]Tabla Impacto'!$C$12,O112='[53]Tabla Impacto'!$D$12),"Menor",IF(OR(O112='[53]Tabla Impacto'!$C$13,O112='[53]Tabla Impacto'!$D$13),"Moderado",IF(OR(O112='[53]Tabla Impacto'!$C$14,O112='[53]Tabla Impacto'!$D$14),"Mayor",IF(OR(O112='[53]Tabla Impacto'!$C$15,O112='[53]Tabla Impacto'!$D$15),"Catastrófico","")))))</f>
        <v>Menor</v>
      </c>
      <c r="Q112" s="2255">
        <f>IF(P112="","",IF(P112="Leve",0.2,IF(P112="Menor",0.4,IF(P112="Moderado",0.6,IF(P112="Mayor",0.8,IF(P112="Catastrófico",1,))))))</f>
        <v>0.4</v>
      </c>
      <c r="R112" s="2261" t="str">
        <f>IF(OR(AND(L112="Muy Baja",P112="Leve"),AND(L112="Muy Baja",P112="Menor"),AND(L112="Baja",P112="Leve")),"Bajo",IF(OR(AND(L112="Muy baja",P112="Moderado"),AND(L112="Baja",P112="Menor"),AND(L112="Baja",P112="Moderado"),AND(L112="Media",P112="Leve"),AND(L112="Media",P112="Menor"),AND(L112="Media",P112="Moderado"),AND(L112="Alta",P112="Leve"),AND(L112="Alta",P112="Menor")),"Moderado",IF(OR(AND(L112="Muy Baja",P112="Mayor"),AND(L112="Baja",P112="Mayor"),AND(L112="Media",P112="Mayor"),AND(L112="Alta",P112="Moderado"),AND(L112="Alta",P112="Mayor"),AND(L112="Muy Alta",P112="Leve"),AND(L112="Muy Alta",P112="Menor"),AND(L112="Muy Alta",P112="Moderado"),AND(L112="Muy Alta",P112="Mayor")),"Alto",IF(OR(AND(L112="Muy Baja",P112="Catastrófico"),AND(L112="Baja",P112="Catastrófico"),AND(L112="Media",P112="Catastrófico"),AND(L112="Alta",P112="Catastrófico"),AND(L112="Muy Alta",P112="Catastrófico")),"Extremo",""))))</f>
        <v>Alto</v>
      </c>
      <c r="S112" s="716">
        <v>1</v>
      </c>
      <c r="T112" s="760" t="s">
        <v>743</v>
      </c>
      <c r="U112" s="718" t="str">
        <f>IF(OR(V112="Preventivo",V112="Detectivo"),"Probabilidad",IF(V112="Correctivo","Impacto",""))</f>
        <v>Impacto</v>
      </c>
      <c r="V112" s="719" t="s">
        <v>308</v>
      </c>
      <c r="W112" s="719" t="s">
        <v>201</v>
      </c>
      <c r="X112" s="720" t="str">
        <f t="shared" si="49"/>
        <v>25%</v>
      </c>
      <c r="Y112" s="719" t="s">
        <v>208</v>
      </c>
      <c r="Z112" s="719" t="s">
        <v>203</v>
      </c>
      <c r="AA112" s="719" t="s">
        <v>204</v>
      </c>
      <c r="AB112" s="721">
        <f>IFERROR(IF(U112="Probabilidad",(M112-(+M112*X112)),IF(U112="Impacto",M112,"")),"")</f>
        <v>1</v>
      </c>
      <c r="AC112" s="722" t="str">
        <f>IFERROR(IF(AB112="","",IF(AB112&lt;=0.2,"Muy Baja",IF(AB112&lt;=0.4,"Baja",IF(AB112&lt;=0.6,"Media",IF(AB112&lt;=0.8,"Alta","Muy Alta"))))),"")</f>
        <v>Muy Alta</v>
      </c>
      <c r="AD112" s="723">
        <f>+AB112</f>
        <v>1</v>
      </c>
      <c r="AE112" s="722" t="str">
        <f>IFERROR(IF(AF112="","",IF(AF112&lt;=0.2,"Leve",IF(AF112&lt;=0.4,"Menor",IF(AF112&lt;=0.6,"Moderado",IF(AF112&lt;=0.8,"Mayor","Catastrófico"))))),"")</f>
        <v>Menor</v>
      </c>
      <c r="AF112" s="723">
        <f>IFERROR(IF(U112="Impacto",(Q112-(+Q112*X112)),IF(U112="Probabilidad",Q112,"")),"")</f>
        <v>0.30000000000000004</v>
      </c>
      <c r="AG112" s="724" t="str">
        <f>IFERROR(IF(OR(AND(AC112="Muy Baja",AE112="Leve"),AND(AC112="Muy Baja",AE112="Menor"),AND(AC112="Baja",AE112="Leve")),"Bajo",IF(OR(AND(AC112="Muy baja",AE112="Moderado"),AND(AC112="Baja",AE112="Menor"),AND(AC112="Baja",AE112="Moderado"),AND(AC112="Media",AE112="Leve"),AND(AC112="Media",AE112="Menor"),AND(AC112="Media",AE112="Moderado"),AND(AC112="Alta",AE112="Leve"),AND(AC112="Alta",AE112="Menor")),"Moderado",IF(OR(AND(AC112="Muy Baja",AE112="Mayor"),AND(AC112="Baja",AE112="Mayor"),AND(AC112="Media",AE112="Mayor"),AND(AC112="Alta",AE112="Moderado"),AND(AC112="Alta",AE112="Mayor"),AND(AC112="Muy Alta",AE112="Leve"),AND(AC112="Muy Alta",AE112="Menor"),AND(AC112="Muy Alta",AE112="Moderado"),AND(AC112="Muy Alta",AE112="Mayor")),"Alto",IF(OR(AND(AC112="Muy Baja",AE112="Catastrófico"),AND(AC112="Baja",AE112="Catastrófico"),AND(AC112="Media",AE112="Catastrófico"),AND(AC112="Alta",AE112="Catastrófico"),AND(AC112="Muy Alta",AE112="Catastrófico")),"Extremo","")))),"")</f>
        <v>Alto</v>
      </c>
      <c r="AH112" s="778" t="s">
        <v>205</v>
      </c>
      <c r="AI112" s="760" t="s">
        <v>394</v>
      </c>
      <c r="AJ112" s="761" t="s">
        <v>383</v>
      </c>
      <c r="AK112" s="769">
        <v>45292</v>
      </c>
      <c r="AL112" s="769">
        <v>45657</v>
      </c>
      <c r="AM112" s="770" t="s">
        <v>206</v>
      </c>
      <c r="AN112" s="1116" t="s">
        <v>744</v>
      </c>
      <c r="AO112" s="1004" t="s">
        <v>745</v>
      </c>
      <c r="AP112" s="1004" t="s">
        <v>746</v>
      </c>
      <c r="AQ112" s="1004" t="s">
        <v>1292</v>
      </c>
      <c r="AR112" s="1004" t="s">
        <v>1293</v>
      </c>
      <c r="AS112" s="1006"/>
    </row>
    <row r="113" spans="1:46" s="523" customFormat="1" ht="374.4" customHeight="1" x14ac:dyDescent="0.25">
      <c r="A113" s="912"/>
      <c r="B113" s="2113"/>
      <c r="C113" s="2238"/>
      <c r="D113" s="2238"/>
      <c r="E113" s="3222"/>
      <c r="F113" s="915" t="s">
        <v>747</v>
      </c>
      <c r="G113" s="2355"/>
      <c r="H113" s="2357"/>
      <c r="I113" s="3224"/>
      <c r="J113" s="2359"/>
      <c r="K113" s="2250"/>
      <c r="L113" s="2253"/>
      <c r="M113" s="2256"/>
      <c r="N113" s="2259"/>
      <c r="O113" s="2256">
        <f>IF(NOT(ISERROR(MATCH(N113,_xlfn.ANCHORARRAY(G120),0))),M122&amp;"Por favor no seleccionar los criterios de impacto",N113)</f>
        <v>0</v>
      </c>
      <c r="P113" s="2253"/>
      <c r="Q113" s="2256"/>
      <c r="R113" s="2262"/>
      <c r="S113" s="716">
        <v>2</v>
      </c>
      <c r="T113" s="761" t="s">
        <v>748</v>
      </c>
      <c r="U113" s="718" t="str">
        <f>IF(OR(V113="Preventivo",V113="Detectivo"),"Probabilidad",IF(V113="Correctivo","Impacto",""))</f>
        <v>Impacto</v>
      </c>
      <c r="V113" s="719" t="s">
        <v>308</v>
      </c>
      <c r="W113" s="719" t="s">
        <v>201</v>
      </c>
      <c r="X113" s="720" t="str">
        <f t="shared" si="49"/>
        <v>25%</v>
      </c>
      <c r="Y113" s="719" t="s">
        <v>208</v>
      </c>
      <c r="Z113" s="719" t="s">
        <v>203</v>
      </c>
      <c r="AA113" s="719" t="s">
        <v>204</v>
      </c>
      <c r="AB113" s="721">
        <f>IFERROR(IF(AND(U112="Probabilidad",U113="Probabilidad"),(AD112-(+AD112*X113)),IF(AND(U112="Impacto",U113="Probabilidad"),(#REF!-(+#REF!*X113)),IF(U113="Impacto",AD112,""))),"")</f>
        <v>1</v>
      </c>
      <c r="AC113" s="722" t="str">
        <f t="shared" ref="AC113" si="54">IFERROR(IF(AB113="","",IF(AB113&lt;=0.2,"Muy Baja",IF(AB113&lt;=0.4,"Baja",IF(AB113&lt;=0.6,"Media",IF(AB113&lt;=0.8,"Alta","Muy Alta"))))),"")</f>
        <v>Muy Alta</v>
      </c>
      <c r="AD113" s="723">
        <f t="shared" ref="AD113" si="55">+AB113</f>
        <v>1</v>
      </c>
      <c r="AE113" s="722" t="str">
        <f t="shared" ref="AE113" si="56">IFERROR(IF(AF113="","",IF(AF113&lt;=0.2,"Leve",IF(AF113&lt;=0.4,"Menor",IF(AF113&lt;=0.6,"Moderado",IF(AF113&lt;=0.8,"Mayor","Catastrófico"))))),"")</f>
        <v>Menor</v>
      </c>
      <c r="AF113" s="723">
        <f>IFERROR(IF(AND(U112="Impacto",U113="Impacto"),(AF112-(+AF112*X113)),IF(AND(U112="Probabilidad",U113="Impacto"),(#REF!-(+#REF!*X113)),IF(U113="Probabilidad",AF112,""))),"")</f>
        <v>0.22500000000000003</v>
      </c>
      <c r="AG113" s="724" t="str">
        <f t="shared" ref="AG113" si="57">IFERROR(IF(OR(AND(AC113="Muy Baja",AE113="Leve"),AND(AC113="Muy Baja",AE113="Menor"),AND(AC113="Baja",AE113="Leve")),"Bajo",IF(OR(AND(AC113="Muy baja",AE113="Moderado"),AND(AC113="Baja",AE113="Menor"),AND(AC113="Baja",AE113="Moderado"),AND(AC113="Media",AE113="Leve"),AND(AC113="Media",AE113="Menor"),AND(AC113="Media",AE113="Moderado"),AND(AC113="Alta",AE113="Leve"),AND(AC113="Alta",AE113="Menor")),"Moderado",IF(OR(AND(AC113="Muy Baja",AE113="Mayor"),AND(AC113="Baja",AE113="Mayor"),AND(AC113="Media",AE113="Mayor"),AND(AC113="Alta",AE113="Moderado"),AND(AC113="Alta",AE113="Mayor"),AND(AC113="Muy Alta",AE113="Leve"),AND(AC113="Muy Alta",AE113="Menor"),AND(AC113="Muy Alta",AE113="Moderado"),AND(AC113="Muy Alta",AE113="Mayor")),"Alto",IF(OR(AND(AC113="Muy Baja",AE113="Catastrófico"),AND(AC113="Baja",AE113="Catastrófico"),AND(AC113="Media",AE113="Catastrófico"),AND(AC113="Alta",AE113="Catastrófico"),AND(AC113="Muy Alta",AE113="Catastrófico")),"Extremo","")))),"")</f>
        <v>Alto</v>
      </c>
      <c r="AH113" s="778" t="s">
        <v>205</v>
      </c>
      <c r="AI113" s="760" t="s">
        <v>749</v>
      </c>
      <c r="AJ113" s="761" t="s">
        <v>383</v>
      </c>
      <c r="AK113" s="769">
        <v>45292</v>
      </c>
      <c r="AL113" s="769">
        <v>45657</v>
      </c>
      <c r="AM113" s="770" t="s">
        <v>206</v>
      </c>
      <c r="AN113" s="1004" t="s">
        <v>750</v>
      </c>
      <c r="AO113" s="1004" t="s">
        <v>751</v>
      </c>
      <c r="AP113" s="1004" t="s">
        <v>752</v>
      </c>
      <c r="AQ113" s="1004" t="s">
        <v>750</v>
      </c>
      <c r="AR113" s="1004" t="s">
        <v>1294</v>
      </c>
      <c r="AS113" s="1006"/>
    </row>
    <row r="114" spans="1:46" s="523" customFormat="1" ht="15.6" x14ac:dyDescent="0.25">
      <c r="A114" s="912"/>
      <c r="B114" s="912"/>
      <c r="C114" s="912"/>
      <c r="D114" s="912"/>
      <c r="E114" s="990"/>
      <c r="F114" s="912"/>
      <c r="G114" s="239"/>
      <c r="H114" s="912"/>
      <c r="I114" s="239"/>
      <c r="J114" s="239"/>
      <c r="K114" s="239"/>
      <c r="L114" s="913"/>
      <c r="M114" s="912"/>
      <c r="N114" s="912"/>
      <c r="O114" s="912"/>
      <c r="P114" s="914"/>
      <c r="Q114" s="912"/>
      <c r="R114" s="991"/>
      <c r="S114" s="992"/>
      <c r="T114" s="993"/>
      <c r="U114" s="994"/>
      <c r="V114" s="994"/>
      <c r="W114" s="995"/>
      <c r="X114" s="994"/>
      <c r="Y114" s="994"/>
      <c r="Z114" s="994"/>
      <c r="AA114" s="996"/>
      <c r="AB114" s="997"/>
      <c r="AC114" s="995"/>
      <c r="AD114" s="997"/>
      <c r="AE114" s="995"/>
      <c r="AF114" s="998"/>
      <c r="AG114" s="999"/>
      <c r="AH114" s="1000"/>
      <c r="AI114" s="1000"/>
      <c r="AJ114" s="1001"/>
      <c r="AK114" s="1001"/>
      <c r="AL114" s="1000"/>
      <c r="AM114" s="1002"/>
    </row>
    <row r="115" spans="1:46" s="523" customFormat="1" ht="28.2" x14ac:dyDescent="0.25">
      <c r="A115" s="912"/>
      <c r="B115" s="2343" t="s">
        <v>156</v>
      </c>
      <c r="C115" s="2344"/>
      <c r="D115" s="2344"/>
      <c r="E115" s="2344"/>
      <c r="F115" s="2344"/>
      <c r="G115" s="2344"/>
      <c r="H115" s="2344"/>
      <c r="I115" s="2344"/>
      <c r="J115" s="2344"/>
      <c r="K115" s="2344"/>
      <c r="L115" s="2344"/>
      <c r="M115" s="2344"/>
      <c r="N115" s="2344"/>
      <c r="O115" s="2344"/>
      <c r="P115" s="2344"/>
      <c r="Q115" s="2344"/>
      <c r="R115" s="2344"/>
      <c r="S115" s="2344"/>
      <c r="T115" s="2344"/>
      <c r="U115" s="2344"/>
      <c r="V115" s="2344"/>
      <c r="W115" s="2344"/>
      <c r="X115" s="2344"/>
      <c r="Y115" s="2344"/>
      <c r="Z115" s="2344"/>
      <c r="AA115" s="2344"/>
      <c r="AB115" s="2344"/>
      <c r="AC115" s="2344"/>
      <c r="AD115" s="2344"/>
      <c r="AE115" s="2344"/>
      <c r="AF115" s="2344"/>
      <c r="AG115" s="2344"/>
      <c r="AH115" s="2344"/>
      <c r="AI115" s="2344"/>
      <c r="AJ115" s="2344"/>
      <c r="AK115" s="2344"/>
      <c r="AL115" s="2344"/>
      <c r="AM115" s="2344"/>
      <c r="AN115" s="2345"/>
      <c r="AO115" s="1037"/>
      <c r="AP115" s="1037"/>
      <c r="AQ115" s="1037"/>
      <c r="AR115" s="1037"/>
      <c r="AS115" s="1037"/>
      <c r="AT115" s="1037"/>
    </row>
    <row r="116" spans="1:46" s="523" customFormat="1" ht="28.2" x14ac:dyDescent="0.25">
      <c r="A116" s="912"/>
      <c r="B116" s="2346"/>
      <c r="C116" s="2347"/>
      <c r="D116" s="2347"/>
      <c r="E116" s="2347"/>
      <c r="F116" s="2347"/>
      <c r="G116" s="2347"/>
      <c r="H116" s="2347"/>
      <c r="I116" s="2347"/>
      <c r="J116" s="2347"/>
      <c r="K116" s="2347"/>
      <c r="L116" s="2347"/>
      <c r="M116" s="2347"/>
      <c r="N116" s="2347"/>
      <c r="O116" s="2347"/>
      <c r="P116" s="2347"/>
      <c r="Q116" s="2347"/>
      <c r="R116" s="2347"/>
      <c r="S116" s="2347"/>
      <c r="T116" s="2347"/>
      <c r="U116" s="2347"/>
      <c r="V116" s="2347"/>
      <c r="W116" s="2347"/>
      <c r="X116" s="2347"/>
      <c r="Y116" s="2347"/>
      <c r="Z116" s="2347"/>
      <c r="AA116" s="2347"/>
      <c r="AB116" s="2347"/>
      <c r="AC116" s="2347"/>
      <c r="AD116" s="2347"/>
      <c r="AE116" s="2347"/>
      <c r="AF116" s="2347"/>
      <c r="AG116" s="2347"/>
      <c r="AH116" s="2347"/>
      <c r="AI116" s="2347"/>
      <c r="AJ116" s="2347"/>
      <c r="AK116" s="2347"/>
      <c r="AL116" s="2347"/>
      <c r="AM116" s="2347"/>
      <c r="AN116" s="2348"/>
      <c r="AO116" s="1037"/>
      <c r="AP116" s="1037"/>
      <c r="AQ116" s="1037"/>
      <c r="AR116" s="1037"/>
      <c r="AS116" s="1037"/>
      <c r="AT116" s="1037"/>
    </row>
    <row r="117" spans="1:46" s="523" customFormat="1" x14ac:dyDescent="0.25">
      <c r="A117" s="912"/>
      <c r="B117" s="703"/>
      <c r="C117" s="704"/>
      <c r="D117" s="703"/>
      <c r="E117" s="703"/>
      <c r="F117" s="703"/>
      <c r="G117" s="700"/>
      <c r="H117" s="700"/>
      <c r="I117" s="700"/>
      <c r="J117" s="705"/>
      <c r="K117" s="700"/>
      <c r="L117" s="700"/>
      <c r="M117" s="700"/>
      <c r="N117" s="700"/>
      <c r="O117" s="700"/>
      <c r="P117" s="700"/>
      <c r="Q117" s="700"/>
      <c r="R117" s="700"/>
      <c r="S117" s="700"/>
      <c r="T117" s="700"/>
      <c r="U117" s="700"/>
      <c r="V117" s="700"/>
      <c r="W117" s="700"/>
      <c r="X117" s="700"/>
      <c r="Y117" s="700"/>
      <c r="Z117" s="700"/>
      <c r="AA117" s="700"/>
      <c r="AB117" s="700"/>
      <c r="AC117" s="700"/>
      <c r="AD117" s="700"/>
      <c r="AE117" s="700"/>
      <c r="AF117" s="700"/>
      <c r="AG117" s="700"/>
      <c r="AH117" s="700"/>
      <c r="AI117" s="700"/>
      <c r="AJ117" s="700"/>
      <c r="AK117" s="700"/>
      <c r="AL117" s="700"/>
      <c r="AM117" s="700"/>
      <c r="AN117" s="700"/>
      <c r="AO117" s="1038"/>
      <c r="AP117" s="1038"/>
      <c r="AQ117" s="1038"/>
      <c r="AR117" s="1038"/>
      <c r="AS117" s="1038"/>
      <c r="AT117" s="1038"/>
    </row>
    <row r="118" spans="1:46" s="523" customFormat="1" ht="56.4" customHeight="1" x14ac:dyDescent="0.25">
      <c r="A118" s="912"/>
      <c r="B118" s="2349" t="s">
        <v>157</v>
      </c>
      <c r="C118" s="2350"/>
      <c r="D118" s="2039" t="s">
        <v>790</v>
      </c>
      <c r="E118" s="2039"/>
      <c r="F118" s="2039"/>
      <c r="G118" s="2039"/>
      <c r="H118" s="2039"/>
      <c r="I118" s="2039"/>
      <c r="J118" s="2039"/>
      <c r="K118" s="2039"/>
      <c r="L118" s="2039"/>
      <c r="M118" s="2039"/>
      <c r="N118" s="2039"/>
      <c r="O118" s="2039"/>
      <c r="P118" s="2039"/>
      <c r="Q118" s="2039"/>
      <c r="R118" s="2039"/>
      <c r="S118" s="2039"/>
      <c r="T118" s="2039"/>
      <c r="U118" s="2039"/>
      <c r="V118" s="2039"/>
      <c r="W118" s="2039"/>
      <c r="X118" s="2039"/>
      <c r="Y118" s="2039"/>
      <c r="Z118" s="2039"/>
      <c r="AA118" s="2039"/>
      <c r="AB118" s="2039"/>
      <c r="AC118" s="2039"/>
      <c r="AD118" s="2039"/>
      <c r="AE118" s="2039"/>
      <c r="AF118" s="2039"/>
      <c r="AG118" s="2039"/>
      <c r="AH118" s="2039"/>
      <c r="AI118" s="2039"/>
      <c r="AJ118" s="2039"/>
      <c r="AK118" s="2039"/>
      <c r="AL118" s="2039"/>
      <c r="AM118" s="2039"/>
      <c r="AN118" s="2039"/>
      <c r="AO118" s="1039"/>
      <c r="AP118" s="1039"/>
      <c r="AQ118" s="1039"/>
      <c r="AR118" s="1039"/>
      <c r="AS118" s="1039"/>
      <c r="AT118" s="1039"/>
    </row>
    <row r="119" spans="1:46" s="523" customFormat="1" ht="49.2" customHeight="1" x14ac:dyDescent="0.25">
      <c r="A119" s="912"/>
      <c r="B119" s="2349" t="s">
        <v>158</v>
      </c>
      <c r="C119" s="2350"/>
      <c r="D119" s="2040" t="s">
        <v>791</v>
      </c>
      <c r="E119" s="2040"/>
      <c r="F119" s="2040"/>
      <c r="G119" s="2040"/>
      <c r="H119" s="2040"/>
      <c r="I119" s="2040"/>
      <c r="J119" s="2040"/>
      <c r="K119" s="2040"/>
      <c r="L119" s="2040"/>
      <c r="M119" s="2040"/>
      <c r="N119" s="2040"/>
      <c r="O119" s="2040"/>
      <c r="P119" s="2040"/>
      <c r="Q119" s="2040"/>
      <c r="R119" s="2040"/>
      <c r="S119" s="2040"/>
      <c r="T119" s="2040"/>
      <c r="U119" s="2040"/>
      <c r="V119" s="2040"/>
      <c r="W119" s="2040"/>
      <c r="X119" s="2040"/>
      <c r="Y119" s="2040"/>
      <c r="Z119" s="2040"/>
      <c r="AA119" s="2040"/>
      <c r="AB119" s="2040"/>
      <c r="AC119" s="2040"/>
      <c r="AD119" s="2040"/>
      <c r="AE119" s="2040"/>
      <c r="AF119" s="2040"/>
      <c r="AG119" s="2040"/>
      <c r="AH119" s="2040"/>
      <c r="AI119" s="2040"/>
      <c r="AJ119" s="2040"/>
      <c r="AK119" s="2040"/>
      <c r="AL119" s="2040"/>
      <c r="AM119" s="2040"/>
      <c r="AN119" s="2040"/>
      <c r="AO119" s="1040"/>
      <c r="AP119" s="1040"/>
      <c r="AQ119" s="1040"/>
      <c r="AR119" s="1040"/>
      <c r="AS119" s="1040"/>
      <c r="AT119" s="1040"/>
    </row>
    <row r="120" spans="1:46" s="523" customFormat="1" ht="75.599999999999994" customHeight="1" x14ac:dyDescent="0.25">
      <c r="A120" s="912"/>
      <c r="B120" s="2349" t="s">
        <v>159</v>
      </c>
      <c r="C120" s="2350"/>
      <c r="D120" s="2040" t="s">
        <v>1316</v>
      </c>
      <c r="E120" s="2040"/>
      <c r="F120" s="2040"/>
      <c r="G120" s="2040"/>
      <c r="H120" s="2040"/>
      <c r="I120" s="2040"/>
      <c r="J120" s="2040"/>
      <c r="K120" s="2040"/>
      <c r="L120" s="2040"/>
      <c r="M120" s="2040"/>
      <c r="N120" s="2040"/>
      <c r="O120" s="2040"/>
      <c r="P120" s="2040"/>
      <c r="Q120" s="2040"/>
      <c r="R120" s="2040"/>
      <c r="S120" s="2040"/>
      <c r="T120" s="2040"/>
      <c r="U120" s="2040"/>
      <c r="V120" s="2040"/>
      <c r="W120" s="2040"/>
      <c r="X120" s="2040"/>
      <c r="Y120" s="2040"/>
      <c r="Z120" s="2040"/>
      <c r="AA120" s="2040"/>
      <c r="AB120" s="2040"/>
      <c r="AC120" s="2040"/>
      <c r="AD120" s="2040"/>
      <c r="AE120" s="2040"/>
      <c r="AF120" s="2040"/>
      <c r="AG120" s="2040"/>
      <c r="AH120" s="2040"/>
      <c r="AI120" s="2040"/>
      <c r="AJ120" s="2040"/>
      <c r="AK120" s="2040"/>
      <c r="AL120" s="2040"/>
      <c r="AM120" s="2040"/>
      <c r="AN120" s="2040"/>
      <c r="AO120" s="1040"/>
      <c r="AP120" s="1040"/>
      <c r="AQ120" s="1040"/>
      <c r="AR120" s="1040"/>
      <c r="AS120" s="1040"/>
      <c r="AT120" s="1040"/>
    </row>
    <row r="121" spans="1:46" s="523" customFormat="1" ht="80.400000000000006" customHeight="1" x14ac:dyDescent="0.25">
      <c r="A121" s="912"/>
      <c r="B121" s="2351" t="s">
        <v>160</v>
      </c>
      <c r="C121" s="2352"/>
      <c r="D121" s="2353"/>
      <c r="E121" s="2353"/>
      <c r="F121" s="2353"/>
      <c r="G121" s="2353"/>
      <c r="H121" s="2353"/>
      <c r="I121" s="2353"/>
      <c r="J121" s="2353"/>
      <c r="K121" s="2354"/>
      <c r="L121" s="2101" t="s">
        <v>161</v>
      </c>
      <c r="M121" s="2353"/>
      <c r="N121" s="2353"/>
      <c r="O121" s="2353"/>
      <c r="P121" s="2353"/>
      <c r="Q121" s="2353"/>
      <c r="R121" s="2354"/>
      <c r="S121" s="2101" t="s">
        <v>162</v>
      </c>
      <c r="T121" s="2353"/>
      <c r="U121" s="2353"/>
      <c r="V121" s="2353"/>
      <c r="W121" s="2353"/>
      <c r="X121" s="2353"/>
      <c r="Y121" s="2353"/>
      <c r="Z121" s="2353"/>
      <c r="AA121" s="2354"/>
      <c r="AB121" s="2101" t="s">
        <v>163</v>
      </c>
      <c r="AC121" s="2353"/>
      <c r="AD121" s="2353"/>
      <c r="AE121" s="2353"/>
      <c r="AF121" s="2353"/>
      <c r="AG121" s="2353"/>
      <c r="AH121" s="2354"/>
      <c r="AI121" s="2101" t="s">
        <v>164</v>
      </c>
      <c r="AJ121" s="2353"/>
      <c r="AK121" s="2353"/>
      <c r="AL121" s="2353"/>
      <c r="AM121" s="2353"/>
      <c r="AN121" s="2354"/>
      <c r="AO121" s="3216" t="s">
        <v>164</v>
      </c>
      <c r="AP121" s="3217"/>
      <c r="AQ121" s="3217"/>
      <c r="AR121" s="3217"/>
      <c r="AS121" s="3217"/>
      <c r="AT121" s="3218"/>
    </row>
    <row r="122" spans="1:46" s="523" customFormat="1" ht="61.2" customHeight="1" x14ac:dyDescent="0.25">
      <c r="A122" s="912"/>
      <c r="B122" s="2140" t="s">
        <v>165</v>
      </c>
      <c r="C122" s="2142" t="s">
        <v>142</v>
      </c>
      <c r="D122" s="2042" t="s">
        <v>166</v>
      </c>
      <c r="E122" s="2042" t="s">
        <v>167</v>
      </c>
      <c r="F122" s="2041" t="s">
        <v>168</v>
      </c>
      <c r="G122" s="2103" t="s">
        <v>60</v>
      </c>
      <c r="H122" s="280"/>
      <c r="I122" s="280"/>
      <c r="J122" s="2041" t="s">
        <v>169</v>
      </c>
      <c r="K122" s="2042" t="s">
        <v>170</v>
      </c>
      <c r="L122" s="2105" t="s">
        <v>171</v>
      </c>
      <c r="M122" s="2100" t="s">
        <v>172</v>
      </c>
      <c r="N122" s="2041" t="s">
        <v>173</v>
      </c>
      <c r="O122" s="2041" t="s">
        <v>174</v>
      </c>
      <c r="P122" s="2102" t="s">
        <v>175</v>
      </c>
      <c r="Q122" s="2100" t="s">
        <v>172</v>
      </c>
      <c r="R122" s="2042" t="s">
        <v>176</v>
      </c>
      <c r="S122" s="2161" t="s">
        <v>177</v>
      </c>
      <c r="T122" s="2043" t="s">
        <v>178</v>
      </c>
      <c r="U122" s="2041" t="s">
        <v>179</v>
      </c>
      <c r="V122" s="2043" t="s">
        <v>180</v>
      </c>
      <c r="W122" s="2043"/>
      <c r="X122" s="2043"/>
      <c r="Y122" s="2043"/>
      <c r="Z122" s="2043"/>
      <c r="AA122" s="2043"/>
      <c r="AB122" s="2099" t="s">
        <v>181</v>
      </c>
      <c r="AC122" s="2099" t="s">
        <v>182</v>
      </c>
      <c r="AD122" s="2099" t="s">
        <v>172</v>
      </c>
      <c r="AE122" s="2099" t="s">
        <v>183</v>
      </c>
      <c r="AF122" s="2099" t="s">
        <v>172</v>
      </c>
      <c r="AG122" s="2099" t="s">
        <v>184</v>
      </c>
      <c r="AH122" s="2161" t="s">
        <v>185</v>
      </c>
      <c r="AI122" s="2043" t="s">
        <v>164</v>
      </c>
      <c r="AJ122" s="2043" t="s">
        <v>143</v>
      </c>
      <c r="AK122" s="2043" t="s">
        <v>186</v>
      </c>
      <c r="AL122" s="2043" t="s">
        <v>187</v>
      </c>
      <c r="AM122" s="2043" t="s">
        <v>188</v>
      </c>
      <c r="AN122" s="2043" t="s">
        <v>189</v>
      </c>
      <c r="AO122" s="3213" t="s">
        <v>164</v>
      </c>
      <c r="AP122" s="3213" t="s">
        <v>143</v>
      </c>
      <c r="AQ122" s="3213" t="s">
        <v>186</v>
      </c>
      <c r="AR122" s="3213" t="s">
        <v>187</v>
      </c>
      <c r="AS122" s="3213" t="s">
        <v>188</v>
      </c>
      <c r="AT122" s="3213" t="s">
        <v>189</v>
      </c>
    </row>
    <row r="123" spans="1:46" s="523" customFormat="1" ht="84.6" customHeight="1" x14ac:dyDescent="0.25">
      <c r="A123" s="912"/>
      <c r="B123" s="2141"/>
      <c r="C123" s="2142"/>
      <c r="D123" s="2043"/>
      <c r="E123" s="2043"/>
      <c r="F123" s="2105"/>
      <c r="G123" s="2104"/>
      <c r="H123" s="280" t="s">
        <v>511</v>
      </c>
      <c r="I123" s="280" t="s">
        <v>190</v>
      </c>
      <c r="J123" s="2042"/>
      <c r="K123" s="2043"/>
      <c r="L123" s="2042"/>
      <c r="M123" s="2101"/>
      <c r="N123" s="2042"/>
      <c r="O123" s="2042"/>
      <c r="P123" s="2101"/>
      <c r="Q123" s="2101"/>
      <c r="R123" s="2043"/>
      <c r="S123" s="2162"/>
      <c r="T123" s="2043"/>
      <c r="U123" s="2042"/>
      <c r="V123" s="281" t="s">
        <v>191</v>
      </c>
      <c r="W123" s="281" t="s">
        <v>192</v>
      </c>
      <c r="X123" s="281" t="s">
        <v>193</v>
      </c>
      <c r="Y123" s="281" t="s">
        <v>194</v>
      </c>
      <c r="Z123" s="281" t="s">
        <v>195</v>
      </c>
      <c r="AA123" s="281" t="s">
        <v>196</v>
      </c>
      <c r="AB123" s="2099"/>
      <c r="AC123" s="2099"/>
      <c r="AD123" s="2099"/>
      <c r="AE123" s="2099"/>
      <c r="AF123" s="2099"/>
      <c r="AG123" s="2099"/>
      <c r="AH123" s="2162"/>
      <c r="AI123" s="2043"/>
      <c r="AJ123" s="2043"/>
      <c r="AK123" s="2043"/>
      <c r="AL123" s="2043"/>
      <c r="AM123" s="2043"/>
      <c r="AN123" s="2043"/>
      <c r="AO123" s="3213"/>
      <c r="AP123" s="3213"/>
      <c r="AQ123" s="3213"/>
      <c r="AR123" s="3213"/>
      <c r="AS123" s="3213"/>
      <c r="AT123" s="3213"/>
    </row>
    <row r="124" spans="1:46" s="523" customFormat="1" ht="262.8" customHeight="1" x14ac:dyDescent="0.25">
      <c r="A124" s="912"/>
      <c r="B124" s="2112">
        <v>1</v>
      </c>
      <c r="C124" s="2237" t="s">
        <v>209</v>
      </c>
      <c r="D124" s="2237" t="s">
        <v>1295</v>
      </c>
      <c r="E124" s="3206" t="s">
        <v>1296</v>
      </c>
      <c r="F124" s="1041" t="s">
        <v>795</v>
      </c>
      <c r="G124" s="2355" t="s">
        <v>1297</v>
      </c>
      <c r="H124" s="2356" t="s">
        <v>512</v>
      </c>
      <c r="I124" s="2355" t="s">
        <v>1298</v>
      </c>
      <c r="J124" s="2358" t="s">
        <v>198</v>
      </c>
      <c r="K124" s="2293">
        <v>36</v>
      </c>
      <c r="L124" s="2295" t="str">
        <f>IF(K124&lt;=0,"",IF(K124&lt;=2,"Muy Baja",IF(K124&lt;=24,"Baja",IF(K124&lt;=500,"Media",IF(K124&lt;=5000,"Alta","Muy Alta")))))</f>
        <v>Media</v>
      </c>
      <c r="M124" s="2297">
        <f>IF(L124="","",IF(L124="Muy Baja",0.2,IF(L124="Baja",0.4,IF(L124="Media",0.6,IF(L124="Alta",0.8,IF(L124="Muy Alta",1,))))))</f>
        <v>0.6</v>
      </c>
      <c r="N124" s="2299" t="s">
        <v>199</v>
      </c>
      <c r="O124" s="2297" t="str">
        <f>IF(NOT(ISERROR(MATCH(N124,'[54]Tabla Impacto'!$B$221:$B$223,0))),'[54]Tabla Impacto'!$F$223&amp;"Por favor no seleccionar los criterios de impacto(Afectación Económica o presupuestal y Pérdida Reputacional)",N124)</f>
        <v xml:space="preserve">     El riesgo afecta la imagen de de la entidad con efecto publicitario sostenido a nivel de sector administrativo, nivel departamental o municipal</v>
      </c>
      <c r="P124" s="2295" t="str">
        <f>IF(OR(O124='[54]Tabla Impacto'!$C$11,O124='[54]Tabla Impacto'!$D$11),"Leve",IF(OR(O124='[54]Tabla Impacto'!$C$12,O124='[54]Tabla Impacto'!$D$12),"Menor",IF(OR(O124='[54]Tabla Impacto'!$C$13,O124='[54]Tabla Impacto'!$D$13),"Moderado",IF(OR(O124='[54]Tabla Impacto'!$C$14,O124='[54]Tabla Impacto'!$D$14),"Mayor",IF(OR(O124='[54]Tabla Impacto'!$C$15,O124='[54]Tabla Impacto'!$D$15),"Catastrófico","")))))</f>
        <v>Mayor</v>
      </c>
      <c r="Q124" s="2297">
        <f>IF(P124="","",IF(P124="Leve",0.2,IF(P124="Menor",0.4,IF(P124="Moderado",0.6,IF(P124="Mayor",0.8,IF(P124="Catastrófico",1,))))))</f>
        <v>0.8</v>
      </c>
      <c r="R124" s="2267" t="str">
        <f>IF(OR(AND(L124="Muy Baja",P124="Leve"),AND(L124="Muy Baja",P124="Menor"),AND(L124="Baja",P124="Leve")),"Bajo",IF(OR(AND(L124="Muy baja",P124="Moderado"),AND(L124="Baja",P124="Menor"),AND(L124="Baja",P124="Moderado"),AND(L124="Media",P124="Leve"),AND(L124="Media",P124="Menor"),AND(L124="Media",P124="Moderado"),AND(L124="Alta",P124="Leve"),AND(L124="Alta",P124="Menor")),"Moderado",IF(OR(AND(L124="Muy Baja",P124="Mayor"),AND(L124="Baja",P124="Mayor"),AND(L124="Media",P124="Mayor"),AND(L124="Alta",P124="Moderado"),AND(L124="Alta",P124="Mayor"),AND(L124="Muy Alta",P124="Leve"),AND(L124="Muy Alta",P124="Menor"),AND(L124="Muy Alta",P124="Moderado"),AND(L124="Muy Alta",P124="Mayor")),"Alto",IF(OR(AND(L124="Muy Baja",P124="Catastrófico"),AND(L124="Baja",P124="Catastrófico"),AND(L124="Media",P124="Catastrófico"),AND(L124="Alta",P124="Catastrófico"),AND(L124="Muy Alta",P124="Catastrófico")),"Extremo",""))))</f>
        <v>Alto</v>
      </c>
      <c r="S124" s="716">
        <v>1</v>
      </c>
      <c r="T124" s="1118" t="s">
        <v>1299</v>
      </c>
      <c r="U124" s="718" t="str">
        <f>IF(OR(V124="Preventivo",V124="Detectivo"),"Probabilidad",IF(V124="Correctivo","Impacto",""))</f>
        <v>Impacto</v>
      </c>
      <c r="V124" s="719" t="s">
        <v>308</v>
      </c>
      <c r="W124" s="719" t="s">
        <v>201</v>
      </c>
      <c r="X124" s="720" t="str">
        <f>IF(AND(V124="Preventivo",W124="Automático"),"50%",IF(AND(V124="Preventivo",W124="Manual"),"40%",IF(AND(V124="Detectivo",W124="Automático"),"40%",IF(AND(V124="Detectivo",W124="Manual"),"30%",IF(AND(V124="Correctivo",W124="Automático"),"35%",IF(AND(V124="Correctivo",W124="Manual"),"25%",""))))))</f>
        <v>25%</v>
      </c>
      <c r="Y124" s="719" t="s">
        <v>208</v>
      </c>
      <c r="Z124" s="719" t="s">
        <v>203</v>
      </c>
      <c r="AA124" s="719" t="s">
        <v>204</v>
      </c>
      <c r="AB124" s="721">
        <f>IFERROR(IF(U124="Probabilidad",(M124-(+M124*X124)),IF(U124="Impacto",M124,"")),"")</f>
        <v>0.6</v>
      </c>
      <c r="AC124" s="722" t="str">
        <f>IFERROR(IF(AB124="","",IF(AB124&lt;=0.2,"Muy Baja",IF(AB124&lt;=0.4,"Baja",IF(AB124&lt;=0.6,"Media",IF(AB124&lt;=0.8,"Alta","Muy Alta"))))),"")</f>
        <v>Media</v>
      </c>
      <c r="AD124" s="723">
        <f>+AB124</f>
        <v>0.6</v>
      </c>
      <c r="AE124" s="722" t="str">
        <f>IFERROR(IF(AF124="","",IF(AF124&lt;=0.2,"Leve",IF(AF124&lt;=0.4,"Menor",IF(AF124&lt;=0.6,"Moderado",IF(AF124&lt;=0.8,"Mayor","Catastrófico"))))),"")</f>
        <v>Moderado</v>
      </c>
      <c r="AF124" s="723">
        <f>IFERROR(IF(U124="Impacto",(Q124-(+Q124*X124)),IF(U124="Probabilidad",Q124,"")),"")</f>
        <v>0.60000000000000009</v>
      </c>
      <c r="AG124" s="724" t="str">
        <f>IFERROR(IF(OR(AND(AC124="Muy Baja",AE124="Leve"),AND(AC124="Muy Baja",AE124="Menor"),AND(AC124="Baja",AE124="Leve")),"Bajo",IF(OR(AND(AC124="Muy baja",AE124="Moderado"),AND(AC124="Baja",AE124="Menor"),AND(AC124="Baja",AE124="Moderado"),AND(AC124="Media",AE124="Leve"),AND(AC124="Media",AE124="Menor"),AND(AC124="Media",AE124="Moderado"),AND(AC124="Alta",AE124="Leve"),AND(AC124="Alta",AE124="Menor")),"Moderado",IF(OR(AND(AC124="Muy Baja",AE124="Mayor"),AND(AC124="Baja",AE124="Mayor"),AND(AC124="Media",AE124="Mayor"),AND(AC124="Alta",AE124="Moderado"),AND(AC124="Alta",AE124="Mayor"),AND(AC124="Muy Alta",AE124="Leve"),AND(AC124="Muy Alta",AE124="Menor"),AND(AC124="Muy Alta",AE124="Moderado"),AND(AC124="Muy Alta",AE124="Mayor")),"Alto",IF(OR(AND(AC124="Muy Baja",AE124="Catastrófico"),AND(AC124="Baja",AE124="Catastrófico"),AND(AC124="Media",AE124="Catastrófico"),AND(AC124="Alta",AE124="Catastrófico"),AND(AC124="Muy Alta",AE124="Catastrófico")),"Extremo","")))),"")</f>
        <v>Moderado</v>
      </c>
      <c r="AH124" s="295"/>
      <c r="AI124" s="736" t="s">
        <v>1300</v>
      </c>
      <c r="AJ124" s="736" t="s">
        <v>800</v>
      </c>
      <c r="AK124" s="736" t="s">
        <v>801</v>
      </c>
      <c r="AL124" s="1030">
        <v>45473</v>
      </c>
      <c r="AM124" s="736" t="s">
        <v>1301</v>
      </c>
      <c r="AN124" s="738" t="s">
        <v>206</v>
      </c>
      <c r="AO124" s="1121" t="s">
        <v>1300</v>
      </c>
      <c r="AP124" s="1121" t="s">
        <v>800</v>
      </c>
      <c r="AQ124" s="1121" t="s">
        <v>801</v>
      </c>
      <c r="AR124" s="1122">
        <v>45595</v>
      </c>
      <c r="AS124" s="1121" t="s">
        <v>1302</v>
      </c>
      <c r="AT124" s="1123" t="s">
        <v>206</v>
      </c>
    </row>
    <row r="125" spans="1:46" s="523" customFormat="1" ht="267.60000000000002" customHeight="1" x14ac:dyDescent="0.25">
      <c r="A125" s="912"/>
      <c r="B125" s="2113"/>
      <c r="C125" s="2238"/>
      <c r="D125" s="2238"/>
      <c r="E125" s="3207"/>
      <c r="F125" s="1041" t="s">
        <v>803</v>
      </c>
      <c r="G125" s="2355"/>
      <c r="H125" s="2357"/>
      <c r="I125" s="2355"/>
      <c r="J125" s="2359"/>
      <c r="K125" s="2294"/>
      <c r="L125" s="2296"/>
      <c r="M125" s="2298"/>
      <c r="N125" s="2300"/>
      <c r="O125" s="2298">
        <f>IF(NOT(ISERROR(MATCH(N125,_xlfn.ANCHORARRAY(G134),0))),M136&amp;"Por favor no seleccionar los criterios de impacto",N125)</f>
        <v>0</v>
      </c>
      <c r="P125" s="2296"/>
      <c r="Q125" s="2298"/>
      <c r="R125" s="2268"/>
      <c r="S125" s="716">
        <v>2</v>
      </c>
      <c r="T125" s="1118" t="s">
        <v>1303</v>
      </c>
      <c r="U125" s="718" t="str">
        <f>IF(OR(V125="Preventivo",V125="Detectivo"),"Probabilidad",IF(V125="Correctivo","Impacto",""))</f>
        <v>Impacto</v>
      </c>
      <c r="V125" s="719" t="s">
        <v>308</v>
      </c>
      <c r="W125" s="719" t="s">
        <v>201</v>
      </c>
      <c r="X125" s="720" t="str">
        <f t="shared" ref="X125:X127" si="58">IF(AND(V125="Preventivo",W125="Automático"),"50%",IF(AND(V125="Preventivo",W125="Manual"),"40%",IF(AND(V125="Detectivo",W125="Automático"),"40%",IF(AND(V125="Detectivo",W125="Manual"),"30%",IF(AND(V125="Correctivo",W125="Automático"),"35%",IF(AND(V125="Correctivo",W125="Manual"),"25%",""))))))</f>
        <v>25%</v>
      </c>
      <c r="Y125" s="719" t="s">
        <v>208</v>
      </c>
      <c r="Z125" s="719" t="s">
        <v>203</v>
      </c>
      <c r="AA125" s="719" t="s">
        <v>204</v>
      </c>
      <c r="AB125" s="721">
        <f>IFERROR(IF(AND(U124="Probabilidad",U125="Probabilidad"),(AD124-(+AD124*X125)),IF(AND(U124="Impacto",U125="Probabilidad"),(M124-(+M124*X125)),IF(U125="Impacto",AD124,""))),"")</f>
        <v>0.6</v>
      </c>
      <c r="AC125" s="722" t="str">
        <f t="shared" ref="AC125:AC127" si="59">IFERROR(IF(AB125="","",IF(AB125&lt;=0.2,"Muy Baja",IF(AB125&lt;=0.4,"Baja",IF(AB125&lt;=0.6,"Media",IF(AB125&lt;=0.8,"Alta","Muy Alta"))))),"")</f>
        <v>Media</v>
      </c>
      <c r="AD125" s="723">
        <f>+AB125</f>
        <v>0.6</v>
      </c>
      <c r="AE125" s="722" t="str">
        <f t="shared" ref="AE125:AE127" si="60">IFERROR(IF(AF125="","",IF(AF125&lt;=0.2,"Leve",IF(AF125&lt;=0.4,"Menor",IF(AF125&lt;=0.6,"Moderado",IF(AF125&lt;=0.8,"Mayor","Catastrófico"))))),"")</f>
        <v>Moderado</v>
      </c>
      <c r="AF125" s="723">
        <f>IFERROR(IF(AND(U124="Impacto",U125="Impacto"),(AF124-(+AF124*X125)),IF(AND(U124="Probabilidad",U125="Impacto"),(Q124-(+Q124*X125)),IF(U125="Probabilidad",AF124,""))),"")</f>
        <v>0.45000000000000007</v>
      </c>
      <c r="AG125" s="724" t="str">
        <f t="shared" ref="AG125:AG127" si="61">IFERROR(IF(OR(AND(AC125="Muy Baja",AE125="Leve"),AND(AC125="Muy Baja",AE125="Menor"),AND(AC125="Baja",AE125="Leve")),"Bajo",IF(OR(AND(AC125="Muy baja",AE125="Moderado"),AND(AC125="Baja",AE125="Menor"),AND(AC125="Baja",AE125="Moderado"),AND(AC125="Media",AE125="Leve"),AND(AC125="Media",AE125="Menor"),AND(AC125="Media",AE125="Moderado"),AND(AC125="Alta",AE125="Leve"),AND(AC125="Alta",AE125="Menor")),"Moderado",IF(OR(AND(AC125="Muy Baja",AE125="Mayor"),AND(AC125="Baja",AE125="Mayor"),AND(AC125="Media",AE125="Mayor"),AND(AC125="Alta",AE125="Moderado"),AND(AC125="Alta",AE125="Mayor"),AND(AC125="Muy Alta",AE125="Leve"),AND(AC125="Muy Alta",AE125="Menor"),AND(AC125="Muy Alta",AE125="Moderado"),AND(AC125="Muy Alta",AE125="Mayor")),"Alto",IF(OR(AND(AC125="Muy Baja",AE125="Catastrófico"),AND(AC125="Baja",AE125="Catastrófico"),AND(AC125="Media",AE125="Catastrófico"),AND(AC125="Alta",AE125="Catastrófico"),AND(AC125="Muy Alta",AE125="Catastrófico")),"Extremo","")))),"")</f>
        <v>Moderado</v>
      </c>
      <c r="AH125" s="295"/>
      <c r="AI125" s="1118" t="s">
        <v>1304</v>
      </c>
      <c r="AJ125" s="736" t="s">
        <v>1305</v>
      </c>
      <c r="AK125" s="736" t="s">
        <v>1306</v>
      </c>
      <c r="AL125" s="1030">
        <v>45565</v>
      </c>
      <c r="AM125" s="736" t="s">
        <v>1307</v>
      </c>
      <c r="AN125" s="738" t="s">
        <v>206</v>
      </c>
      <c r="AO125" s="1124" t="s">
        <v>1308</v>
      </c>
      <c r="AP125" s="1121" t="s">
        <v>1305</v>
      </c>
      <c r="AQ125" s="1121" t="s">
        <v>1306</v>
      </c>
      <c r="AR125" s="1122">
        <v>45595</v>
      </c>
      <c r="AS125" s="1121" t="s">
        <v>1309</v>
      </c>
      <c r="AT125" s="1123" t="s">
        <v>206</v>
      </c>
    </row>
    <row r="126" spans="1:46" s="523" customFormat="1" ht="378" customHeight="1" x14ac:dyDescent="0.25">
      <c r="A126" s="912"/>
      <c r="B126" s="2113"/>
      <c r="C126" s="2238"/>
      <c r="D126" s="2238"/>
      <c r="E126" s="3207"/>
      <c r="F126" s="1041" t="s">
        <v>1310</v>
      </c>
      <c r="G126" s="2355"/>
      <c r="H126" s="2357"/>
      <c r="I126" s="2355"/>
      <c r="J126" s="2359"/>
      <c r="K126" s="2294"/>
      <c r="L126" s="2296"/>
      <c r="M126" s="2298"/>
      <c r="N126" s="2300"/>
      <c r="O126" s="2298">
        <f>IF(NOT(ISERROR(MATCH(N126,_xlfn.ANCHORARRAY(G135),0))),M137&amp;"Por favor no seleccionar los criterios de impacto",N126)</f>
        <v>0</v>
      </c>
      <c r="P126" s="2296"/>
      <c r="Q126" s="2298"/>
      <c r="R126" s="2268"/>
      <c r="S126" s="716">
        <v>3</v>
      </c>
      <c r="T126" s="1119" t="s">
        <v>1311</v>
      </c>
      <c r="U126" s="718" t="s">
        <v>142</v>
      </c>
      <c r="V126" s="719" t="s">
        <v>308</v>
      </c>
      <c r="W126" s="719" t="s">
        <v>201</v>
      </c>
      <c r="X126" s="720" t="str">
        <f t="shared" si="58"/>
        <v>25%</v>
      </c>
      <c r="Y126" s="719" t="s">
        <v>202</v>
      </c>
      <c r="Z126" s="719" t="s">
        <v>210</v>
      </c>
      <c r="AA126" s="719" t="s">
        <v>298</v>
      </c>
      <c r="AB126" s="721">
        <f>IFERROR(IF(AND(U125="Probabilidad",U126="Probabilidad"),(AD125-(+AD125*X126)),IF(AND(U125="Impacto",U126="Probabilidad"),(AD124-(+AD124*X126)),IF(U126="Impacto",AD125,""))),"")</f>
        <v>0.6</v>
      </c>
      <c r="AC126" s="722" t="str">
        <f t="shared" si="59"/>
        <v>Media</v>
      </c>
      <c r="AD126" s="723">
        <f t="shared" ref="AD126:AD127" si="62">+AB126</f>
        <v>0.6</v>
      </c>
      <c r="AE126" s="722" t="str">
        <f t="shared" si="60"/>
        <v>Menor</v>
      </c>
      <c r="AF126" s="723">
        <f t="shared" ref="AF126:AF127" si="63">IFERROR(IF(AND(U125="Impacto",U126="Impacto"),(AF125-(+AF125*X126)),IF(AND(U125="Probabilidad",U126="Impacto"),(AF124-(+AF124*X126)),IF(U126="Probabilidad",AF125,""))),"")</f>
        <v>0.33750000000000002</v>
      </c>
      <c r="AG126" s="724" t="str">
        <f t="shared" si="61"/>
        <v>Moderado</v>
      </c>
      <c r="AH126" s="295"/>
      <c r="AI126" s="1097" t="s">
        <v>1312</v>
      </c>
      <c r="AJ126" s="1118" t="s">
        <v>1305</v>
      </c>
      <c r="AK126" s="907" t="s">
        <v>1313</v>
      </c>
      <c r="AL126" s="1030">
        <v>45565</v>
      </c>
      <c r="AM126" s="1118" t="s">
        <v>1314</v>
      </c>
      <c r="AN126" s="738" t="s">
        <v>206</v>
      </c>
      <c r="AO126" s="1120" t="s">
        <v>1312</v>
      </c>
      <c r="AP126" s="1124" t="s">
        <v>1305</v>
      </c>
      <c r="AQ126" s="1125" t="s">
        <v>1313</v>
      </c>
      <c r="AR126" s="1122">
        <v>45595</v>
      </c>
      <c r="AS126" s="1124" t="s">
        <v>1315</v>
      </c>
      <c r="AT126" s="1123" t="s">
        <v>206</v>
      </c>
    </row>
    <row r="127" spans="1:46" s="523" customFormat="1" ht="166.8" customHeight="1" x14ac:dyDescent="0.25">
      <c r="A127" s="912"/>
      <c r="B127" s="2113"/>
      <c r="C127" s="2238"/>
      <c r="D127" s="2238"/>
      <c r="E127" s="3207"/>
      <c r="F127" s="1042"/>
      <c r="G127" s="2355"/>
      <c r="H127" s="2357"/>
      <c r="I127" s="2355"/>
      <c r="J127" s="2359"/>
      <c r="K127" s="2294"/>
      <c r="L127" s="2296"/>
      <c r="M127" s="2298"/>
      <c r="N127" s="2300"/>
      <c r="O127" s="2298">
        <f>IF(NOT(ISERROR(MATCH(N127,_xlfn.ANCHORARRAY(G136),0))),M138&amp;"Por favor no seleccionar los criterios de impacto",N127)</f>
        <v>0</v>
      </c>
      <c r="P127" s="2296"/>
      <c r="Q127" s="2298"/>
      <c r="R127" s="2268"/>
      <c r="S127" s="716">
        <v>4</v>
      </c>
      <c r="T127" s="300"/>
      <c r="U127" s="718" t="str">
        <f t="shared" ref="U127" si="64">IF(OR(V127="Preventivo",V127="Detectivo"),"Probabilidad",IF(V127="Correctivo","Impacto",""))</f>
        <v>Probabilidad</v>
      </c>
      <c r="V127" s="719" t="s">
        <v>200</v>
      </c>
      <c r="W127" s="719" t="s">
        <v>201</v>
      </c>
      <c r="X127" s="720" t="str">
        <f t="shared" si="58"/>
        <v>30%</v>
      </c>
      <c r="Y127" s="719" t="s">
        <v>202</v>
      </c>
      <c r="Z127" s="719" t="s">
        <v>210</v>
      </c>
      <c r="AA127" s="719" t="s">
        <v>298</v>
      </c>
      <c r="AB127" s="721">
        <f t="shared" ref="AB127" si="65">IFERROR(IF(AND(U126="Probabilidad",U127="Probabilidad"),(AD126-(+AD126*X127)),IF(AND(U126="Impacto",U127="Probabilidad"),(AD125-(+AD125*X127)),IF(U127="Impacto",AD126,""))),"")</f>
        <v>0.42</v>
      </c>
      <c r="AC127" s="722" t="str">
        <f t="shared" si="59"/>
        <v>Media</v>
      </c>
      <c r="AD127" s="723">
        <f t="shared" si="62"/>
        <v>0.42</v>
      </c>
      <c r="AE127" s="722" t="str">
        <f t="shared" si="60"/>
        <v>Menor</v>
      </c>
      <c r="AF127" s="723">
        <f t="shared" si="63"/>
        <v>0.33750000000000002</v>
      </c>
      <c r="AG127" s="724" t="str">
        <f t="shared" si="61"/>
        <v>Moderado</v>
      </c>
      <c r="AH127" s="295"/>
      <c r="AI127" s="300"/>
      <c r="AJ127" s="1118"/>
      <c r="AK127" s="907"/>
      <c r="AL127" s="1030"/>
      <c r="AM127" s="300"/>
      <c r="AN127" s="738"/>
      <c r="AO127" s="1126"/>
      <c r="AP127" s="1124"/>
      <c r="AQ127" s="1125"/>
      <c r="AR127" s="1122"/>
      <c r="AS127" s="1126"/>
      <c r="AT127" s="1123"/>
    </row>
    <row r="128" spans="1:46" s="523" customFormat="1" x14ac:dyDescent="0.25">
      <c r="A128" s="912"/>
      <c r="B128" s="2343" t="s">
        <v>156</v>
      </c>
      <c r="C128" s="2344"/>
      <c r="D128" s="2344"/>
      <c r="E128" s="2344"/>
      <c r="F128" s="2344"/>
      <c r="G128" s="2344"/>
      <c r="H128" s="2344"/>
      <c r="I128" s="2344"/>
      <c r="J128" s="2344"/>
      <c r="K128" s="2344"/>
      <c r="L128" s="2344"/>
      <c r="M128" s="2344"/>
      <c r="N128" s="2344"/>
      <c r="O128" s="2344"/>
      <c r="P128" s="2344"/>
      <c r="Q128" s="2344"/>
      <c r="R128" s="2344"/>
      <c r="S128" s="2344"/>
      <c r="T128" s="2344"/>
      <c r="U128" s="2344"/>
      <c r="V128" s="2344"/>
      <c r="W128" s="2344"/>
      <c r="X128" s="2344"/>
      <c r="Y128" s="2344"/>
      <c r="Z128" s="2344"/>
      <c r="AA128" s="2344"/>
      <c r="AB128" s="2344"/>
      <c r="AC128" s="2344"/>
      <c r="AD128" s="2344"/>
      <c r="AE128" s="2344"/>
      <c r="AF128" s="2344"/>
      <c r="AG128" s="2344"/>
      <c r="AH128" s="2344"/>
      <c r="AI128" s="2344"/>
      <c r="AJ128" s="2344"/>
      <c r="AK128" s="2344"/>
      <c r="AL128" s="2344"/>
      <c r="AM128" s="2344"/>
      <c r="AN128" s="2345"/>
      <c r="AO128" s="700"/>
    </row>
    <row r="129" spans="1:42" s="523" customFormat="1" ht="63.6" customHeight="1" x14ac:dyDescent="0.25">
      <c r="A129" s="912"/>
      <c r="B129" s="2346"/>
      <c r="C129" s="2347"/>
      <c r="D129" s="2347"/>
      <c r="E129" s="2347"/>
      <c r="F129" s="2347"/>
      <c r="G129" s="2347"/>
      <c r="H129" s="2347"/>
      <c r="I129" s="2347"/>
      <c r="J129" s="2347"/>
      <c r="K129" s="2347"/>
      <c r="L129" s="2347"/>
      <c r="M129" s="2347"/>
      <c r="N129" s="2347"/>
      <c r="O129" s="2347"/>
      <c r="P129" s="2347"/>
      <c r="Q129" s="2347"/>
      <c r="R129" s="2347"/>
      <c r="S129" s="2347"/>
      <c r="T129" s="2347"/>
      <c r="U129" s="2347"/>
      <c r="V129" s="2347"/>
      <c r="W129" s="2347"/>
      <c r="X129" s="2347"/>
      <c r="Y129" s="2347"/>
      <c r="Z129" s="2347"/>
      <c r="AA129" s="2347"/>
      <c r="AB129" s="2347"/>
      <c r="AC129" s="2347"/>
      <c r="AD129" s="2347"/>
      <c r="AE129" s="2347"/>
      <c r="AF129" s="2347"/>
      <c r="AG129" s="2347"/>
      <c r="AH129" s="2347"/>
      <c r="AI129" s="2347"/>
      <c r="AJ129" s="2347"/>
      <c r="AK129" s="2347"/>
      <c r="AL129" s="2347"/>
      <c r="AM129" s="2347"/>
      <c r="AN129" s="2348"/>
      <c r="AO129" s="700"/>
    </row>
    <row r="130" spans="1:42" s="523" customFormat="1" x14ac:dyDescent="0.25">
      <c r="A130" s="912"/>
      <c r="B130" s="703"/>
      <c r="C130" s="704"/>
      <c r="D130" s="703"/>
      <c r="E130" s="703"/>
      <c r="F130" s="703"/>
      <c r="G130" s="700"/>
      <c r="H130" s="700"/>
      <c r="I130" s="700"/>
      <c r="J130" s="705"/>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row>
    <row r="131" spans="1:42" s="523" customFormat="1" ht="44.4" customHeight="1" x14ac:dyDescent="0.25">
      <c r="A131" s="912"/>
      <c r="B131" s="2349" t="s">
        <v>157</v>
      </c>
      <c r="C131" s="2350"/>
      <c r="D131" s="2039" t="s">
        <v>1317</v>
      </c>
      <c r="E131" s="2039"/>
      <c r="F131" s="2039"/>
      <c r="G131" s="2039"/>
      <c r="H131" s="2039"/>
      <c r="I131" s="2039"/>
      <c r="J131" s="2039"/>
      <c r="K131" s="2039"/>
      <c r="L131" s="2039"/>
      <c r="M131" s="2039"/>
      <c r="N131" s="2039"/>
      <c r="O131" s="2039"/>
      <c r="P131" s="2039"/>
      <c r="Q131" s="2039"/>
      <c r="R131" s="2039"/>
      <c r="S131" s="2039"/>
      <c r="T131" s="2039"/>
      <c r="U131" s="2039"/>
      <c r="V131" s="2039"/>
      <c r="W131" s="2039"/>
      <c r="X131" s="2039"/>
      <c r="Y131" s="2039"/>
      <c r="Z131" s="2039"/>
      <c r="AA131" s="2039"/>
      <c r="AB131" s="2039"/>
      <c r="AC131" s="2039"/>
      <c r="AD131" s="2039"/>
      <c r="AE131" s="2039"/>
      <c r="AF131" s="2039"/>
      <c r="AG131" s="2039"/>
      <c r="AH131" s="2039"/>
      <c r="AI131" s="2039"/>
      <c r="AJ131" s="2039"/>
      <c r="AK131" s="2039"/>
      <c r="AL131" s="2039"/>
      <c r="AM131" s="2039"/>
      <c r="AN131" s="2039"/>
      <c r="AO131" s="700"/>
    </row>
    <row r="132" spans="1:42" s="523" customFormat="1" ht="92.4" customHeight="1" x14ac:dyDescent="0.25">
      <c r="A132" s="912"/>
      <c r="B132" s="2349" t="s">
        <v>158</v>
      </c>
      <c r="C132" s="2350"/>
      <c r="D132" s="3210" t="s">
        <v>1318</v>
      </c>
      <c r="E132" s="3211"/>
      <c r="F132" s="3211"/>
      <c r="G132" s="3211"/>
      <c r="H132" s="3211"/>
      <c r="I132" s="3211"/>
      <c r="J132" s="3211"/>
      <c r="K132" s="3211"/>
      <c r="L132" s="3211"/>
      <c r="M132" s="3211"/>
      <c r="N132" s="3211"/>
      <c r="O132" s="3211"/>
      <c r="P132" s="3211"/>
      <c r="Q132" s="3211"/>
      <c r="R132" s="3211"/>
      <c r="S132" s="3211"/>
      <c r="T132" s="3211"/>
      <c r="U132" s="3211"/>
      <c r="V132" s="3211"/>
      <c r="W132" s="3211"/>
      <c r="X132" s="3211"/>
      <c r="Y132" s="3211"/>
      <c r="Z132" s="3211"/>
      <c r="AA132" s="3211"/>
      <c r="AB132" s="3211"/>
      <c r="AC132" s="3211"/>
      <c r="AD132" s="3211"/>
      <c r="AE132" s="3211"/>
      <c r="AF132" s="3211"/>
      <c r="AG132" s="3211"/>
      <c r="AH132" s="3211"/>
      <c r="AI132" s="3211"/>
      <c r="AJ132" s="3211"/>
      <c r="AK132" s="3211"/>
      <c r="AL132" s="3211"/>
      <c r="AM132" s="3211"/>
      <c r="AN132" s="3212"/>
      <c r="AO132" s="700"/>
    </row>
    <row r="133" spans="1:42" s="523" customFormat="1" ht="80.400000000000006" customHeight="1" x14ac:dyDescent="0.25">
      <c r="A133" s="912"/>
      <c r="B133" s="2349" t="s">
        <v>159</v>
      </c>
      <c r="C133" s="2350"/>
      <c r="D133" s="2040" t="s">
        <v>1337</v>
      </c>
      <c r="E133" s="2040"/>
      <c r="F133" s="2040"/>
      <c r="G133" s="2040"/>
      <c r="H133" s="2040"/>
      <c r="I133" s="2040"/>
      <c r="J133" s="2040"/>
      <c r="K133" s="2040"/>
      <c r="L133" s="2040"/>
      <c r="M133" s="2040"/>
      <c r="N133" s="2040"/>
      <c r="O133" s="2040"/>
      <c r="P133" s="2040"/>
      <c r="Q133" s="2040"/>
      <c r="R133" s="2040"/>
      <c r="S133" s="2040"/>
      <c r="T133" s="2040"/>
      <c r="U133" s="2040"/>
      <c r="V133" s="2040"/>
      <c r="W133" s="2040"/>
      <c r="X133" s="2040"/>
      <c r="Y133" s="2040"/>
      <c r="Z133" s="2040"/>
      <c r="AA133" s="2040"/>
      <c r="AB133" s="2040"/>
      <c r="AC133" s="2040"/>
      <c r="AD133" s="2040"/>
      <c r="AE133" s="2040"/>
      <c r="AF133" s="2040"/>
      <c r="AG133" s="2040"/>
      <c r="AH133" s="2040"/>
      <c r="AI133" s="2040"/>
      <c r="AJ133" s="2040"/>
      <c r="AK133" s="2040"/>
      <c r="AL133" s="2040"/>
      <c r="AM133" s="2040"/>
      <c r="AN133" s="2040"/>
      <c r="AO133" s="700"/>
    </row>
    <row r="134" spans="1:42" s="523" customFormat="1" ht="70.8" customHeight="1" x14ac:dyDescent="0.25">
      <c r="A134" s="912"/>
      <c r="B134" s="2351" t="s">
        <v>160</v>
      </c>
      <c r="C134" s="2352"/>
      <c r="D134" s="2353"/>
      <c r="E134" s="2353"/>
      <c r="F134" s="2353"/>
      <c r="G134" s="2353"/>
      <c r="H134" s="2353"/>
      <c r="I134" s="2353"/>
      <c r="J134" s="2353"/>
      <c r="K134" s="2354"/>
      <c r="L134" s="2101" t="s">
        <v>161</v>
      </c>
      <c r="M134" s="2353"/>
      <c r="N134" s="2353"/>
      <c r="O134" s="2353"/>
      <c r="P134" s="2353"/>
      <c r="Q134" s="2353"/>
      <c r="R134" s="2354"/>
      <c r="S134" s="2101" t="s">
        <v>162</v>
      </c>
      <c r="T134" s="2353"/>
      <c r="U134" s="2353"/>
      <c r="V134" s="2353"/>
      <c r="W134" s="2353"/>
      <c r="X134" s="2353"/>
      <c r="Y134" s="2353"/>
      <c r="Z134" s="2353"/>
      <c r="AA134" s="2354"/>
      <c r="AB134" s="2101" t="s">
        <v>163</v>
      </c>
      <c r="AC134" s="2353"/>
      <c r="AD134" s="2353"/>
      <c r="AE134" s="2353"/>
      <c r="AF134" s="2353"/>
      <c r="AG134" s="2353"/>
      <c r="AH134" s="2354"/>
      <c r="AI134" s="2101" t="s">
        <v>164</v>
      </c>
      <c r="AJ134" s="2353"/>
      <c r="AK134" s="2353"/>
      <c r="AL134" s="2353"/>
      <c r="AM134" s="2353"/>
      <c r="AN134" s="2354"/>
      <c r="AO134" s="700"/>
    </row>
    <row r="135" spans="1:42" s="523" customFormat="1" ht="94.8" customHeight="1" x14ac:dyDescent="0.25">
      <c r="A135" s="912"/>
      <c r="B135" s="2140" t="s">
        <v>165</v>
      </c>
      <c r="C135" s="2142" t="s">
        <v>142</v>
      </c>
      <c r="D135" s="2042" t="s">
        <v>166</v>
      </c>
      <c r="E135" s="2042" t="s">
        <v>167</v>
      </c>
      <c r="F135" s="2041" t="s">
        <v>168</v>
      </c>
      <c r="G135" s="2103" t="s">
        <v>60</v>
      </c>
      <c r="H135" s="280"/>
      <c r="I135" s="280"/>
      <c r="J135" s="2041" t="s">
        <v>169</v>
      </c>
      <c r="K135" s="2042" t="s">
        <v>170</v>
      </c>
      <c r="L135" s="2105" t="s">
        <v>171</v>
      </c>
      <c r="M135" s="2100" t="s">
        <v>172</v>
      </c>
      <c r="N135" s="2041" t="s">
        <v>173</v>
      </c>
      <c r="O135" s="2041" t="s">
        <v>174</v>
      </c>
      <c r="P135" s="2102" t="s">
        <v>175</v>
      </c>
      <c r="Q135" s="2100" t="s">
        <v>172</v>
      </c>
      <c r="R135" s="2042" t="s">
        <v>176</v>
      </c>
      <c r="S135" s="2161" t="s">
        <v>177</v>
      </c>
      <c r="T135" s="2043" t="s">
        <v>178</v>
      </c>
      <c r="U135" s="2041" t="s">
        <v>179</v>
      </c>
      <c r="V135" s="2043" t="s">
        <v>180</v>
      </c>
      <c r="W135" s="2043"/>
      <c r="X135" s="2043"/>
      <c r="Y135" s="2043"/>
      <c r="Z135" s="2043"/>
      <c r="AA135" s="2043"/>
      <c r="AB135" s="2099" t="s">
        <v>181</v>
      </c>
      <c r="AC135" s="2099" t="s">
        <v>182</v>
      </c>
      <c r="AD135" s="2099" t="s">
        <v>172</v>
      </c>
      <c r="AE135" s="2099" t="s">
        <v>183</v>
      </c>
      <c r="AF135" s="2099" t="s">
        <v>172</v>
      </c>
      <c r="AG135" s="2099" t="s">
        <v>184</v>
      </c>
      <c r="AH135" s="2161" t="s">
        <v>185</v>
      </c>
      <c r="AI135" s="2043" t="s">
        <v>164</v>
      </c>
      <c r="AJ135" s="2043" t="s">
        <v>143</v>
      </c>
      <c r="AK135" s="2043" t="s">
        <v>186</v>
      </c>
      <c r="AL135" s="2043" t="s">
        <v>187</v>
      </c>
      <c r="AM135" s="2043" t="s">
        <v>188</v>
      </c>
      <c r="AN135" s="2043" t="s">
        <v>189</v>
      </c>
      <c r="AO135" s="2830" t="s">
        <v>1319</v>
      </c>
    </row>
    <row r="136" spans="1:42" s="523" customFormat="1" ht="157.19999999999999" customHeight="1" x14ac:dyDescent="0.25">
      <c r="A136" s="912"/>
      <c r="B136" s="2141"/>
      <c r="C136" s="2142"/>
      <c r="D136" s="2043"/>
      <c r="E136" s="2043"/>
      <c r="F136" s="2105"/>
      <c r="G136" s="2104"/>
      <c r="H136" s="280" t="s">
        <v>511</v>
      </c>
      <c r="I136" s="280" t="s">
        <v>190</v>
      </c>
      <c r="J136" s="2042"/>
      <c r="K136" s="2043"/>
      <c r="L136" s="2042"/>
      <c r="M136" s="2101"/>
      <c r="N136" s="2042"/>
      <c r="O136" s="2042"/>
      <c r="P136" s="2101"/>
      <c r="Q136" s="2101"/>
      <c r="R136" s="2043"/>
      <c r="S136" s="2162"/>
      <c r="T136" s="2043"/>
      <c r="U136" s="2042"/>
      <c r="V136" s="281" t="s">
        <v>191</v>
      </c>
      <c r="W136" s="281" t="s">
        <v>192</v>
      </c>
      <c r="X136" s="281" t="s">
        <v>193</v>
      </c>
      <c r="Y136" s="281" t="s">
        <v>194</v>
      </c>
      <c r="Z136" s="281" t="s">
        <v>195</v>
      </c>
      <c r="AA136" s="281" t="s">
        <v>196</v>
      </c>
      <c r="AB136" s="2099"/>
      <c r="AC136" s="2099"/>
      <c r="AD136" s="2099"/>
      <c r="AE136" s="2099"/>
      <c r="AF136" s="2099"/>
      <c r="AG136" s="2099"/>
      <c r="AH136" s="2162"/>
      <c r="AI136" s="2043"/>
      <c r="AJ136" s="2043"/>
      <c r="AK136" s="2043"/>
      <c r="AL136" s="2043"/>
      <c r="AM136" s="2043"/>
      <c r="AN136" s="2043"/>
      <c r="AO136" s="2830"/>
    </row>
    <row r="137" spans="1:42" s="523" customFormat="1" ht="166.8" customHeight="1" x14ac:dyDescent="0.25">
      <c r="A137" s="912"/>
      <c r="B137" s="2112">
        <v>1</v>
      </c>
      <c r="C137" s="2237" t="s">
        <v>197</v>
      </c>
      <c r="D137" s="2237" t="s">
        <v>1320</v>
      </c>
      <c r="E137" s="3206" t="s">
        <v>1321</v>
      </c>
      <c r="F137" s="1035" t="s">
        <v>1322</v>
      </c>
      <c r="G137" s="2355" t="s">
        <v>1323</v>
      </c>
      <c r="H137" s="2356" t="s">
        <v>512</v>
      </c>
      <c r="I137" s="2355" t="s">
        <v>486</v>
      </c>
      <c r="J137" s="2358" t="s">
        <v>198</v>
      </c>
      <c r="K137" s="2293">
        <v>4</v>
      </c>
      <c r="L137" s="2295" t="str">
        <f>IF(K137&lt;=0,"",IF(K137&lt;=2,"Muy Baja",IF(K137&lt;=24,"Baja",IF(K137&lt;=500,"Media",IF(K137&lt;=5000,"Alta","Muy Alta")))))</f>
        <v>Baja</v>
      </c>
      <c r="M137" s="2297">
        <f>IF(L137="","",IF(L137="Muy Baja",0.2,IF(L137="Baja",0.4,IF(L137="Media",0.6,IF(L137="Alta",0.8,IF(L137="Muy Alta",1,))))))</f>
        <v>0.4</v>
      </c>
      <c r="N137" s="2299" t="s">
        <v>225</v>
      </c>
      <c r="O137" s="2297" t="str">
        <f>IF(NOT(ISERROR(MATCH(N137,'[55]Tabla Impacto'!$B$221:$B$223,0))),'[55]Tabla Impacto'!$F$223&amp;"Por favor no seleccionar los criterios de impacto(Afectación Económica o presupuestal y Pérdida Reputacional)",N137)</f>
        <v xml:space="preserve">     El riesgo afecta la imagen de la entidad con algunos usuarios de relevancia frente al logro de los objetivos</v>
      </c>
      <c r="P137" s="2295" t="str">
        <f>IF(OR(O137='[55]Tabla Impacto'!$C$11,O137='[55]Tabla Impacto'!$D$11),"Leve",IF(OR(O137='[55]Tabla Impacto'!$C$12,O137='[55]Tabla Impacto'!$D$12),"Menor",IF(OR(O137='[55]Tabla Impacto'!$C$13,O137='[55]Tabla Impacto'!$D$13),"Moderado",IF(OR(O137='[55]Tabla Impacto'!$C$14,O137='[55]Tabla Impacto'!$D$14),"Mayor",IF(OR(O137='[55]Tabla Impacto'!$C$15,O137='[55]Tabla Impacto'!$D$15),"Catastrófico","")))))</f>
        <v>Moderado</v>
      </c>
      <c r="Q137" s="2297">
        <f>IF(P137="","",IF(P137="Leve",0.2,IF(P137="Menor",0.4,IF(P137="Moderado",0.6,IF(P137="Mayor",0.8,IF(P137="Catastrófico",1,))))))</f>
        <v>0.6</v>
      </c>
      <c r="R137" s="2267" t="str">
        <f>IF(OR(AND(L137="Muy Baja",P137="Leve"),AND(L137="Muy Baja",P137="Menor"),AND(L137="Baja",P137="Leve")),"Bajo",IF(OR(AND(L137="Muy baja",P137="Moderado"),AND(L137="Baja",P137="Menor"),AND(L137="Baja",P137="Moderado"),AND(L137="Media",P137="Leve"),AND(L137="Media",P137="Menor"),AND(L137="Media",P137="Moderado"),AND(L137="Alta",P137="Leve"),AND(L137="Alta",P137="Menor")),"Moderado",IF(OR(AND(L137="Muy Baja",P137="Mayor"),AND(L137="Baja",P137="Mayor"),AND(L137="Media",P137="Mayor"),AND(L137="Alta",P137="Moderado"),AND(L137="Alta",P137="Mayor"),AND(L137="Muy Alta",P137="Leve"),AND(L137="Muy Alta",P137="Menor"),AND(L137="Muy Alta",P137="Moderado"),AND(L137="Muy Alta",P137="Mayor")),"Alto",IF(OR(AND(L137="Muy Baja",P137="Catastrófico"),AND(L137="Baja",P137="Catastrófico"),AND(L137="Media",P137="Catastrófico"),AND(L137="Alta",P137="Catastrófico"),AND(L137="Muy Alta",P137="Catastrófico")),"Extremo",""))))</f>
        <v>Moderado</v>
      </c>
      <c r="S137" s="716">
        <v>1</v>
      </c>
      <c r="T137" s="300" t="s">
        <v>1324</v>
      </c>
      <c r="U137" s="718" t="str">
        <f>IF(OR(V137="Preventivo",V137="Detectivo"),"Probabilidad",IF(V137="Correctivo","Impacto",""))</f>
        <v>Probabilidad</v>
      </c>
      <c r="V137" s="719" t="s">
        <v>207</v>
      </c>
      <c r="W137" s="719" t="s">
        <v>201</v>
      </c>
      <c r="X137" s="720" t="str">
        <f>IF(AND(V137="Preventivo",W137="Automático"),"50%",IF(AND(V137="Preventivo",W137="Manual"),"40%",IF(AND(V137="Detectivo",W137="Automático"),"40%",IF(AND(V137="Detectivo",W137="Manual"),"30%",IF(AND(V137="Correctivo",W137="Automático"),"35%",IF(AND(V137="Correctivo",W137="Manual"),"25%",""))))))</f>
        <v>40%</v>
      </c>
      <c r="Y137" s="719" t="s">
        <v>208</v>
      </c>
      <c r="Z137" s="719" t="s">
        <v>203</v>
      </c>
      <c r="AA137" s="719" t="s">
        <v>204</v>
      </c>
      <c r="AB137" s="3202">
        <f>IFERROR(IF(U137="Probabilidad",(M137-(+M137*X137)),IF(U137="Impacto",M137,"")),"")</f>
        <v>0.24</v>
      </c>
      <c r="AC137" s="2273" t="str">
        <f>IFERROR(IF(AB137="","",IF(AB137&lt;=0.2,"Muy Baja",IF(AB137&lt;=0.4,"Baja",IF(AB137&lt;=0.6,"Media",IF(AB137&lt;=0.8,"Alta","Muy Alta"))))),"")</f>
        <v>Baja</v>
      </c>
      <c r="AD137" s="2276">
        <f>+AB137</f>
        <v>0.24</v>
      </c>
      <c r="AE137" s="2273" t="str">
        <f>IFERROR(IF(AF137="","",IF(AF137&lt;=0.2,"Leve",IF(AF137&lt;=0.4,"Menor",IF(AF137&lt;=0.6,"Moderado",IF(AF137&lt;=0.8,"Mayor","Catastrófico"))))),"")</f>
        <v>Moderado</v>
      </c>
      <c r="AF137" s="2276">
        <f>IFERROR(IF(U137="Impacto",(Q137-(+Q137*X137)),IF(U137="Probabilidad",Q137,"")),"")</f>
        <v>0.6</v>
      </c>
      <c r="AG137" s="2279" t="str">
        <f>IFERROR(IF(OR(AND(AC137="Muy Baja",AE137="Leve"),AND(AC137="Muy Baja",AE137="Menor"),AND(AC137="Baja",AE137="Leve")),"Bajo",IF(OR(AND(AC137="Muy baja",AE137="Moderado"),AND(AC137="Baja",AE137="Menor"),AND(AC137="Baja",AE137="Moderado"),AND(AC137="Media",AE137="Leve"),AND(AC137="Media",AE137="Menor"),AND(AC137="Media",AE137="Moderado"),AND(AC137="Alta",AE137="Leve"),AND(AC137="Alta",AE137="Menor")),"Moderado",IF(OR(AND(AC137="Muy Baja",AE137="Mayor"),AND(AC137="Baja",AE137="Mayor"),AND(AC137="Media",AE137="Mayor"),AND(AC137="Alta",AE137="Moderado"),AND(AC137="Alta",AE137="Mayor"),AND(AC137="Muy Alta",AE137="Leve"),AND(AC137="Muy Alta",AE137="Menor"),AND(AC137="Muy Alta",AE137="Moderado"),AND(AC137="Muy Alta",AE137="Mayor")),"Alto",IF(OR(AND(AC137="Muy Baja",AE137="Catastrófico"),AND(AC137="Baja",AE137="Catastrófico"),AND(AC137="Media",AE137="Catastrófico"),AND(AC137="Alta",AE137="Catastrófico"),AND(AC137="Muy Alta",AE137="Catastrófico")),"Extremo","")))),"")</f>
        <v>Moderado</v>
      </c>
      <c r="AH137" s="295" t="s">
        <v>205</v>
      </c>
      <c r="AI137" s="761" t="s">
        <v>1325</v>
      </c>
      <c r="AJ137" s="761" t="s">
        <v>488</v>
      </c>
      <c r="AK137" s="301" t="s">
        <v>1326</v>
      </c>
      <c r="AL137" s="301" t="s">
        <v>147</v>
      </c>
      <c r="AM137" s="761" t="s">
        <v>810</v>
      </c>
      <c r="AN137" s="730" t="s">
        <v>206</v>
      </c>
      <c r="AO137" s="811" t="s">
        <v>1327</v>
      </c>
    </row>
    <row r="138" spans="1:42" s="523" customFormat="1" ht="166.8" customHeight="1" x14ac:dyDescent="0.25">
      <c r="A138" s="912"/>
      <c r="B138" s="2113"/>
      <c r="C138" s="2238"/>
      <c r="D138" s="2238"/>
      <c r="E138" s="3207"/>
      <c r="F138" s="1035" t="s">
        <v>1328</v>
      </c>
      <c r="G138" s="2355"/>
      <c r="H138" s="2357"/>
      <c r="I138" s="2355"/>
      <c r="J138" s="2359"/>
      <c r="K138" s="2294"/>
      <c r="L138" s="2296"/>
      <c r="M138" s="2298"/>
      <c r="N138" s="2300"/>
      <c r="O138" s="2298">
        <f>IF(NOT(ISERROR(MATCH(N138,_xlfn.ANCHORARRAY(G148),0))),#REF!&amp;"Por favor no seleccionar los criterios de impacto",N138)</f>
        <v>0</v>
      </c>
      <c r="P138" s="2296"/>
      <c r="Q138" s="2298"/>
      <c r="R138" s="2268"/>
      <c r="S138" s="716">
        <v>2</v>
      </c>
      <c r="T138" s="300" t="s">
        <v>1329</v>
      </c>
      <c r="U138" s="718" t="str">
        <f>IF(OR(V138="Preventivo",V138="Detectivo"),"Probabilidad",IF(V138="Correctivo","Impacto",""))</f>
        <v>Probabilidad</v>
      </c>
      <c r="V138" s="719" t="s">
        <v>207</v>
      </c>
      <c r="W138" s="719" t="s">
        <v>201</v>
      </c>
      <c r="X138" s="720" t="str">
        <f t="shared" ref="X138:X139" si="66">IF(AND(V138="Preventivo",W138="Automático"),"50%",IF(AND(V138="Preventivo",W138="Manual"),"40%",IF(AND(V138="Detectivo",W138="Automático"),"40%",IF(AND(V138="Detectivo",W138="Manual"),"30%",IF(AND(V138="Correctivo",W138="Automático"),"35%",IF(AND(V138="Correctivo",W138="Manual"),"25%",""))))))</f>
        <v>40%</v>
      </c>
      <c r="Y138" s="719" t="s">
        <v>208</v>
      </c>
      <c r="Z138" s="719" t="s">
        <v>203</v>
      </c>
      <c r="AA138" s="719" t="s">
        <v>204</v>
      </c>
      <c r="AB138" s="3203"/>
      <c r="AC138" s="2274"/>
      <c r="AD138" s="2277"/>
      <c r="AE138" s="2274"/>
      <c r="AF138" s="2277"/>
      <c r="AG138" s="2280"/>
      <c r="AH138" s="295" t="s">
        <v>205</v>
      </c>
      <c r="AI138" s="300" t="s">
        <v>1330</v>
      </c>
      <c r="AJ138" s="761" t="s">
        <v>488</v>
      </c>
      <c r="AK138" s="301" t="s">
        <v>1331</v>
      </c>
      <c r="AL138" s="301" t="s">
        <v>147</v>
      </c>
      <c r="AM138" s="761" t="s">
        <v>810</v>
      </c>
      <c r="AN138" s="780" t="s">
        <v>206</v>
      </c>
      <c r="AO138" s="811" t="s">
        <v>1327</v>
      </c>
    </row>
    <row r="139" spans="1:42" s="523" customFormat="1" ht="166.8" customHeight="1" x14ac:dyDescent="0.25">
      <c r="A139" s="912"/>
      <c r="B139" s="2114"/>
      <c r="C139" s="2287"/>
      <c r="D139" s="2287"/>
      <c r="E139" s="3208"/>
      <c r="F139" s="1035" t="s">
        <v>1332</v>
      </c>
      <c r="G139" s="2355"/>
      <c r="H139" s="2962"/>
      <c r="I139" s="2355"/>
      <c r="J139" s="3209"/>
      <c r="K139" s="2971"/>
      <c r="L139" s="3176"/>
      <c r="M139" s="2972"/>
      <c r="N139" s="2973"/>
      <c r="O139" s="2972">
        <f>IF(NOT(ISERROR(MATCH(N139,_xlfn.ANCHORARRAY(#REF!),0))),#REF!&amp;"Por favor no seleccionar los criterios de impacto",N139)</f>
        <v>0</v>
      </c>
      <c r="P139" s="3176"/>
      <c r="Q139" s="2972"/>
      <c r="R139" s="2269"/>
      <c r="S139" s="716">
        <v>3</v>
      </c>
      <c r="T139" s="300" t="s">
        <v>1333</v>
      </c>
      <c r="U139" s="718" t="str">
        <f t="shared" ref="U139" si="67">IF(OR(V139="Preventivo",V139="Detectivo"),"Probabilidad",IF(V139="Correctivo","Impacto",""))</f>
        <v>Probabilidad</v>
      </c>
      <c r="V139" s="719" t="s">
        <v>207</v>
      </c>
      <c r="W139" s="719" t="s">
        <v>201</v>
      </c>
      <c r="X139" s="720" t="str">
        <f t="shared" si="66"/>
        <v>40%</v>
      </c>
      <c r="Y139" s="719" t="s">
        <v>208</v>
      </c>
      <c r="Z139" s="719" t="s">
        <v>203</v>
      </c>
      <c r="AA139" s="719" t="s">
        <v>204</v>
      </c>
      <c r="AB139" s="3204"/>
      <c r="AC139" s="2275"/>
      <c r="AD139" s="2278"/>
      <c r="AE139" s="2275"/>
      <c r="AF139" s="2278"/>
      <c r="AG139" s="2281"/>
      <c r="AH139" s="295" t="s">
        <v>205</v>
      </c>
      <c r="AI139" s="300" t="s">
        <v>1334</v>
      </c>
      <c r="AJ139" s="761" t="s">
        <v>488</v>
      </c>
      <c r="AK139" s="301" t="s">
        <v>1335</v>
      </c>
      <c r="AL139" s="301" t="s">
        <v>147</v>
      </c>
      <c r="AM139" s="761" t="s">
        <v>816</v>
      </c>
      <c r="AN139" s="780" t="s">
        <v>206</v>
      </c>
      <c r="AO139" s="811" t="s">
        <v>1336</v>
      </c>
    </row>
    <row r="140" spans="1:42" s="523" customFormat="1" ht="15.6" x14ac:dyDescent="0.25">
      <c r="A140" s="912"/>
      <c r="B140" s="912"/>
      <c r="C140" s="912"/>
      <c r="D140" s="912"/>
      <c r="E140" s="990"/>
      <c r="F140" s="912"/>
      <c r="G140" s="239"/>
      <c r="H140" s="912"/>
      <c r="I140" s="239"/>
      <c r="J140" s="239"/>
      <c r="K140" s="239"/>
      <c r="L140" s="913"/>
      <c r="M140" s="912"/>
      <c r="N140" s="912"/>
      <c r="O140" s="912"/>
      <c r="P140" s="914"/>
      <c r="Q140" s="912"/>
      <c r="R140" s="991"/>
      <c r="S140" s="992"/>
      <c r="T140" s="993"/>
      <c r="U140" s="994"/>
      <c r="V140" s="994"/>
      <c r="W140" s="995"/>
      <c r="X140" s="994"/>
      <c r="Y140" s="994"/>
      <c r="Z140" s="994"/>
      <c r="AA140" s="996"/>
      <c r="AB140" s="997"/>
      <c r="AC140" s="995"/>
      <c r="AD140" s="997"/>
      <c r="AE140" s="995"/>
      <c r="AF140" s="998"/>
      <c r="AG140" s="999"/>
      <c r="AH140" s="1000"/>
      <c r="AI140" s="1000"/>
      <c r="AJ140" s="1001"/>
      <c r="AK140" s="1001"/>
      <c r="AL140" s="1000"/>
      <c r="AM140" s="1002"/>
    </row>
    <row r="141" spans="1:42" s="523" customFormat="1" ht="54" customHeight="1" x14ac:dyDescent="0.25">
      <c r="A141" s="912"/>
      <c r="B141" s="2343" t="s">
        <v>156</v>
      </c>
      <c r="C141" s="2344"/>
      <c r="D141" s="2344"/>
      <c r="E141" s="2344"/>
      <c r="F141" s="2344"/>
      <c r="G141" s="2344"/>
      <c r="H141" s="2344"/>
      <c r="I141" s="2344"/>
      <c r="J141" s="2344"/>
      <c r="K141" s="2344"/>
      <c r="L141" s="2344"/>
      <c r="M141" s="2344"/>
      <c r="N141" s="2344"/>
      <c r="O141" s="2344"/>
      <c r="P141" s="2344"/>
      <c r="Q141" s="2344"/>
      <c r="R141" s="2344"/>
      <c r="S141" s="2344"/>
      <c r="T141" s="2344"/>
      <c r="U141" s="2344"/>
      <c r="V141" s="2344"/>
      <c r="W141" s="2344"/>
      <c r="X141" s="2344"/>
      <c r="Y141" s="2344"/>
      <c r="Z141" s="2344"/>
      <c r="AA141" s="2344"/>
      <c r="AB141" s="2344"/>
      <c r="AC141" s="2344"/>
      <c r="AD141" s="2344"/>
      <c r="AE141" s="2344"/>
      <c r="AF141" s="2344"/>
      <c r="AG141" s="2344"/>
      <c r="AH141" s="2344"/>
      <c r="AI141" s="2344"/>
      <c r="AJ141" s="2344"/>
      <c r="AK141" s="2344"/>
      <c r="AL141" s="2344"/>
      <c r="AM141" s="2344"/>
      <c r="AN141" s="2345"/>
      <c r="AO141" s="912"/>
      <c r="AP141" s="912"/>
    </row>
    <row r="142" spans="1:42" s="523" customFormat="1" x14ac:dyDescent="0.25">
      <c r="A142" s="912"/>
      <c r="B142" s="2346"/>
      <c r="C142" s="2347"/>
      <c r="D142" s="2347"/>
      <c r="E142" s="2347"/>
      <c r="F142" s="2347"/>
      <c r="G142" s="2347"/>
      <c r="H142" s="2347"/>
      <c r="I142" s="2347"/>
      <c r="J142" s="2347"/>
      <c r="K142" s="2347"/>
      <c r="L142" s="2347"/>
      <c r="M142" s="2347"/>
      <c r="N142" s="2347"/>
      <c r="O142" s="2347"/>
      <c r="P142" s="2347"/>
      <c r="Q142" s="2347"/>
      <c r="R142" s="2347"/>
      <c r="S142" s="2347"/>
      <c r="T142" s="2347"/>
      <c r="U142" s="2347"/>
      <c r="V142" s="2347"/>
      <c r="W142" s="2347"/>
      <c r="X142" s="2347"/>
      <c r="Y142" s="2347"/>
      <c r="Z142" s="2347"/>
      <c r="AA142" s="2347"/>
      <c r="AB142" s="2347"/>
      <c r="AC142" s="2347"/>
      <c r="AD142" s="2347"/>
      <c r="AE142" s="2347"/>
      <c r="AF142" s="2347"/>
      <c r="AG142" s="2347"/>
      <c r="AH142" s="2347"/>
      <c r="AI142" s="2347"/>
      <c r="AJ142" s="2347"/>
      <c r="AK142" s="2347"/>
      <c r="AL142" s="2347"/>
      <c r="AM142" s="2347"/>
      <c r="AN142" s="2348"/>
      <c r="AO142" s="912"/>
      <c r="AP142" s="912"/>
    </row>
    <row r="143" spans="1:42" s="523" customFormat="1" x14ac:dyDescent="0.25">
      <c r="A143" s="912"/>
      <c r="B143" s="703"/>
      <c r="C143" s="704"/>
      <c r="D143" s="704"/>
      <c r="E143" s="704"/>
      <c r="F143" s="1043"/>
      <c r="G143" s="1044"/>
      <c r="H143" s="1045"/>
      <c r="I143" s="700"/>
      <c r="J143" s="705"/>
      <c r="K143" s="700"/>
      <c r="L143" s="1045"/>
      <c r="M143" s="700"/>
      <c r="N143" s="700"/>
      <c r="O143" s="700"/>
      <c r="P143" s="1045"/>
      <c r="Q143" s="700"/>
      <c r="R143" s="1045"/>
      <c r="S143" s="700"/>
      <c r="T143" s="700"/>
      <c r="U143" s="700"/>
      <c r="V143" s="700"/>
      <c r="W143" s="700"/>
      <c r="X143" s="700"/>
      <c r="Y143" s="700"/>
      <c r="Z143" s="700"/>
      <c r="AA143" s="700"/>
      <c r="AB143" s="700"/>
      <c r="AC143" s="700"/>
      <c r="AD143" s="700"/>
      <c r="AE143" s="700"/>
      <c r="AF143" s="700"/>
      <c r="AG143" s="700"/>
      <c r="AH143" s="700"/>
      <c r="AI143" s="700"/>
      <c r="AJ143" s="700"/>
      <c r="AK143" s="1045"/>
      <c r="AL143" s="700"/>
      <c r="AM143" s="700"/>
      <c r="AN143" s="700"/>
      <c r="AO143" s="912"/>
      <c r="AP143" s="912"/>
    </row>
    <row r="144" spans="1:42" s="523" customFormat="1" ht="66" customHeight="1" x14ac:dyDescent="0.25">
      <c r="A144" s="912"/>
      <c r="B144" s="2349" t="s">
        <v>157</v>
      </c>
      <c r="C144" s="2350"/>
      <c r="D144" s="2040" t="s">
        <v>246</v>
      </c>
      <c r="E144" s="2040"/>
      <c r="F144" s="2040"/>
      <c r="G144" s="2040"/>
      <c r="H144" s="2040"/>
      <c r="I144" s="2040"/>
      <c r="J144" s="2040"/>
      <c r="K144" s="2040"/>
      <c r="L144" s="2040"/>
      <c r="M144" s="2040"/>
      <c r="N144" s="2040"/>
      <c r="O144" s="2040"/>
      <c r="P144" s="2040"/>
      <c r="Q144" s="2040"/>
      <c r="R144" s="2040"/>
      <c r="S144" s="2040"/>
      <c r="T144" s="2040"/>
      <c r="U144" s="2040"/>
      <c r="V144" s="2040"/>
      <c r="W144" s="2040"/>
      <c r="X144" s="2040"/>
      <c r="Y144" s="2040"/>
      <c r="Z144" s="2040"/>
      <c r="AA144" s="2040"/>
      <c r="AB144" s="2040"/>
      <c r="AC144" s="2040"/>
      <c r="AD144" s="2040"/>
      <c r="AE144" s="2040"/>
      <c r="AF144" s="2040"/>
      <c r="AG144" s="2040"/>
      <c r="AH144" s="2040"/>
      <c r="AI144" s="2040"/>
      <c r="AJ144" s="2040"/>
      <c r="AK144" s="2040"/>
      <c r="AL144" s="2040"/>
      <c r="AM144" s="2040"/>
      <c r="AN144" s="2040"/>
      <c r="AO144" s="912"/>
      <c r="AP144" s="912"/>
    </row>
    <row r="145" spans="1:42" s="523" customFormat="1" ht="85.2" customHeight="1" x14ac:dyDescent="0.25">
      <c r="A145" s="912"/>
      <c r="B145" s="2349" t="s">
        <v>158</v>
      </c>
      <c r="C145" s="2350"/>
      <c r="D145" s="2039" t="s">
        <v>247</v>
      </c>
      <c r="E145" s="2039"/>
      <c r="F145" s="2039"/>
      <c r="G145" s="2039"/>
      <c r="H145" s="2039"/>
      <c r="I145" s="2039"/>
      <c r="J145" s="2039"/>
      <c r="K145" s="2039"/>
      <c r="L145" s="2039"/>
      <c r="M145" s="2039"/>
      <c r="N145" s="2039"/>
      <c r="O145" s="2039"/>
      <c r="P145" s="2039"/>
      <c r="Q145" s="2039"/>
      <c r="R145" s="2039"/>
      <c r="S145" s="2039"/>
      <c r="T145" s="2039"/>
      <c r="U145" s="2039"/>
      <c r="V145" s="2039"/>
      <c r="W145" s="2039"/>
      <c r="X145" s="2039"/>
      <c r="Y145" s="2039"/>
      <c r="Z145" s="2039"/>
      <c r="AA145" s="2039"/>
      <c r="AB145" s="2039"/>
      <c r="AC145" s="2039"/>
      <c r="AD145" s="2039"/>
      <c r="AE145" s="2039"/>
      <c r="AF145" s="2039"/>
      <c r="AG145" s="2039"/>
      <c r="AH145" s="2039"/>
      <c r="AI145" s="2039"/>
      <c r="AJ145" s="2039"/>
      <c r="AK145" s="2039"/>
      <c r="AL145" s="2039"/>
      <c r="AM145" s="2039"/>
      <c r="AN145" s="2039"/>
      <c r="AO145" s="912"/>
      <c r="AP145" s="912"/>
    </row>
    <row r="146" spans="1:42" s="523" customFormat="1" ht="66" customHeight="1" x14ac:dyDescent="0.25">
      <c r="A146" s="912"/>
      <c r="B146" s="2349" t="s">
        <v>159</v>
      </c>
      <c r="C146" s="2350"/>
      <c r="D146" s="2040" t="s">
        <v>248</v>
      </c>
      <c r="E146" s="2040"/>
      <c r="F146" s="2040"/>
      <c r="G146" s="2040"/>
      <c r="H146" s="2040"/>
      <c r="I146" s="2040"/>
      <c r="J146" s="2040"/>
      <c r="K146" s="2040"/>
      <c r="L146" s="2040"/>
      <c r="M146" s="2040"/>
      <c r="N146" s="2040"/>
      <c r="O146" s="2040"/>
      <c r="P146" s="2040"/>
      <c r="Q146" s="2040"/>
      <c r="R146" s="2040"/>
      <c r="S146" s="2040"/>
      <c r="T146" s="2040"/>
      <c r="U146" s="2040"/>
      <c r="V146" s="2040"/>
      <c r="W146" s="2040"/>
      <c r="X146" s="2040"/>
      <c r="Y146" s="2040"/>
      <c r="Z146" s="2040"/>
      <c r="AA146" s="2040"/>
      <c r="AB146" s="2040"/>
      <c r="AC146" s="2040"/>
      <c r="AD146" s="2040"/>
      <c r="AE146" s="2040"/>
      <c r="AF146" s="2040"/>
      <c r="AG146" s="2040"/>
      <c r="AH146" s="2040"/>
      <c r="AI146" s="2040"/>
      <c r="AJ146" s="2040"/>
      <c r="AK146" s="2040"/>
      <c r="AL146" s="2040"/>
      <c r="AM146" s="2040"/>
      <c r="AN146" s="2040"/>
      <c r="AO146" s="912"/>
      <c r="AP146" s="912"/>
    </row>
    <row r="147" spans="1:42" s="523" customFormat="1" ht="80.400000000000006" customHeight="1" x14ac:dyDescent="0.25">
      <c r="A147" s="912"/>
      <c r="B147" s="2351" t="s">
        <v>160</v>
      </c>
      <c r="C147" s="2352"/>
      <c r="D147" s="2353"/>
      <c r="E147" s="2353"/>
      <c r="F147" s="2353"/>
      <c r="G147" s="2353"/>
      <c r="H147" s="2353"/>
      <c r="I147" s="2353"/>
      <c r="J147" s="2353"/>
      <c r="K147" s="2354"/>
      <c r="L147" s="2101" t="s">
        <v>161</v>
      </c>
      <c r="M147" s="2353"/>
      <c r="N147" s="2353"/>
      <c r="O147" s="2353"/>
      <c r="P147" s="2353"/>
      <c r="Q147" s="2353"/>
      <c r="R147" s="2354"/>
      <c r="S147" s="2101" t="s">
        <v>162</v>
      </c>
      <c r="T147" s="2353"/>
      <c r="U147" s="2353"/>
      <c r="V147" s="2353"/>
      <c r="W147" s="2353"/>
      <c r="X147" s="2353"/>
      <c r="Y147" s="2353"/>
      <c r="Z147" s="2353"/>
      <c r="AA147" s="2354"/>
      <c r="AB147" s="2101" t="s">
        <v>163</v>
      </c>
      <c r="AC147" s="2353"/>
      <c r="AD147" s="2353"/>
      <c r="AE147" s="2353"/>
      <c r="AF147" s="2353"/>
      <c r="AG147" s="2353"/>
      <c r="AH147" s="2354"/>
      <c r="AI147" s="2101" t="s">
        <v>164</v>
      </c>
      <c r="AJ147" s="2353"/>
      <c r="AK147" s="2353"/>
      <c r="AL147" s="2353"/>
      <c r="AM147" s="2353"/>
      <c r="AN147" s="2354"/>
      <c r="AO147" s="912"/>
      <c r="AP147" s="912"/>
    </row>
    <row r="148" spans="1:42" s="523" customFormat="1" ht="80.400000000000006" customHeight="1" x14ac:dyDescent="0.25">
      <c r="A148" s="912"/>
      <c r="B148" s="2140" t="s">
        <v>165</v>
      </c>
      <c r="C148" s="2142" t="s">
        <v>142</v>
      </c>
      <c r="D148" s="2042" t="s">
        <v>166</v>
      </c>
      <c r="E148" s="2042" t="s">
        <v>167</v>
      </c>
      <c r="F148" s="2041" t="s">
        <v>168</v>
      </c>
      <c r="G148" s="2103" t="s">
        <v>60</v>
      </c>
      <c r="H148" s="1046"/>
      <c r="I148" s="280"/>
      <c r="J148" s="2041" t="s">
        <v>169</v>
      </c>
      <c r="K148" s="2042" t="s">
        <v>170</v>
      </c>
      <c r="L148" s="3205" t="s">
        <v>171</v>
      </c>
      <c r="M148" s="2100" t="s">
        <v>172</v>
      </c>
      <c r="N148" s="2041" t="s">
        <v>173</v>
      </c>
      <c r="O148" s="2041" t="s">
        <v>174</v>
      </c>
      <c r="P148" s="3179" t="s">
        <v>175</v>
      </c>
      <c r="Q148" s="2100" t="s">
        <v>172</v>
      </c>
      <c r="R148" s="3181" t="s">
        <v>176</v>
      </c>
      <c r="S148" s="2161" t="s">
        <v>177</v>
      </c>
      <c r="T148" s="2043" t="s">
        <v>178</v>
      </c>
      <c r="U148" s="2041" t="s">
        <v>179</v>
      </c>
      <c r="V148" s="2043" t="s">
        <v>180</v>
      </c>
      <c r="W148" s="2043"/>
      <c r="X148" s="2043"/>
      <c r="Y148" s="2043"/>
      <c r="Z148" s="2043"/>
      <c r="AA148" s="2043"/>
      <c r="AB148" s="2099" t="s">
        <v>181</v>
      </c>
      <c r="AC148" s="2099" t="s">
        <v>182</v>
      </c>
      <c r="AD148" s="2099" t="s">
        <v>172</v>
      </c>
      <c r="AE148" s="2099" t="s">
        <v>183</v>
      </c>
      <c r="AF148" s="2099" t="s">
        <v>172</v>
      </c>
      <c r="AG148" s="2099" t="s">
        <v>184</v>
      </c>
      <c r="AH148" s="2161" t="s">
        <v>185</v>
      </c>
      <c r="AI148" s="2043" t="s">
        <v>164</v>
      </c>
      <c r="AJ148" s="2043" t="s">
        <v>143</v>
      </c>
      <c r="AK148" s="3182" t="s">
        <v>186</v>
      </c>
      <c r="AL148" s="2043" t="s">
        <v>187</v>
      </c>
      <c r="AM148" s="2043" t="s">
        <v>188</v>
      </c>
      <c r="AN148" s="2043" t="s">
        <v>189</v>
      </c>
      <c r="AO148" s="912"/>
      <c r="AP148" s="912"/>
    </row>
    <row r="149" spans="1:42" s="523" customFormat="1" ht="102" customHeight="1" x14ac:dyDescent="0.25">
      <c r="A149" s="912"/>
      <c r="B149" s="2141"/>
      <c r="C149" s="2142"/>
      <c r="D149" s="2043"/>
      <c r="E149" s="2043"/>
      <c r="F149" s="2105"/>
      <c r="G149" s="2104"/>
      <c r="H149" s="1046" t="s">
        <v>511</v>
      </c>
      <c r="I149" s="905" t="s">
        <v>190</v>
      </c>
      <c r="J149" s="2042"/>
      <c r="K149" s="2043"/>
      <c r="L149" s="3181"/>
      <c r="M149" s="2101"/>
      <c r="N149" s="2042"/>
      <c r="O149" s="2042"/>
      <c r="P149" s="3180"/>
      <c r="Q149" s="2101"/>
      <c r="R149" s="3182"/>
      <c r="S149" s="2162"/>
      <c r="T149" s="2043"/>
      <c r="U149" s="2042"/>
      <c r="V149" s="281" t="s">
        <v>191</v>
      </c>
      <c r="W149" s="281" t="s">
        <v>192</v>
      </c>
      <c r="X149" s="281" t="s">
        <v>193</v>
      </c>
      <c r="Y149" s="281" t="s">
        <v>194</v>
      </c>
      <c r="Z149" s="281" t="s">
        <v>195</v>
      </c>
      <c r="AA149" s="281" t="s">
        <v>196</v>
      </c>
      <c r="AB149" s="2099"/>
      <c r="AC149" s="2099"/>
      <c r="AD149" s="2099"/>
      <c r="AE149" s="2099"/>
      <c r="AF149" s="2099"/>
      <c r="AG149" s="2099"/>
      <c r="AH149" s="2162"/>
      <c r="AI149" s="2043"/>
      <c r="AJ149" s="2043"/>
      <c r="AK149" s="3182"/>
      <c r="AL149" s="2043"/>
      <c r="AM149" s="2043"/>
      <c r="AN149" s="2043"/>
      <c r="AO149" s="912"/>
      <c r="AP149" s="912"/>
    </row>
    <row r="150" spans="1:42" ht="235.2" customHeight="1" x14ac:dyDescent="0.3">
      <c r="B150" s="1047">
        <v>1</v>
      </c>
      <c r="C150" s="906" t="s">
        <v>209</v>
      </c>
      <c r="D150" s="1062" t="s">
        <v>1338</v>
      </c>
      <c r="E150" s="1063" t="s">
        <v>1339</v>
      </c>
      <c r="F150" s="1064" t="s">
        <v>1372</v>
      </c>
      <c r="G150" s="1127" t="s">
        <v>1340</v>
      </c>
      <c r="H150" s="1065" t="s">
        <v>512</v>
      </c>
      <c r="I150" s="1066" t="s">
        <v>255</v>
      </c>
      <c r="J150" s="1067" t="s">
        <v>198</v>
      </c>
      <c r="K150" s="1068">
        <f>11+3</f>
        <v>14</v>
      </c>
      <c r="L150" s="1069" t="str">
        <f t="shared" ref="L150:L156" si="68">IF(K150&lt;=0,"",IF(K150&lt;=2,"Muy Baja",IF(K150&lt;=24,"Baja",IF(K150&lt;=500,"Media",IF(K150&lt;=5000,"Alta","Muy Alta")))))</f>
        <v>Baja</v>
      </c>
      <c r="M150" s="1048">
        <f t="shared" ref="M150:M156" si="69">IF(L150="","",IF(L150="Muy Baja",0.2,IF(L150="Baja",0.4,IF(L150="Media",0.6,IF(L150="Alta",0.8,IF(L150="Muy Alta",1,))))))</f>
        <v>0.4</v>
      </c>
      <c r="N150" s="1070" t="s">
        <v>256</v>
      </c>
      <c r="O150" s="1048" t="str">
        <f>IF(NOT(ISERROR(MATCH(N150,'[56]Tabla Impacto'!$B$221:$B$223,0))),'[56]Tabla Impacto'!$F$223&amp;"Por favor no seleccionar los criterios de impacto(Afectación Económica o presupuestal y Pérdida Reputacional)",N150)</f>
        <v xml:space="preserve">     Mayor a 10000 SMLMV</v>
      </c>
      <c r="P150" s="1069" t="str">
        <f>IF(OR(O150='[56]Tabla Impacto'!$C$11,O150='[56]Tabla Impacto'!$D$11),"Leve",IF(OR(O150='[56]Tabla Impacto'!$C$12,O150='[56]Tabla Impacto'!$D$12),"Menor",IF(OR(O150='[56]Tabla Impacto'!$C$13,O150='[56]Tabla Impacto'!$D$13),"Moderado",IF(OR(O150='[56]Tabla Impacto'!$C$14,O150='[56]Tabla Impacto'!$D$14),"Mayor",IF(OR(O150='[56]Tabla Impacto'!$C$15,O150='[56]Tabla Impacto'!$D$15),"Catastrófico","")))))</f>
        <v>Catastrófico</v>
      </c>
      <c r="Q150" s="1048">
        <f t="shared" ref="Q150:Q156" si="70">IF(P150="","",IF(P150="Leve",0.2,IF(P150="Menor",0.4,IF(P150="Moderado",0.6,IF(P150="Mayor",0.8,IF(P150="Catastrófico",1,))))))</f>
        <v>1</v>
      </c>
      <c r="R150" s="1071" t="str">
        <f t="shared" ref="R150:R156" si="71">IF(OR(AND(L150="Muy Baja",P150="Leve"),AND(L150="Muy Baja",P150="Menor"),AND(L150="Baja",P150="Leve")),"Bajo",IF(OR(AND(L150="Muy baja",P150="Moderado"),AND(L150="Baja",P150="Menor"),AND(L150="Baja",P150="Moderado"),AND(L150="Media",P150="Leve"),AND(L150="Media",P150="Menor"),AND(L150="Media",P150="Moderado"),AND(L150="Alta",P150="Leve"),AND(L150="Alta",P150="Menor")),"Moderado",IF(OR(AND(L150="Muy Baja",P150="Mayor"),AND(L150="Baja",P150="Mayor"),AND(L150="Media",P150="Mayor"),AND(L150="Alta",P150="Moderado"),AND(L150="Alta",P150="Mayor"),AND(L150="Muy Alta",P150="Leve"),AND(L150="Muy Alta",P150="Menor"),AND(L150="Muy Alta",P150="Moderado"),AND(L150="Muy Alta",P150="Mayor")),"Alto",IF(OR(AND(L150="Muy Baja",P150="Catastrófico"),AND(L150="Baja",P150="Catastrófico"),AND(L150="Media",P150="Catastrófico"),AND(L150="Alta",P150="Catastrófico"),AND(L150="Muy Alta",P150="Catastrófico")),"Extremo",""))))</f>
        <v>Extremo</v>
      </c>
      <c r="S150" s="1047">
        <v>1</v>
      </c>
      <c r="T150" s="906" t="s">
        <v>1373</v>
      </c>
      <c r="U150" s="1061" t="str">
        <f t="shared" ref="U150:U153" si="72">IF(OR(V150="Preventivo",V150="Detectivo"),"Probabilidad",IF(V150="Correctivo","Impacto",""))</f>
        <v>Probabilidad</v>
      </c>
      <c r="V150" s="1051" t="s">
        <v>207</v>
      </c>
      <c r="W150" s="1051" t="s">
        <v>201</v>
      </c>
      <c r="X150" s="1052" t="str">
        <f t="shared" ref="X150:X156" si="73">IF(AND(V150="Preventivo",W150="Automático"),"50%",IF(AND(V150="Preventivo",W150="Manual"),"40%",IF(AND(V150="Detectivo",W150="Automático"),"40%",IF(AND(V150="Detectivo",W150="Manual"),"30%",IF(AND(V150="Correctivo",W150="Automático"),"35%",IF(AND(V150="Correctivo",W150="Manual"),"25%",""))))))</f>
        <v>40%</v>
      </c>
      <c r="Y150" s="1051" t="s">
        <v>208</v>
      </c>
      <c r="Z150" s="1051" t="s">
        <v>203</v>
      </c>
      <c r="AA150" s="1051" t="s">
        <v>204</v>
      </c>
      <c r="AB150" s="1053">
        <f>IFERROR(IF(U150="Probabilidad",(M150-(+M150*X150)),IF(U150="Impacto",M150,"")),"")</f>
        <v>0.24</v>
      </c>
      <c r="AC150" s="1054" t="str">
        <f t="shared" ref="AC150:AC156" si="74">IFERROR(IF(AB150="","",IF(AB150&lt;=0.2,"Muy Baja",IF(AB150&lt;=0.4,"Baja",IF(AB150&lt;=0.6,"Media",IF(AB150&lt;=0.8,"Alta","Muy Alta"))))),"")</f>
        <v>Baja</v>
      </c>
      <c r="AD150" s="1055">
        <f t="shared" ref="AD150:AD156" si="75">+AB150</f>
        <v>0.24</v>
      </c>
      <c r="AE150" s="1054" t="str">
        <f t="shared" ref="AE150:AE156" si="76">IFERROR(IF(AF150="","",IF(AF150&lt;=0.2,"Leve",IF(AF150&lt;=0.4,"Menor",IF(AF150&lt;=0.6,"Moderado",IF(AF150&lt;=0.8,"Mayor","Catastrófico"))))),"")</f>
        <v>Catastrófico</v>
      </c>
      <c r="AF150" s="1055">
        <f>IFERROR(IF(U150="Impacto",(Q150-(+Q150*X150)),IF(U150="Probabilidad",Q150,"")),"")</f>
        <v>1</v>
      </c>
      <c r="AG150" s="1056" t="str">
        <f t="shared" ref="AG150:AG156" si="77">IFERROR(IF(OR(AND(AC150="Muy Baja",AE150="Leve"),AND(AC150="Muy Baja",AE150="Menor"),AND(AC150="Baja",AE150="Leve")),"Bajo",IF(OR(AND(AC150="Muy baja",AE150="Moderado"),AND(AC150="Baja",AE150="Menor"),AND(AC150="Baja",AE150="Moderado"),AND(AC150="Media",AE150="Leve"),AND(AC150="Media",AE150="Menor"),AND(AC150="Media",AE150="Moderado"),AND(AC150="Alta",AE150="Leve"),AND(AC150="Alta",AE150="Menor")),"Moderado",IF(OR(AND(AC150="Muy Baja",AE150="Mayor"),AND(AC150="Baja",AE150="Mayor"),AND(AC150="Media",AE150="Mayor"),AND(AC150="Alta",AE150="Moderado"),AND(AC150="Alta",AE150="Mayor"),AND(AC150="Muy Alta",AE150="Leve"),AND(AC150="Muy Alta",AE150="Menor"),AND(AC150="Muy Alta",AE150="Moderado"),AND(AC150="Muy Alta",AE150="Mayor")),"Alto",IF(OR(AND(AC150="Muy Baja",AE150="Catastrófico"),AND(AC150="Baja",AE150="Catastrófico"),AND(AC150="Media",AE150="Catastrófico"),AND(AC150="Alta",AE150="Catastrófico"),AND(AC150="Muy Alta",AE150="Catastrófico")),"Extremo","")))),"")</f>
        <v>Extremo</v>
      </c>
      <c r="AH150" s="1057" t="s">
        <v>205</v>
      </c>
      <c r="AI150" s="812" t="s">
        <v>1341</v>
      </c>
      <c r="AJ150" s="812" t="s">
        <v>1342</v>
      </c>
      <c r="AK150" s="1058">
        <v>45352</v>
      </c>
      <c r="AL150" s="1059"/>
      <c r="AM150" s="812"/>
      <c r="AN150" s="1060" t="s">
        <v>206</v>
      </c>
    </row>
    <row r="151" spans="1:42" ht="164.4" customHeight="1" x14ac:dyDescent="0.3">
      <c r="B151" s="1047">
        <v>2</v>
      </c>
      <c r="C151" s="906" t="s">
        <v>209</v>
      </c>
      <c r="D151" s="1077" t="s">
        <v>1343</v>
      </c>
      <c r="E151" s="1078" t="s">
        <v>1344</v>
      </c>
      <c r="F151" s="1073" t="s">
        <v>261</v>
      </c>
      <c r="G151" s="1074" t="s">
        <v>1345</v>
      </c>
      <c r="H151" s="1065" t="s">
        <v>512</v>
      </c>
      <c r="I151" s="1074" t="s">
        <v>1346</v>
      </c>
      <c r="J151" s="1075" t="s">
        <v>198</v>
      </c>
      <c r="K151" s="1068">
        <v>120000</v>
      </c>
      <c r="L151" s="1069" t="str">
        <f t="shared" si="68"/>
        <v>Muy Alta</v>
      </c>
      <c r="M151" s="1048">
        <f t="shared" si="69"/>
        <v>1</v>
      </c>
      <c r="N151" s="1070" t="s">
        <v>225</v>
      </c>
      <c r="O151" s="1048" t="str">
        <f>IF(NOT(ISERROR(MATCH(N151,'[56]Tabla Impacto'!$B$221:$B$223,0))),'[56]Tabla Impacto'!$F$223&amp;"Por favor no seleccionar los criterios de impacto(Afectación Económica o presupuestal y Pérdida Reputacional)",N151)</f>
        <v xml:space="preserve">     El riesgo afecta la imagen de la entidad con algunos usuarios de relevancia frente al logro de los objetivos</v>
      </c>
      <c r="P151" s="1069" t="str">
        <f>IF(OR(O151='[56]Tabla Impacto'!$C$11,O151='[56]Tabla Impacto'!$D$11),"Leve",IF(OR(O151='[56]Tabla Impacto'!$C$12,O151='[56]Tabla Impacto'!$D$12),"Menor",IF(OR(O151='[56]Tabla Impacto'!$C$13,O151='[56]Tabla Impacto'!$D$13),"Moderado",IF(OR(O151='[56]Tabla Impacto'!$C$14,O151='[56]Tabla Impacto'!$D$14),"Mayor",IF(OR(O151='[56]Tabla Impacto'!$C$15,O151='[56]Tabla Impacto'!$D$15),"Catastrófico","")))))</f>
        <v>Moderado</v>
      </c>
      <c r="Q151" s="1048">
        <f t="shared" si="70"/>
        <v>0.6</v>
      </c>
      <c r="R151" s="1071" t="str">
        <f t="shared" si="71"/>
        <v>Alto</v>
      </c>
      <c r="S151" s="1049">
        <v>1</v>
      </c>
      <c r="T151" s="812" t="s">
        <v>1374</v>
      </c>
      <c r="U151" s="1050" t="str">
        <f t="shared" si="72"/>
        <v>Probabilidad</v>
      </c>
      <c r="V151" s="1051" t="s">
        <v>207</v>
      </c>
      <c r="W151" s="1051" t="s">
        <v>201</v>
      </c>
      <c r="X151" s="1052" t="str">
        <f t="shared" si="73"/>
        <v>40%</v>
      </c>
      <c r="Y151" s="1051" t="s">
        <v>208</v>
      </c>
      <c r="Z151" s="1051" t="s">
        <v>203</v>
      </c>
      <c r="AA151" s="1051" t="s">
        <v>204</v>
      </c>
      <c r="AB151" s="1053">
        <f>IFERROR(IF(U151="Probabilidad",(M151-(+M151*X151)),IF(U151="Impacto",M151,"")),"")</f>
        <v>0.6</v>
      </c>
      <c r="AC151" s="1054" t="str">
        <f t="shared" si="74"/>
        <v>Media</v>
      </c>
      <c r="AD151" s="1055">
        <f t="shared" si="75"/>
        <v>0.6</v>
      </c>
      <c r="AE151" s="1054" t="str">
        <f t="shared" si="76"/>
        <v>Moderado</v>
      </c>
      <c r="AF151" s="1055">
        <f>IFERROR(IF(U151="Impacto",(Q151-(+Q151*X151)),IF(U151="Probabilidad",Q151,"")),"")</f>
        <v>0.6</v>
      </c>
      <c r="AG151" s="1056" t="str">
        <f t="shared" si="77"/>
        <v>Moderado</v>
      </c>
      <c r="AH151" s="1057" t="s">
        <v>205</v>
      </c>
      <c r="AI151" s="812" t="s">
        <v>1347</v>
      </c>
      <c r="AJ151" s="812" t="s">
        <v>277</v>
      </c>
      <c r="AK151" s="1058">
        <v>45352</v>
      </c>
      <c r="AL151" s="1059"/>
      <c r="AM151" s="812"/>
      <c r="AN151" s="1060" t="s">
        <v>206</v>
      </c>
    </row>
    <row r="152" spans="1:42" ht="126" customHeight="1" x14ac:dyDescent="0.3">
      <c r="B152" s="1047">
        <v>3</v>
      </c>
      <c r="C152" s="906" t="s">
        <v>197</v>
      </c>
      <c r="D152" s="1079" t="s">
        <v>265</v>
      </c>
      <c r="E152" s="1080" t="s">
        <v>1348</v>
      </c>
      <c r="F152" s="1073" t="s">
        <v>1349</v>
      </c>
      <c r="G152" s="1074" t="s">
        <v>1350</v>
      </c>
      <c r="H152" s="1065" t="s">
        <v>512</v>
      </c>
      <c r="I152" s="1074" t="s">
        <v>269</v>
      </c>
      <c r="J152" s="1075" t="s">
        <v>198</v>
      </c>
      <c r="K152" s="1068">
        <v>5</v>
      </c>
      <c r="L152" s="1069" t="str">
        <f t="shared" si="68"/>
        <v>Baja</v>
      </c>
      <c r="M152" s="1048">
        <f t="shared" si="69"/>
        <v>0.4</v>
      </c>
      <c r="N152" s="1070" t="s">
        <v>225</v>
      </c>
      <c r="O152" s="1048" t="str">
        <f>IF(NOT(ISERROR(MATCH(N152,'[56]Tabla Impacto'!$B$221:$B$223,0))),'[56]Tabla Impacto'!$F$223&amp;"Por favor no seleccionar los criterios de impacto(Afectación Económica o presupuestal y Pérdida Reputacional)",N152)</f>
        <v xml:space="preserve">     El riesgo afecta la imagen de la entidad con algunos usuarios de relevancia frente al logro de los objetivos</v>
      </c>
      <c r="P152" s="1069" t="str">
        <f>IF(OR(O152='[56]Tabla Impacto'!$C$11,O152='[56]Tabla Impacto'!$D$11),"Leve",IF(OR(O152='[56]Tabla Impacto'!$C$12,O152='[56]Tabla Impacto'!$D$12),"Menor",IF(OR(O152='[56]Tabla Impacto'!$C$13,O152='[56]Tabla Impacto'!$D$13),"Moderado",IF(OR(O152='[56]Tabla Impacto'!$C$14,O152='[56]Tabla Impacto'!$D$14),"Mayor",IF(OR(O152='[56]Tabla Impacto'!$C$15,O152='[56]Tabla Impacto'!$D$15),"Catastrófico","")))))</f>
        <v>Moderado</v>
      </c>
      <c r="Q152" s="1048">
        <f t="shared" si="70"/>
        <v>0.6</v>
      </c>
      <c r="R152" s="1071" t="str">
        <f t="shared" si="71"/>
        <v>Moderado</v>
      </c>
      <c r="S152" s="1049">
        <v>1</v>
      </c>
      <c r="T152" s="812" t="s">
        <v>1375</v>
      </c>
      <c r="U152" s="1050" t="str">
        <f t="shared" si="72"/>
        <v>Probabilidad</v>
      </c>
      <c r="V152" s="1051" t="s">
        <v>207</v>
      </c>
      <c r="W152" s="1051" t="s">
        <v>201</v>
      </c>
      <c r="X152" s="1052" t="str">
        <f t="shared" si="73"/>
        <v>40%</v>
      </c>
      <c r="Y152" s="1051" t="s">
        <v>208</v>
      </c>
      <c r="Z152" s="1051" t="s">
        <v>203</v>
      </c>
      <c r="AA152" s="1051" t="s">
        <v>204</v>
      </c>
      <c r="AB152" s="1053">
        <f>IFERROR(IF(U152="Probabilidad",(M152-(+M152*X152)),IF(U152="Impacto",M152,"")),"")</f>
        <v>0.24</v>
      </c>
      <c r="AC152" s="1054" t="str">
        <f t="shared" si="74"/>
        <v>Baja</v>
      </c>
      <c r="AD152" s="1055">
        <f t="shared" si="75"/>
        <v>0.24</v>
      </c>
      <c r="AE152" s="1054" t="str">
        <f t="shared" si="76"/>
        <v>Moderado</v>
      </c>
      <c r="AF152" s="1055">
        <f>IFERROR(IF(U152="Impacto",(Q152-(+Q152*X152)),IF(U152="Probabilidad",Q152,"")),"")</f>
        <v>0.6</v>
      </c>
      <c r="AG152" s="1056" t="str">
        <f t="shared" si="77"/>
        <v>Moderado</v>
      </c>
      <c r="AH152" s="1057" t="s">
        <v>205</v>
      </c>
      <c r="AI152" s="812" t="s">
        <v>1351</v>
      </c>
      <c r="AJ152" s="812" t="s">
        <v>1352</v>
      </c>
      <c r="AK152" s="1058">
        <v>45352</v>
      </c>
      <c r="AL152" s="1059"/>
      <c r="AM152" s="812"/>
      <c r="AN152" s="1060" t="s">
        <v>206</v>
      </c>
    </row>
    <row r="153" spans="1:42" ht="134.4" customHeight="1" x14ac:dyDescent="0.3">
      <c r="B153" s="1047">
        <v>4</v>
      </c>
      <c r="C153" s="906" t="s">
        <v>197</v>
      </c>
      <c r="D153" s="1079" t="s">
        <v>272</v>
      </c>
      <c r="E153" s="1078" t="s">
        <v>1353</v>
      </c>
      <c r="F153" s="1073" t="s">
        <v>1354</v>
      </c>
      <c r="G153" s="1074" t="s">
        <v>1355</v>
      </c>
      <c r="H153" s="1065" t="s">
        <v>512</v>
      </c>
      <c r="I153" s="1074" t="s">
        <v>276</v>
      </c>
      <c r="J153" s="1075" t="s">
        <v>198</v>
      </c>
      <c r="K153" s="1068">
        <v>1</v>
      </c>
      <c r="L153" s="1069" t="str">
        <f t="shared" si="68"/>
        <v>Muy Baja</v>
      </c>
      <c r="M153" s="1048">
        <f t="shared" si="69"/>
        <v>0.2</v>
      </c>
      <c r="N153" s="1070" t="s">
        <v>216</v>
      </c>
      <c r="O153" s="1048" t="str">
        <f>IF(NOT(ISERROR(MATCH(N153,'[56]Tabla Impacto'!$B$221:$B$223,0))),'[56]Tabla Impacto'!$F$223&amp;"Por favor no seleccionar los criterios de impacto(Afectación Económica o presupuestal y Pérdida Reputacional)",N153)</f>
        <v xml:space="preserve">     El riesgo afecta la imagen de alguna área de la organización</v>
      </c>
      <c r="P153" s="1069" t="str">
        <f>IF(OR(O153='[56]Tabla Impacto'!$C$11,O153='[56]Tabla Impacto'!$D$11),"Leve",IF(OR(O153='[56]Tabla Impacto'!$C$12,O153='[56]Tabla Impacto'!$D$12),"Menor",IF(OR(O153='[56]Tabla Impacto'!$C$13,O153='[56]Tabla Impacto'!$D$13),"Moderado",IF(OR(O153='[56]Tabla Impacto'!$C$14,O153='[56]Tabla Impacto'!$D$14),"Mayor",IF(OR(O153='[56]Tabla Impacto'!$C$15,O153='[56]Tabla Impacto'!$D$15),"Catastrófico","")))))</f>
        <v>Leve</v>
      </c>
      <c r="Q153" s="1048">
        <f t="shared" si="70"/>
        <v>0.2</v>
      </c>
      <c r="R153" s="1071" t="str">
        <f t="shared" si="71"/>
        <v>Bajo</v>
      </c>
      <c r="S153" s="1049">
        <v>1</v>
      </c>
      <c r="T153" s="812" t="s">
        <v>1376</v>
      </c>
      <c r="U153" s="1050" t="str">
        <f t="shared" si="72"/>
        <v>Probabilidad</v>
      </c>
      <c r="V153" s="1051" t="s">
        <v>207</v>
      </c>
      <c r="W153" s="1051" t="s">
        <v>201</v>
      </c>
      <c r="X153" s="1052" t="str">
        <f t="shared" si="73"/>
        <v>40%</v>
      </c>
      <c r="Y153" s="1051" t="s">
        <v>202</v>
      </c>
      <c r="Z153" s="1051" t="s">
        <v>203</v>
      </c>
      <c r="AA153" s="1051" t="s">
        <v>204</v>
      </c>
      <c r="AB153" s="1053">
        <f>IFERROR(IF(U153="Probabilidad",(M153-(+M153*X153)),IF(U153="Impacto",M153,"")),"")</f>
        <v>0.12</v>
      </c>
      <c r="AC153" s="1054" t="str">
        <f t="shared" si="74"/>
        <v>Muy Baja</v>
      </c>
      <c r="AD153" s="1055">
        <f t="shared" si="75"/>
        <v>0.12</v>
      </c>
      <c r="AE153" s="1054" t="str">
        <f t="shared" si="76"/>
        <v>Leve</v>
      </c>
      <c r="AF153" s="1055">
        <f>IFERROR(IF(U153="Impacto",(Q153-(+Q153*X153)),IF(U153="Probabilidad",Q153,"")),"")</f>
        <v>0.2</v>
      </c>
      <c r="AG153" s="1056" t="str">
        <f t="shared" si="77"/>
        <v>Bajo</v>
      </c>
      <c r="AH153" s="1057" t="s">
        <v>205</v>
      </c>
      <c r="AI153" s="812" t="s">
        <v>1356</v>
      </c>
      <c r="AJ153" s="812" t="s">
        <v>277</v>
      </c>
      <c r="AK153" s="1058">
        <v>45352</v>
      </c>
      <c r="AL153" s="1059"/>
      <c r="AM153" s="812"/>
      <c r="AN153" s="1060" t="s">
        <v>206</v>
      </c>
    </row>
    <row r="154" spans="1:42" ht="172.2" customHeight="1" x14ac:dyDescent="0.3">
      <c r="B154" s="3190">
        <v>5</v>
      </c>
      <c r="C154" s="3192" t="s">
        <v>209</v>
      </c>
      <c r="D154" s="3194" t="s">
        <v>1357</v>
      </c>
      <c r="E154" s="3195" t="s">
        <v>1358</v>
      </c>
      <c r="F154" s="1081" t="s">
        <v>1359</v>
      </c>
      <c r="G154" s="3197" t="s">
        <v>1360</v>
      </c>
      <c r="H154" s="3198" t="s">
        <v>597</v>
      </c>
      <c r="I154" s="1082" t="s">
        <v>1361</v>
      </c>
      <c r="J154" s="3200" t="s">
        <v>198</v>
      </c>
      <c r="K154" s="1068">
        <v>100</v>
      </c>
      <c r="L154" s="1069" t="str">
        <f t="shared" si="68"/>
        <v>Media</v>
      </c>
      <c r="M154" s="1048">
        <f t="shared" si="69"/>
        <v>0.6</v>
      </c>
      <c r="N154" s="1070" t="s">
        <v>393</v>
      </c>
      <c r="O154" s="3183" t="str">
        <f>IF(NOT(ISERROR(MATCH(N154,'[56]Tabla Impacto'!$B$221:$B$223,0))),'[56]Tabla Impacto'!$F$223&amp;"Por favor no seleccionar los criterios de impacto(Afectación Económica o presupuestal y Pérdida Reputacional)",N154)</f>
        <v xml:space="preserve">     Entre 200 y 1000 SMLMV</v>
      </c>
      <c r="P154" s="1069" t="str">
        <f>IF(OR(O154='[56]Tabla Impacto'!$C$11,O154='[56]Tabla Impacto'!$D$11),"Leve",IF(OR(O154='[56]Tabla Impacto'!$C$12,O154='[56]Tabla Impacto'!$D$12),"Menor",IF(OR(O154='[56]Tabla Impacto'!$C$13,O154='[56]Tabla Impacto'!$D$13),"Moderado",IF(OR(O154='[56]Tabla Impacto'!$C$14,O154='[56]Tabla Impacto'!$D$14),"Mayor",IF(OR(O154='[56]Tabla Impacto'!$C$15,O154='[56]Tabla Impacto'!$D$15),"Catastrófico","")))))</f>
        <v>Menor</v>
      </c>
      <c r="Q154" s="1048">
        <f t="shared" si="70"/>
        <v>0.4</v>
      </c>
      <c r="R154" s="1071" t="str">
        <f t="shared" si="71"/>
        <v>Moderado</v>
      </c>
      <c r="S154" s="1049">
        <v>1</v>
      </c>
      <c r="T154" s="1083" t="s">
        <v>1377</v>
      </c>
      <c r="U154" s="1050" t="str">
        <f>IF(OR(V154="Preventivo",V154="Detectivo"),"Probabilidad",IF(V154="Correctivo","Impacto",""))</f>
        <v>Probabilidad</v>
      </c>
      <c r="V154" s="1051" t="s">
        <v>207</v>
      </c>
      <c r="W154" s="1051" t="s">
        <v>201</v>
      </c>
      <c r="X154" s="1052" t="str">
        <f t="shared" si="73"/>
        <v>40%</v>
      </c>
      <c r="Y154" s="1051" t="s">
        <v>208</v>
      </c>
      <c r="Z154" s="1051" t="s">
        <v>203</v>
      </c>
      <c r="AA154" s="1051" t="s">
        <v>204</v>
      </c>
      <c r="AB154" s="1053">
        <f>IFERROR(IF(U154="Probabilidad",(M154-(+M154*X154)),IF(U154="Impacto",M154,"")),"")</f>
        <v>0.36</v>
      </c>
      <c r="AC154" s="1054" t="str">
        <f t="shared" si="74"/>
        <v>Baja</v>
      </c>
      <c r="AD154" s="1055">
        <f t="shared" si="75"/>
        <v>0.36</v>
      </c>
      <c r="AE154" s="1054" t="str">
        <f t="shared" si="76"/>
        <v>Menor</v>
      </c>
      <c r="AF154" s="1055">
        <f>IFERROR(IF(U154="Impacto",(Q154-(+Q154*X154)),IF(U154="Probabilidad",Q154,"")),"")</f>
        <v>0.4</v>
      </c>
      <c r="AG154" s="1056" t="str">
        <f t="shared" si="77"/>
        <v>Moderado</v>
      </c>
      <c r="AH154" s="1057" t="s">
        <v>205</v>
      </c>
      <c r="AI154" s="1083" t="s">
        <v>284</v>
      </c>
      <c r="AJ154" s="812" t="s">
        <v>1362</v>
      </c>
      <c r="AK154" s="1058">
        <v>45352</v>
      </c>
      <c r="AL154" s="1059"/>
      <c r="AM154" s="812"/>
      <c r="AN154" s="1060" t="s">
        <v>206</v>
      </c>
    </row>
    <row r="155" spans="1:42" ht="159" customHeight="1" x14ac:dyDescent="0.3">
      <c r="B155" s="3191"/>
      <c r="C155" s="3193"/>
      <c r="D155" s="3193"/>
      <c r="E155" s="3196"/>
      <c r="F155" s="1084" t="s">
        <v>1363</v>
      </c>
      <c r="G155" s="3197"/>
      <c r="H155" s="3199"/>
      <c r="I155" s="1085" t="s">
        <v>1364</v>
      </c>
      <c r="J155" s="3201"/>
      <c r="K155" s="1068">
        <v>300000000</v>
      </c>
      <c r="L155" s="1069" t="str">
        <f t="shared" si="68"/>
        <v>Muy Alta</v>
      </c>
      <c r="M155" s="1048">
        <f t="shared" si="69"/>
        <v>1</v>
      </c>
      <c r="N155" s="1072" t="s">
        <v>1365</v>
      </c>
      <c r="O155" s="3184" t="str">
        <f>IF(NOT(ISERROR(MATCH(N155,_xlfn.ANCHORARRAY(G157),0))),M159&amp;"Por favor no seleccionar los criterios de impacto",N155)</f>
        <v xml:space="preserve">     Entre 5000 y 10000 SMLMV</v>
      </c>
      <c r="P155" s="1069" t="str">
        <f>IF(OR(O155='[56]Tabla Impacto'!$C$11,O155='[56]Tabla Impacto'!$D$11),"Leve",IF(OR(O155='[56]Tabla Impacto'!$C$12,O155='[56]Tabla Impacto'!$D$12),"Menor",IF(OR(O155='[56]Tabla Impacto'!$C$13,O155='[56]Tabla Impacto'!$D$13),"Moderado",IF(OR(O155='[56]Tabla Impacto'!$C$14,O155='[56]Tabla Impacto'!$D$14),"Mayor",IF(OR(O155='[56]Tabla Impacto'!$C$15,O155='[56]Tabla Impacto'!$D$15),"Catastrófico","")))))</f>
        <v>Mayor</v>
      </c>
      <c r="Q155" s="1048">
        <f t="shared" si="70"/>
        <v>0.8</v>
      </c>
      <c r="R155" s="1071" t="str">
        <f t="shared" si="71"/>
        <v>Alto</v>
      </c>
      <c r="S155" s="1049">
        <v>2</v>
      </c>
      <c r="T155" s="1086" t="s">
        <v>1378</v>
      </c>
      <c r="U155" s="1050" t="str">
        <f>IF(OR(V155="Preventivo",V155="Detectivo"),"Probabilidad",IF(V155="Correctivo","Impacto",""))</f>
        <v>Probabilidad</v>
      </c>
      <c r="V155" s="1051" t="s">
        <v>207</v>
      </c>
      <c r="W155" s="1051" t="s">
        <v>201</v>
      </c>
      <c r="X155" s="1052" t="str">
        <f t="shared" si="73"/>
        <v>40%</v>
      </c>
      <c r="Y155" s="1051" t="s">
        <v>208</v>
      </c>
      <c r="Z155" s="1051" t="s">
        <v>203</v>
      </c>
      <c r="AA155" s="1051" t="s">
        <v>204</v>
      </c>
      <c r="AB155" s="1053">
        <f>IFERROR(IF(AND(U154="Probabilidad",U155="Probabilidad"),(AD154-(+AD154*X155)),IF(AND(U154="Impacto",U155="Probabilidad"),(M154-(+M154*X155)),IF(U155="Impacto",AD154,""))),"")</f>
        <v>0.216</v>
      </c>
      <c r="AC155" s="1054" t="str">
        <f t="shared" si="74"/>
        <v>Baja</v>
      </c>
      <c r="AD155" s="1055">
        <f t="shared" si="75"/>
        <v>0.216</v>
      </c>
      <c r="AE155" s="1054" t="str">
        <f t="shared" si="76"/>
        <v>Menor</v>
      </c>
      <c r="AF155" s="1055">
        <f>IFERROR(IF(AND(U154="Impacto",U155="Impacto"),(AF154-(+AF154*X155)),IF(AND(U154="Probabilidad",U155="Impacto"),(Q154-(+Q154*X155)),IF(U155="Probabilidad",AF154,""))),"")</f>
        <v>0.4</v>
      </c>
      <c r="AG155" s="1056" t="str">
        <f t="shared" si="77"/>
        <v>Moderado</v>
      </c>
      <c r="AH155" s="1057" t="s">
        <v>205</v>
      </c>
      <c r="AI155" s="1087" t="s">
        <v>1366</v>
      </c>
      <c r="AJ155" s="812" t="s">
        <v>277</v>
      </c>
      <c r="AK155" s="1058">
        <v>45597</v>
      </c>
      <c r="AL155" s="1059"/>
      <c r="AM155" s="812"/>
      <c r="AN155" s="1060" t="s">
        <v>206</v>
      </c>
    </row>
    <row r="156" spans="1:42" ht="159" customHeight="1" x14ac:dyDescent="0.3">
      <c r="B156" s="690">
        <v>6</v>
      </c>
      <c r="C156" s="715" t="s">
        <v>209</v>
      </c>
      <c r="D156" s="1088" t="s">
        <v>1367</v>
      </c>
      <c r="E156" s="1089" t="s">
        <v>1368</v>
      </c>
      <c r="F156" s="1073" t="s">
        <v>1380</v>
      </c>
      <c r="G156" s="800" t="s">
        <v>1369</v>
      </c>
      <c r="H156" s="1090" t="s">
        <v>597</v>
      </c>
      <c r="I156" s="1076" t="s">
        <v>1370</v>
      </c>
      <c r="J156" s="729" t="s">
        <v>198</v>
      </c>
      <c r="K156" s="782">
        <v>6000</v>
      </c>
      <c r="L156" s="1091" t="str">
        <f t="shared" si="68"/>
        <v>Muy Alta</v>
      </c>
      <c r="M156" s="783">
        <f t="shared" si="69"/>
        <v>1</v>
      </c>
      <c r="N156" s="784" t="s">
        <v>1365</v>
      </c>
      <c r="O156" s="783" t="str">
        <f>IF(NOT(ISERROR(MATCH(N156,'[56]Tabla Impacto'!$B$221:$B$223,0))),'[56]Tabla Impacto'!$F$223&amp;"Por favor no seleccionar los criterios de impacto(Afectación Económica o presupuestal y Pérdida Reputacional)",N156)</f>
        <v xml:space="preserve">     Entre 5000 y 10000 SMLMV</v>
      </c>
      <c r="P156" s="1091" t="str">
        <f>IF(OR(O156='[56]Tabla Impacto'!$C$11,O156='[56]Tabla Impacto'!$D$11),"Leve",IF(OR(O156='[56]Tabla Impacto'!$C$12,O156='[56]Tabla Impacto'!$D$12),"Menor",IF(OR(O156='[56]Tabla Impacto'!$C$13,O156='[56]Tabla Impacto'!$D$13),"Moderado",IF(OR(O156='[56]Tabla Impacto'!$C$14,O156='[56]Tabla Impacto'!$D$14),"Mayor",IF(OR(O156='[56]Tabla Impacto'!$C$15,O156='[56]Tabla Impacto'!$D$15),"Catastrófico","")))))</f>
        <v>Mayor</v>
      </c>
      <c r="Q156" s="783">
        <f t="shared" si="70"/>
        <v>0.8</v>
      </c>
      <c r="R156" s="1092" t="str">
        <f t="shared" si="71"/>
        <v>Alto</v>
      </c>
      <c r="S156" s="1049">
        <v>1</v>
      </c>
      <c r="T156" s="812" t="s">
        <v>1379</v>
      </c>
      <c r="U156" s="1050" t="str">
        <f t="shared" ref="U156" si="78">IF(OR(V156="Preventivo",V156="Detectivo"),"Probabilidad",IF(V156="Correctivo","Impacto",""))</f>
        <v>Probabilidad</v>
      </c>
      <c r="V156" s="1051" t="s">
        <v>207</v>
      </c>
      <c r="W156" s="1051" t="s">
        <v>201</v>
      </c>
      <c r="X156" s="1052" t="str">
        <f t="shared" si="73"/>
        <v>40%</v>
      </c>
      <c r="Y156" s="1051" t="s">
        <v>208</v>
      </c>
      <c r="Z156" s="1051" t="s">
        <v>203</v>
      </c>
      <c r="AA156" s="1051" t="s">
        <v>204</v>
      </c>
      <c r="AB156" s="1053">
        <f>IFERROR(IF(U156="Probabilidad",(M156-(+M156*X156)),IF(U156="Impacto",M156,"")),"")</f>
        <v>0.6</v>
      </c>
      <c r="AC156" s="1054" t="str">
        <f t="shared" si="74"/>
        <v>Media</v>
      </c>
      <c r="AD156" s="1055">
        <f t="shared" si="75"/>
        <v>0.6</v>
      </c>
      <c r="AE156" s="1054" t="str">
        <f t="shared" si="76"/>
        <v>Mayor</v>
      </c>
      <c r="AF156" s="1055">
        <f>IFERROR(IF(U156="Impacto",(Q156-(+Q156*X156)),IF(U156="Probabilidad",Q156,"")),"")</f>
        <v>0.8</v>
      </c>
      <c r="AG156" s="1056" t="str">
        <f t="shared" si="77"/>
        <v>Alto</v>
      </c>
      <c r="AH156" s="1057" t="s">
        <v>205</v>
      </c>
      <c r="AI156" s="812" t="s">
        <v>1371</v>
      </c>
      <c r="AJ156" s="1060" t="s">
        <v>1342</v>
      </c>
      <c r="AK156" s="1058">
        <v>45597</v>
      </c>
      <c r="AL156" s="1059"/>
      <c r="AM156" s="812"/>
      <c r="AN156" s="1060" t="s">
        <v>206</v>
      </c>
    </row>
    <row r="158" spans="1:42" x14ac:dyDescent="0.3">
      <c r="B158" s="2337" t="s">
        <v>156</v>
      </c>
      <c r="C158" s="3185"/>
      <c r="D158" s="3185"/>
      <c r="E158" s="3185"/>
      <c r="F158" s="3185"/>
      <c r="G158" s="3185"/>
      <c r="H158" s="3185"/>
      <c r="I158" s="3185"/>
      <c r="J158" s="3185"/>
      <c r="K158" s="3185"/>
      <c r="L158" s="3185"/>
      <c r="M158" s="3185"/>
      <c r="N158" s="3185"/>
      <c r="O158" s="3185"/>
      <c r="P158" s="3185"/>
      <c r="Q158" s="3185"/>
      <c r="R158" s="3185"/>
      <c r="S158" s="3185"/>
      <c r="T158" s="3185"/>
      <c r="U158" s="3185"/>
      <c r="V158" s="3185"/>
      <c r="W158" s="3185"/>
      <c r="X158" s="3185"/>
      <c r="Y158" s="3185"/>
      <c r="Z158" s="3185"/>
      <c r="AA158" s="3185"/>
      <c r="AB158" s="3185"/>
      <c r="AC158" s="3185"/>
      <c r="AD158" s="3185"/>
      <c r="AE158" s="3185"/>
      <c r="AF158" s="3185"/>
      <c r="AG158" s="3185"/>
      <c r="AH158" s="3185"/>
      <c r="AI158" s="3185"/>
      <c r="AJ158" s="3185"/>
      <c r="AK158" s="3185"/>
      <c r="AL158" s="3185"/>
      <c r="AM158" s="3185"/>
      <c r="AN158" s="3186"/>
    </row>
    <row r="159" spans="1:42" x14ac:dyDescent="0.3">
      <c r="B159" s="3187"/>
      <c r="C159" s="3188"/>
      <c r="D159" s="3188"/>
      <c r="E159" s="3188"/>
      <c r="F159" s="3188"/>
      <c r="G159" s="3188"/>
      <c r="H159" s="3188"/>
      <c r="I159" s="3188"/>
      <c r="J159" s="3188"/>
      <c r="K159" s="3188"/>
      <c r="L159" s="3188"/>
      <c r="M159" s="3188"/>
      <c r="N159" s="3188"/>
      <c r="O159" s="3188"/>
      <c r="P159" s="3188"/>
      <c r="Q159" s="3188"/>
      <c r="R159" s="3188"/>
      <c r="S159" s="3188"/>
      <c r="T159" s="3188"/>
      <c r="U159" s="3188"/>
      <c r="V159" s="3188"/>
      <c r="W159" s="3188"/>
      <c r="X159" s="3188"/>
      <c r="Y159" s="3188"/>
      <c r="Z159" s="3188"/>
      <c r="AA159" s="3188"/>
      <c r="AB159" s="3188"/>
      <c r="AC159" s="3188"/>
      <c r="AD159" s="3188"/>
      <c r="AE159" s="3188"/>
      <c r="AF159" s="3188"/>
      <c r="AG159" s="3188"/>
      <c r="AH159" s="3188"/>
      <c r="AI159" s="3188"/>
      <c r="AJ159" s="3188"/>
      <c r="AK159" s="3188"/>
      <c r="AL159" s="3188"/>
      <c r="AM159" s="3188"/>
      <c r="AN159" s="3189"/>
    </row>
    <row r="160" spans="1:42" ht="14.4" x14ac:dyDescent="0.3">
      <c r="B160" s="694"/>
      <c r="C160" s="695"/>
      <c r="D160" s="694"/>
      <c r="E160" s="694"/>
      <c r="F160" s="694"/>
      <c r="G160" s="311"/>
      <c r="H160" s="311"/>
      <c r="I160" s="311"/>
      <c r="J160" s="696"/>
      <c r="K160" s="311"/>
      <c r="L160" s="311"/>
      <c r="M160" s="311"/>
      <c r="N160" s="311"/>
      <c r="O160" s="311"/>
      <c r="P160" s="311"/>
      <c r="Q160" s="311"/>
      <c r="R160" s="311"/>
      <c r="S160" s="311"/>
      <c r="T160" s="311"/>
      <c r="U160" s="311"/>
      <c r="V160" s="311"/>
      <c r="W160" s="311"/>
      <c r="X160" s="311"/>
      <c r="Y160" s="311"/>
      <c r="Z160" s="311"/>
      <c r="AA160" s="311"/>
      <c r="AB160" s="311"/>
      <c r="AC160" s="311"/>
      <c r="AD160" s="311"/>
      <c r="AE160" s="311"/>
      <c r="AF160" s="311"/>
      <c r="AG160" s="311"/>
      <c r="AH160" s="311"/>
      <c r="AI160" s="311"/>
      <c r="AJ160" s="311"/>
      <c r="AK160" s="311"/>
      <c r="AL160" s="311"/>
      <c r="AM160" s="311"/>
      <c r="AN160" s="311"/>
    </row>
    <row r="161" spans="2:40" ht="23.4" x14ac:dyDescent="0.3">
      <c r="B161" s="2340" t="s">
        <v>157</v>
      </c>
      <c r="C161" s="2324"/>
      <c r="D161" s="2341" t="s">
        <v>844</v>
      </c>
      <c r="E161" s="2324"/>
      <c r="F161" s="2324"/>
      <c r="G161" s="2324"/>
      <c r="H161" s="2324"/>
      <c r="I161" s="2324"/>
      <c r="J161" s="2324"/>
      <c r="K161" s="2324"/>
      <c r="L161" s="2324"/>
      <c r="M161" s="2324"/>
      <c r="N161" s="2324"/>
      <c r="O161" s="2324"/>
      <c r="P161" s="2324"/>
      <c r="Q161" s="2324"/>
      <c r="R161" s="2324"/>
      <c r="S161" s="2324"/>
      <c r="T161" s="2324"/>
      <c r="U161" s="2324"/>
      <c r="V161" s="2324"/>
      <c r="W161" s="2324"/>
      <c r="X161" s="2324"/>
      <c r="Y161" s="2324"/>
      <c r="Z161" s="2324"/>
      <c r="AA161" s="2324"/>
      <c r="AB161" s="2324"/>
      <c r="AC161" s="2324"/>
      <c r="AD161" s="2324"/>
      <c r="AE161" s="2324"/>
      <c r="AF161" s="2324"/>
      <c r="AG161" s="2324"/>
      <c r="AH161" s="2324"/>
      <c r="AI161" s="2324"/>
      <c r="AJ161" s="2324"/>
      <c r="AK161" s="2324"/>
      <c r="AL161" s="2324"/>
      <c r="AM161" s="2324"/>
      <c r="AN161" s="2325"/>
    </row>
    <row r="162" spans="2:40" ht="23.4" x14ac:dyDescent="0.3">
      <c r="B162" s="2340" t="s">
        <v>158</v>
      </c>
      <c r="C162" s="2324"/>
      <c r="D162" s="2342" t="s">
        <v>1389</v>
      </c>
      <c r="E162" s="2324"/>
      <c r="F162" s="2324"/>
      <c r="G162" s="2324"/>
      <c r="H162" s="2324"/>
      <c r="I162" s="2324"/>
      <c r="J162" s="2324"/>
      <c r="K162" s="2324"/>
      <c r="L162" s="2324"/>
      <c r="M162" s="2324"/>
      <c r="N162" s="2324"/>
      <c r="O162" s="2324"/>
      <c r="P162" s="2324"/>
      <c r="Q162" s="2324"/>
      <c r="R162" s="2324"/>
      <c r="S162" s="2324"/>
      <c r="T162" s="2324"/>
      <c r="U162" s="2324"/>
      <c r="V162" s="2324"/>
      <c r="W162" s="2324"/>
      <c r="X162" s="2324"/>
      <c r="Y162" s="2324"/>
      <c r="Z162" s="2324"/>
      <c r="AA162" s="2324"/>
      <c r="AB162" s="2324"/>
      <c r="AC162" s="2324"/>
      <c r="AD162" s="2324"/>
      <c r="AE162" s="2324"/>
      <c r="AF162" s="2324"/>
      <c r="AG162" s="2324"/>
      <c r="AH162" s="2324"/>
      <c r="AI162" s="2324"/>
      <c r="AJ162" s="2324"/>
      <c r="AK162" s="2324"/>
      <c r="AL162" s="2324"/>
      <c r="AM162" s="2324"/>
      <c r="AN162" s="2325"/>
    </row>
    <row r="163" spans="2:40" ht="23.4" x14ac:dyDescent="0.3">
      <c r="B163" s="2340" t="s">
        <v>159</v>
      </c>
      <c r="C163" s="2324"/>
      <c r="D163" s="2342" t="s">
        <v>866</v>
      </c>
      <c r="E163" s="2324"/>
      <c r="F163" s="2324"/>
      <c r="G163" s="2324"/>
      <c r="H163" s="2324"/>
      <c r="I163" s="2324"/>
      <c r="J163" s="2324"/>
      <c r="K163" s="2324"/>
      <c r="L163" s="2324"/>
      <c r="M163" s="2324"/>
      <c r="N163" s="2324"/>
      <c r="O163" s="2324"/>
      <c r="P163" s="2324"/>
      <c r="Q163" s="2324"/>
      <c r="R163" s="2324"/>
      <c r="S163" s="2324"/>
      <c r="T163" s="2324"/>
      <c r="U163" s="2324"/>
      <c r="V163" s="2324"/>
      <c r="W163" s="2324"/>
      <c r="X163" s="2324"/>
      <c r="Y163" s="2324"/>
      <c r="Z163" s="2324"/>
      <c r="AA163" s="2324"/>
      <c r="AB163" s="2324"/>
      <c r="AC163" s="2324"/>
      <c r="AD163" s="2324"/>
      <c r="AE163" s="2324"/>
      <c r="AF163" s="2324"/>
      <c r="AG163" s="2324"/>
      <c r="AH163" s="2324"/>
      <c r="AI163" s="2324"/>
      <c r="AJ163" s="2324"/>
      <c r="AK163" s="2324"/>
      <c r="AL163" s="2324"/>
      <c r="AM163" s="2324"/>
      <c r="AN163" s="2325"/>
    </row>
    <row r="164" spans="2:40" ht="14.4" x14ac:dyDescent="0.3">
      <c r="B164" s="2323" t="s">
        <v>160</v>
      </c>
      <c r="C164" s="2324"/>
      <c r="D164" s="2324"/>
      <c r="E164" s="2324"/>
      <c r="F164" s="2324"/>
      <c r="G164" s="2324"/>
      <c r="H164" s="2324"/>
      <c r="I164" s="2324"/>
      <c r="J164" s="2324"/>
      <c r="K164" s="2325"/>
      <c r="L164" s="2326" t="s">
        <v>161</v>
      </c>
      <c r="M164" s="2327"/>
      <c r="N164" s="2327"/>
      <c r="O164" s="2327"/>
      <c r="P164" s="2327"/>
      <c r="Q164" s="2327"/>
      <c r="R164" s="2318"/>
      <c r="S164" s="2326" t="s">
        <v>162</v>
      </c>
      <c r="T164" s="2327"/>
      <c r="U164" s="2327"/>
      <c r="V164" s="2327"/>
      <c r="W164" s="2327"/>
      <c r="X164" s="2327"/>
      <c r="Y164" s="2327"/>
      <c r="Z164" s="2327"/>
      <c r="AA164" s="2318"/>
      <c r="AB164" s="2326" t="s">
        <v>163</v>
      </c>
      <c r="AC164" s="2327"/>
      <c r="AD164" s="2327"/>
      <c r="AE164" s="2327"/>
      <c r="AF164" s="2327"/>
      <c r="AG164" s="2327"/>
      <c r="AH164" s="2318"/>
      <c r="AI164" s="2326" t="s">
        <v>164</v>
      </c>
      <c r="AJ164" s="2327"/>
      <c r="AK164" s="2327"/>
      <c r="AL164" s="2327"/>
      <c r="AM164" s="2327"/>
      <c r="AN164" s="2318"/>
    </row>
    <row r="165" spans="2:40" ht="14.4" x14ac:dyDescent="0.3">
      <c r="B165" s="2328" t="s">
        <v>165</v>
      </c>
      <c r="C165" s="2329" t="s">
        <v>142</v>
      </c>
      <c r="D165" s="2330" t="s">
        <v>166</v>
      </c>
      <c r="E165" s="2330" t="s">
        <v>167</v>
      </c>
      <c r="F165" s="2305" t="s">
        <v>168</v>
      </c>
      <c r="G165" s="2331" t="s">
        <v>60</v>
      </c>
      <c r="H165" s="697"/>
      <c r="I165" s="697"/>
      <c r="J165" s="2305" t="s">
        <v>169</v>
      </c>
      <c r="K165" s="2330" t="s">
        <v>170</v>
      </c>
      <c r="L165" s="2330" t="s">
        <v>171</v>
      </c>
      <c r="M165" s="2332" t="s">
        <v>172</v>
      </c>
      <c r="N165" s="2305" t="s">
        <v>173</v>
      </c>
      <c r="O165" s="2305" t="s">
        <v>174</v>
      </c>
      <c r="P165" s="2334" t="s">
        <v>175</v>
      </c>
      <c r="Q165" s="2332" t="s">
        <v>172</v>
      </c>
      <c r="R165" s="2330" t="s">
        <v>176</v>
      </c>
      <c r="S165" s="2335" t="s">
        <v>177</v>
      </c>
      <c r="T165" s="2305" t="s">
        <v>178</v>
      </c>
      <c r="U165" s="2305" t="s">
        <v>179</v>
      </c>
      <c r="V165" s="2336" t="s">
        <v>180</v>
      </c>
      <c r="W165" s="3177"/>
      <c r="X165" s="3177"/>
      <c r="Y165" s="3177"/>
      <c r="Z165" s="3177"/>
      <c r="AA165" s="3178"/>
      <c r="AB165" s="2335" t="s">
        <v>181</v>
      </c>
      <c r="AC165" s="2335" t="s">
        <v>182</v>
      </c>
      <c r="AD165" s="2335" t="s">
        <v>172</v>
      </c>
      <c r="AE165" s="2335" t="s">
        <v>183</v>
      </c>
      <c r="AF165" s="2335" t="s">
        <v>172</v>
      </c>
      <c r="AG165" s="2335" t="s">
        <v>184</v>
      </c>
      <c r="AH165" s="2335" t="s">
        <v>185</v>
      </c>
      <c r="AI165" s="2305" t="s">
        <v>164</v>
      </c>
      <c r="AJ165" s="2305" t="s">
        <v>143</v>
      </c>
      <c r="AK165" s="2305" t="s">
        <v>186</v>
      </c>
      <c r="AL165" s="2305" t="s">
        <v>187</v>
      </c>
      <c r="AM165" s="2305" t="s">
        <v>188</v>
      </c>
      <c r="AN165" s="2305" t="s">
        <v>189</v>
      </c>
    </row>
    <row r="166" spans="2:40" ht="89.4" customHeight="1" x14ac:dyDescent="0.3">
      <c r="B166" s="2311"/>
      <c r="C166" s="2311"/>
      <c r="D166" s="2311"/>
      <c r="E166" s="2311"/>
      <c r="F166" s="2310"/>
      <c r="G166" s="2310"/>
      <c r="H166" s="697" t="s">
        <v>511</v>
      </c>
      <c r="I166" s="697" t="s">
        <v>190</v>
      </c>
      <c r="J166" s="2311"/>
      <c r="K166" s="2311"/>
      <c r="L166" s="2311"/>
      <c r="M166" s="2314"/>
      <c r="N166" s="2311"/>
      <c r="O166" s="2311"/>
      <c r="P166" s="2314"/>
      <c r="Q166" s="2314"/>
      <c r="R166" s="2311"/>
      <c r="S166" s="2311"/>
      <c r="T166" s="2311"/>
      <c r="U166" s="2311"/>
      <c r="V166" s="698" t="s">
        <v>191</v>
      </c>
      <c r="W166" s="698" t="s">
        <v>192</v>
      </c>
      <c r="X166" s="698" t="s">
        <v>193</v>
      </c>
      <c r="Y166" s="698" t="s">
        <v>194</v>
      </c>
      <c r="Z166" s="698" t="s">
        <v>195</v>
      </c>
      <c r="AA166" s="698" t="s">
        <v>196</v>
      </c>
      <c r="AB166" s="2311"/>
      <c r="AC166" s="2311"/>
      <c r="AD166" s="2311"/>
      <c r="AE166" s="2311"/>
      <c r="AF166" s="2311"/>
      <c r="AG166" s="2311"/>
      <c r="AH166" s="2311"/>
      <c r="AI166" s="2311"/>
      <c r="AJ166" s="2311"/>
      <c r="AK166" s="2311"/>
      <c r="AL166" s="2311"/>
      <c r="AM166" s="2311"/>
      <c r="AN166" s="2311"/>
    </row>
    <row r="167" spans="2:40" ht="409.6" x14ac:dyDescent="0.3">
      <c r="B167" s="2307">
        <v>1</v>
      </c>
      <c r="C167" s="2309" t="s">
        <v>197</v>
      </c>
      <c r="D167" s="2309" t="s">
        <v>374</v>
      </c>
      <c r="E167" s="2312" t="s">
        <v>845</v>
      </c>
      <c r="F167" s="888" t="s">
        <v>846</v>
      </c>
      <c r="G167" s="2309" t="s">
        <v>1381</v>
      </c>
      <c r="H167" s="2309" t="s">
        <v>512</v>
      </c>
      <c r="I167" s="909" t="s">
        <v>1382</v>
      </c>
      <c r="J167" s="2974" t="s">
        <v>198</v>
      </c>
      <c r="K167" s="2975">
        <f>246*412</f>
        <v>101352</v>
      </c>
      <c r="L167" s="2976" t="str">
        <f>IF(K167&lt;=0,"",IF(K167&lt;=2,"Muy Baja",IF(K167&lt;=24,"Baja",IF(K167&lt;=500,"Media",IF(K167&lt;=5000,"Alta","Muy Alta")))))</f>
        <v>Muy Alta</v>
      </c>
      <c r="M167" s="2977">
        <f>IF(L167="","",IF(L167="Muy Baja",0.2,IF(L167="Baja",0.4,IF(L167="Media",0.6,IF(L167="Alta",0.8,IF(L167="Muy Alta",1,))))))</f>
        <v>1</v>
      </c>
      <c r="N167" s="2977" t="s">
        <v>199</v>
      </c>
      <c r="O167" s="2977" t="str">
        <f>IF(NOT(ISERROR(MATCH(N167,'[57]Tabla Impacto'!$B$221:$B$223,0))),'[57]Tabla Impacto'!$F$223&amp;"Por favor no seleccionar los criterios de impacto(Afectación Económica o presupuestal y Pérdida Reputacional)",N167)</f>
        <v xml:space="preserve">     El riesgo afecta la imagen de de la entidad con efecto publicitario sostenido a nivel de sector administrativo, nivel departamental o municipal</v>
      </c>
      <c r="P167" s="2976" t="str">
        <f>IF(OR(O167='[57]Tabla Impacto'!$C$11,O167='[57]Tabla Impacto'!$D$11),"Leve",IF(OR(O167='[57]Tabla Impacto'!$C$12,O167='[57]Tabla Impacto'!$D$12),"Menor",IF(OR(O167='[57]Tabla Impacto'!$C$13,O167='[57]Tabla Impacto'!$D$13),"Moderado",IF(OR(O167='[57]Tabla Impacto'!$C$14,O167='[57]Tabla Impacto'!$D$14),"Mayor",IF(OR(O167='[57]Tabla Impacto'!$C$15,O167='[57]Tabla Impacto'!$D$15),"Catastrófico","")))))</f>
        <v>Mayor</v>
      </c>
      <c r="Q167" s="2977">
        <f>IF(P167="","",IF(P167="Leve",0.2,IF(P167="Menor",0.4,IF(P167="Moderado",0.6,IF(P167="Mayor",0.8,IF(P167="Catastrófico",1,))))))</f>
        <v>0.8</v>
      </c>
      <c r="R167" s="2978" t="str">
        <f>IF(OR(AND(L167="Muy Baja",P167="Leve"),AND(L167="Muy Baja",P167="Menor"),AND(L167="Baja",P167="Leve")),"Bajo",IF(OR(AND(L167="Muy baja",P167="Moderado"),AND(L167="Baja",P167="Menor"),AND(L167="Baja",P167="Moderado"),AND(L167="Media",P167="Leve"),AND(L167="Media",P167="Menor"),AND(L167="Media",P167="Moderado"),AND(L167="Alta",P167="Leve"),AND(L167="Alta",P167="Menor")),"Moderado",IF(OR(AND(L167="Muy Baja",P167="Mayor"),AND(L167="Baja",P167="Mayor"),AND(L167="Media",P167="Mayor"),AND(L167="Alta",P167="Moderado"),AND(L167="Alta",P167="Mayor"),AND(L167="Muy Alta",P167="Leve"),AND(L167="Muy Alta",P167="Menor"),AND(L167="Muy Alta",P167="Moderado"),AND(L167="Muy Alta",P167="Mayor")),"Alto",IF(OR(AND(L167="Muy Baja",P167="Catastrófico"),AND(L167="Baja",P167="Catastrófico"),AND(L167="Media",P167="Catastrófico"),AND(L167="Alta",P167="Catastrófico"),AND(L167="Muy Alta",P167="Catastrófico")),"Extremo",""))))</f>
        <v>Alto</v>
      </c>
      <c r="S167" s="894">
        <v>1</v>
      </c>
      <c r="T167" s="892" t="s">
        <v>849</v>
      </c>
      <c r="U167" s="894" t="str">
        <f t="shared" ref="U167:U170" si="79">IF(OR(V167="Preventivo",V167="Detectivo"),"Probabilidad",IF(V167="Correctivo","Impacto",""))</f>
        <v>Probabilidad</v>
      </c>
      <c r="V167" s="944" t="s">
        <v>200</v>
      </c>
      <c r="W167" s="944" t="s">
        <v>201</v>
      </c>
      <c r="X167" s="945" t="str">
        <f t="shared" ref="X167:X170" si="80">IF(AND(V167="Preventivo",W167="Automático"),"50%",IF(AND(V167="Preventivo",W167="Manual"),"40%",IF(AND(V167="Detectivo",W167="Automático"),"40%",IF(AND(V167="Detectivo",W167="Manual"),"30%",IF(AND(V167="Correctivo",W167="Automático"),"35%",IF(AND(V167="Correctivo",W167="Manual"),"25%",""))))))</f>
        <v>30%</v>
      </c>
      <c r="Y167" s="944" t="s">
        <v>202</v>
      </c>
      <c r="Z167" s="944" t="s">
        <v>203</v>
      </c>
      <c r="AA167" s="944" t="s">
        <v>204</v>
      </c>
      <c r="AB167" s="946">
        <f>IFERROR(IF(U167="Probabilidad",(M167-(+M167*X167)),IF(U167="Impacto",M167,"")),"")</f>
        <v>0.7</v>
      </c>
      <c r="AC167" s="947" t="str">
        <f t="shared" ref="AC167:AC170" si="81">IFERROR(IF(AB167="","",IF(AB167&lt;=0.2,"Muy Baja",IF(AB167&lt;=0.4,"Baja",IF(AB167&lt;=0.6,"Media",IF(AB167&lt;=0.8,"Alta","Muy Alta"))))),"")</f>
        <v>Alta</v>
      </c>
      <c r="AD167" s="948">
        <f t="shared" ref="AD167:AD170" si="82">+AB167</f>
        <v>0.7</v>
      </c>
      <c r="AE167" s="947" t="str">
        <f t="shared" ref="AE167:AE170" si="83">IFERROR(IF(AF167="","",IF(AF167&lt;=0.2,"Leve",IF(AF167&lt;=0.4,"Menor",IF(AF167&lt;=0.6,"Moderado",IF(AF167&lt;=0.8,"Mayor","Catastrófico"))))),"")</f>
        <v>Mayor</v>
      </c>
      <c r="AF167" s="948">
        <f>IFERROR(IF(U167="Impacto",(Q167-(+Q167*X167)),IF(U167="Probabilidad",Q167,"")),"")</f>
        <v>0.8</v>
      </c>
      <c r="AG167" s="949" t="str">
        <f t="shared" ref="AG167:AG170" si="84">IFERROR(IF(OR(AND(AC167="Muy Baja",AE167="Leve"),AND(AC167="Muy Baja",AE167="Menor"),AND(AC167="Baja",AE167="Leve")),"Bajo",IF(OR(AND(AC167="Muy baja",AE167="Moderado"),AND(AC167="Baja",AE167="Menor"),AND(AC167="Baja",AE167="Moderado"),AND(AC167="Media",AE167="Leve"),AND(AC167="Media",AE167="Menor"),AND(AC167="Media",AE167="Moderado"),AND(AC167="Alta",AE167="Leve"),AND(AC167="Alta",AE167="Menor")),"Moderado",IF(OR(AND(AC167="Muy Baja",AE167="Mayor"),AND(AC167="Baja",AE167="Mayor"),AND(AC167="Media",AE167="Mayor"),AND(AC167="Alta",AE167="Moderado"),AND(AC167="Alta",AE167="Mayor"),AND(AC167="Muy Alta",AE167="Leve"),AND(AC167="Muy Alta",AE167="Menor"),AND(AC167="Muy Alta",AE167="Moderado"),AND(AC167="Muy Alta",AE167="Mayor")),"Alto",IF(OR(AND(AC167="Muy Baja",AE167="Catastrófico"),AND(AC167="Baja",AE167="Catastrófico"),AND(AC167="Media",AE167="Catastrófico"),AND(AC167="Alta",AE167="Catastrófico"),AND(AC167="Muy Alta",AE167="Catastrófico")),"Extremo","")))),"")</f>
        <v>Alto</v>
      </c>
      <c r="AH167" s="950" t="s">
        <v>205</v>
      </c>
      <c r="AI167" s="891" t="s">
        <v>850</v>
      </c>
      <c r="AJ167" s="891" t="s">
        <v>375</v>
      </c>
      <c r="AK167" s="893" t="s">
        <v>851</v>
      </c>
      <c r="AL167" s="890" t="s">
        <v>852</v>
      </c>
      <c r="AM167" s="891" t="s">
        <v>1383</v>
      </c>
      <c r="AN167" s="1093" t="s">
        <v>206</v>
      </c>
    </row>
    <row r="168" spans="2:40" ht="303.60000000000002" x14ac:dyDescent="0.3">
      <c r="B168" s="3164"/>
      <c r="C168" s="3164"/>
      <c r="D168" s="3164"/>
      <c r="E168" s="3172"/>
      <c r="F168" s="889" t="s">
        <v>854</v>
      </c>
      <c r="G168" s="3164"/>
      <c r="H168" s="3164"/>
      <c r="I168" s="1128" t="s">
        <v>1384</v>
      </c>
      <c r="J168" s="3168"/>
      <c r="K168" s="3164"/>
      <c r="L168" s="3164"/>
      <c r="M168" s="3164"/>
      <c r="N168" s="3164"/>
      <c r="O168" s="3164"/>
      <c r="P168" s="3164"/>
      <c r="Q168" s="3164"/>
      <c r="R168" s="3164"/>
      <c r="S168" s="894">
        <v>2</v>
      </c>
      <c r="T168" s="1096" t="s">
        <v>855</v>
      </c>
      <c r="U168" s="894" t="str">
        <f t="shared" si="79"/>
        <v>Probabilidad</v>
      </c>
      <c r="V168" s="944" t="s">
        <v>207</v>
      </c>
      <c r="W168" s="944" t="s">
        <v>201</v>
      </c>
      <c r="X168" s="945" t="str">
        <f t="shared" si="80"/>
        <v>40%</v>
      </c>
      <c r="Y168" s="944" t="s">
        <v>202</v>
      </c>
      <c r="Z168" s="944" t="s">
        <v>210</v>
      </c>
      <c r="AA168" s="944" t="s">
        <v>204</v>
      </c>
      <c r="AB168" s="946">
        <f>IFERROR(IF(AND(U167="Probabilidad",U168="Probabilidad"),(AD167-(+AD167*X168)),IF(AND(U167="Impacto",U168="Probabilidad"),(M167-(+M167*X168)),IF(U168="Impacto",AD167,""))),"")</f>
        <v>0.42</v>
      </c>
      <c r="AC168" s="947" t="str">
        <f t="shared" si="81"/>
        <v>Media</v>
      </c>
      <c r="AD168" s="948">
        <f t="shared" si="82"/>
        <v>0.42</v>
      </c>
      <c r="AE168" s="947" t="str">
        <f t="shared" si="83"/>
        <v>Mayor</v>
      </c>
      <c r="AF168" s="948">
        <f>IFERROR(IF(AND(U167="Impacto",U168="Impacto"),(AF167-(+AF167*X168)),IF(AND(U167="Probabilidad",U168="Impacto"),(Q167-(+Q167*X168)),IF(U168="Probabilidad",AF167,""))),"")</f>
        <v>0.8</v>
      </c>
      <c r="AG168" s="949" t="str">
        <f t="shared" si="84"/>
        <v>Alto</v>
      </c>
      <c r="AH168" s="950" t="s">
        <v>205</v>
      </c>
      <c r="AI168" s="892" t="s">
        <v>856</v>
      </c>
      <c r="AJ168" s="892" t="s">
        <v>857</v>
      </c>
      <c r="AK168" s="893" t="s">
        <v>851</v>
      </c>
      <c r="AL168" s="890" t="s">
        <v>852</v>
      </c>
      <c r="AM168" s="892" t="s">
        <v>1385</v>
      </c>
      <c r="AN168" s="894"/>
    </row>
    <row r="169" spans="2:40" ht="262.8" customHeight="1" x14ac:dyDescent="0.3">
      <c r="B169" s="3164"/>
      <c r="C169" s="3164"/>
      <c r="D169" s="3164"/>
      <c r="E169" s="3172"/>
      <c r="F169" s="891" t="s">
        <v>376</v>
      </c>
      <c r="G169" s="3164"/>
      <c r="H169" s="3164"/>
      <c r="I169" s="1128" t="s">
        <v>1386</v>
      </c>
      <c r="J169" s="3168"/>
      <c r="K169" s="3164"/>
      <c r="L169" s="3164"/>
      <c r="M169" s="3164"/>
      <c r="N169" s="3164"/>
      <c r="O169" s="3164"/>
      <c r="P169" s="3164"/>
      <c r="Q169" s="3164"/>
      <c r="R169" s="3164"/>
      <c r="S169" s="894">
        <v>3</v>
      </c>
      <c r="T169" s="892" t="s">
        <v>859</v>
      </c>
      <c r="U169" s="894" t="str">
        <f t="shared" si="79"/>
        <v>Probabilidad</v>
      </c>
      <c r="V169" s="944" t="s">
        <v>200</v>
      </c>
      <c r="W169" s="944" t="s">
        <v>201</v>
      </c>
      <c r="X169" s="945" t="str">
        <f t="shared" si="80"/>
        <v>30%</v>
      </c>
      <c r="Y169" s="944" t="s">
        <v>202</v>
      </c>
      <c r="Z169" s="944" t="s">
        <v>203</v>
      </c>
      <c r="AA169" s="944" t="s">
        <v>204</v>
      </c>
      <c r="AB169" s="946">
        <f t="shared" ref="AB169:AB170" si="85">IFERROR(IF(AND(U168="Probabilidad",U169="Probabilidad"),(AD168-(+AD168*X169)),IF(AND(U168="Impacto",U169="Probabilidad"),(AD167-(+AD167*X169)),IF(U169="Impacto",AD168,""))),"")</f>
        <v>0.29399999999999998</v>
      </c>
      <c r="AC169" s="947" t="str">
        <f t="shared" si="81"/>
        <v>Baja</v>
      </c>
      <c r="AD169" s="948">
        <f t="shared" si="82"/>
        <v>0.29399999999999998</v>
      </c>
      <c r="AE169" s="947" t="str">
        <f t="shared" si="83"/>
        <v>Mayor</v>
      </c>
      <c r="AF169" s="948">
        <f t="shared" ref="AF169:AF170" si="86">IFERROR(IF(AND(U168="Impacto",U169="Impacto"),(AF168-(+AF168*X169)),IF(AND(U168="Probabilidad",U169="Impacto"),(AF167-(+AF167*X169)),IF(U169="Probabilidad",AF168,""))),"")</f>
        <v>0.8</v>
      </c>
      <c r="AG169" s="949" t="str">
        <f t="shared" si="84"/>
        <v>Alto</v>
      </c>
      <c r="AH169" s="950" t="s">
        <v>205</v>
      </c>
      <c r="AI169" s="892" t="s">
        <v>377</v>
      </c>
      <c r="AJ169" s="892" t="s">
        <v>378</v>
      </c>
      <c r="AK169" s="893" t="s">
        <v>851</v>
      </c>
      <c r="AL169" s="890" t="s">
        <v>852</v>
      </c>
      <c r="AM169" s="892" t="s">
        <v>1387</v>
      </c>
      <c r="AN169" s="894"/>
    </row>
    <row r="170" spans="2:40" ht="409.6" x14ac:dyDescent="0.3">
      <c r="B170" s="3164"/>
      <c r="C170" s="3164"/>
      <c r="D170" s="3164"/>
      <c r="E170" s="3172"/>
      <c r="F170" s="891" t="s">
        <v>861</v>
      </c>
      <c r="G170" s="3164"/>
      <c r="H170" s="3164"/>
      <c r="I170" s="1128" t="s">
        <v>1384</v>
      </c>
      <c r="J170" s="3168"/>
      <c r="K170" s="3164"/>
      <c r="L170" s="3164"/>
      <c r="M170" s="3164"/>
      <c r="N170" s="3164"/>
      <c r="O170" s="3164"/>
      <c r="P170" s="3164"/>
      <c r="Q170" s="3164"/>
      <c r="R170" s="3164"/>
      <c r="S170" s="894">
        <v>4</v>
      </c>
      <c r="T170" s="1096" t="s">
        <v>862</v>
      </c>
      <c r="U170" s="894" t="str">
        <f t="shared" si="79"/>
        <v>Probabilidad</v>
      </c>
      <c r="V170" s="944" t="s">
        <v>200</v>
      </c>
      <c r="W170" s="944" t="s">
        <v>201</v>
      </c>
      <c r="X170" s="945" t="str">
        <f t="shared" si="80"/>
        <v>30%</v>
      </c>
      <c r="Y170" s="944" t="s">
        <v>202</v>
      </c>
      <c r="Z170" s="944" t="s">
        <v>203</v>
      </c>
      <c r="AA170" s="944" t="s">
        <v>204</v>
      </c>
      <c r="AB170" s="946">
        <f t="shared" si="85"/>
        <v>0.20579999999999998</v>
      </c>
      <c r="AC170" s="947" t="str">
        <f t="shared" si="81"/>
        <v>Baja</v>
      </c>
      <c r="AD170" s="948">
        <f t="shared" si="82"/>
        <v>0.20579999999999998</v>
      </c>
      <c r="AE170" s="947" t="str">
        <f t="shared" si="83"/>
        <v>Mayor</v>
      </c>
      <c r="AF170" s="948">
        <f t="shared" si="86"/>
        <v>0.8</v>
      </c>
      <c r="AG170" s="949" t="str">
        <f t="shared" si="84"/>
        <v>Alto</v>
      </c>
      <c r="AH170" s="950" t="s">
        <v>205</v>
      </c>
      <c r="AI170" s="889" t="s">
        <v>863</v>
      </c>
      <c r="AJ170" s="892" t="s">
        <v>378</v>
      </c>
      <c r="AK170" s="893" t="s">
        <v>851</v>
      </c>
      <c r="AL170" s="890" t="s">
        <v>852</v>
      </c>
      <c r="AM170" s="892" t="s">
        <v>1388</v>
      </c>
      <c r="AN170" s="894"/>
    </row>
    <row r="172" spans="2:40" x14ac:dyDescent="0.3">
      <c r="B172" s="2343" t="s">
        <v>156</v>
      </c>
      <c r="C172" s="2344"/>
      <c r="D172" s="2344"/>
      <c r="E172" s="2344"/>
      <c r="F172" s="2344"/>
      <c r="G172" s="2344"/>
      <c r="H172" s="2344"/>
      <c r="I172" s="2344"/>
      <c r="J172" s="2344"/>
      <c r="K172" s="2344"/>
      <c r="L172" s="2344"/>
      <c r="M172" s="2344"/>
      <c r="N172" s="2344"/>
      <c r="O172" s="2344"/>
      <c r="P172" s="2344"/>
      <c r="Q172" s="2344"/>
      <c r="R172" s="2344"/>
      <c r="S172" s="2344"/>
      <c r="T172" s="2344"/>
      <c r="U172" s="2344"/>
      <c r="V172" s="2344"/>
      <c r="W172" s="2344"/>
      <c r="X172" s="2344"/>
      <c r="Y172" s="2344"/>
      <c r="Z172" s="2344"/>
      <c r="AA172" s="2344"/>
      <c r="AB172" s="2344"/>
      <c r="AC172" s="2344"/>
      <c r="AD172" s="2344"/>
      <c r="AE172" s="2344"/>
      <c r="AF172" s="2344"/>
      <c r="AG172" s="2344"/>
      <c r="AH172" s="2344"/>
      <c r="AI172" s="2344"/>
      <c r="AJ172" s="2344"/>
      <c r="AK172" s="2344"/>
      <c r="AL172" s="2344"/>
      <c r="AM172" s="2344"/>
      <c r="AN172" s="2345"/>
    </row>
    <row r="173" spans="2:40" x14ac:dyDescent="0.3">
      <c r="B173" s="2346"/>
      <c r="C173" s="2347"/>
      <c r="D173" s="2347"/>
      <c r="E173" s="2347"/>
      <c r="F173" s="2347"/>
      <c r="G173" s="2347"/>
      <c r="H173" s="2347"/>
      <c r="I173" s="2347"/>
      <c r="J173" s="2347"/>
      <c r="K173" s="2347"/>
      <c r="L173" s="2347"/>
      <c r="M173" s="2347"/>
      <c r="N173" s="2347"/>
      <c r="O173" s="2347"/>
      <c r="P173" s="2347"/>
      <c r="Q173" s="2347"/>
      <c r="R173" s="2347"/>
      <c r="S173" s="2347"/>
      <c r="T173" s="2347"/>
      <c r="U173" s="2347"/>
      <c r="V173" s="2347"/>
      <c r="W173" s="2347"/>
      <c r="X173" s="2347"/>
      <c r="Y173" s="2347"/>
      <c r="Z173" s="2347"/>
      <c r="AA173" s="2347"/>
      <c r="AB173" s="2347"/>
      <c r="AC173" s="2347"/>
      <c r="AD173" s="2347"/>
      <c r="AE173" s="2347"/>
      <c r="AF173" s="2347"/>
      <c r="AG173" s="2347"/>
      <c r="AH173" s="2347"/>
      <c r="AI173" s="2347"/>
      <c r="AJ173" s="2347"/>
      <c r="AK173" s="2347"/>
      <c r="AL173" s="2347"/>
      <c r="AM173" s="2347"/>
      <c r="AN173" s="2348"/>
    </row>
    <row r="174" spans="2:40" ht="14.4" x14ac:dyDescent="0.3">
      <c r="B174" s="703"/>
      <c r="C174" s="704"/>
      <c r="D174" s="703"/>
      <c r="E174" s="703"/>
      <c r="F174" s="703"/>
      <c r="G174" s="700"/>
      <c r="H174" s="700"/>
      <c r="I174" s="700"/>
      <c r="J174" s="705"/>
      <c r="K174" s="700"/>
      <c r="L174" s="700"/>
      <c r="M174" s="700"/>
      <c r="N174" s="700"/>
      <c r="O174" s="700"/>
      <c r="P174" s="700"/>
      <c r="Q174" s="700"/>
      <c r="R174" s="700"/>
      <c r="S174" s="700"/>
      <c r="T174" s="700"/>
      <c r="U174" s="700"/>
      <c r="V174" s="700"/>
      <c r="W174" s="700"/>
      <c r="X174" s="700"/>
      <c r="Y174" s="700"/>
      <c r="Z174" s="700"/>
      <c r="AA174" s="700"/>
      <c r="AB174" s="700"/>
      <c r="AC174" s="700"/>
      <c r="AD174" s="700"/>
      <c r="AE174" s="700"/>
      <c r="AF174" s="700"/>
      <c r="AG174" s="700"/>
      <c r="AH174" s="700"/>
      <c r="AI174" s="700"/>
      <c r="AJ174" s="700"/>
      <c r="AK174" s="700"/>
      <c r="AL174" s="700"/>
      <c r="AM174" s="700"/>
      <c r="AN174" s="700"/>
    </row>
    <row r="175" spans="2:40" ht="23.4" x14ac:dyDescent="0.3">
      <c r="B175" s="2349" t="s">
        <v>157</v>
      </c>
      <c r="C175" s="2350"/>
      <c r="D175" s="2039" t="s">
        <v>286</v>
      </c>
      <c r="E175" s="2039"/>
      <c r="F175" s="2039"/>
      <c r="G175" s="2039"/>
      <c r="H175" s="2039"/>
      <c r="I175" s="2039"/>
      <c r="J175" s="2039"/>
      <c r="K175" s="2039"/>
      <c r="L175" s="2039"/>
      <c r="M175" s="2039"/>
      <c r="N175" s="2039"/>
      <c r="O175" s="2039"/>
      <c r="P175" s="2039"/>
      <c r="Q175" s="2039"/>
      <c r="R175" s="2039"/>
      <c r="S175" s="2039"/>
      <c r="T175" s="2039"/>
      <c r="U175" s="2039"/>
      <c r="V175" s="2039"/>
      <c r="W175" s="2039"/>
      <c r="X175" s="2039"/>
      <c r="Y175" s="2039"/>
      <c r="Z175" s="2039"/>
      <c r="AA175" s="2039"/>
      <c r="AB175" s="2039"/>
      <c r="AC175" s="2039"/>
      <c r="AD175" s="2039"/>
      <c r="AE175" s="2039"/>
      <c r="AF175" s="2039"/>
      <c r="AG175" s="2039"/>
      <c r="AH175" s="2039"/>
      <c r="AI175" s="2039"/>
      <c r="AJ175" s="2039"/>
      <c r="AK175" s="2039"/>
      <c r="AL175" s="2039"/>
      <c r="AM175" s="2039"/>
      <c r="AN175" s="2039"/>
    </row>
    <row r="176" spans="2:40" ht="23.4" x14ac:dyDescent="0.3">
      <c r="B176" s="2349" t="s">
        <v>158</v>
      </c>
      <c r="C176" s="2350"/>
      <c r="D176" s="2039" t="s">
        <v>287</v>
      </c>
      <c r="E176" s="2039"/>
      <c r="F176" s="2039"/>
      <c r="G176" s="2039"/>
      <c r="H176" s="2039"/>
      <c r="I176" s="2039"/>
      <c r="J176" s="2039"/>
      <c r="K176" s="2039"/>
      <c r="L176" s="2039"/>
      <c r="M176" s="2039"/>
      <c r="N176" s="2039"/>
      <c r="O176" s="2039"/>
      <c r="P176" s="2039"/>
      <c r="Q176" s="2039"/>
      <c r="R176" s="2039"/>
      <c r="S176" s="2039"/>
      <c r="T176" s="2039"/>
      <c r="U176" s="2039"/>
      <c r="V176" s="2039"/>
      <c r="W176" s="2039"/>
      <c r="X176" s="2039"/>
      <c r="Y176" s="2039"/>
      <c r="Z176" s="2039"/>
      <c r="AA176" s="2039"/>
      <c r="AB176" s="2039"/>
      <c r="AC176" s="2039"/>
      <c r="AD176" s="2039"/>
      <c r="AE176" s="2039"/>
      <c r="AF176" s="2039"/>
      <c r="AG176" s="2039"/>
      <c r="AH176" s="2039"/>
      <c r="AI176" s="2039"/>
      <c r="AJ176" s="2039"/>
      <c r="AK176" s="2039"/>
      <c r="AL176" s="2039"/>
      <c r="AM176" s="2039"/>
      <c r="AN176" s="2039"/>
    </row>
    <row r="177" spans="2:40" ht="23.4" x14ac:dyDescent="0.3">
      <c r="B177" s="2349" t="s">
        <v>159</v>
      </c>
      <c r="C177" s="2350"/>
      <c r="D177" s="2040" t="s">
        <v>288</v>
      </c>
      <c r="E177" s="2040"/>
      <c r="F177" s="2040"/>
      <c r="G177" s="2040"/>
      <c r="H177" s="2040"/>
      <c r="I177" s="2040"/>
      <c r="J177" s="2040"/>
      <c r="K177" s="2040"/>
      <c r="L177" s="2040"/>
      <c r="M177" s="2040"/>
      <c r="N177" s="2040"/>
      <c r="O177" s="2040"/>
      <c r="P177" s="2040"/>
      <c r="Q177" s="2040"/>
      <c r="R177" s="2040"/>
      <c r="S177" s="2040"/>
      <c r="T177" s="2040"/>
      <c r="U177" s="2040"/>
      <c r="V177" s="2040"/>
      <c r="W177" s="2040"/>
      <c r="X177" s="2040"/>
      <c r="Y177" s="2040"/>
      <c r="Z177" s="2040"/>
      <c r="AA177" s="2040"/>
      <c r="AB177" s="2040"/>
      <c r="AC177" s="2040"/>
      <c r="AD177" s="2040"/>
      <c r="AE177" s="2040"/>
      <c r="AF177" s="2040"/>
      <c r="AG177" s="2040"/>
      <c r="AH177" s="2040"/>
      <c r="AI177" s="2040"/>
      <c r="AJ177" s="2040"/>
      <c r="AK177" s="2040"/>
      <c r="AL177" s="2040"/>
      <c r="AM177" s="2040"/>
      <c r="AN177" s="2040"/>
    </row>
    <row r="178" spans="2:40" x14ac:dyDescent="0.3">
      <c r="B178" s="2351" t="s">
        <v>160</v>
      </c>
      <c r="C178" s="2352"/>
      <c r="D178" s="2353"/>
      <c r="E178" s="2353"/>
      <c r="F178" s="2353"/>
      <c r="G178" s="2353"/>
      <c r="H178" s="2353"/>
      <c r="I178" s="2353"/>
      <c r="J178" s="2353"/>
      <c r="K178" s="2354"/>
      <c r="L178" s="2101" t="s">
        <v>161</v>
      </c>
      <c r="M178" s="2353"/>
      <c r="N178" s="2353"/>
      <c r="O178" s="2353"/>
      <c r="P178" s="2353"/>
      <c r="Q178" s="2353"/>
      <c r="R178" s="2354"/>
      <c r="S178" s="2101" t="s">
        <v>162</v>
      </c>
      <c r="T178" s="2353"/>
      <c r="U178" s="2353"/>
      <c r="V178" s="2353"/>
      <c r="W178" s="2353"/>
      <c r="X178" s="2353"/>
      <c r="Y178" s="2353"/>
      <c r="Z178" s="2353"/>
      <c r="AA178" s="2354"/>
      <c r="AB178" s="2101" t="s">
        <v>163</v>
      </c>
      <c r="AC178" s="2353"/>
      <c r="AD178" s="2353"/>
      <c r="AE178" s="2353"/>
      <c r="AF178" s="2353"/>
      <c r="AG178" s="2353"/>
      <c r="AH178" s="2354"/>
      <c r="AI178" s="2101" t="s">
        <v>164</v>
      </c>
      <c r="AJ178" s="2353"/>
      <c r="AK178" s="2353"/>
      <c r="AL178" s="2353"/>
      <c r="AM178" s="2353"/>
      <c r="AN178" s="2354"/>
    </row>
    <row r="179" spans="2:40" x14ac:dyDescent="0.3">
      <c r="B179" s="2140" t="s">
        <v>165</v>
      </c>
      <c r="C179" s="2142" t="s">
        <v>142</v>
      </c>
      <c r="D179" s="2042" t="s">
        <v>166</v>
      </c>
      <c r="E179" s="2042" t="s">
        <v>167</v>
      </c>
      <c r="F179" s="2041" t="s">
        <v>168</v>
      </c>
      <c r="G179" s="2103" t="s">
        <v>60</v>
      </c>
      <c r="H179" s="280"/>
      <c r="I179" s="280"/>
      <c r="J179" s="2041" t="s">
        <v>169</v>
      </c>
      <c r="K179" s="2042" t="s">
        <v>170</v>
      </c>
      <c r="L179" s="2105" t="s">
        <v>171</v>
      </c>
      <c r="M179" s="2100" t="s">
        <v>172</v>
      </c>
      <c r="N179" s="2041" t="s">
        <v>173</v>
      </c>
      <c r="O179" s="2041" t="s">
        <v>174</v>
      </c>
      <c r="P179" s="2102" t="s">
        <v>175</v>
      </c>
      <c r="Q179" s="2100" t="s">
        <v>172</v>
      </c>
      <c r="R179" s="2042" t="s">
        <v>176</v>
      </c>
      <c r="S179" s="2161" t="s">
        <v>177</v>
      </c>
      <c r="T179" s="2043" t="s">
        <v>178</v>
      </c>
      <c r="U179" s="2041" t="s">
        <v>179</v>
      </c>
      <c r="V179" s="2043" t="s">
        <v>180</v>
      </c>
      <c r="W179" s="2043"/>
      <c r="X179" s="2043"/>
      <c r="Y179" s="2043"/>
      <c r="Z179" s="2043"/>
      <c r="AA179" s="2043"/>
      <c r="AB179" s="2099" t="s">
        <v>181</v>
      </c>
      <c r="AC179" s="2099" t="s">
        <v>182</v>
      </c>
      <c r="AD179" s="2099" t="s">
        <v>172</v>
      </c>
      <c r="AE179" s="2099" t="s">
        <v>183</v>
      </c>
      <c r="AF179" s="2099" t="s">
        <v>172</v>
      </c>
      <c r="AG179" s="2099" t="s">
        <v>184</v>
      </c>
      <c r="AH179" s="2161" t="s">
        <v>185</v>
      </c>
      <c r="AI179" s="2043" t="s">
        <v>164</v>
      </c>
      <c r="AJ179" s="2043" t="s">
        <v>143</v>
      </c>
      <c r="AK179" s="2043" t="s">
        <v>186</v>
      </c>
      <c r="AL179" s="2043" t="s">
        <v>187</v>
      </c>
      <c r="AM179" s="2043" t="s">
        <v>1390</v>
      </c>
      <c r="AN179" s="2043" t="s">
        <v>189</v>
      </c>
    </row>
    <row r="180" spans="2:40" ht="71.400000000000006" x14ac:dyDescent="0.3">
      <c r="B180" s="2141"/>
      <c r="C180" s="2142"/>
      <c r="D180" s="2043"/>
      <c r="E180" s="2043"/>
      <c r="F180" s="2105"/>
      <c r="G180" s="2104"/>
      <c r="H180" s="280" t="s">
        <v>511</v>
      </c>
      <c r="I180" s="280" t="s">
        <v>190</v>
      </c>
      <c r="J180" s="2042"/>
      <c r="K180" s="2043"/>
      <c r="L180" s="2042"/>
      <c r="M180" s="2101"/>
      <c r="N180" s="2042"/>
      <c r="O180" s="2042"/>
      <c r="P180" s="2101"/>
      <c r="Q180" s="2101"/>
      <c r="R180" s="2043"/>
      <c r="S180" s="2162"/>
      <c r="T180" s="2043"/>
      <c r="U180" s="2042"/>
      <c r="V180" s="281" t="s">
        <v>191</v>
      </c>
      <c r="W180" s="281" t="s">
        <v>192</v>
      </c>
      <c r="X180" s="281" t="s">
        <v>193</v>
      </c>
      <c r="Y180" s="281" t="s">
        <v>194</v>
      </c>
      <c r="Z180" s="281" t="s">
        <v>195</v>
      </c>
      <c r="AA180" s="281" t="s">
        <v>196</v>
      </c>
      <c r="AB180" s="2099"/>
      <c r="AC180" s="2099"/>
      <c r="AD180" s="2099"/>
      <c r="AE180" s="2099"/>
      <c r="AF180" s="2099"/>
      <c r="AG180" s="2099"/>
      <c r="AH180" s="2162"/>
      <c r="AI180" s="2043"/>
      <c r="AJ180" s="2043"/>
      <c r="AK180" s="2043"/>
      <c r="AL180" s="2043"/>
      <c r="AM180" s="2043"/>
      <c r="AN180" s="2043"/>
    </row>
    <row r="181" spans="2:40" ht="243" customHeight="1" x14ac:dyDescent="0.3">
      <c r="B181" s="2112">
        <v>1</v>
      </c>
      <c r="C181" s="2237" t="s">
        <v>209</v>
      </c>
      <c r="D181" s="2237" t="s">
        <v>289</v>
      </c>
      <c r="E181" s="2966" t="s">
        <v>290</v>
      </c>
      <c r="F181" s="941" t="s">
        <v>910</v>
      </c>
      <c r="G181" s="2356" t="s">
        <v>911</v>
      </c>
      <c r="H181" s="2356" t="s">
        <v>512</v>
      </c>
      <c r="I181" s="2356" t="s">
        <v>291</v>
      </c>
      <c r="J181" s="2968" t="s">
        <v>292</v>
      </c>
      <c r="K181" s="2293">
        <v>8760</v>
      </c>
      <c r="L181" s="2295" t="str">
        <f>IF(K181&lt;=0,"",IF(K181&lt;=2,"Muy Baja",IF(K181&lt;=24,"Baja",IF(K181&lt;=500,"Media",IF(K181&lt;=5000,"Alta","Muy Alta")))))</f>
        <v>Muy Alta</v>
      </c>
      <c r="M181" s="2297">
        <f>IF(L181="","",IF(L181="Muy Baja",0.2,IF(L181="Baja",0.4,IF(L181="Media",0.6,IF(L181="Alta",0.8,IF(L181="Muy Alta",1,))))))</f>
        <v>1</v>
      </c>
      <c r="N181" s="2299" t="s">
        <v>225</v>
      </c>
      <c r="O181" s="2297" t="str">
        <f>IF(NOT(ISERROR(MATCH(N181,'[44]Tabla Impacto'!$B$221:$B$223,0))),'[44]Tabla Impacto'!$F$223&amp;"Por favor no seleccionar los criterios de impacto(Afectación Económica o presupuestal y Pérdida Reputacional)",N181)</f>
        <v xml:space="preserve">     El riesgo afecta la imagen de la entidad con algunos usuarios de relevancia frente al logro de los objetivos</v>
      </c>
      <c r="P181" s="2295" t="str">
        <f>IF(OR(O181='[44]Tabla Impacto'!$C$11,O181='[44]Tabla Impacto'!$D$11),"Leve",IF(OR(O181='[44]Tabla Impacto'!$C$12,O181='[44]Tabla Impacto'!$D$12),"Menor",IF(OR(O181='[44]Tabla Impacto'!$C$13,O181='[44]Tabla Impacto'!$D$13),"Moderado",IF(OR(O181='[44]Tabla Impacto'!$C$14,O181='[44]Tabla Impacto'!$D$14),"Mayor",IF(OR(O181='[44]Tabla Impacto'!$C$15,O181='[44]Tabla Impacto'!$D$15),"Catastrófico","")))))</f>
        <v>Moderado</v>
      </c>
      <c r="Q181" s="2297">
        <f>IF(P181="","",IF(P181="Leve",0.2,IF(P181="Menor",0.4,IF(P181="Moderado",0.6,IF(P181="Mayor",0.8,IF(P181="Catastrófico",1,))))))</f>
        <v>0.6</v>
      </c>
      <c r="R181" s="2267" t="str">
        <f>IF(OR(AND(L181="Muy Baja",P181="Leve"),AND(L181="Muy Baja",P181="Menor"),AND(L181="Baja",P181="Leve")),"Bajo",IF(OR(AND(L181="Muy baja",P181="Moderado"),AND(L181="Baja",P181="Menor"),AND(L181="Baja",P181="Moderado"),AND(L181="Media",P181="Leve"),AND(L181="Media",P181="Menor"),AND(L181="Media",P181="Moderado"),AND(L181="Alta",P181="Leve"),AND(L181="Alta",P181="Menor")),"Moderado",IF(OR(AND(L181="Muy Baja",P181="Mayor"),AND(L181="Baja",P181="Mayor"),AND(L181="Media",P181="Mayor"),AND(L181="Alta",P181="Moderado"),AND(L181="Alta",P181="Mayor"),AND(L181="Muy Alta",P181="Leve"),AND(L181="Muy Alta",P181="Menor"),AND(L181="Muy Alta",P181="Moderado"),AND(L181="Muy Alta",P181="Mayor")),"Alto",IF(OR(AND(L181="Muy Baja",P181="Catastrófico"),AND(L181="Baja",P181="Catastrófico"),AND(L181="Media",P181="Catastrófico"),AND(L181="Alta",P181="Catastrófico"),AND(L181="Muy Alta",P181="Catastrófico")),"Extremo",""))))</f>
        <v>Alto</v>
      </c>
      <c r="S181" s="716">
        <v>1</v>
      </c>
      <c r="T181" s="300" t="s">
        <v>912</v>
      </c>
      <c r="U181" s="718" t="str">
        <f t="shared" ref="U181:U183" si="87">IF(OR(V181="Preventivo",V181="Detectivo"),"Probabilidad",IF(V181="Correctivo","Impacto",""))</f>
        <v>Probabilidad</v>
      </c>
      <c r="V181" s="719" t="s">
        <v>207</v>
      </c>
      <c r="W181" s="719" t="s">
        <v>201</v>
      </c>
      <c r="X181" s="720" t="str">
        <f>IF(AND(V181="Preventivo",W181="Automático"),"50%",IF(AND(V181="Preventivo",W181="Manual"),"40%",IF(AND(V181="Detectivo",W181="Automático"),"40%",IF(AND(V181="Detectivo",W181="Manual"),"30%",IF(AND(V181="Correctivo",W181="Automático"),"35%",IF(AND(V181="Correctivo",W181="Manual"),"25%",""))))))</f>
        <v>40%</v>
      </c>
      <c r="Y181" s="719" t="s">
        <v>208</v>
      </c>
      <c r="Z181" s="719" t="s">
        <v>210</v>
      </c>
      <c r="AA181" s="719" t="s">
        <v>204</v>
      </c>
      <c r="AB181" s="721">
        <f>IFERROR(IF(U181="Probabilidad",(M181-(+M181*X181)),IF(U181="Impacto",M181,"")),"")</f>
        <v>0.6</v>
      </c>
      <c r="AC181" s="722" t="str">
        <f>IFERROR(IF(AB181="","",IF(AB181&lt;=0.2,"Muy Baja",IF(AB181&lt;=0.4,"Baja",IF(AB181&lt;=0.6,"Media",IF(AB181&lt;=0.8,"Alta","Muy Alta"))))),"")</f>
        <v>Media</v>
      </c>
      <c r="AD181" s="723">
        <f>+AB181</f>
        <v>0.6</v>
      </c>
      <c r="AE181" s="722" t="str">
        <f>IFERROR(IF(AF181="","",IF(AF181&lt;=0.2,"Leve",IF(AF181&lt;=0.4,"Menor",IF(AF181&lt;=0.6,"Moderado",IF(AF181&lt;=0.8,"Mayor","Catastrófico"))))),"")</f>
        <v>Moderado</v>
      </c>
      <c r="AF181" s="723">
        <f>IFERROR(IF(U181="Impacto",(Q181-(+Q181*X181)),IF(U181="Probabilidad",Q181,"")),"")</f>
        <v>0.6</v>
      </c>
      <c r="AG181" s="724" t="str">
        <f>IFERROR(IF(OR(AND(AC181="Muy Baja",AE181="Leve"),AND(AC181="Muy Baja",AE181="Menor"),AND(AC181="Baja",AE181="Leve")),"Bajo",IF(OR(AND(AC181="Muy baja",AE181="Moderado"),AND(AC181="Baja",AE181="Menor"),AND(AC181="Baja",AE181="Moderado"),AND(AC181="Media",AE181="Leve"),AND(AC181="Media",AE181="Menor"),AND(AC181="Media",AE181="Moderado"),AND(AC181="Alta",AE181="Leve"),AND(AC181="Alta",AE181="Menor")),"Moderado",IF(OR(AND(AC181="Muy Baja",AE181="Mayor"),AND(AC181="Baja",AE181="Mayor"),AND(AC181="Media",AE181="Mayor"),AND(AC181="Alta",AE181="Moderado"),AND(AC181="Alta",AE181="Mayor"),AND(AC181="Muy Alta",AE181="Leve"),AND(AC181="Muy Alta",AE181="Menor"),AND(AC181="Muy Alta",AE181="Moderado"),AND(AC181="Muy Alta",AE181="Mayor")),"Alto",IF(OR(AND(AC181="Muy Baja",AE181="Catastrófico"),AND(AC181="Baja",AE181="Catastrófico"),AND(AC181="Media",AE181="Catastrófico"),AND(AC181="Alta",AE181="Catastrófico"),AND(AC181="Muy Alta",AE181="Catastrófico")),"Extremo","")))),"")</f>
        <v>Moderado</v>
      </c>
      <c r="AH181" s="295" t="s">
        <v>205</v>
      </c>
      <c r="AI181" s="761" t="s">
        <v>1213</v>
      </c>
      <c r="AJ181" s="761" t="s">
        <v>293</v>
      </c>
      <c r="AK181" s="804" t="s">
        <v>913</v>
      </c>
      <c r="AL181" s="301">
        <v>45534</v>
      </c>
      <c r="AM181" s="761" t="s">
        <v>1391</v>
      </c>
      <c r="AN181" s="730" t="s">
        <v>206</v>
      </c>
    </row>
    <row r="182" spans="2:40" ht="152.4" customHeight="1" x14ac:dyDescent="0.3">
      <c r="B182" s="2113"/>
      <c r="C182" s="2238"/>
      <c r="D182" s="2238"/>
      <c r="E182" s="2967"/>
      <c r="F182" s="941" t="s">
        <v>915</v>
      </c>
      <c r="G182" s="2357"/>
      <c r="H182" s="2357"/>
      <c r="I182" s="2357"/>
      <c r="J182" s="2969"/>
      <c r="K182" s="2294"/>
      <c r="L182" s="2296"/>
      <c r="M182" s="2298"/>
      <c r="N182" s="2300"/>
      <c r="O182" s="2298">
        <f>IF(NOT(ISERROR(MATCH(N182,_xlfn.ANCHORARRAY(#REF!),0))),M186&amp;"Por favor no seleccionar los criterios de impacto",N182)</f>
        <v>0</v>
      </c>
      <c r="P182" s="2296"/>
      <c r="Q182" s="2298"/>
      <c r="R182" s="2268"/>
      <c r="S182" s="716">
        <v>2</v>
      </c>
      <c r="T182" s="300" t="s">
        <v>916</v>
      </c>
      <c r="U182" s="718" t="str">
        <f t="shared" si="87"/>
        <v>Probabilidad</v>
      </c>
      <c r="V182" s="719" t="s">
        <v>207</v>
      </c>
      <c r="W182" s="719" t="s">
        <v>201</v>
      </c>
      <c r="X182" s="720" t="str">
        <f t="shared" ref="X182:X184" si="88">IF(AND(V182="Preventivo",W182="Automático"),"50%",IF(AND(V182="Preventivo",W182="Manual"),"40%",IF(AND(V182="Detectivo",W182="Automático"),"40%",IF(AND(V182="Detectivo",W182="Manual"),"30%",IF(AND(V182="Correctivo",W182="Automático"),"35%",IF(AND(V182="Correctivo",W182="Manual"),"25%",""))))))</f>
        <v>40%</v>
      </c>
      <c r="Y182" s="719" t="s">
        <v>208</v>
      </c>
      <c r="Z182" s="719" t="s">
        <v>210</v>
      </c>
      <c r="AA182" s="719" t="s">
        <v>204</v>
      </c>
      <c r="AB182" s="721">
        <f>IFERROR(IF(AND(U181="Probabilidad",U182="Probabilidad"),(AD181-(+AD181*X182)),IF(AND(U181="Impacto",U182="Probabilidad"),(AD180-(+AD180*X182)),IF(U182="Impacto",AD181,""))),"")</f>
        <v>0.36</v>
      </c>
      <c r="AC182" s="722" t="str">
        <f t="shared" ref="AC182:AC184" si="89">IFERROR(IF(AB182="","",IF(AB182&lt;=0.2,"Muy Baja",IF(AB182&lt;=0.4,"Baja",IF(AB182&lt;=0.6,"Media",IF(AB182&lt;=0.8,"Alta","Muy Alta"))))),"")</f>
        <v>Baja</v>
      </c>
      <c r="AD182" s="723">
        <f t="shared" ref="AD182:AD184" si="90">+AB182</f>
        <v>0.36</v>
      </c>
      <c r="AE182" s="722" t="str">
        <f t="shared" ref="AE182:AE184" si="91">IFERROR(IF(AF182="","",IF(AF182&lt;=0.2,"Leve",IF(AF182&lt;=0.4,"Menor",IF(AF182&lt;=0.6,"Moderado",IF(AF182&lt;=0.8,"Mayor","Catastrófico"))))),"")</f>
        <v>Moderado</v>
      </c>
      <c r="AF182" s="723">
        <f>IFERROR(IF(AND(U181="Impacto",U182="Impacto"),(AF181-(+AF181*X182)),IF(AND(U181="Probabilidad",U182="Impacto"),(AF180-(+AF180*X182)),IF(U182="Probabilidad",AF181,""))),"")</f>
        <v>0.6</v>
      </c>
      <c r="AG182" s="724" t="str">
        <f t="shared" ref="AG182:AG184" si="92">IFERROR(IF(OR(AND(AC182="Muy Baja",AE182="Leve"),AND(AC182="Muy Baja",AE182="Menor"),AND(AC182="Baja",AE182="Leve")),"Bajo",IF(OR(AND(AC182="Muy baja",AE182="Moderado"),AND(AC182="Baja",AE182="Menor"),AND(AC182="Baja",AE182="Moderado"),AND(AC182="Media",AE182="Leve"),AND(AC182="Media",AE182="Menor"),AND(AC182="Media",AE182="Moderado"),AND(AC182="Alta",AE182="Leve"),AND(AC182="Alta",AE182="Menor")),"Moderado",IF(OR(AND(AC182="Muy Baja",AE182="Mayor"),AND(AC182="Baja",AE182="Mayor"),AND(AC182="Media",AE182="Mayor"),AND(AC182="Alta",AE182="Moderado"),AND(AC182="Alta",AE182="Mayor"),AND(AC182="Muy Alta",AE182="Leve"),AND(AC182="Muy Alta",AE182="Menor"),AND(AC182="Muy Alta",AE182="Moderado"),AND(AC182="Muy Alta",AE182="Mayor")),"Alto",IF(OR(AND(AC182="Muy Baja",AE182="Catastrófico"),AND(AC182="Baja",AE182="Catastrófico"),AND(AC182="Media",AE182="Catastrófico"),AND(AC182="Alta",AE182="Catastrófico"),AND(AC182="Muy Alta",AE182="Catastrófico")),"Extremo","")))),"")</f>
        <v>Moderado</v>
      </c>
      <c r="AH182" s="295" t="s">
        <v>205</v>
      </c>
      <c r="AI182" s="300" t="s">
        <v>294</v>
      </c>
      <c r="AJ182" s="730" t="s">
        <v>293</v>
      </c>
      <c r="AK182" s="779" t="s">
        <v>917</v>
      </c>
      <c r="AL182" s="301">
        <v>45534</v>
      </c>
      <c r="AM182" s="300" t="s">
        <v>1211</v>
      </c>
      <c r="AN182" s="730" t="s">
        <v>206</v>
      </c>
    </row>
    <row r="183" spans="2:40" ht="159.6" customHeight="1" x14ac:dyDescent="0.3">
      <c r="B183" s="2113"/>
      <c r="C183" s="2238"/>
      <c r="D183" s="2238"/>
      <c r="E183" s="2967"/>
      <c r="F183" s="1036" t="s">
        <v>919</v>
      </c>
      <c r="G183" s="2357"/>
      <c r="H183" s="2357"/>
      <c r="I183" s="2357"/>
      <c r="J183" s="2969"/>
      <c r="K183" s="2294"/>
      <c r="L183" s="2296"/>
      <c r="M183" s="2298"/>
      <c r="N183" s="2300"/>
      <c r="O183" s="2298">
        <f>IF(NOT(ISERROR(MATCH(N183,_xlfn.ANCHORARRAY(G185),0))),M187&amp;"Por favor no seleccionar los criterios de impacto",N183)</f>
        <v>0</v>
      </c>
      <c r="P183" s="2296"/>
      <c r="Q183" s="2298"/>
      <c r="R183" s="2268"/>
      <c r="S183" s="716">
        <v>3</v>
      </c>
      <c r="T183" s="812" t="s">
        <v>296</v>
      </c>
      <c r="U183" s="718" t="str">
        <f t="shared" si="87"/>
        <v>Probabilidad</v>
      </c>
      <c r="V183" s="719" t="s">
        <v>207</v>
      </c>
      <c r="W183" s="719" t="s">
        <v>201</v>
      </c>
      <c r="X183" s="720" t="str">
        <f t="shared" si="88"/>
        <v>40%</v>
      </c>
      <c r="Y183" s="719" t="s">
        <v>208</v>
      </c>
      <c r="Z183" s="719" t="s">
        <v>210</v>
      </c>
      <c r="AA183" s="719" t="s">
        <v>204</v>
      </c>
      <c r="AB183" s="721">
        <f t="shared" ref="AB183:AB184" si="93">IFERROR(IF(AND(U182="Probabilidad",U183="Probabilidad"),(AD182-(+AD182*X183)),IF(AND(U182="Impacto",U183="Probabilidad"),(AD181-(+AD181*X183)),IF(U183="Impacto",AD182,""))),"")</f>
        <v>0.216</v>
      </c>
      <c r="AC183" s="722" t="str">
        <f t="shared" si="89"/>
        <v>Baja</v>
      </c>
      <c r="AD183" s="723">
        <f t="shared" si="90"/>
        <v>0.216</v>
      </c>
      <c r="AE183" s="722" t="str">
        <f t="shared" si="91"/>
        <v>Moderado</v>
      </c>
      <c r="AF183" s="723">
        <f t="shared" ref="AF183:AF184" si="94">IFERROR(IF(AND(U182="Impacto",U183="Impacto"),(AF182-(+AF182*X183)),IF(AND(U182="Probabilidad",U183="Impacto"),(AF181-(+AF181*X183)),IF(U183="Probabilidad",AF182,""))),"")</f>
        <v>0.6</v>
      </c>
      <c r="AG183" s="724" t="str">
        <f t="shared" si="92"/>
        <v>Moderado</v>
      </c>
      <c r="AH183" s="295" t="s">
        <v>205</v>
      </c>
      <c r="AI183" s="300" t="s">
        <v>1214</v>
      </c>
      <c r="AJ183" s="300" t="s">
        <v>297</v>
      </c>
      <c r="AK183" s="779" t="s">
        <v>920</v>
      </c>
      <c r="AL183" s="301">
        <v>45534</v>
      </c>
      <c r="AM183" s="300" t="s">
        <v>921</v>
      </c>
      <c r="AN183" s="730" t="s">
        <v>206</v>
      </c>
    </row>
    <row r="184" spans="2:40" ht="154.80000000000001" customHeight="1" x14ac:dyDescent="0.3">
      <c r="B184" s="2113"/>
      <c r="C184" s="2238"/>
      <c r="D184" s="2238"/>
      <c r="E184" s="2967"/>
      <c r="F184" s="1036" t="s">
        <v>922</v>
      </c>
      <c r="G184" s="910"/>
      <c r="H184" s="2357"/>
      <c r="I184" s="2962"/>
      <c r="J184" s="911"/>
      <c r="K184" s="2971"/>
      <c r="L184" s="3176"/>
      <c r="M184" s="2972"/>
      <c r="N184" s="2973"/>
      <c r="O184" s="908"/>
      <c r="P184" s="3176"/>
      <c r="Q184" s="908"/>
      <c r="R184" s="2269"/>
      <c r="S184" s="716">
        <v>4</v>
      </c>
      <c r="T184" s="812" t="s">
        <v>923</v>
      </c>
      <c r="U184" s="718" t="s">
        <v>141</v>
      </c>
      <c r="V184" s="719" t="s">
        <v>207</v>
      </c>
      <c r="W184" s="719" t="s">
        <v>201</v>
      </c>
      <c r="X184" s="720" t="str">
        <f t="shared" si="88"/>
        <v>40%</v>
      </c>
      <c r="Y184" s="719" t="s">
        <v>202</v>
      </c>
      <c r="Z184" s="719" t="s">
        <v>210</v>
      </c>
      <c r="AA184" s="719" t="s">
        <v>298</v>
      </c>
      <c r="AB184" s="721">
        <f t="shared" si="93"/>
        <v>0.12959999999999999</v>
      </c>
      <c r="AC184" s="722" t="str">
        <f t="shared" si="89"/>
        <v>Muy Baja</v>
      </c>
      <c r="AD184" s="723">
        <f t="shared" si="90"/>
        <v>0.12959999999999999</v>
      </c>
      <c r="AE184" s="722" t="str">
        <f t="shared" si="91"/>
        <v>Moderado</v>
      </c>
      <c r="AF184" s="723">
        <f t="shared" si="94"/>
        <v>0.6</v>
      </c>
      <c r="AG184" s="724" t="str">
        <f t="shared" si="92"/>
        <v>Moderado</v>
      </c>
      <c r="AH184" s="295" t="s">
        <v>205</v>
      </c>
      <c r="AI184" s="300" t="s">
        <v>1215</v>
      </c>
      <c r="AJ184" s="300" t="s">
        <v>297</v>
      </c>
      <c r="AK184" s="779" t="s">
        <v>924</v>
      </c>
      <c r="AL184" s="301">
        <v>45473</v>
      </c>
      <c r="AM184" s="300" t="s">
        <v>1212</v>
      </c>
      <c r="AN184" s="730" t="s">
        <v>206</v>
      </c>
    </row>
    <row r="186" spans="2:40" x14ac:dyDescent="0.3">
      <c r="B186" s="2337" t="s">
        <v>926</v>
      </c>
      <c r="C186" s="3185"/>
      <c r="D186" s="3185"/>
      <c r="E186" s="3185"/>
      <c r="F186" s="3185"/>
      <c r="G186" s="3185"/>
      <c r="H186" s="3185"/>
      <c r="I186" s="3185"/>
      <c r="J186" s="3185"/>
      <c r="K186" s="3185"/>
      <c r="L186" s="3185"/>
      <c r="M186" s="3185"/>
      <c r="N186" s="3185"/>
      <c r="O186" s="3185"/>
      <c r="P186" s="3185"/>
      <c r="Q186" s="3185"/>
      <c r="R186" s="3185"/>
      <c r="S186" s="3185"/>
      <c r="T186" s="3185"/>
      <c r="U186" s="3185"/>
      <c r="V186" s="3185"/>
      <c r="W186" s="3185"/>
      <c r="X186" s="3185"/>
      <c r="Y186" s="3185"/>
      <c r="Z186" s="3185"/>
      <c r="AA186" s="3185"/>
      <c r="AB186" s="3185"/>
      <c r="AC186" s="3185"/>
      <c r="AD186" s="3185"/>
      <c r="AE186" s="3185"/>
      <c r="AF186" s="3185"/>
      <c r="AG186" s="3185"/>
      <c r="AH186" s="3185"/>
      <c r="AI186" s="3185"/>
      <c r="AJ186" s="3185"/>
      <c r="AK186" s="3185"/>
      <c r="AL186" s="3185"/>
      <c r="AM186" s="3185"/>
      <c r="AN186" s="3186"/>
    </row>
    <row r="187" spans="2:40" x14ac:dyDescent="0.3">
      <c r="B187" s="3187"/>
      <c r="C187" s="3188"/>
      <c r="D187" s="3188"/>
      <c r="E187" s="3188"/>
      <c r="F187" s="3188"/>
      <c r="G187" s="3188"/>
      <c r="H187" s="3188"/>
      <c r="I187" s="3188"/>
      <c r="J187" s="3188"/>
      <c r="K187" s="3188"/>
      <c r="L187" s="3188"/>
      <c r="M187" s="3188"/>
      <c r="N187" s="3188"/>
      <c r="O187" s="3188"/>
      <c r="P187" s="3188"/>
      <c r="Q187" s="3188"/>
      <c r="R187" s="3188"/>
      <c r="S187" s="3188"/>
      <c r="T187" s="3188"/>
      <c r="U187" s="3188"/>
      <c r="V187" s="3188"/>
      <c r="W187" s="3188"/>
      <c r="X187" s="3188"/>
      <c r="Y187" s="3188"/>
      <c r="Z187" s="3188"/>
      <c r="AA187" s="3188"/>
      <c r="AB187" s="3188"/>
      <c r="AC187" s="3188"/>
      <c r="AD187" s="3188"/>
      <c r="AE187" s="3188"/>
      <c r="AF187" s="3188"/>
      <c r="AG187" s="3188"/>
      <c r="AH187" s="3188"/>
      <c r="AI187" s="3188"/>
      <c r="AJ187" s="3188"/>
      <c r="AK187" s="3188"/>
      <c r="AL187" s="3188"/>
      <c r="AM187" s="3188"/>
      <c r="AN187" s="3189"/>
    </row>
    <row r="188" spans="2:40" ht="14.4" x14ac:dyDescent="0.3">
      <c r="B188" s="694"/>
      <c r="C188" s="695"/>
      <c r="D188" s="694"/>
      <c r="E188" s="694"/>
      <c r="F188" s="694"/>
      <c r="G188" s="311"/>
      <c r="H188" s="311"/>
      <c r="I188" s="311"/>
      <c r="J188" s="696"/>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c r="AG188" s="311"/>
      <c r="AH188" s="311"/>
      <c r="AI188" s="311"/>
      <c r="AJ188" s="311"/>
      <c r="AK188" s="311"/>
      <c r="AL188" s="311"/>
      <c r="AM188" s="311"/>
      <c r="AN188" s="311"/>
    </row>
    <row r="189" spans="2:40" ht="35.4" customHeight="1" x14ac:dyDescent="0.3">
      <c r="B189" s="2340" t="s">
        <v>157</v>
      </c>
      <c r="C189" s="2324"/>
      <c r="D189" s="2341" t="s">
        <v>927</v>
      </c>
      <c r="E189" s="2324"/>
      <c r="F189" s="2324"/>
      <c r="G189" s="2324"/>
      <c r="H189" s="2324"/>
      <c r="I189" s="2324"/>
      <c r="J189" s="2324"/>
      <c r="K189" s="2324"/>
      <c r="L189" s="2324"/>
      <c r="M189" s="2324"/>
      <c r="N189" s="2324"/>
      <c r="O189" s="2324"/>
      <c r="P189" s="2324"/>
      <c r="Q189" s="2324"/>
      <c r="R189" s="2324"/>
      <c r="S189" s="2324"/>
      <c r="T189" s="2324"/>
      <c r="U189" s="2324"/>
      <c r="V189" s="2324"/>
      <c r="W189" s="2324"/>
      <c r="X189" s="2324"/>
      <c r="Y189" s="2324"/>
      <c r="Z189" s="2324"/>
      <c r="AA189" s="2324"/>
      <c r="AB189" s="2324"/>
      <c r="AC189" s="2324"/>
      <c r="AD189" s="2324"/>
      <c r="AE189" s="2324"/>
      <c r="AF189" s="2324"/>
      <c r="AG189" s="2324"/>
      <c r="AH189" s="2324"/>
      <c r="AI189" s="2324"/>
      <c r="AJ189" s="2324"/>
      <c r="AK189" s="2324"/>
      <c r="AL189" s="2324"/>
      <c r="AM189" s="2324"/>
      <c r="AN189" s="2325"/>
    </row>
    <row r="190" spans="2:40" ht="41.4" customHeight="1" x14ac:dyDescent="0.3">
      <c r="B190" s="2340" t="s">
        <v>158</v>
      </c>
      <c r="C190" s="2324"/>
      <c r="D190" s="2342" t="s">
        <v>928</v>
      </c>
      <c r="E190" s="2324"/>
      <c r="F190" s="2324"/>
      <c r="G190" s="2324"/>
      <c r="H190" s="2324"/>
      <c r="I190" s="2324"/>
      <c r="J190" s="2324"/>
      <c r="K190" s="2324"/>
      <c r="L190" s="2324"/>
      <c r="M190" s="2324"/>
      <c r="N190" s="2324"/>
      <c r="O190" s="2324"/>
      <c r="P190" s="2324"/>
      <c r="Q190" s="2324"/>
      <c r="R190" s="2324"/>
      <c r="S190" s="2324"/>
      <c r="T190" s="2324"/>
      <c r="U190" s="2324"/>
      <c r="V190" s="2324"/>
      <c r="W190" s="2324"/>
      <c r="X190" s="2324"/>
      <c r="Y190" s="2324"/>
      <c r="Z190" s="2324"/>
      <c r="AA190" s="2324"/>
      <c r="AB190" s="2324"/>
      <c r="AC190" s="2324"/>
      <c r="AD190" s="2324"/>
      <c r="AE190" s="2324"/>
      <c r="AF190" s="2324"/>
      <c r="AG190" s="2324"/>
      <c r="AH190" s="2324"/>
      <c r="AI190" s="2324"/>
      <c r="AJ190" s="2324"/>
      <c r="AK190" s="2324"/>
      <c r="AL190" s="2324"/>
      <c r="AM190" s="2324"/>
      <c r="AN190" s="2325"/>
    </row>
    <row r="191" spans="2:40" ht="46.2" customHeight="1" x14ac:dyDescent="0.3">
      <c r="B191" s="2340" t="s">
        <v>159</v>
      </c>
      <c r="C191" s="2324"/>
      <c r="D191" s="2342" t="s">
        <v>316</v>
      </c>
      <c r="E191" s="2324"/>
      <c r="F191" s="2324"/>
      <c r="G191" s="2324"/>
      <c r="H191" s="2324"/>
      <c r="I191" s="2324"/>
      <c r="J191" s="2324"/>
      <c r="K191" s="2324"/>
      <c r="L191" s="2324"/>
      <c r="M191" s="2324"/>
      <c r="N191" s="2324"/>
      <c r="O191" s="2324"/>
      <c r="P191" s="2324"/>
      <c r="Q191" s="2324"/>
      <c r="R191" s="2324"/>
      <c r="S191" s="2324"/>
      <c r="T191" s="2324"/>
      <c r="U191" s="2324"/>
      <c r="V191" s="2324"/>
      <c r="W191" s="2324"/>
      <c r="X191" s="2324"/>
      <c r="Y191" s="2324"/>
      <c r="Z191" s="2324"/>
      <c r="AA191" s="2324"/>
      <c r="AB191" s="2324"/>
      <c r="AC191" s="2324"/>
      <c r="AD191" s="2324"/>
      <c r="AE191" s="2324"/>
      <c r="AF191" s="2324"/>
      <c r="AG191" s="2324"/>
      <c r="AH191" s="2324"/>
      <c r="AI191" s="2324"/>
      <c r="AJ191" s="2324"/>
      <c r="AK191" s="2324"/>
      <c r="AL191" s="2324"/>
      <c r="AM191" s="2324"/>
      <c r="AN191" s="2325"/>
    </row>
    <row r="192" spans="2:40" ht="14.4" x14ac:dyDescent="0.3">
      <c r="B192" s="2323" t="s">
        <v>160</v>
      </c>
      <c r="C192" s="2324"/>
      <c r="D192" s="2324"/>
      <c r="E192" s="2324"/>
      <c r="F192" s="2324"/>
      <c r="G192" s="2324"/>
      <c r="H192" s="2324"/>
      <c r="I192" s="2324"/>
      <c r="J192" s="2324"/>
      <c r="K192" s="2325"/>
      <c r="L192" s="2326" t="s">
        <v>161</v>
      </c>
      <c r="M192" s="2327"/>
      <c r="N192" s="2327"/>
      <c r="O192" s="2327"/>
      <c r="P192" s="2327"/>
      <c r="Q192" s="2327"/>
      <c r="R192" s="2318"/>
      <c r="S192" s="2326" t="s">
        <v>162</v>
      </c>
      <c r="T192" s="2327"/>
      <c r="U192" s="2327"/>
      <c r="V192" s="2327"/>
      <c r="W192" s="2327"/>
      <c r="X192" s="2327"/>
      <c r="Y192" s="2327"/>
      <c r="Z192" s="2327"/>
      <c r="AA192" s="2318"/>
      <c r="AB192" s="2326" t="s">
        <v>163</v>
      </c>
      <c r="AC192" s="2327"/>
      <c r="AD192" s="2327"/>
      <c r="AE192" s="2327"/>
      <c r="AF192" s="2327"/>
      <c r="AG192" s="2327"/>
      <c r="AH192" s="2318"/>
      <c r="AI192" s="2326" t="s">
        <v>164</v>
      </c>
      <c r="AJ192" s="2327"/>
      <c r="AK192" s="2327"/>
      <c r="AL192" s="2327"/>
      <c r="AM192" s="2327"/>
      <c r="AN192" s="2318"/>
    </row>
    <row r="193" spans="2:40" ht="14.4" x14ac:dyDescent="0.3">
      <c r="B193" s="2328" t="s">
        <v>165</v>
      </c>
      <c r="C193" s="2329" t="s">
        <v>142</v>
      </c>
      <c r="D193" s="2330" t="s">
        <v>166</v>
      </c>
      <c r="E193" s="2330" t="s">
        <v>167</v>
      </c>
      <c r="F193" s="2305" t="s">
        <v>168</v>
      </c>
      <c r="G193" s="2331" t="s">
        <v>60</v>
      </c>
      <c r="H193" s="697"/>
      <c r="I193" s="697"/>
      <c r="J193" s="2305" t="s">
        <v>169</v>
      </c>
      <c r="K193" s="2330" t="s">
        <v>170</v>
      </c>
      <c r="L193" s="2330" t="s">
        <v>171</v>
      </c>
      <c r="M193" s="2332" t="s">
        <v>172</v>
      </c>
      <c r="N193" s="2305" t="s">
        <v>173</v>
      </c>
      <c r="O193" s="2305" t="s">
        <v>174</v>
      </c>
      <c r="P193" s="2334" t="s">
        <v>175</v>
      </c>
      <c r="Q193" s="2332" t="s">
        <v>172</v>
      </c>
      <c r="R193" s="2330" t="s">
        <v>176</v>
      </c>
      <c r="S193" s="2335" t="s">
        <v>177</v>
      </c>
      <c r="T193" s="2305" t="s">
        <v>178</v>
      </c>
      <c r="U193" s="2305" t="s">
        <v>179</v>
      </c>
      <c r="V193" s="2336" t="s">
        <v>180</v>
      </c>
      <c r="W193" s="3174"/>
      <c r="X193" s="3174"/>
      <c r="Y193" s="3174"/>
      <c r="Z193" s="3174"/>
      <c r="AA193" s="3175"/>
      <c r="AB193" s="2335" t="s">
        <v>181</v>
      </c>
      <c r="AC193" s="2335" t="s">
        <v>182</v>
      </c>
      <c r="AD193" s="2335" t="s">
        <v>172</v>
      </c>
      <c r="AE193" s="2335" t="s">
        <v>183</v>
      </c>
      <c r="AF193" s="2335" t="s">
        <v>172</v>
      </c>
      <c r="AG193" s="2335" t="s">
        <v>184</v>
      </c>
      <c r="AH193" s="2335" t="s">
        <v>185</v>
      </c>
      <c r="AI193" s="2305" t="s">
        <v>164</v>
      </c>
      <c r="AJ193" s="2305" t="s">
        <v>143</v>
      </c>
      <c r="AK193" s="2305" t="s">
        <v>186</v>
      </c>
      <c r="AL193" s="2305" t="s">
        <v>187</v>
      </c>
      <c r="AM193" s="2305" t="s">
        <v>1392</v>
      </c>
      <c r="AN193" s="2305" t="s">
        <v>189</v>
      </c>
    </row>
    <row r="194" spans="2:40" ht="71.400000000000006" x14ac:dyDescent="0.3">
      <c r="B194" s="3163"/>
      <c r="C194" s="3163"/>
      <c r="D194" s="3163"/>
      <c r="E194" s="3163"/>
      <c r="F194" s="3164"/>
      <c r="G194" s="3164"/>
      <c r="H194" s="697" t="s">
        <v>511</v>
      </c>
      <c r="I194" s="697" t="s">
        <v>190</v>
      </c>
      <c r="J194" s="3163"/>
      <c r="K194" s="3163"/>
      <c r="L194" s="3163"/>
      <c r="M194" s="3173"/>
      <c r="N194" s="3163"/>
      <c r="O194" s="3163"/>
      <c r="P194" s="3173"/>
      <c r="Q194" s="3173"/>
      <c r="R194" s="3163"/>
      <c r="S194" s="3163"/>
      <c r="T194" s="3163"/>
      <c r="U194" s="3163"/>
      <c r="V194" s="698" t="s">
        <v>191</v>
      </c>
      <c r="W194" s="698" t="s">
        <v>192</v>
      </c>
      <c r="X194" s="698" t="s">
        <v>193</v>
      </c>
      <c r="Y194" s="698" t="s">
        <v>194</v>
      </c>
      <c r="Z194" s="698" t="s">
        <v>195</v>
      </c>
      <c r="AA194" s="698" t="s">
        <v>196</v>
      </c>
      <c r="AB194" s="3163"/>
      <c r="AC194" s="3163"/>
      <c r="AD194" s="3163"/>
      <c r="AE194" s="3163"/>
      <c r="AF194" s="3163"/>
      <c r="AG194" s="3163"/>
      <c r="AH194" s="3163"/>
      <c r="AI194" s="3163"/>
      <c r="AJ194" s="3163"/>
      <c r="AK194" s="3163"/>
      <c r="AL194" s="3163"/>
      <c r="AM194" s="3163"/>
      <c r="AN194" s="3163"/>
    </row>
    <row r="195" spans="2:40" ht="164.4" customHeight="1" x14ac:dyDescent="0.3">
      <c r="B195" s="2307">
        <v>1</v>
      </c>
      <c r="C195" s="2309" t="s">
        <v>209</v>
      </c>
      <c r="D195" s="2309" t="s">
        <v>317</v>
      </c>
      <c r="E195" s="2312" t="s">
        <v>318</v>
      </c>
      <c r="F195" s="1095" t="s">
        <v>1402</v>
      </c>
      <c r="G195" s="2309" t="s">
        <v>929</v>
      </c>
      <c r="H195" s="2309" t="s">
        <v>512</v>
      </c>
      <c r="I195" s="2309" t="s">
        <v>930</v>
      </c>
      <c r="J195" s="2974" t="s">
        <v>198</v>
      </c>
      <c r="K195" s="2975">
        <v>360</v>
      </c>
      <c r="L195" s="2976" t="str">
        <f>IF(K195&lt;=0,"",IF(K195&lt;=2,"Muy Baja",IF(K195&lt;=24,"Baja",IF(K195&lt;=500,"Media",IF(K195&lt;=5000,"Alta","Muy Alta")))))</f>
        <v>Media</v>
      </c>
      <c r="M195" s="2977">
        <f>IF(L195="","",IF(L195="Muy Baja",0.2,IF(L195="Baja",0.4,IF(L195="Media",0.6,IF(L195="Alta",0.8,IF(L195="Muy Alta",1,))))))</f>
        <v>0.6</v>
      </c>
      <c r="N195" s="2977" t="s">
        <v>225</v>
      </c>
      <c r="O195" s="2977" t="str">
        <f>IF(NOT(ISERROR(MATCH(N195,'[58]Tabla Impacto'!$B$221:$B$223,0))),'[58]Tabla Impacto'!$F$223&amp;"Por favor no seleccionar los criterios de impacto(Afectación Económica o presupuestal y Pérdida Reputacional)",N195)</f>
        <v xml:space="preserve">     El riesgo afecta la imagen de la entidad con algunos usuarios de relevancia frente al logro de los objetivos</v>
      </c>
      <c r="P195" s="2976" t="str">
        <f>IF(OR(O195='[58]Tabla Impacto'!$C$11,O195='[58]Tabla Impacto'!$D$11),"Leve",IF(OR(O195='[58]Tabla Impacto'!$C$12,O195='[58]Tabla Impacto'!$D$12),"Menor",IF(OR(O195='[58]Tabla Impacto'!$C$13,O195='[58]Tabla Impacto'!$D$13),"Moderado",IF(OR(O195='[58]Tabla Impacto'!$C$14,O195='[58]Tabla Impacto'!$D$14),"Mayor",IF(OR(O195='[58]Tabla Impacto'!$C$15,O195='[58]Tabla Impacto'!$D$15),"Catastrófico","")))))</f>
        <v>Moderado</v>
      </c>
      <c r="Q195" s="2977">
        <f>IF(P195="","",IF(P195="Leve",0.2,IF(P195="Menor",0.4,IF(P195="Moderado",0.6,IF(P195="Mayor",0.8,IF(P195="Catastrófico",1,))))))</f>
        <v>0.6</v>
      </c>
      <c r="R195" s="2978" t="str">
        <f>IF(OR(AND(L195="Muy Baja",P195="Leve"),AND(L195="Muy Baja",P195="Menor"),AND(L195="Baja",P195="Leve")),"Bajo",IF(OR(AND(L195="Muy baja",P195="Moderado"),AND(L195="Baja",P195="Menor"),AND(L195="Baja",P195="Moderado"),AND(L195="Media",P195="Leve"),AND(L195="Media",P195="Menor"),AND(L195="Media",P195="Moderado"),AND(L195="Alta",P195="Leve"),AND(L195="Alta",P195="Menor")),"Moderado",IF(OR(AND(L195="Muy Baja",P195="Mayor"),AND(L195="Baja",P195="Mayor"),AND(L195="Media",P195="Mayor"),AND(L195="Alta",P195="Moderado"),AND(L195="Alta",P195="Mayor"),AND(L195="Muy Alta",P195="Leve"),AND(L195="Muy Alta",P195="Menor"),AND(L195="Muy Alta",P195="Moderado"),AND(L195="Muy Alta",P195="Mayor")),"Alto",IF(OR(AND(L195="Muy Baja",P195="Catastrófico"),AND(L195="Baja",P195="Catastrófico"),AND(L195="Media",P195="Catastrófico"),AND(L195="Alta",P195="Catastrófico"),AND(L195="Muy Alta",P195="Catastrófico")),"Extremo",""))))</f>
        <v>Moderado</v>
      </c>
      <c r="S195" s="894">
        <v>1</v>
      </c>
      <c r="T195" s="892" t="s">
        <v>1393</v>
      </c>
      <c r="U195" s="894" t="str">
        <f>IF(OR(V196="preventivo",V196="detectivo"),"probabilidad",IF(V196="Correctivo","impacto",""))</f>
        <v>probabilidad</v>
      </c>
      <c r="V195" s="944" t="s">
        <v>207</v>
      </c>
      <c r="W195" s="944" t="s">
        <v>201</v>
      </c>
      <c r="X195" s="945" t="str">
        <f t="shared" ref="X195:X200" si="95">IF(AND(V195="Preventivo",W195="Automático"),"50%",IF(AND(V195="Preventivo",W195="Manual"),"40%",IF(AND(V195="Detectivo",W195="Automático"),"40%",IF(AND(V195="Detectivo",W195="Manual"),"30%",IF(AND(V195="Correctivo",W195="Automático"),"35%",IF(AND(V195="Correctivo",W195="Manual"),"25%",""))))))</f>
        <v>40%</v>
      </c>
      <c r="Y195" s="944" t="s">
        <v>208</v>
      </c>
      <c r="Z195" s="944" t="s">
        <v>203</v>
      </c>
      <c r="AA195" s="944" t="s">
        <v>204</v>
      </c>
      <c r="AB195" s="946">
        <f>IFERROR(IF(U195="Probabilidad",(M195-(+M195*X195)),IF(U195="Impacto",M195,"")),"")</f>
        <v>0.36</v>
      </c>
      <c r="AC195" s="947" t="str">
        <f t="shared" ref="AC195:AC200" si="96">IFERROR(IF(AB195="","",IF(AB195&lt;=0.2,"Muy Baja",IF(AB195&lt;=0.4,"Baja",IF(AB195&lt;=0.6,"Media",IF(AB195&lt;=0.8,"Alta","Muy Alta"))))),"")</f>
        <v>Baja</v>
      </c>
      <c r="AD195" s="948">
        <f t="shared" ref="AD195:AD200" si="97">+AB195</f>
        <v>0.36</v>
      </c>
      <c r="AE195" s="947" t="str">
        <f t="shared" ref="AE195:AE200" si="98">IFERROR(IF(AF195="","",IF(AF195&lt;=0.2,"Leve",IF(AF195&lt;=0.4,"Menor",IF(AF195&lt;=0.6,"Moderado",IF(AF195&lt;=0.8,"Mayor","Catastrófico"))))),"")</f>
        <v>Moderado</v>
      </c>
      <c r="AF195" s="948">
        <f>IFERROR(IF(U195="Impacto",(Q195-(+Q195*X195)),IF(U195="Probabilidad",Q195,"")),"")</f>
        <v>0.6</v>
      </c>
      <c r="AG195" s="949" t="str">
        <f t="shared" ref="AG195:AG200" si="99">IFERROR(IF(OR(AND(AC195="Muy Baja",AE195="Leve"),AND(AC195="Muy Baja",AE195="Menor"),AND(AC195="Baja",AE195="Leve")),"Bajo",IF(OR(AND(AC195="Muy baja",AE195="Moderado"),AND(AC195="Baja",AE195="Menor"),AND(AC195="Baja",AE195="Moderado"),AND(AC195="Media",AE195="Leve"),AND(AC195="Media",AE195="Menor"),AND(AC195="Media",AE195="Moderado"),AND(AC195="Alta",AE195="Leve"),AND(AC195="Alta",AE195="Menor")),"Moderado",IF(OR(AND(AC195="Muy Baja",AE195="Mayor"),AND(AC195="Baja",AE195="Mayor"),AND(AC195="Media",AE195="Mayor"),AND(AC195="Alta",AE195="Moderado"),AND(AC195="Alta",AE195="Mayor"),AND(AC195="Muy Alta",AE195="Leve"),AND(AC195="Muy Alta",AE195="Menor"),AND(AC195="Muy Alta",AE195="Moderado"),AND(AC195="Muy Alta",AE195="Mayor")),"Alto",IF(OR(AND(AC195="Muy Baja",AE195="Catastrófico"),AND(AC195="Baja",AE195="Catastrófico"),AND(AC195="Media",AE195="Catastrófico"),AND(AC195="Alta",AE195="Catastrófico"),AND(AC195="Muy Alta",AE195="Catastrófico")),"Extremo","")))),"")</f>
        <v>Moderado</v>
      </c>
      <c r="AH195" s="950" t="s">
        <v>205</v>
      </c>
      <c r="AI195" s="891" t="s">
        <v>1221</v>
      </c>
      <c r="AJ195" s="891" t="s">
        <v>932</v>
      </c>
      <c r="AK195" s="951">
        <v>45293</v>
      </c>
      <c r="AL195" s="951">
        <v>45596</v>
      </c>
      <c r="AM195" s="3035" t="s">
        <v>1411</v>
      </c>
      <c r="AN195" s="1093" t="s">
        <v>206</v>
      </c>
    </row>
    <row r="196" spans="2:40" ht="234.6" customHeight="1" x14ac:dyDescent="0.3">
      <c r="B196" s="3164"/>
      <c r="C196" s="3164"/>
      <c r="D196" s="3164"/>
      <c r="E196" s="3172"/>
      <c r="F196" s="1095" t="s">
        <v>1220</v>
      </c>
      <c r="G196" s="3164"/>
      <c r="H196" s="3164"/>
      <c r="I196" s="3164"/>
      <c r="J196" s="3168"/>
      <c r="K196" s="3164"/>
      <c r="L196" s="3164"/>
      <c r="M196" s="3164"/>
      <c r="N196" s="3164"/>
      <c r="O196" s="3164"/>
      <c r="P196" s="3164"/>
      <c r="Q196" s="3164"/>
      <c r="R196" s="3164"/>
      <c r="S196" s="894">
        <v>2</v>
      </c>
      <c r="T196" s="892" t="s">
        <v>1394</v>
      </c>
      <c r="U196" s="894" t="str">
        <f t="shared" ref="U196:U199" si="100">IF(OR(V196="Preventivo",V196="Detectivo"),"Probabilidad",IF(V196="Correctivo","Impacto",""))</f>
        <v>Probabilidad</v>
      </c>
      <c r="V196" s="944" t="s">
        <v>207</v>
      </c>
      <c r="W196" s="944" t="s">
        <v>201</v>
      </c>
      <c r="X196" s="945" t="str">
        <f t="shared" si="95"/>
        <v>40%</v>
      </c>
      <c r="Y196" s="944" t="s">
        <v>208</v>
      </c>
      <c r="Z196" s="944" t="s">
        <v>203</v>
      </c>
      <c r="AA196" s="944" t="s">
        <v>204</v>
      </c>
      <c r="AB196" s="946">
        <f>IFERROR(IF(AND(U195="Probabilidad",U196="Probabilidad"),(AD195-(+AD195*X196)),IF(AND(U195="Impacto",U196="Probabilidad"),(M195-(+M195*X196)),IF(U196="Impacto",AD195,""))),"")</f>
        <v>0.216</v>
      </c>
      <c r="AC196" s="947" t="str">
        <f t="shared" si="96"/>
        <v>Baja</v>
      </c>
      <c r="AD196" s="948">
        <f t="shared" si="97"/>
        <v>0.216</v>
      </c>
      <c r="AE196" s="947" t="str">
        <f t="shared" si="98"/>
        <v>Moderado</v>
      </c>
      <c r="AF196" s="948">
        <f>IFERROR(IF(AND(U195="Impacto",U196="Impacto"),(AF195-(+AF195*X196)),IF(AND(U195="Probabilidad",U196="Impacto"),(Q195-(+Q195*X196)),IF(U196="Probabilidad",AF195,""))),"")</f>
        <v>0.6</v>
      </c>
      <c r="AG196" s="949" t="str">
        <f t="shared" si="99"/>
        <v>Moderado</v>
      </c>
      <c r="AH196" s="950" t="s">
        <v>205</v>
      </c>
      <c r="AI196" s="892" t="s">
        <v>1408</v>
      </c>
      <c r="AJ196" s="891" t="s">
        <v>932</v>
      </c>
      <c r="AK196" s="951">
        <v>45293</v>
      </c>
      <c r="AL196" s="951">
        <v>45596</v>
      </c>
      <c r="AM196" s="3163"/>
      <c r="AN196" s="894" t="s">
        <v>206</v>
      </c>
    </row>
    <row r="197" spans="2:40" ht="196.2" customHeight="1" x14ac:dyDescent="0.3">
      <c r="B197" s="2307">
        <v>2</v>
      </c>
      <c r="C197" s="2981" t="s">
        <v>395</v>
      </c>
      <c r="D197" s="2981" t="s">
        <v>935</v>
      </c>
      <c r="E197" s="2994" t="s">
        <v>936</v>
      </c>
      <c r="F197" s="892" t="s">
        <v>1403</v>
      </c>
      <c r="G197" s="2981" t="s">
        <v>938</v>
      </c>
      <c r="H197" s="2309" t="s">
        <v>597</v>
      </c>
      <c r="I197" s="2981" t="s">
        <v>1395</v>
      </c>
      <c r="J197" s="2989" t="s">
        <v>198</v>
      </c>
      <c r="K197" s="2307">
        <v>360</v>
      </c>
      <c r="L197" s="3169" t="str">
        <f>IF(K197&lt;=0,"",IF(K197&lt;=2,"Muy Baja",IF(K197&lt;=24,"Baja",IF(K197&lt;=500,"Media",IF(K197&lt;=5000,"Alta","Muy Alta")))))</f>
        <v>Media</v>
      </c>
      <c r="M197" s="3170">
        <f>IF(L197="","",IF(L197="Muy Baja",0.2,IF(L197="Baja",0.4,IF(L197="Media",0.6,IF(L197="Alta",0.8,IF(L197="Muy Alta",1,))))))</f>
        <v>0.6</v>
      </c>
      <c r="N197" s="3170" t="s">
        <v>393</v>
      </c>
      <c r="O197" s="3170" t="str">
        <f>IF(NOT(ISERROR(MATCH(N197,'[58]Tabla Impacto'!$B$221:$B$223,0))),'[58]Tabla Impacto'!$F$223&amp;"Por favor no seleccionar los criterios de impacto(Afectación Económica o presupuestal y Pérdida Reputacional)",N197)</f>
        <v xml:space="preserve">     Entre 200 y 1000 SMLMV</v>
      </c>
      <c r="P197" s="3169" t="str">
        <f>IF(OR(O197='[58]Tabla Impacto'!$C$11,O197='[58]Tabla Impacto'!$D$11),"Leve",IF(OR(O197='[58]Tabla Impacto'!$C$12,O197='[58]Tabla Impacto'!$D$12),"Menor",IF(OR(O197='[58]Tabla Impacto'!$C$13,O197='[58]Tabla Impacto'!$D$13),"Moderado",IF(OR(O197='[58]Tabla Impacto'!$C$14,O197='[58]Tabla Impacto'!$D$14),"Mayor",IF(OR(O197='[58]Tabla Impacto'!$C$15,O197='[58]Tabla Impacto'!$D$15),"Catastrófico","")))))</f>
        <v>Menor</v>
      </c>
      <c r="Q197" s="3170">
        <f>IF(P197="","",IF(P197="Leve",0.2,IF(P197="Menor",0.4,IF(P197="Moderado",0.6,IF(P197="Mayor",0.8,IF(P197="Catastrófico",1,))))))</f>
        <v>0.4</v>
      </c>
      <c r="R197" s="3171" t="str">
        <f>IF(OR(AND(L197="Muy Baja",P197="Leve"),AND(L197="Muy Baja",P197="Menor"),AND(L197="Baja",P197="Leve")),"Bajo",IF(OR(AND(L197="Muy baja",P197="Moderado"),AND(L197="Baja",P197="Menor"),AND(L197="Baja",P197="Moderado"),AND(L197="Media",P197="Leve"),AND(L197="Media",P197="Menor"),AND(L197="Media",P197="Moderado"),AND(L197="Alta",P197="Leve"),AND(L197="Alta",P197="Menor")),"Moderado",IF(OR(AND(L197="Muy Baja",P197="Mayor"),AND(L197="Baja",P197="Mayor"),AND(L197="Media",P197="Mayor"),AND(L197="Alta",P197="Moderado"),AND(L197="Alta",P197="Mayor"),AND(L197="Muy Alta",P197="Leve"),AND(L197="Muy Alta",P197="Menor"),AND(L197="Muy Alta",P197="Moderado"),AND(L197="Muy Alta",P197="Mayor")),"Alto",IF(OR(AND(L197="Muy Baja",P197="Catastrófico"),AND(L197="Baja",P197="Catastrófico"),AND(L197="Media",P197="Catastrófico"),AND(L197="Alta",P197="Catastrófico"),AND(L197="Muy Alta",P197="Catastrófico")),"Extremo",""))))</f>
        <v>Moderado</v>
      </c>
      <c r="S197" s="894">
        <v>1</v>
      </c>
      <c r="T197" s="1097" t="s">
        <v>1396</v>
      </c>
      <c r="U197" s="894" t="str">
        <f t="shared" si="100"/>
        <v>Probabilidad</v>
      </c>
      <c r="V197" s="944" t="s">
        <v>207</v>
      </c>
      <c r="W197" s="944" t="s">
        <v>201</v>
      </c>
      <c r="X197" s="945" t="str">
        <f t="shared" si="95"/>
        <v>40%</v>
      </c>
      <c r="Y197" s="944" t="s">
        <v>208</v>
      </c>
      <c r="Z197" s="944" t="s">
        <v>203</v>
      </c>
      <c r="AA197" s="944" t="s">
        <v>204</v>
      </c>
      <c r="AB197" s="946">
        <f>IFERROR(IF(U197="Probabilidad",(M197-(+M197*X197)),IF(U197="Impacto",M197,"")),"")</f>
        <v>0.36</v>
      </c>
      <c r="AC197" s="947" t="str">
        <f t="shared" si="96"/>
        <v>Baja</v>
      </c>
      <c r="AD197" s="948">
        <f t="shared" si="97"/>
        <v>0.36</v>
      </c>
      <c r="AE197" s="947" t="str">
        <f t="shared" si="98"/>
        <v>Menor</v>
      </c>
      <c r="AF197" s="948">
        <f>IFERROR(IF(U197="Impacto",(Q197-(+Q197*X197)),IF(U197="Probabilidad",Q197,"")),"")</f>
        <v>0.4</v>
      </c>
      <c r="AG197" s="949" t="str">
        <f t="shared" si="99"/>
        <v>Moderado</v>
      </c>
      <c r="AH197" s="950" t="s">
        <v>205</v>
      </c>
      <c r="AI197" s="1097" t="s">
        <v>1409</v>
      </c>
      <c r="AJ197" s="891" t="s">
        <v>941</v>
      </c>
      <c r="AK197" s="951">
        <v>45293</v>
      </c>
      <c r="AL197" s="951">
        <v>45657</v>
      </c>
      <c r="AM197" s="3035" t="s">
        <v>1412</v>
      </c>
      <c r="AN197" s="894" t="s">
        <v>206</v>
      </c>
    </row>
    <row r="198" spans="2:40" ht="113.4" customHeight="1" x14ac:dyDescent="0.3">
      <c r="B198" s="3164"/>
      <c r="C198" s="3164"/>
      <c r="D198" s="3164"/>
      <c r="E198" s="3172"/>
      <c r="F198" s="892" t="s">
        <v>943</v>
      </c>
      <c r="G198" s="3164"/>
      <c r="H198" s="3164"/>
      <c r="I198" s="3164"/>
      <c r="J198" s="3168"/>
      <c r="K198" s="3164"/>
      <c r="L198" s="3164"/>
      <c r="M198" s="3164"/>
      <c r="N198" s="3164"/>
      <c r="O198" s="3164"/>
      <c r="P198" s="3164"/>
      <c r="Q198" s="3164"/>
      <c r="R198" s="3164"/>
      <c r="S198" s="894">
        <v>2</v>
      </c>
      <c r="T198" s="952" t="s">
        <v>1397</v>
      </c>
      <c r="U198" s="894" t="str">
        <f t="shared" si="100"/>
        <v>Probabilidad</v>
      </c>
      <c r="V198" s="944" t="s">
        <v>207</v>
      </c>
      <c r="W198" s="944" t="s">
        <v>201</v>
      </c>
      <c r="X198" s="945" t="str">
        <f t="shared" si="95"/>
        <v>40%</v>
      </c>
      <c r="Y198" s="944" t="s">
        <v>208</v>
      </c>
      <c r="Z198" s="944" t="s">
        <v>203</v>
      </c>
      <c r="AA198" s="944" t="s">
        <v>204</v>
      </c>
      <c r="AB198" s="946">
        <f t="shared" ref="AB198:AB200" si="101">IFERROR(IF(AND(U197="Probabilidad",U198="Probabilidad"),(AD197-(+AD197*X198)),IF(AND(U197="Impacto",U198="Probabilidad"),(M197-(+M197*X198)),IF(U198="Impacto",AD197,""))),"")</f>
        <v>0.216</v>
      </c>
      <c r="AC198" s="947" t="str">
        <f t="shared" si="96"/>
        <v>Baja</v>
      </c>
      <c r="AD198" s="948">
        <f t="shared" si="97"/>
        <v>0.216</v>
      </c>
      <c r="AE198" s="947" t="str">
        <f t="shared" si="98"/>
        <v>Menor</v>
      </c>
      <c r="AF198" s="948">
        <f t="shared" ref="AF198:AF200" si="102">IFERROR(IF(AND(U197="Impacto",U198="Impacto"),(AF197-(+AF197*X198)),IF(AND(U197="Probabilidad",U198="Impacto"),(Q197-(+Q197*X198)),IF(U198="Probabilidad",AF197,""))),"")</f>
        <v>0.4</v>
      </c>
      <c r="AG198" s="949" t="str">
        <f t="shared" si="99"/>
        <v>Moderado</v>
      </c>
      <c r="AH198" s="950" t="s">
        <v>205</v>
      </c>
      <c r="AI198" s="953" t="s">
        <v>1224</v>
      </c>
      <c r="AJ198" s="891" t="s">
        <v>941</v>
      </c>
      <c r="AK198" s="951">
        <v>45293</v>
      </c>
      <c r="AL198" s="951">
        <v>45596</v>
      </c>
      <c r="AM198" s="3164"/>
      <c r="AN198" s="894" t="s">
        <v>206</v>
      </c>
    </row>
    <row r="199" spans="2:40" ht="104.4" customHeight="1" x14ac:dyDescent="0.3">
      <c r="B199" s="3164"/>
      <c r="C199" s="3164"/>
      <c r="D199" s="3164"/>
      <c r="E199" s="3172"/>
      <c r="F199" s="892" t="s">
        <v>1404</v>
      </c>
      <c r="G199" s="3163"/>
      <c r="H199" s="3164"/>
      <c r="I199" s="3163"/>
      <c r="J199" s="3168"/>
      <c r="K199" s="3164"/>
      <c r="L199" s="3164"/>
      <c r="M199" s="3164"/>
      <c r="N199" s="3164"/>
      <c r="O199" s="3164"/>
      <c r="P199" s="3164"/>
      <c r="Q199" s="3164"/>
      <c r="R199" s="3164"/>
      <c r="S199" s="894">
        <v>3</v>
      </c>
      <c r="T199" s="894" t="s">
        <v>1398</v>
      </c>
      <c r="U199" s="894" t="str">
        <f t="shared" si="100"/>
        <v>Probabilidad</v>
      </c>
      <c r="V199" s="944" t="s">
        <v>207</v>
      </c>
      <c r="W199" s="944" t="s">
        <v>201</v>
      </c>
      <c r="X199" s="945" t="str">
        <f t="shared" si="95"/>
        <v>40%</v>
      </c>
      <c r="Y199" s="944" t="s">
        <v>208</v>
      </c>
      <c r="Z199" s="944" t="s">
        <v>203</v>
      </c>
      <c r="AA199" s="946" t="str">
        <f>IFERROR(IF(AND(T198="Probabilidad",T199="Probabilidad"),(AC198-(+AC198*W199)),IF(AND(T198="Impacto",T199="Probabilidad"),(AC197-(+AC197*W199)),IF(T199="Impacto",AC198,""))),"")</f>
        <v/>
      </c>
      <c r="AB199" s="946">
        <f t="shared" si="101"/>
        <v>0.12959999999999999</v>
      </c>
      <c r="AC199" s="947" t="str">
        <f t="shared" si="96"/>
        <v>Muy Baja</v>
      </c>
      <c r="AD199" s="948">
        <f t="shared" si="97"/>
        <v>0.12959999999999999</v>
      </c>
      <c r="AE199" s="947" t="str">
        <f t="shared" si="98"/>
        <v>Menor</v>
      </c>
      <c r="AF199" s="948">
        <f t="shared" si="102"/>
        <v>0.4</v>
      </c>
      <c r="AG199" s="949" t="str">
        <f t="shared" si="99"/>
        <v>Bajo</v>
      </c>
      <c r="AH199" s="950" t="s">
        <v>205</v>
      </c>
      <c r="AI199" s="892" t="s">
        <v>1410</v>
      </c>
      <c r="AJ199" s="894" t="s">
        <v>941</v>
      </c>
      <c r="AK199" s="1094">
        <v>45293</v>
      </c>
      <c r="AL199" s="1094">
        <v>45596</v>
      </c>
      <c r="AM199" s="3163"/>
      <c r="AN199" s="894" t="s">
        <v>206</v>
      </c>
    </row>
    <row r="200" spans="2:40" ht="112.2" customHeight="1" x14ac:dyDescent="0.3">
      <c r="B200" s="2307">
        <v>3</v>
      </c>
      <c r="C200" s="2981" t="s">
        <v>395</v>
      </c>
      <c r="D200" s="2981" t="s">
        <v>935</v>
      </c>
      <c r="E200" s="2994" t="s">
        <v>944</v>
      </c>
      <c r="F200" s="892" t="s">
        <v>1405</v>
      </c>
      <c r="G200" s="2981" t="s">
        <v>946</v>
      </c>
      <c r="H200" s="2309" t="s">
        <v>597</v>
      </c>
      <c r="I200" s="2981" t="s">
        <v>1399</v>
      </c>
      <c r="J200" s="2981" t="s">
        <v>198</v>
      </c>
      <c r="K200" s="2307">
        <v>360</v>
      </c>
      <c r="L200" s="3169" t="str">
        <f>IF(K200&lt;=0,"",IF(K200&lt;=2,"Muy Baja",IF(K200&lt;=24,"Baja",IF(K200&lt;=500,"Media",IF(K200&lt;=5000,"Alta","Muy Alta")))))</f>
        <v>Media</v>
      </c>
      <c r="M200" s="3170">
        <f>IF(L200="","",IF(L200="Muy Baja",0.2,IF(L200="Baja",0.4,IF(L200="Media",0.6,IF(L200="Alta",0.8,IF(L200="Muy Alta",1,))))))</f>
        <v>0.6</v>
      </c>
      <c r="N200" s="3170" t="s">
        <v>393</v>
      </c>
      <c r="O200" s="3170" t="str">
        <f>IF(NOT(ISERROR(MATCH(N200,'[58]Tabla Impacto'!$B$221:$B$223,0))),'[58]Tabla Impacto'!$F$223&amp;"Por favor no seleccionar los criterios de impacto(Afectación Económica o presupuestal y Pérdida Reputacional)",N200)</f>
        <v xml:space="preserve">     Entre 200 y 1000 SMLMV</v>
      </c>
      <c r="P200" s="3169" t="str">
        <f>IF(OR(O200='[58]Tabla Impacto'!$C$11,O200='[58]Tabla Impacto'!$D$11),"Leve",IF(OR(O200='[58]Tabla Impacto'!$C$12,O200='[58]Tabla Impacto'!$D$12),"Menor",IF(OR(O200='[58]Tabla Impacto'!$C$13,O200='[58]Tabla Impacto'!$D$13),"Moderado",IF(OR(O200='[58]Tabla Impacto'!$C$14,O200='[58]Tabla Impacto'!$D$14),"Mayor",IF(OR(O200='[58]Tabla Impacto'!$C$15,O200='[58]Tabla Impacto'!$D$15),"Catastrófico","")))))</f>
        <v>Menor</v>
      </c>
      <c r="Q200" s="3170">
        <f>IF(P200="","",IF(P200="Leve",0.2,IF(P200="Menor",0.4,IF(P200="Moderado",0.6,IF(P200="Mayor",0.8,IF(P200="Catastrófico",1,))))))</f>
        <v>0.4</v>
      </c>
      <c r="R200" s="3171" t="str">
        <f>IF(OR(AND(L200="Muy Baja",P200="Leve"),AND(L200="Muy Baja",P200="Menor"),AND(L200="Baja",P200="Leve")),"Bajo",IF(OR(AND(L200="Muy baja",P200="Moderado"),AND(L200="Baja",P200="Menor"),AND(L200="Baja",P200="Moderado"),AND(L200="Media",P200="Leve"),AND(L200="Media",P200="Menor"),AND(L200="Media",P200="Moderado"),AND(L200="Alta",P200="Leve"),AND(L200="Alta",P200="Menor")),"Moderado",IF(OR(AND(L200="Muy Baja",P200="Mayor"),AND(L200="Baja",P200="Mayor"),AND(L200="Media",P200="Mayor"),AND(L200="Alta",P200="Moderado"),AND(L200="Alta",P200="Mayor"),AND(L200="Muy Alta",P200="Leve"),AND(L200="Muy Alta",P200="Menor"),AND(L200="Muy Alta",P200="Moderado"),AND(L200="Muy Alta",P200="Mayor")),"Alto",IF(OR(AND(L200="Muy Baja",P200="Catastrófico"),AND(L200="Baja",P200="Catastrófico"),AND(L200="Media",P200="Catastrófico"),AND(L200="Alta",P200="Catastrófico"),AND(L200="Muy Alta",P200="Catastrófico")),"Extremo",""))))</f>
        <v>Moderado</v>
      </c>
      <c r="S200" s="2307">
        <v>1</v>
      </c>
      <c r="T200" s="2981" t="s">
        <v>1400</v>
      </c>
      <c r="U200" s="2307" t="s">
        <v>141</v>
      </c>
      <c r="V200" s="2986" t="s">
        <v>207</v>
      </c>
      <c r="W200" s="2986" t="s">
        <v>201</v>
      </c>
      <c r="X200" s="2999" t="str">
        <f t="shared" si="95"/>
        <v>40%</v>
      </c>
      <c r="Y200" s="2986" t="s">
        <v>208</v>
      </c>
      <c r="Z200" s="2986" t="s">
        <v>203</v>
      </c>
      <c r="AA200" s="2986" t="s">
        <v>204</v>
      </c>
      <c r="AB200" s="3016">
        <f t="shared" si="101"/>
        <v>7.7759999999999996E-2</v>
      </c>
      <c r="AC200" s="3021" t="str">
        <f t="shared" si="96"/>
        <v>Muy Baja</v>
      </c>
      <c r="AD200" s="2999">
        <f t="shared" si="97"/>
        <v>7.7759999999999996E-2</v>
      </c>
      <c r="AE200" s="3021" t="str">
        <f t="shared" si="98"/>
        <v>Menor</v>
      </c>
      <c r="AF200" s="2999">
        <f t="shared" si="102"/>
        <v>0.4</v>
      </c>
      <c r="AG200" s="3051" t="str">
        <f t="shared" si="99"/>
        <v>Bajo</v>
      </c>
      <c r="AH200" s="2986" t="s">
        <v>205</v>
      </c>
      <c r="AI200" s="952" t="s">
        <v>1225</v>
      </c>
      <c r="AJ200" s="892" t="s">
        <v>932</v>
      </c>
      <c r="AK200" s="951">
        <v>45293</v>
      </c>
      <c r="AL200" s="951">
        <v>45596</v>
      </c>
      <c r="AM200" s="3035" t="s">
        <v>1413</v>
      </c>
      <c r="AN200" s="894" t="s">
        <v>206</v>
      </c>
    </row>
    <row r="201" spans="2:40" ht="153" customHeight="1" x14ac:dyDescent="0.3">
      <c r="B201" s="3164"/>
      <c r="C201" s="3164"/>
      <c r="D201" s="3164"/>
      <c r="E201" s="3172"/>
      <c r="F201" s="892" t="s">
        <v>1406</v>
      </c>
      <c r="G201" s="3164"/>
      <c r="H201" s="3164"/>
      <c r="I201" s="3164"/>
      <c r="J201" s="3164"/>
      <c r="K201" s="3164"/>
      <c r="L201" s="3164"/>
      <c r="M201" s="3164"/>
      <c r="N201" s="3164"/>
      <c r="O201" s="3164"/>
      <c r="P201" s="3164"/>
      <c r="Q201" s="3164"/>
      <c r="R201" s="3164"/>
      <c r="S201" s="3163"/>
      <c r="T201" s="3163"/>
      <c r="U201" s="3163"/>
      <c r="V201" s="3163"/>
      <c r="W201" s="3163"/>
      <c r="X201" s="3163"/>
      <c r="Y201" s="3163"/>
      <c r="Z201" s="3163"/>
      <c r="AA201" s="3163"/>
      <c r="AB201" s="3163"/>
      <c r="AC201" s="3163"/>
      <c r="AD201" s="3163"/>
      <c r="AE201" s="3163"/>
      <c r="AF201" s="3163"/>
      <c r="AG201" s="3163"/>
      <c r="AH201" s="3163"/>
      <c r="AI201" s="953" t="s">
        <v>1226</v>
      </c>
      <c r="AJ201" s="892" t="s">
        <v>932</v>
      </c>
      <c r="AK201" s="951">
        <v>45383</v>
      </c>
      <c r="AL201" s="951">
        <v>45596</v>
      </c>
      <c r="AM201" s="3164"/>
      <c r="AN201" s="894" t="s">
        <v>206</v>
      </c>
    </row>
    <row r="202" spans="2:40" ht="294" customHeight="1" x14ac:dyDescent="0.3">
      <c r="B202" s="3164"/>
      <c r="C202" s="3164"/>
      <c r="D202" s="3164"/>
      <c r="E202" s="3172"/>
      <c r="F202" s="892" t="s">
        <v>1407</v>
      </c>
      <c r="G202" s="3163"/>
      <c r="H202" s="3164"/>
      <c r="I202" s="3163"/>
      <c r="J202" s="3163"/>
      <c r="K202" s="3164"/>
      <c r="L202" s="3164"/>
      <c r="M202" s="3164"/>
      <c r="N202" s="3164"/>
      <c r="O202" s="3164"/>
      <c r="P202" s="3164"/>
      <c r="Q202" s="3164"/>
      <c r="R202" s="3164"/>
      <c r="S202" s="894">
        <v>2</v>
      </c>
      <c r="T202" s="892" t="s">
        <v>1401</v>
      </c>
      <c r="U202" s="894" t="str">
        <f t="shared" ref="U202" si="103">IF(OR(V202="Preventivo",V202="Detectivo"),"Probabilidad",IF(V202="Correctivo","Impacto",""))</f>
        <v>Probabilidad</v>
      </c>
      <c r="V202" s="944" t="s">
        <v>207</v>
      </c>
      <c r="W202" s="944" t="s">
        <v>201</v>
      </c>
      <c r="X202" s="945" t="str">
        <f t="shared" ref="X202" si="104">IF(AND(V202="Preventivo",W202="Automático"),"50%",IF(AND(V202="Preventivo",W202="Manual"),"40%",IF(AND(V202="Detectivo",W202="Automático"),"40%",IF(AND(V202="Detectivo",W202="Manual"),"30%",IF(AND(V202="Correctivo",W202="Automático"),"35%",IF(AND(V202="Correctivo",W202="Manual"),"25%",""))))))</f>
        <v>40%</v>
      </c>
      <c r="Y202" s="944" t="s">
        <v>208</v>
      </c>
      <c r="Z202" s="944" t="s">
        <v>203</v>
      </c>
      <c r="AA202" s="944" t="s">
        <v>204</v>
      </c>
      <c r="AB202" s="946">
        <f>AB200</f>
        <v>7.7759999999999996E-2</v>
      </c>
      <c r="AC202" s="947" t="str">
        <f t="shared" ref="AC202" si="105">IFERROR(IF(AB202="","",IF(AB202&lt;=0.2,"Muy Baja",IF(AB202&lt;=0.4,"Baja",IF(AB202&lt;=0.6,"Media",IF(AB202&lt;=0.8,"Alta","Muy Alta"))))),"")</f>
        <v>Muy Baja</v>
      </c>
      <c r="AD202" s="948">
        <f t="shared" ref="AD202" si="106">+AB202</f>
        <v>7.7759999999999996E-2</v>
      </c>
      <c r="AE202" s="947" t="str">
        <f t="shared" ref="AE202" si="107">IFERROR(IF(AF202="","",IF(AF202&lt;=0.2,"Leve",IF(AF202&lt;=0.4,"Menor",IF(AF202&lt;=0.6,"Moderado",IF(AF202&lt;=0.8,"Mayor","Catastrófico"))))),"")</f>
        <v>Leve</v>
      </c>
      <c r="AF202" s="948">
        <f>IFERROR(IF(AND(U201="Impacto",U202="Impacto"),(AF201-(+AF201*X202)),IF(AND(U201="Probabilidad",U202="Impacto"),(Q201-(+Q201*X202)),IF(U202="Probabilidad",AF201,""))),"")</f>
        <v>0</v>
      </c>
      <c r="AG202" s="949" t="str">
        <f t="shared" ref="AG202" si="108">IFERROR(IF(OR(AND(AC202="Muy Baja",AE202="Leve"),AND(AC202="Muy Baja",AE202="Menor"),AND(AC202="Baja",AE202="Leve")),"Bajo",IF(OR(AND(AC202="Muy baja",AE202="Moderado"),AND(AC202="Baja",AE202="Menor"),AND(AC202="Baja",AE202="Moderado"),AND(AC202="Media",AE202="Leve"),AND(AC202="Media",AE202="Menor"),AND(AC202="Media",AE202="Moderado"),AND(AC202="Alta",AE202="Leve"),AND(AC202="Alta",AE202="Menor")),"Moderado",IF(OR(AND(AC202="Muy Baja",AE202="Mayor"),AND(AC202="Baja",AE202="Mayor"),AND(AC202="Media",AE202="Mayor"),AND(AC202="Alta",AE202="Moderado"),AND(AC202="Alta",AE202="Mayor"),AND(AC202="Muy Alta",AE202="Leve"),AND(AC202="Muy Alta",AE202="Menor"),AND(AC202="Muy Alta",AE202="Moderado"),AND(AC202="Muy Alta",AE202="Mayor")),"Alto",IF(OR(AND(AC202="Muy Baja",AE202="Catastrófico"),AND(AC202="Baja",AE202="Catastrófico"),AND(AC202="Media",AE202="Catastrófico"),AND(AC202="Alta",AE202="Catastrófico"),AND(AC202="Muy Alta",AE202="Catastrófico")),"Extremo","")))),"")</f>
        <v>Bajo</v>
      </c>
      <c r="AH202" s="950" t="s">
        <v>205</v>
      </c>
      <c r="AI202" s="1097" t="s">
        <v>1223</v>
      </c>
      <c r="AJ202" s="892" t="s">
        <v>932</v>
      </c>
      <c r="AK202" s="1094">
        <v>45352</v>
      </c>
      <c r="AL202" s="1094">
        <v>45596</v>
      </c>
      <c r="AM202" s="3163"/>
      <c r="AN202" s="894" t="s">
        <v>206</v>
      </c>
    </row>
    <row r="204" spans="2:40" x14ac:dyDescent="0.3">
      <c r="B204" s="3038" t="s">
        <v>156</v>
      </c>
      <c r="C204" s="3039"/>
      <c r="D204" s="3039"/>
      <c r="E204" s="3039"/>
      <c r="F204" s="3039"/>
      <c r="G204" s="3039"/>
      <c r="H204" s="3039"/>
      <c r="I204" s="3039"/>
      <c r="J204" s="3039"/>
      <c r="K204" s="3039"/>
      <c r="L204" s="3039"/>
      <c r="M204" s="3039"/>
      <c r="N204" s="3039"/>
      <c r="O204" s="3039"/>
      <c r="P204" s="3039"/>
      <c r="Q204" s="3039"/>
      <c r="R204" s="3039"/>
      <c r="S204" s="3039"/>
      <c r="T204" s="3039"/>
      <c r="U204" s="3039"/>
      <c r="V204" s="3039"/>
      <c r="W204" s="3039"/>
      <c r="X204" s="3039"/>
      <c r="Y204" s="3039"/>
      <c r="Z204" s="3039"/>
      <c r="AA204" s="3039"/>
      <c r="AB204" s="3039"/>
      <c r="AC204" s="3039"/>
      <c r="AD204" s="3039"/>
      <c r="AE204" s="3039"/>
      <c r="AF204" s="3039"/>
      <c r="AG204" s="3039"/>
      <c r="AH204" s="3039"/>
      <c r="AI204" s="3039"/>
      <c r="AJ204" s="3039"/>
      <c r="AK204" s="3039"/>
      <c r="AL204" s="3039"/>
      <c r="AM204" s="3039"/>
      <c r="AN204" s="3040"/>
    </row>
    <row r="205" spans="2:40" x14ac:dyDescent="0.3">
      <c r="B205" s="3041"/>
      <c r="C205" s="3042"/>
      <c r="D205" s="3042"/>
      <c r="E205" s="3042"/>
      <c r="F205" s="3042"/>
      <c r="G205" s="3042"/>
      <c r="H205" s="3042"/>
      <c r="I205" s="3042"/>
      <c r="J205" s="3042"/>
      <c r="K205" s="3042"/>
      <c r="L205" s="3042"/>
      <c r="M205" s="3042"/>
      <c r="N205" s="3042"/>
      <c r="O205" s="3042"/>
      <c r="P205" s="3042"/>
      <c r="Q205" s="3042"/>
      <c r="R205" s="3042"/>
      <c r="S205" s="3042"/>
      <c r="T205" s="3042"/>
      <c r="U205" s="3042"/>
      <c r="V205" s="3042"/>
      <c r="W205" s="3042"/>
      <c r="X205" s="3042"/>
      <c r="Y205" s="3042"/>
      <c r="Z205" s="3042"/>
      <c r="AA205" s="3042"/>
      <c r="AB205" s="3042"/>
      <c r="AC205" s="3042"/>
      <c r="AD205" s="3042"/>
      <c r="AE205" s="3042"/>
      <c r="AF205" s="3042"/>
      <c r="AG205" s="3042"/>
      <c r="AH205" s="3042"/>
      <c r="AI205" s="3042"/>
      <c r="AJ205" s="3042"/>
      <c r="AK205" s="3042"/>
      <c r="AL205" s="3042"/>
      <c r="AM205" s="3042"/>
      <c r="AN205" s="3043"/>
    </row>
    <row r="206" spans="2:40" ht="14.4" x14ac:dyDescent="0.3">
      <c r="B206" s="954"/>
      <c r="C206" s="1098"/>
      <c r="D206" s="954"/>
      <c r="E206" s="954"/>
      <c r="F206" s="954"/>
      <c r="G206" s="1099"/>
      <c r="H206" s="1099"/>
      <c r="I206" s="1099"/>
      <c r="J206" s="1100"/>
      <c r="K206" s="1099"/>
      <c r="L206" s="1099"/>
      <c r="M206" s="1099"/>
      <c r="N206" s="1099"/>
      <c r="O206" s="1099"/>
      <c r="P206" s="1099"/>
      <c r="Q206" s="1099"/>
      <c r="R206" s="1099"/>
      <c r="S206" s="1099"/>
      <c r="T206" s="1099"/>
      <c r="U206" s="1099"/>
      <c r="V206" s="1099"/>
      <c r="W206" s="1099"/>
      <c r="X206" s="1099"/>
      <c r="Y206" s="1099"/>
      <c r="Z206" s="1099"/>
      <c r="AA206" s="1099"/>
      <c r="AB206" s="1099"/>
      <c r="AC206" s="1099"/>
      <c r="AD206" s="1099"/>
      <c r="AE206" s="1099"/>
      <c r="AF206" s="1099"/>
      <c r="AG206" s="1099"/>
      <c r="AH206" s="1099"/>
      <c r="AI206" s="1099"/>
      <c r="AJ206" s="1099"/>
      <c r="AK206" s="1099"/>
      <c r="AL206" s="1099"/>
      <c r="AM206" s="1099"/>
      <c r="AN206" s="1099"/>
    </row>
    <row r="207" spans="2:40" ht="23.4" x14ac:dyDescent="0.3">
      <c r="B207" s="3165" t="s">
        <v>157</v>
      </c>
      <c r="C207" s="3166"/>
      <c r="D207" s="3167" t="s">
        <v>218</v>
      </c>
      <c r="E207" s="3167"/>
      <c r="F207" s="3167"/>
      <c r="G207" s="3167"/>
      <c r="H207" s="3167"/>
      <c r="I207" s="3167"/>
      <c r="J207" s="3167"/>
      <c r="K207" s="3167"/>
      <c r="L207" s="3167"/>
      <c r="M207" s="3167"/>
      <c r="N207" s="3167"/>
      <c r="O207" s="3167"/>
      <c r="P207" s="3167"/>
      <c r="Q207" s="3167"/>
      <c r="R207" s="3167"/>
      <c r="S207" s="3167"/>
      <c r="T207" s="3167"/>
      <c r="U207" s="3167"/>
      <c r="V207" s="3167"/>
      <c r="W207" s="3167"/>
      <c r="X207" s="3167"/>
      <c r="Y207" s="3167"/>
      <c r="Z207" s="3167"/>
      <c r="AA207" s="3167"/>
      <c r="AB207" s="3167"/>
      <c r="AC207" s="3167"/>
      <c r="AD207" s="3167"/>
      <c r="AE207" s="3167"/>
      <c r="AF207" s="3167"/>
      <c r="AG207" s="3167"/>
      <c r="AH207" s="3167"/>
      <c r="AI207" s="3167"/>
      <c r="AJ207" s="3167"/>
      <c r="AK207" s="3167"/>
      <c r="AL207" s="3167"/>
      <c r="AM207" s="3167"/>
      <c r="AN207" s="3167"/>
    </row>
    <row r="208" spans="2:40" ht="23.4" x14ac:dyDescent="0.3">
      <c r="B208" s="3165" t="s">
        <v>158</v>
      </c>
      <c r="C208" s="3166"/>
      <c r="D208" s="3167" t="s">
        <v>219</v>
      </c>
      <c r="E208" s="3167"/>
      <c r="F208" s="3167"/>
      <c r="G208" s="3167"/>
      <c r="H208" s="3167"/>
      <c r="I208" s="3167"/>
      <c r="J208" s="3167"/>
      <c r="K208" s="3167"/>
      <c r="L208" s="3167"/>
      <c r="M208" s="3167"/>
      <c r="N208" s="3167"/>
      <c r="O208" s="3167"/>
      <c r="P208" s="3167"/>
      <c r="Q208" s="3167"/>
      <c r="R208" s="3167"/>
      <c r="S208" s="3167"/>
      <c r="T208" s="3167"/>
      <c r="U208" s="3167"/>
      <c r="V208" s="3167"/>
      <c r="W208" s="3167"/>
      <c r="X208" s="3167"/>
      <c r="Y208" s="3167"/>
      <c r="Z208" s="3167"/>
      <c r="AA208" s="3167"/>
      <c r="AB208" s="3167"/>
      <c r="AC208" s="3167"/>
      <c r="AD208" s="3167"/>
      <c r="AE208" s="3167"/>
      <c r="AF208" s="3167"/>
      <c r="AG208" s="3167"/>
      <c r="AH208" s="3167"/>
      <c r="AI208" s="3167"/>
      <c r="AJ208" s="3167"/>
      <c r="AK208" s="3167"/>
      <c r="AL208" s="3167"/>
      <c r="AM208" s="3167"/>
      <c r="AN208" s="3167"/>
    </row>
    <row r="209" spans="2:40" ht="23.4" x14ac:dyDescent="0.3">
      <c r="B209" s="3044" t="s">
        <v>159</v>
      </c>
      <c r="C209" s="3045"/>
      <c r="D209" s="3167" t="s">
        <v>220</v>
      </c>
      <c r="E209" s="3167"/>
      <c r="F209" s="3167"/>
      <c r="G209" s="3167"/>
      <c r="H209" s="3167"/>
      <c r="I209" s="3167"/>
      <c r="J209" s="3167"/>
      <c r="K209" s="3167"/>
      <c r="L209" s="3167"/>
      <c r="M209" s="3167"/>
      <c r="N209" s="3167"/>
      <c r="O209" s="3167"/>
      <c r="P209" s="3167"/>
      <c r="Q209" s="3167"/>
      <c r="R209" s="3167"/>
      <c r="S209" s="3167"/>
      <c r="T209" s="3167"/>
      <c r="U209" s="3167"/>
      <c r="V209" s="3167"/>
      <c r="W209" s="3167"/>
      <c r="X209" s="3167"/>
      <c r="Y209" s="3167"/>
      <c r="Z209" s="3167"/>
      <c r="AA209" s="3167"/>
      <c r="AB209" s="3167"/>
      <c r="AC209" s="3167"/>
      <c r="AD209" s="3167"/>
      <c r="AE209" s="3167"/>
      <c r="AF209" s="3167"/>
      <c r="AG209" s="3167"/>
      <c r="AH209" s="3167"/>
      <c r="AI209" s="3167"/>
      <c r="AJ209" s="3167"/>
      <c r="AK209" s="3167"/>
      <c r="AL209" s="3167"/>
      <c r="AM209" s="3167"/>
      <c r="AN209" s="3167"/>
    </row>
    <row r="210" spans="2:40" x14ac:dyDescent="0.3">
      <c r="B210" s="3047" t="s">
        <v>160</v>
      </c>
      <c r="C210" s="3048"/>
      <c r="D210" s="3049"/>
      <c r="E210" s="3049"/>
      <c r="F210" s="3049"/>
      <c r="G210" s="3049"/>
      <c r="H210" s="3049"/>
      <c r="I210" s="3049"/>
      <c r="J210" s="3049"/>
      <c r="K210" s="3050"/>
      <c r="L210" s="3027" t="s">
        <v>161</v>
      </c>
      <c r="M210" s="3049"/>
      <c r="N210" s="3049"/>
      <c r="O210" s="3049"/>
      <c r="P210" s="3049"/>
      <c r="Q210" s="3049"/>
      <c r="R210" s="3050"/>
      <c r="S210" s="3027" t="s">
        <v>162</v>
      </c>
      <c r="T210" s="3049"/>
      <c r="U210" s="3049"/>
      <c r="V210" s="3049"/>
      <c r="W210" s="3049"/>
      <c r="X210" s="3049"/>
      <c r="Y210" s="3049"/>
      <c r="Z210" s="3049"/>
      <c r="AA210" s="3050"/>
      <c r="AB210" s="3027" t="s">
        <v>163</v>
      </c>
      <c r="AC210" s="3049"/>
      <c r="AD210" s="3049"/>
      <c r="AE210" s="3049"/>
      <c r="AF210" s="3049"/>
      <c r="AG210" s="3049"/>
      <c r="AH210" s="3050"/>
      <c r="AI210" s="3027" t="s">
        <v>164</v>
      </c>
      <c r="AJ210" s="3049"/>
      <c r="AK210" s="3049"/>
      <c r="AL210" s="3049"/>
      <c r="AM210" s="3049"/>
      <c r="AN210" s="3050"/>
    </row>
    <row r="211" spans="2:40" x14ac:dyDescent="0.3">
      <c r="B211" s="3087" t="s">
        <v>165</v>
      </c>
      <c r="C211" s="3089" t="s">
        <v>142</v>
      </c>
      <c r="D211" s="3025" t="s">
        <v>166</v>
      </c>
      <c r="E211" s="3025" t="s">
        <v>167</v>
      </c>
      <c r="F211" s="3028" t="s">
        <v>168</v>
      </c>
      <c r="G211" s="3090" t="s">
        <v>60</v>
      </c>
      <c r="H211" s="955"/>
      <c r="I211" s="955"/>
      <c r="J211" s="3028" t="s">
        <v>169</v>
      </c>
      <c r="K211" s="3025" t="s">
        <v>170</v>
      </c>
      <c r="L211" s="3024" t="s">
        <v>171</v>
      </c>
      <c r="M211" s="3026" t="s">
        <v>172</v>
      </c>
      <c r="N211" s="3028" t="s">
        <v>173</v>
      </c>
      <c r="O211" s="3028" t="s">
        <v>174</v>
      </c>
      <c r="P211" s="3029" t="s">
        <v>175</v>
      </c>
      <c r="Q211" s="3026" t="s">
        <v>172</v>
      </c>
      <c r="R211" s="3025" t="s">
        <v>176</v>
      </c>
      <c r="S211" s="3031" t="s">
        <v>177</v>
      </c>
      <c r="T211" s="3030" t="s">
        <v>178</v>
      </c>
      <c r="U211" s="3028" t="s">
        <v>179</v>
      </c>
      <c r="V211" s="3030" t="s">
        <v>180</v>
      </c>
      <c r="W211" s="3030"/>
      <c r="X211" s="3030"/>
      <c r="Y211" s="3030"/>
      <c r="Z211" s="3030"/>
      <c r="AA211" s="3030"/>
      <c r="AB211" s="3054" t="s">
        <v>181</v>
      </c>
      <c r="AC211" s="3054" t="s">
        <v>182</v>
      </c>
      <c r="AD211" s="3054" t="s">
        <v>172</v>
      </c>
      <c r="AE211" s="3054" t="s">
        <v>183</v>
      </c>
      <c r="AF211" s="3054" t="s">
        <v>172</v>
      </c>
      <c r="AG211" s="3054" t="s">
        <v>184</v>
      </c>
      <c r="AH211" s="3031" t="s">
        <v>185</v>
      </c>
      <c r="AI211" s="3030" t="s">
        <v>164</v>
      </c>
      <c r="AJ211" s="3030" t="s">
        <v>143</v>
      </c>
      <c r="AK211" s="3030" t="s">
        <v>186</v>
      </c>
      <c r="AL211" s="3030" t="s">
        <v>187</v>
      </c>
      <c r="AM211" s="3055" t="s">
        <v>1414</v>
      </c>
      <c r="AN211" s="3030" t="s">
        <v>189</v>
      </c>
    </row>
    <row r="212" spans="2:40" ht="71.400000000000006" x14ac:dyDescent="0.3">
      <c r="B212" s="3088"/>
      <c r="C212" s="3089"/>
      <c r="D212" s="3030"/>
      <c r="E212" s="3030"/>
      <c r="F212" s="3024"/>
      <c r="G212" s="3091"/>
      <c r="H212" s="955" t="s">
        <v>952</v>
      </c>
      <c r="I212" s="955" t="s">
        <v>190</v>
      </c>
      <c r="J212" s="3025"/>
      <c r="K212" s="3030"/>
      <c r="L212" s="3025"/>
      <c r="M212" s="3027"/>
      <c r="N212" s="3025"/>
      <c r="O212" s="3025"/>
      <c r="P212" s="3027"/>
      <c r="Q212" s="3027"/>
      <c r="R212" s="3030"/>
      <c r="S212" s="3032"/>
      <c r="T212" s="3030"/>
      <c r="U212" s="3025"/>
      <c r="V212" s="956" t="s">
        <v>191</v>
      </c>
      <c r="W212" s="956" t="s">
        <v>192</v>
      </c>
      <c r="X212" s="956" t="s">
        <v>193</v>
      </c>
      <c r="Y212" s="956" t="s">
        <v>194</v>
      </c>
      <c r="Z212" s="956" t="s">
        <v>195</v>
      </c>
      <c r="AA212" s="956" t="s">
        <v>196</v>
      </c>
      <c r="AB212" s="3054"/>
      <c r="AC212" s="3054"/>
      <c r="AD212" s="3054"/>
      <c r="AE212" s="3054"/>
      <c r="AF212" s="3054"/>
      <c r="AG212" s="3054"/>
      <c r="AH212" s="3032"/>
      <c r="AI212" s="3030"/>
      <c r="AJ212" s="3030"/>
      <c r="AK212" s="3030"/>
      <c r="AL212" s="3030"/>
      <c r="AM212" s="3055"/>
      <c r="AN212" s="3030"/>
    </row>
    <row r="213" spans="2:40" ht="262.2" x14ac:dyDescent="0.3">
      <c r="B213" s="3056">
        <v>1</v>
      </c>
      <c r="C213" s="3059" t="s">
        <v>197</v>
      </c>
      <c r="D213" s="3059" t="s">
        <v>221</v>
      </c>
      <c r="E213" s="3062" t="s">
        <v>222</v>
      </c>
      <c r="F213" s="958" t="s">
        <v>953</v>
      </c>
      <c r="G213" s="3065" t="s">
        <v>223</v>
      </c>
      <c r="H213" s="3066" t="s">
        <v>512</v>
      </c>
      <c r="I213" s="3065" t="s">
        <v>224</v>
      </c>
      <c r="J213" s="3069" t="s">
        <v>198</v>
      </c>
      <c r="K213" s="3072">
        <v>24</v>
      </c>
      <c r="L213" s="3075" t="str">
        <f>IF(K213&lt;=0,"",IF(K213&lt;=2,"Muy Baja",IF(K213&lt;=24,"Baja",IF(K213&lt;=500,"Media",IF(K213&lt;=5000,"Alta","Muy Alta")))))</f>
        <v>Baja</v>
      </c>
      <c r="M213" s="3078">
        <f>IF(L213="","",IF(L213="Muy Baja",0.2,IF(L213="Baja",0.4,IF(L213="Media",0.6,IF(L213="Alta",0.8,IF(L213="Muy Alta",1,))))))</f>
        <v>0.4</v>
      </c>
      <c r="N213" s="3081" t="s">
        <v>225</v>
      </c>
      <c r="O213" s="3078" t="str">
        <f>IF(NOT(ISERROR(MATCH(N213,'[22]Tabla Impacto'!$B$221:$B$223,0))),'[22]Tabla Impacto'!$F$223&amp;"Por favor no seleccionar los criterios de impacto(Afectación Económica o presupuestal y Pérdida Reputacional)",N213)</f>
        <v xml:space="preserve">     El riesgo afecta la imagen de la entidad con algunos usuarios de relevancia frente al logro de los objetivos</v>
      </c>
      <c r="P213" s="3075" t="str">
        <f>IF(OR(O213='[22]Tabla Impacto'!$C$11,O213='[22]Tabla Impacto'!$D$11),"Leve",IF(OR(O213='[22]Tabla Impacto'!$C$12,O213='[22]Tabla Impacto'!$D$12),"Menor",IF(OR(O213='[22]Tabla Impacto'!$C$13,O213='[22]Tabla Impacto'!$D$13),"Moderado",IF(OR(O213='[22]Tabla Impacto'!$C$14,O213='[22]Tabla Impacto'!$D$14),"Mayor",IF(OR(O213='[22]Tabla Impacto'!$C$15,O213='[22]Tabla Impacto'!$D$15),"Catastrófico","")))))</f>
        <v>Moderado</v>
      </c>
      <c r="Q213" s="3078">
        <f>IF(P213="","",IF(P213="Leve",0.2,IF(P213="Menor",0.4,IF(P213="Moderado",0.6,IF(P213="Mayor",0.8,IF(P213="Catastrófico",1,))))))</f>
        <v>0.6</v>
      </c>
      <c r="R213" s="3084" t="str">
        <f>IF(OR(AND(L213="Muy Baja",P213="Leve"),AND(L213="Muy Baja",P213="Menor"),AND(L213="Baja",P213="Leve")),"Bajo",IF(OR(AND(L213="Muy baja",P213="Moderado"),AND(L213="Baja",P213="Menor"),AND(L213="Baja",P213="Moderado"),AND(L213="Media",P213="Leve"),AND(L213="Media",P213="Menor"),AND(L213="Media",P213="Moderado"),AND(L213="Alta",P213="Leve"),AND(L213="Alta",P213="Menor")),"Moderado",IF(OR(AND(L213="Muy Baja",P213="Mayor"),AND(L213="Baja",P213="Mayor"),AND(L213="Media",P213="Mayor"),AND(L213="Alta",P213="Moderado"),AND(L213="Alta",P213="Mayor"),AND(L213="Muy Alta",P213="Leve"),AND(L213="Muy Alta",P213="Menor"),AND(L213="Muy Alta",P213="Moderado"),AND(L213="Muy Alta",P213="Mayor")),"Alto",IF(OR(AND(L213="Muy Baja",P213="Catastrófico"),AND(L213="Baja",P213="Catastrófico"),AND(L213="Media",P213="Catastrófico"),AND(L213="Alta",P213="Catastrófico"),AND(L213="Muy Alta",P213="Catastrófico")),"Extremo",""))))</f>
        <v>Moderado</v>
      </c>
      <c r="S213" s="960">
        <v>1</v>
      </c>
      <c r="T213" s="961" t="s">
        <v>226</v>
      </c>
      <c r="U213" s="962" t="str">
        <f>IF(OR(V213="Preventivo",V213="Detectivo"),"Probabilidad",IF(V213="Correctivo","Impacto",""))</f>
        <v>Probabilidad</v>
      </c>
      <c r="V213" s="963" t="s">
        <v>207</v>
      </c>
      <c r="W213" s="963" t="s">
        <v>201</v>
      </c>
      <c r="X213" s="964" t="str">
        <f>IF(AND(V213="Preventivo",W213="Automático"),"50%",IF(AND(V213="Preventivo",W213="Manual"),"40%",IF(AND(V213="Detectivo",W213="Automático"),"40%",IF(AND(V213="Detectivo",W213="Manual"),"30%",IF(AND(V213="Correctivo",W213="Automático"),"35%",IF(AND(V213="Correctivo",W213="Manual"),"25%",""))))))</f>
        <v>40%</v>
      </c>
      <c r="Y213" s="963" t="s">
        <v>208</v>
      </c>
      <c r="Z213" s="963" t="s">
        <v>203</v>
      </c>
      <c r="AA213" s="963" t="s">
        <v>204</v>
      </c>
      <c r="AB213" s="965">
        <f>IFERROR(IF(U213="Probabilidad",(M213-(+M213*X213)),IF(U213="Impacto",M213,"")),"")</f>
        <v>0.24</v>
      </c>
      <c r="AC213" s="966" t="str">
        <f>IFERROR(IF(AB213="","",IF(AB213&lt;=0.2,"Muy Baja",IF(AB213&lt;=0.4,"Baja",IF(AB213&lt;=0.6,"Media",IF(AB213&lt;=0.8,"Alta","Muy Alta"))))),"")</f>
        <v>Baja</v>
      </c>
      <c r="AD213" s="967">
        <f>+AB213</f>
        <v>0.24</v>
      </c>
      <c r="AE213" s="966" t="str">
        <f>IFERROR(IF(AF213="","",IF(AF213&lt;=0.2,"Leve",IF(AF213&lt;=0.4,"Menor",IF(AF213&lt;=0.6,"Moderado",IF(AF213&lt;=0.8,"Mayor","Catastrófico"))))),"")</f>
        <v>Moderado</v>
      </c>
      <c r="AF213" s="967">
        <f>IFERROR(IF(U213="Impacto",(Q213-(+Q213*X213)),IF(U213="Probabilidad",Q213,"")),"")</f>
        <v>0.6</v>
      </c>
      <c r="AG213" s="3138" t="str">
        <f>IFERROR(IF(OR(AND(AC213="Muy Baja",AE213="Leve"),AND(AC213="Muy Baja",AE213="Menor"),AND(AC213="Baja",AE213="Leve")),"Bajo",IF(OR(AND(AC213="Muy baja",AE213="Moderado"),AND(AC213="Baja",AE213="Menor"),AND(AC213="Baja",AE213="Moderado"),AND(AC213="Media",AE213="Leve"),AND(AC213="Media",AE213="Menor"),AND(AC213="Media",AE213="Moderado"),AND(AC213="Alta",AE213="Leve"),AND(AC213="Alta",AE213="Menor")),"Moderado",IF(OR(AND(AC213="Muy Baja",AE213="Mayor"),AND(AC213="Baja",AE213="Mayor"),AND(AC213="Media",AE213="Mayor"),AND(AC213="Alta",AE213="Moderado"),AND(AC213="Alta",AE213="Mayor"),AND(AC213="Muy Alta",AE213="Leve"),AND(AC213="Muy Alta",AE213="Menor"),AND(AC213="Muy Alta",AE213="Moderado"),AND(AC213="Muy Alta",AE213="Mayor")),"Alto",IF(OR(AND(AC213="Muy Baja",AE213="Catastrófico"),AND(AC213="Baja",AE213="Catastrófico"),AND(AC213="Media",AE213="Catastrófico"),AND(AC213="Alta",AE213="Catastrófico"),AND(AC213="Muy Alta",AE213="Catastrófico")),"Extremo","")))),"")</f>
        <v>Moderado</v>
      </c>
      <c r="AH213" s="3141" t="s">
        <v>205</v>
      </c>
      <c r="AI213" s="969" t="s">
        <v>954</v>
      </c>
      <c r="AJ213" s="969" t="s">
        <v>227</v>
      </c>
      <c r="AK213" s="970" t="s">
        <v>955</v>
      </c>
      <c r="AL213" s="970" t="s">
        <v>956</v>
      </c>
      <c r="AM213" s="971" t="s">
        <v>1415</v>
      </c>
      <c r="AN213" s="730" t="s">
        <v>958</v>
      </c>
    </row>
    <row r="214" spans="2:40" ht="273.60000000000002" x14ac:dyDescent="0.3">
      <c r="B214" s="3057"/>
      <c r="C214" s="3060"/>
      <c r="D214" s="3060"/>
      <c r="E214" s="3063"/>
      <c r="F214" s="958" t="s">
        <v>959</v>
      </c>
      <c r="G214" s="3065"/>
      <c r="H214" s="3067"/>
      <c r="I214" s="3065"/>
      <c r="J214" s="3070"/>
      <c r="K214" s="3073"/>
      <c r="L214" s="3076"/>
      <c r="M214" s="3079"/>
      <c r="N214" s="3082"/>
      <c r="O214" s="3079">
        <f>IF(NOT(ISERROR(MATCH(N214,_xlfn.ANCHORARRAY(G218),0))),M220&amp;"Por favor no seleccionar los criterios de impacto",N214)</f>
        <v>0</v>
      </c>
      <c r="P214" s="3076"/>
      <c r="Q214" s="3079"/>
      <c r="R214" s="3085"/>
      <c r="S214" s="960">
        <v>2</v>
      </c>
      <c r="T214" s="972" t="s">
        <v>960</v>
      </c>
      <c r="U214" s="962" t="str">
        <f>IF(OR(V214="Preventivo",V214="Detectivo"),"Probabilidad",IF(V214="Correctivo","Impacto",""))</f>
        <v>Probabilidad</v>
      </c>
      <c r="V214" s="963" t="s">
        <v>207</v>
      </c>
      <c r="W214" s="963" t="s">
        <v>201</v>
      </c>
      <c r="X214" s="964" t="str">
        <f t="shared" ref="X214:X216" si="109">IF(AND(V214="Preventivo",W214="Automático"),"50%",IF(AND(V214="Preventivo",W214="Manual"),"40%",IF(AND(V214="Detectivo",W214="Automático"),"40%",IF(AND(V214="Detectivo",W214="Manual"),"30%",IF(AND(V214="Correctivo",W214="Automático"),"35%",IF(AND(V214="Correctivo",W214="Manual"),"25%",""))))))</f>
        <v>40%</v>
      </c>
      <c r="Y214" s="963" t="s">
        <v>208</v>
      </c>
      <c r="Z214" s="963" t="s">
        <v>203</v>
      </c>
      <c r="AA214" s="963" t="s">
        <v>204</v>
      </c>
      <c r="AB214" s="965">
        <f>IFERROR(IF(AND(U213="Probabilidad",U214="Probabilidad"),(AD213-(+AD213*X214)),IF(AND(U213="Impacto",U214="Probabilidad"),(M213-(+M213*X214)),IF(U214="Impacto",AD213,""))),"")</f>
        <v>0.14399999999999999</v>
      </c>
      <c r="AC214" s="966" t="str">
        <f t="shared" ref="AC214:AC216" si="110">IFERROR(IF(AB214="","",IF(AB214&lt;=0.2,"Muy Baja",IF(AB214&lt;=0.4,"Baja",IF(AB214&lt;=0.6,"Media",IF(AB214&lt;=0.8,"Alta","Muy Alta"))))),"")</f>
        <v>Muy Baja</v>
      </c>
      <c r="AD214" s="967">
        <f>+AB214</f>
        <v>0.14399999999999999</v>
      </c>
      <c r="AE214" s="966" t="str">
        <f t="shared" ref="AE214:AE216" si="111">IFERROR(IF(AF214="","",IF(AF214&lt;=0.2,"Leve",IF(AF214&lt;=0.4,"Menor",IF(AF214&lt;=0.6,"Moderado",IF(AF214&lt;=0.8,"Mayor","Catastrófico"))))),"")</f>
        <v>Moderado</v>
      </c>
      <c r="AF214" s="967">
        <f>IFERROR(IF(AND(U213="Impacto",U214="Impacto"),(AF213-(+AF213*X214)),IF(AND(U213="Probabilidad",U214="Impacto"),(Q213-(+Q213*X214)),IF(U214="Probabilidad",AF213,""))),"")</f>
        <v>0.6</v>
      </c>
      <c r="AG214" s="3159"/>
      <c r="AH214" s="3161"/>
      <c r="AI214" s="961" t="s">
        <v>961</v>
      </c>
      <c r="AJ214" s="961" t="s">
        <v>228</v>
      </c>
      <c r="AK214" s="970" t="s">
        <v>962</v>
      </c>
      <c r="AL214" s="973" t="s">
        <v>956</v>
      </c>
      <c r="AM214" s="974" t="s">
        <v>1416</v>
      </c>
      <c r="AN214" s="730" t="s">
        <v>958</v>
      </c>
    </row>
    <row r="215" spans="2:40" ht="179.4" x14ac:dyDescent="0.3">
      <c r="B215" s="3057"/>
      <c r="C215" s="3060"/>
      <c r="D215" s="3060"/>
      <c r="E215" s="3063"/>
      <c r="F215" s="975" t="s">
        <v>229</v>
      </c>
      <c r="G215" s="3065"/>
      <c r="H215" s="3067"/>
      <c r="I215" s="3065"/>
      <c r="J215" s="3070"/>
      <c r="K215" s="3073"/>
      <c r="L215" s="3076"/>
      <c r="M215" s="3079"/>
      <c r="N215" s="3082"/>
      <c r="O215" s="3079">
        <f>IF(NOT(ISERROR(MATCH(N215,_xlfn.ANCHORARRAY(G219),0))),M221&amp;"Por favor no seleccionar los criterios de impacto",N215)</f>
        <v>0</v>
      </c>
      <c r="P215" s="3076"/>
      <c r="Q215" s="3079"/>
      <c r="R215" s="3085"/>
      <c r="S215" s="960">
        <v>3</v>
      </c>
      <c r="T215" s="976" t="s">
        <v>964</v>
      </c>
      <c r="U215" s="962" t="str">
        <f t="shared" ref="U215:U216" si="112">IF(OR(V215="Preventivo",V215="Detectivo"),"Probabilidad",IF(V215="Correctivo","Impacto",""))</f>
        <v>Probabilidad</v>
      </c>
      <c r="V215" s="963" t="s">
        <v>207</v>
      </c>
      <c r="W215" s="963" t="s">
        <v>201</v>
      </c>
      <c r="X215" s="964" t="str">
        <f t="shared" si="109"/>
        <v>40%</v>
      </c>
      <c r="Y215" s="963" t="s">
        <v>208</v>
      </c>
      <c r="Z215" s="963" t="s">
        <v>203</v>
      </c>
      <c r="AA215" s="963" t="s">
        <v>204</v>
      </c>
      <c r="AB215" s="965">
        <f>IFERROR(IF(AND(U214="Probabilidad",U215="Probabilidad"),(AD214-(+AD214*X215)),IF(AND(U214="Impacto",U215="Probabilidad"),(AD213-(+AD213*X215)),IF(U215="Impacto",AD214,""))),"")</f>
        <v>8.6399999999999991E-2</v>
      </c>
      <c r="AC215" s="966" t="str">
        <f t="shared" si="110"/>
        <v>Muy Baja</v>
      </c>
      <c r="AD215" s="967">
        <f t="shared" ref="AD215:AD216" si="113">+AB215</f>
        <v>8.6399999999999991E-2</v>
      </c>
      <c r="AE215" s="966" t="str">
        <f t="shared" si="111"/>
        <v>Moderado</v>
      </c>
      <c r="AF215" s="967">
        <f t="shared" ref="AF215:AF216" si="114">IFERROR(IF(AND(U214="Impacto",U215="Impacto"),(AF214-(+AF214*X215)),IF(AND(U214="Probabilidad",U215="Impacto"),(AF213-(+AF213*X215)),IF(U215="Probabilidad",AF214,""))),"")</f>
        <v>0.6</v>
      </c>
      <c r="AG215" s="3159"/>
      <c r="AH215" s="3161"/>
      <c r="AI215" s="961" t="s">
        <v>965</v>
      </c>
      <c r="AJ215" s="961" t="s">
        <v>227</v>
      </c>
      <c r="AK215" s="970" t="s">
        <v>966</v>
      </c>
      <c r="AL215" s="973" t="s">
        <v>956</v>
      </c>
      <c r="AM215" s="961" t="s">
        <v>1417</v>
      </c>
      <c r="AN215" s="730" t="s">
        <v>958</v>
      </c>
    </row>
    <row r="216" spans="2:40" ht="151.80000000000001" x14ac:dyDescent="0.3">
      <c r="B216" s="3057"/>
      <c r="C216" s="3060"/>
      <c r="D216" s="3060"/>
      <c r="E216" s="3063"/>
      <c r="F216" s="975" t="s">
        <v>230</v>
      </c>
      <c r="G216" s="3065"/>
      <c r="H216" s="3068"/>
      <c r="I216" s="3065"/>
      <c r="J216" s="3070"/>
      <c r="K216" s="3073"/>
      <c r="L216" s="3076"/>
      <c r="M216" s="3079"/>
      <c r="N216" s="3082"/>
      <c r="O216" s="3079">
        <f>IF(NOT(ISERROR(MATCH(N216,_xlfn.ANCHORARRAY(G220),0))),M222&amp;"Por favor no seleccionar los criterios de impacto",N216)</f>
        <v>0</v>
      </c>
      <c r="P216" s="3076"/>
      <c r="Q216" s="3079"/>
      <c r="R216" s="3085"/>
      <c r="S216" s="960">
        <v>4</v>
      </c>
      <c r="T216" s="972" t="s">
        <v>231</v>
      </c>
      <c r="U216" s="962" t="str">
        <f t="shared" si="112"/>
        <v>Probabilidad</v>
      </c>
      <c r="V216" s="963" t="s">
        <v>207</v>
      </c>
      <c r="W216" s="963" t="s">
        <v>201</v>
      </c>
      <c r="X216" s="964" t="str">
        <f t="shared" si="109"/>
        <v>40%</v>
      </c>
      <c r="Y216" s="963" t="s">
        <v>208</v>
      </c>
      <c r="Z216" s="963" t="s">
        <v>203</v>
      </c>
      <c r="AA216" s="963" t="s">
        <v>204</v>
      </c>
      <c r="AB216" s="965">
        <f t="shared" ref="AB216" si="115">IFERROR(IF(AND(U215="Probabilidad",U216="Probabilidad"),(AD215-(+AD215*X216)),IF(AND(U215="Impacto",U216="Probabilidad"),(AD214-(+AD214*X216)),IF(U216="Impacto",AD215,""))),"")</f>
        <v>5.183999999999999E-2</v>
      </c>
      <c r="AC216" s="966" t="str">
        <f t="shared" si="110"/>
        <v>Muy Baja</v>
      </c>
      <c r="AD216" s="967">
        <f t="shared" si="113"/>
        <v>5.183999999999999E-2</v>
      </c>
      <c r="AE216" s="966" t="str">
        <f t="shared" si="111"/>
        <v>Moderado</v>
      </c>
      <c r="AF216" s="967">
        <f t="shared" si="114"/>
        <v>0.6</v>
      </c>
      <c r="AG216" s="3160"/>
      <c r="AH216" s="3162"/>
      <c r="AI216" s="961" t="s">
        <v>232</v>
      </c>
      <c r="AJ216" s="961" t="s">
        <v>233</v>
      </c>
      <c r="AK216" s="970" t="s">
        <v>968</v>
      </c>
      <c r="AL216" s="973" t="s">
        <v>956</v>
      </c>
      <c r="AM216" s="961" t="s">
        <v>1418</v>
      </c>
      <c r="AN216" s="730" t="s">
        <v>958</v>
      </c>
    </row>
    <row r="217" spans="2:40" ht="243" customHeight="1" x14ac:dyDescent="0.3">
      <c r="B217" s="957">
        <v>2</v>
      </c>
      <c r="C217" s="978" t="s">
        <v>197</v>
      </c>
      <c r="D217" s="978" t="s">
        <v>234</v>
      </c>
      <c r="E217" s="979" t="s">
        <v>235</v>
      </c>
      <c r="F217" s="980" t="s">
        <v>970</v>
      </c>
      <c r="G217" s="981" t="s">
        <v>236</v>
      </c>
      <c r="H217" s="982" t="s">
        <v>512</v>
      </c>
      <c r="I217" s="982" t="s">
        <v>237</v>
      </c>
      <c r="J217" s="983" t="s">
        <v>198</v>
      </c>
      <c r="K217" s="984">
        <v>4</v>
      </c>
      <c r="L217" s="985" t="str">
        <f>IF(K217&lt;=0,"",IF(K217&lt;=2,"Muy Baja",IF(K217&lt;=24,"Baja",IF(K217&lt;=500,"Media",IF(K217&lt;=5000,"Alta","Muy Alta")))))</f>
        <v>Baja</v>
      </c>
      <c r="M217" s="986">
        <f>IF(L217="","",IF(L217="Muy Baja",0.2,IF(L217="Baja",0.4,IF(L217="Media",0.6,IF(L217="Alta",0.8,IF(L217="Muy Alta",1,))))))</f>
        <v>0.4</v>
      </c>
      <c r="N217" s="987" t="s">
        <v>225</v>
      </c>
      <c r="O217" s="986" t="str">
        <f>IF(NOT(ISERROR(MATCH(N217,'[22]Tabla Impacto'!$B$221:$B$223,0))),'[22]Tabla Impacto'!$F$223&amp;"Por favor no seleccionar los criterios de impacto(Afectación Económica o presupuestal y Pérdida Reputacional)",N217)</f>
        <v xml:space="preserve">     El riesgo afecta la imagen de la entidad con algunos usuarios de relevancia frente al logro de los objetivos</v>
      </c>
      <c r="P217" s="985" t="str">
        <f>IF(OR(O217='[22]Tabla Impacto'!$C$11,O217='[22]Tabla Impacto'!$D$11),"Leve",IF(OR(O217='[22]Tabla Impacto'!$C$12,O217='[22]Tabla Impacto'!$D$12),"Menor",IF(OR(O217='[22]Tabla Impacto'!$C$13,O217='[22]Tabla Impacto'!$D$13),"Moderado",IF(OR(O217='[22]Tabla Impacto'!$C$14,O217='[22]Tabla Impacto'!$D$14),"Mayor",IF(OR(O217='[22]Tabla Impacto'!$C$15,O217='[22]Tabla Impacto'!$D$15),"Catastrófico","")))))</f>
        <v>Moderado</v>
      </c>
      <c r="Q217" s="986">
        <f>IF(P217="","",IF(P217="Leve",0.2,IF(P217="Menor",0.4,IF(P217="Moderado",0.6,IF(P217="Mayor",0.8,IF(P217="Catastrófico",1,))))))</f>
        <v>0.6</v>
      </c>
      <c r="R217" s="988" t="str">
        <f>IF(OR(AND(L217="Muy Baja",P217="Leve"),AND(L217="Muy Baja",P217="Menor"),AND(L217="Baja",P217="Leve")),"Bajo",IF(OR(AND(L217="Muy baja",P217="Moderado"),AND(L217="Baja",P217="Menor"),AND(L217="Baja",P217="Moderado"),AND(L217="Media",P217="Leve"),AND(L217="Media",P217="Menor"),AND(L217="Media",P217="Moderado"),AND(L217="Alta",P217="Leve"),AND(L217="Alta",P217="Menor")),"Moderado",IF(OR(AND(L217="Muy Baja",P217="Mayor"),AND(L217="Baja",P217="Mayor"),AND(L217="Media",P217="Mayor"),AND(L217="Alta",P217="Moderado"),AND(L217="Alta",P217="Mayor"),AND(L217="Muy Alta",P217="Leve"),AND(L217="Muy Alta",P217="Menor"),AND(L217="Muy Alta",P217="Moderado"),AND(L217="Muy Alta",P217="Mayor")),"Alto",IF(OR(AND(L217="Muy Baja",P217="Catastrófico"),AND(L217="Baja",P217="Catastrófico"),AND(L217="Media",P217="Catastrófico"),AND(L217="Alta",P217="Catastrófico"),AND(L217="Muy Alta",P217="Catastrófico")),"Extremo",""))))</f>
        <v>Moderado</v>
      </c>
      <c r="S217" s="960">
        <v>1</v>
      </c>
      <c r="T217" s="989" t="s">
        <v>238</v>
      </c>
      <c r="U217" s="962" t="str">
        <f>IF(OR(V217="Preventivo",V217="Detectivo"),"Probabilidad",IF(V217="Correctivo","Impacto",""))</f>
        <v>Probabilidad</v>
      </c>
      <c r="V217" s="963" t="s">
        <v>207</v>
      </c>
      <c r="W217" s="963" t="s">
        <v>201</v>
      </c>
      <c r="X217" s="964" t="str">
        <f>IF(AND(V217="Preventivo",W217="Automático"),"50%",IF(AND(V217="Preventivo",W217="Manual"),"40%",IF(AND(V217="Detectivo",W217="Automático"),"40%",IF(AND(V217="Detectivo",W217="Manual"),"30%",IF(AND(V217="Correctivo",W217="Automático"),"35%",IF(AND(V217="Correctivo",W217="Manual"),"25%",""))))))</f>
        <v>40%</v>
      </c>
      <c r="Y217" s="963" t="s">
        <v>208</v>
      </c>
      <c r="Z217" s="963" t="s">
        <v>203</v>
      </c>
      <c r="AA217" s="963" t="s">
        <v>204</v>
      </c>
      <c r="AB217" s="965">
        <f>IFERROR(IF(U217="Probabilidad",(M217-(+M217*X217)),IF(U217="Impacto",M217,"")),"")</f>
        <v>0.24</v>
      </c>
      <c r="AC217" s="966" t="str">
        <f>IFERROR(IF(AB217="","",IF(AB217&lt;=0.2,"Muy Baja",IF(AB217&lt;=0.4,"Baja",IF(AB217&lt;=0.6,"Media",IF(AB217&lt;=0.8,"Alta","Muy Alta"))))),"")</f>
        <v>Baja</v>
      </c>
      <c r="AD217" s="967">
        <f>+AB217</f>
        <v>0.24</v>
      </c>
      <c r="AE217" s="966" t="str">
        <f>IFERROR(IF(AF217="","",IF(AF217&lt;=0.2,"Leve",IF(AF217&lt;=0.4,"Menor",IF(AF217&lt;=0.6,"Moderado",IF(AF217&lt;=0.8,"Mayor","Catastrófico"))))),"")</f>
        <v>Moderado</v>
      </c>
      <c r="AF217" s="967">
        <f>IFERROR(IF(U217="Impacto",(Q217-(+Q217*X217)),IF(U217="Probabilidad",Q217,"")),"")</f>
        <v>0.6</v>
      </c>
      <c r="AG217" s="1101" t="str">
        <f>IFERROR(IF(OR(AND(AC217="Muy Baja",AE217="Leve"),AND(AC217="Muy Baja",AE217="Menor"),AND(AC217="Baja",AE217="Leve")),"Bajo",IF(OR(AND(AC217="Muy baja",AE217="Moderado"),AND(AC217="Baja",AE217="Menor"),AND(AC217="Baja",AE217="Moderado"),AND(AC217="Media",AE217="Leve"),AND(AC217="Media",AE217="Menor"),AND(AC217="Media",AE217="Moderado"),AND(AC217="Alta",AE217="Leve"),AND(AC217="Alta",AE217="Menor")),"Moderado",IF(OR(AND(AC217="Muy Baja",AE217="Mayor"),AND(AC217="Baja",AE217="Mayor"),AND(AC217="Media",AE217="Mayor"),AND(AC217="Alta",AE217="Moderado"),AND(AC217="Alta",AE217="Mayor"),AND(AC217="Muy Alta",AE217="Leve"),AND(AC217="Muy Alta",AE217="Menor"),AND(AC217="Muy Alta",AE217="Moderado"),AND(AC217="Muy Alta",AE217="Mayor")),"Alto",IF(OR(AND(AC217="Muy Baja",AE217="Catastrófico"),AND(AC217="Baja",AE217="Catastrófico"),AND(AC217="Media",AE217="Catastrófico"),AND(AC217="Alta",AE217="Catastrófico"),AND(AC217="Muy Alta",AE217="Catastrófico")),"Extremo","")))),"")</f>
        <v>Moderado</v>
      </c>
      <c r="AH217" s="968" t="s">
        <v>205</v>
      </c>
      <c r="AI217" s="1102" t="s">
        <v>971</v>
      </c>
      <c r="AJ217" s="976" t="s">
        <v>239</v>
      </c>
      <c r="AK217" s="970" t="s">
        <v>972</v>
      </c>
      <c r="AL217" s="973" t="s">
        <v>956</v>
      </c>
      <c r="AM217" s="971" t="s">
        <v>1419</v>
      </c>
      <c r="AN217" s="730" t="s">
        <v>958</v>
      </c>
    </row>
  </sheetData>
  <mergeCells count="1149">
    <mergeCell ref="B197:B199"/>
    <mergeCell ref="C197:C199"/>
    <mergeCell ref="D197:D199"/>
    <mergeCell ref="E197:E199"/>
    <mergeCell ref="B208:C208"/>
    <mergeCell ref="D208:AN208"/>
    <mergeCell ref="B209:C209"/>
    <mergeCell ref="D209:AN209"/>
    <mergeCell ref="AE6:AE7"/>
    <mergeCell ref="A2:B2"/>
    <mergeCell ref="C2:AM2"/>
    <mergeCell ref="A3:B3"/>
    <mergeCell ref="B186:AN187"/>
    <mergeCell ref="B189:C189"/>
    <mergeCell ref="D189:AN189"/>
    <mergeCell ref="B190:C190"/>
    <mergeCell ref="D190:AN190"/>
    <mergeCell ref="B191:C191"/>
    <mergeCell ref="D191:AN191"/>
    <mergeCell ref="B192:K192"/>
    <mergeCell ref="L192:R192"/>
    <mergeCell ref="S192:AA192"/>
    <mergeCell ref="AB192:AH192"/>
    <mergeCell ref="AI192:AN192"/>
    <mergeCell ref="B193:B194"/>
    <mergeCell ref="AK8:AK9"/>
    <mergeCell ref="C3:AM3"/>
    <mergeCell ref="A4:B4"/>
    <mergeCell ref="C4:AM4"/>
    <mergeCell ref="A5:J5"/>
    <mergeCell ref="K5:Q5"/>
    <mergeCell ref="R5:Z5"/>
    <mergeCell ref="AA5:AG5"/>
    <mergeCell ref="AH5:AM5"/>
    <mergeCell ref="A6:A7"/>
    <mergeCell ref="B6:B7"/>
    <mergeCell ref="C6:C7"/>
    <mergeCell ref="D6:D7"/>
    <mergeCell ref="E6:E7"/>
    <mergeCell ref="F6:F7"/>
    <mergeCell ref="I6:I7"/>
    <mergeCell ref="J6:J7"/>
    <mergeCell ref="K6:K7"/>
    <mergeCell ref="L6:L7"/>
    <mergeCell ref="M6:M7"/>
    <mergeCell ref="N6:N7"/>
    <mergeCell ref="O6:O7"/>
    <mergeCell ref="P6:P7"/>
    <mergeCell ref="Q6:Q7"/>
    <mergeCell ref="R6:R7"/>
    <mergeCell ref="S6:S7"/>
    <mergeCell ref="T6:T7"/>
    <mergeCell ref="U6:Z6"/>
    <mergeCell ref="AA6:AA7"/>
    <mergeCell ref="AB6:AB7"/>
    <mergeCell ref="AC6:AC7"/>
    <mergeCell ref="AD6:AD7"/>
    <mergeCell ref="AM8:AM9"/>
    <mergeCell ref="AN8:AN9"/>
    <mergeCell ref="AO8:AO9"/>
    <mergeCell ref="AP8:AP9"/>
    <mergeCell ref="A11:AM12"/>
    <mergeCell ref="A14:B14"/>
    <mergeCell ref="C14:AM14"/>
    <mergeCell ref="A15:B15"/>
    <mergeCell ref="C15:AM15"/>
    <mergeCell ref="A16:B16"/>
    <mergeCell ref="C16:AM16"/>
    <mergeCell ref="A17:J17"/>
    <mergeCell ref="K17:Q17"/>
    <mergeCell ref="R17:Z17"/>
    <mergeCell ref="AA17:AG17"/>
    <mergeCell ref="AH17:AM17"/>
    <mergeCell ref="AF6:AF7"/>
    <mergeCell ref="AG6:AG7"/>
    <mergeCell ref="AH6:AH7"/>
    <mergeCell ref="AI6:AI7"/>
    <mergeCell ref="AJ6:AJ7"/>
    <mergeCell ref="AK6:AK7"/>
    <mergeCell ref="AL6:AL7"/>
    <mergeCell ref="AM6:AM7"/>
    <mergeCell ref="AN6:AN7"/>
    <mergeCell ref="AO6:AO7"/>
    <mergeCell ref="AP6:AP7"/>
    <mergeCell ref="A8:A9"/>
    <mergeCell ref="B8:B9"/>
    <mergeCell ref="C8:C9"/>
    <mergeCell ref="D8:D9"/>
    <mergeCell ref="F8:F9"/>
    <mergeCell ref="B18:B19"/>
    <mergeCell ref="C18:C19"/>
    <mergeCell ref="D18:D19"/>
    <mergeCell ref="E18:E19"/>
    <mergeCell ref="F18:F19"/>
    <mergeCell ref="I18:I19"/>
    <mergeCell ref="J18:J19"/>
    <mergeCell ref="K18:K19"/>
    <mergeCell ref="L18:L19"/>
    <mergeCell ref="M18:M19"/>
    <mergeCell ref="N18:N19"/>
    <mergeCell ref="O18:O19"/>
    <mergeCell ref="P18:P19"/>
    <mergeCell ref="Q18:Q19"/>
    <mergeCell ref="R18:R19"/>
    <mergeCell ref="S18:S19"/>
    <mergeCell ref="AL8:AL9"/>
    <mergeCell ref="G8:G9"/>
    <mergeCell ref="H8:H9"/>
    <mergeCell ref="I8:I9"/>
    <mergeCell ref="J8:J9"/>
    <mergeCell ref="K8:K9"/>
    <mergeCell ref="L8:L9"/>
    <mergeCell ref="M8:M9"/>
    <mergeCell ref="N8:N9"/>
    <mergeCell ref="O8:O9"/>
    <mergeCell ref="P8:P9"/>
    <mergeCell ref="Q8:Q9"/>
    <mergeCell ref="AG8:AG9"/>
    <mergeCell ref="AH8:AH9"/>
    <mergeCell ref="AI8:AI9"/>
    <mergeCell ref="AJ8:AJ9"/>
    <mergeCell ref="T18:T19"/>
    <mergeCell ref="U18:Z18"/>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20:A22"/>
    <mergeCell ref="B20:B22"/>
    <mergeCell ref="C20:C22"/>
    <mergeCell ref="D20:D22"/>
    <mergeCell ref="F20:F22"/>
    <mergeCell ref="G20:G22"/>
    <mergeCell ref="H20:H22"/>
    <mergeCell ref="I20:I22"/>
    <mergeCell ref="J20:J22"/>
    <mergeCell ref="K20:K22"/>
    <mergeCell ref="L20:L22"/>
    <mergeCell ref="M20:M22"/>
    <mergeCell ref="N20:N22"/>
    <mergeCell ref="O20:O22"/>
    <mergeCell ref="P20:P22"/>
    <mergeCell ref="Q20:Q22"/>
    <mergeCell ref="A18:A19"/>
    <mergeCell ref="A23:A24"/>
    <mergeCell ref="B23:B24"/>
    <mergeCell ref="C23:C24"/>
    <mergeCell ref="D23:D24"/>
    <mergeCell ref="F23:F24"/>
    <mergeCell ref="G23:G24"/>
    <mergeCell ref="I23:I24"/>
    <mergeCell ref="J23:J24"/>
    <mergeCell ref="K23:K24"/>
    <mergeCell ref="L23:L24"/>
    <mergeCell ref="M23:M24"/>
    <mergeCell ref="N23:N24"/>
    <mergeCell ref="O23:O24"/>
    <mergeCell ref="P23:P24"/>
    <mergeCell ref="Q23:Q24"/>
    <mergeCell ref="B26:AM27"/>
    <mergeCell ref="B29:C29"/>
    <mergeCell ref="D29:AM29"/>
    <mergeCell ref="B30:C30"/>
    <mergeCell ref="D30:AM30"/>
    <mergeCell ref="B31:C31"/>
    <mergeCell ref="D31:AM31"/>
    <mergeCell ref="B32:K32"/>
    <mergeCell ref="L32:R32"/>
    <mergeCell ref="S32:AA32"/>
    <mergeCell ref="AB32:AH32"/>
    <mergeCell ref="AI32:AM32"/>
    <mergeCell ref="B33:B34"/>
    <mergeCell ref="C33:C34"/>
    <mergeCell ref="D33:D34"/>
    <mergeCell ref="E33:E34"/>
    <mergeCell ref="F33:F34"/>
    <mergeCell ref="G33:G34"/>
    <mergeCell ref="J33:J34"/>
    <mergeCell ref="K33:K34"/>
    <mergeCell ref="L33:L34"/>
    <mergeCell ref="M33:M34"/>
    <mergeCell ref="N33:N34"/>
    <mergeCell ref="O33:O34"/>
    <mergeCell ref="P33:P34"/>
    <mergeCell ref="Q33:Q34"/>
    <mergeCell ref="R33:R34"/>
    <mergeCell ref="S33:S34"/>
    <mergeCell ref="T33:T34"/>
    <mergeCell ref="U33:U34"/>
    <mergeCell ref="V33:AA33"/>
    <mergeCell ref="AB33:AB34"/>
    <mergeCell ref="AC33:AC34"/>
    <mergeCell ref="AD33:AD34"/>
    <mergeCell ref="AE33:AE34"/>
    <mergeCell ref="AF33:AF34"/>
    <mergeCell ref="AG33:AG34"/>
    <mergeCell ref="AH33:AH34"/>
    <mergeCell ref="AI33:AI34"/>
    <mergeCell ref="AJ33:AJ34"/>
    <mergeCell ref="AK33:AK34"/>
    <mergeCell ref="AL33:AL34"/>
    <mergeCell ref="AM33:AM34"/>
    <mergeCell ref="AN33:AN34"/>
    <mergeCell ref="AO33:AO34"/>
    <mergeCell ref="AP33:AP34"/>
    <mergeCell ref="AQ33:AQ34"/>
    <mergeCell ref="AR33:AR34"/>
    <mergeCell ref="AS33:AS34"/>
    <mergeCell ref="AT33:AT34"/>
    <mergeCell ref="AU33:AU34"/>
    <mergeCell ref="AV33:AV34"/>
    <mergeCell ref="AW33:AW34"/>
    <mergeCell ref="AX33:AX34"/>
    <mergeCell ref="AY33:AY34"/>
    <mergeCell ref="AZ33:AZ34"/>
    <mergeCell ref="B35:B37"/>
    <mergeCell ref="C35:C37"/>
    <mergeCell ref="D35:D37"/>
    <mergeCell ref="E35:E37"/>
    <mergeCell ref="G35:G37"/>
    <mergeCell ref="H35:H37"/>
    <mergeCell ref="I35:I37"/>
    <mergeCell ref="J35:J37"/>
    <mergeCell ref="K35:K37"/>
    <mergeCell ref="L35:L37"/>
    <mergeCell ref="M35:M37"/>
    <mergeCell ref="N35:N37"/>
    <mergeCell ref="O35:O37"/>
    <mergeCell ref="P35:P37"/>
    <mergeCell ref="Q35:Q37"/>
    <mergeCell ref="R35:R37"/>
    <mergeCell ref="AH35:AH36"/>
    <mergeCell ref="AJ35:AJ36"/>
    <mergeCell ref="AK35:AK36"/>
    <mergeCell ref="AM35:AM36"/>
    <mergeCell ref="AN35:AN36"/>
    <mergeCell ref="AP35:AP36"/>
    <mergeCell ref="AQ35:AQ36"/>
    <mergeCell ref="AS35:AS36"/>
    <mergeCell ref="AT35:AT36"/>
    <mergeCell ref="AV35:AV36"/>
    <mergeCell ref="AW35:AW36"/>
    <mergeCell ref="AY35:AY36"/>
    <mergeCell ref="AZ35:AZ36"/>
    <mergeCell ref="B38:B39"/>
    <mergeCell ref="C38:C39"/>
    <mergeCell ref="D38:D39"/>
    <mergeCell ref="E38:E39"/>
    <mergeCell ref="G38:G39"/>
    <mergeCell ref="H38:H39"/>
    <mergeCell ref="I38:I39"/>
    <mergeCell ref="J38:J39"/>
    <mergeCell ref="K38:K39"/>
    <mergeCell ref="L38:L39"/>
    <mergeCell ref="M38:M39"/>
    <mergeCell ref="N38:N39"/>
    <mergeCell ref="O38:O39"/>
    <mergeCell ref="P38:P39"/>
    <mergeCell ref="Q38:Q39"/>
    <mergeCell ref="R38:R39"/>
    <mergeCell ref="AH38:AH39"/>
    <mergeCell ref="AJ38:AJ39"/>
    <mergeCell ref="AK38:AK39"/>
    <mergeCell ref="AM38:AM39"/>
    <mergeCell ref="AN38:AN39"/>
    <mergeCell ref="AP38:AP39"/>
    <mergeCell ref="AQ38:AQ39"/>
    <mergeCell ref="AS38:AS39"/>
    <mergeCell ref="AT38:AT39"/>
    <mergeCell ref="AV38:AV39"/>
    <mergeCell ref="AW38:AW39"/>
    <mergeCell ref="AY38:AY39"/>
    <mergeCell ref="AZ38:AZ39"/>
    <mergeCell ref="AU40:AU41"/>
    <mergeCell ref="AV40:AV41"/>
    <mergeCell ref="AW40:AW41"/>
    <mergeCell ref="AX40:AX41"/>
    <mergeCell ref="B40:B41"/>
    <mergeCell ref="C40:C41"/>
    <mergeCell ref="D40:D41"/>
    <mergeCell ref="E40:E41"/>
    <mergeCell ref="G40:G41"/>
    <mergeCell ref="H40:H41"/>
    <mergeCell ref="I40:I41"/>
    <mergeCell ref="J40:J41"/>
    <mergeCell ref="K40:K41"/>
    <mergeCell ref="L40:L41"/>
    <mergeCell ref="M40:M41"/>
    <mergeCell ref="N40:N41"/>
    <mergeCell ref="O40:O41"/>
    <mergeCell ref="P40:P41"/>
    <mergeCell ref="Q40:Q41"/>
    <mergeCell ref="R40:R41"/>
    <mergeCell ref="S40:S41"/>
    <mergeCell ref="B52:B56"/>
    <mergeCell ref="C52:C56"/>
    <mergeCell ref="D52:D56"/>
    <mergeCell ref="G52:G56"/>
    <mergeCell ref="H52:H56"/>
    <mergeCell ref="I52:I56"/>
    <mergeCell ref="J52:J56"/>
    <mergeCell ref="K52:K56"/>
    <mergeCell ref="L52:L56"/>
    <mergeCell ref="M52:M56"/>
    <mergeCell ref="N52:N56"/>
    <mergeCell ref="O52:O56"/>
    <mergeCell ref="P52:P56"/>
    <mergeCell ref="Q52:Q56"/>
    <mergeCell ref="AY40:AY41"/>
    <mergeCell ref="AZ40:AZ41"/>
    <mergeCell ref="A46:B46"/>
    <mergeCell ref="A47:B47"/>
    <mergeCell ref="A48:B48"/>
    <mergeCell ref="AH40:AH41"/>
    <mergeCell ref="AI40:AI41"/>
    <mergeCell ref="AJ40:AJ41"/>
    <mergeCell ref="AK40:AK41"/>
    <mergeCell ref="AL40:AL41"/>
    <mergeCell ref="AM40:AM41"/>
    <mergeCell ref="AN40:AN41"/>
    <mergeCell ref="AO40:AO41"/>
    <mergeCell ref="AP40:AP41"/>
    <mergeCell ref="AQ40:AQ41"/>
    <mergeCell ref="AR40:AR41"/>
    <mergeCell ref="AS40:AS41"/>
    <mergeCell ref="AT40:AT41"/>
    <mergeCell ref="K50:K51"/>
    <mergeCell ref="L50:L51"/>
    <mergeCell ref="M50:M51"/>
    <mergeCell ref="N50:N51"/>
    <mergeCell ref="O50:O51"/>
    <mergeCell ref="P50:P51"/>
    <mergeCell ref="Q50:Q51"/>
    <mergeCell ref="R50:R51"/>
    <mergeCell ref="S50:S51"/>
    <mergeCell ref="U50:U51"/>
    <mergeCell ref="V50:AA50"/>
    <mergeCell ref="AN50:AN51"/>
    <mergeCell ref="E52:E56"/>
    <mergeCell ref="F52:F53"/>
    <mergeCell ref="R52:R56"/>
    <mergeCell ref="T50:T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43:AN44"/>
    <mergeCell ref="C46:AN46"/>
    <mergeCell ref="C47:AN47"/>
    <mergeCell ref="C48:AN48"/>
    <mergeCell ref="B58:AM59"/>
    <mergeCell ref="B61:C61"/>
    <mergeCell ref="D61:AM61"/>
    <mergeCell ref="B62:C62"/>
    <mergeCell ref="D62:AM62"/>
    <mergeCell ref="B63:C63"/>
    <mergeCell ref="D63:AM63"/>
    <mergeCell ref="B64:K64"/>
    <mergeCell ref="L64:R64"/>
    <mergeCell ref="S64:AA64"/>
    <mergeCell ref="AB64:AH64"/>
    <mergeCell ref="AI64:AM64"/>
    <mergeCell ref="AI52:AI54"/>
    <mergeCell ref="AJ52:AJ54"/>
    <mergeCell ref="AK52:AK54"/>
    <mergeCell ref="H50:H51"/>
    <mergeCell ref="B49:K49"/>
    <mergeCell ref="L49:R49"/>
    <mergeCell ref="S49:AA49"/>
    <mergeCell ref="AB49:AH49"/>
    <mergeCell ref="AI49:AN49"/>
    <mergeCell ref="B50:B51"/>
    <mergeCell ref="C50:C51"/>
    <mergeCell ref="D50:D51"/>
    <mergeCell ref="E50:E51"/>
    <mergeCell ref="F50:F51"/>
    <mergeCell ref="G50:G51"/>
    <mergeCell ref="J50:J51"/>
    <mergeCell ref="L65:L66"/>
    <mergeCell ref="M65:M66"/>
    <mergeCell ref="N65:N66"/>
    <mergeCell ref="O65:O66"/>
    <mergeCell ref="P65:P66"/>
    <mergeCell ref="Q65:Q66"/>
    <mergeCell ref="R65:R66"/>
    <mergeCell ref="S65:S66"/>
    <mergeCell ref="AL52:AL54"/>
    <mergeCell ref="T65:T66"/>
    <mergeCell ref="U65:U66"/>
    <mergeCell ref="V65:AA65"/>
    <mergeCell ref="AB65:AB66"/>
    <mergeCell ref="AC65:AC66"/>
    <mergeCell ref="AD65:AD66"/>
    <mergeCell ref="AE65:AE66"/>
    <mergeCell ref="AF65:AF66"/>
    <mergeCell ref="AG65:AG66"/>
    <mergeCell ref="AH65:AH66"/>
    <mergeCell ref="AI65:AI66"/>
    <mergeCell ref="AJ65:AJ66"/>
    <mergeCell ref="AK65:AK66"/>
    <mergeCell ref="AL65:AL66"/>
    <mergeCell ref="D76:AN76"/>
    <mergeCell ref="B77:C77"/>
    <mergeCell ref="AM65:AM66"/>
    <mergeCell ref="B67:B68"/>
    <mergeCell ref="C67:C68"/>
    <mergeCell ref="D67:D68"/>
    <mergeCell ref="E67:E68"/>
    <mergeCell ref="G67:G68"/>
    <mergeCell ref="H67:H68"/>
    <mergeCell ref="I67:I68"/>
    <mergeCell ref="J67:J68"/>
    <mergeCell ref="K67:K68"/>
    <mergeCell ref="L67:L68"/>
    <mergeCell ref="M67:M68"/>
    <mergeCell ref="N67:N68"/>
    <mergeCell ref="O67:O68"/>
    <mergeCell ref="P67:P68"/>
    <mergeCell ref="Q67:Q68"/>
    <mergeCell ref="R67:R68"/>
    <mergeCell ref="B65:B66"/>
    <mergeCell ref="AI67:AI68"/>
    <mergeCell ref="AJ67:AJ68"/>
    <mergeCell ref="AK67:AK68"/>
    <mergeCell ref="AL67:AL68"/>
    <mergeCell ref="C65:C66"/>
    <mergeCell ref="D65:D66"/>
    <mergeCell ref="E65:E66"/>
    <mergeCell ref="F65:F66"/>
    <mergeCell ref="G65:G66"/>
    <mergeCell ref="H65:H66"/>
    <mergeCell ref="J65:J66"/>
    <mergeCell ref="K65:K66"/>
    <mergeCell ref="AC79:AC80"/>
    <mergeCell ref="AD79:AD80"/>
    <mergeCell ref="T79:T80"/>
    <mergeCell ref="U79:U80"/>
    <mergeCell ref="V79:AA79"/>
    <mergeCell ref="AB79:AB80"/>
    <mergeCell ref="AW79:AW80"/>
    <mergeCell ref="B69:B70"/>
    <mergeCell ref="C69:C70"/>
    <mergeCell ref="D69:D70"/>
    <mergeCell ref="E69:E70"/>
    <mergeCell ref="G69:G70"/>
    <mergeCell ref="H69:H70"/>
    <mergeCell ref="I69:I70"/>
    <mergeCell ref="J69:J70"/>
    <mergeCell ref="K69:K70"/>
    <mergeCell ref="L69:L70"/>
    <mergeCell ref="M69:M70"/>
    <mergeCell ref="N69:N70"/>
    <mergeCell ref="O69:O70"/>
    <mergeCell ref="P69:P70"/>
    <mergeCell ref="Q69:Q70"/>
    <mergeCell ref="R69:R70"/>
    <mergeCell ref="B72:AN73"/>
    <mergeCell ref="AJ79:AJ80"/>
    <mergeCell ref="AK79:AK80"/>
    <mergeCell ref="AL79:AL80"/>
    <mergeCell ref="AM79:AM80"/>
    <mergeCell ref="AN79:AN80"/>
    <mergeCell ref="B75:C75"/>
    <mergeCell ref="D75:AN75"/>
    <mergeCell ref="B76:C76"/>
    <mergeCell ref="R81:R83"/>
    <mergeCell ref="AH81:AH83"/>
    <mergeCell ref="D77:AN77"/>
    <mergeCell ref="B78:K78"/>
    <mergeCell ref="L78:R78"/>
    <mergeCell ref="S78:AA78"/>
    <mergeCell ref="AB78:AH78"/>
    <mergeCell ref="AI78:AZ78"/>
    <mergeCell ref="B79:B80"/>
    <mergeCell ref="C79:C80"/>
    <mergeCell ref="D79:D80"/>
    <mergeCell ref="E79:E80"/>
    <mergeCell ref="F79:F80"/>
    <mergeCell ref="G79:G80"/>
    <mergeCell ref="J79:J80"/>
    <mergeCell ref="K79:K80"/>
    <mergeCell ref="L79:L80"/>
    <mergeCell ref="M79:M80"/>
    <mergeCell ref="N79:N80"/>
    <mergeCell ref="O79:O80"/>
    <mergeCell ref="P79:P80"/>
    <mergeCell ref="Q79:Q80"/>
    <mergeCell ref="R79:R80"/>
    <mergeCell ref="S79:S80"/>
    <mergeCell ref="AV79:AV80"/>
    <mergeCell ref="AO79:AO80"/>
    <mergeCell ref="AQ79:AQ80"/>
    <mergeCell ref="AR79:AR80"/>
    <mergeCell ref="AT79:AT80"/>
    <mergeCell ref="AU79:AU80"/>
    <mergeCell ref="AX79:AX80"/>
    <mergeCell ref="AZ79:AZ80"/>
    <mergeCell ref="AE79:AE80"/>
    <mergeCell ref="AF79:AF80"/>
    <mergeCell ref="AG79:AG80"/>
    <mergeCell ref="AH79:AH80"/>
    <mergeCell ref="AI79:AI80"/>
    <mergeCell ref="B84:AN85"/>
    <mergeCell ref="B87:C87"/>
    <mergeCell ref="D87:AN87"/>
    <mergeCell ref="B88:C88"/>
    <mergeCell ref="D88:AN88"/>
    <mergeCell ref="B89:C89"/>
    <mergeCell ref="D89:AN89"/>
    <mergeCell ref="B90:K90"/>
    <mergeCell ref="L90:R90"/>
    <mergeCell ref="S90:AA90"/>
    <mergeCell ref="AB90:AH90"/>
    <mergeCell ref="AI90:AN90"/>
    <mergeCell ref="B81:B83"/>
    <mergeCell ref="C81:C83"/>
    <mergeCell ref="D81:D83"/>
    <mergeCell ref="E81:E83"/>
    <mergeCell ref="G81:G83"/>
    <mergeCell ref="H81:H83"/>
    <mergeCell ref="I81:I83"/>
    <mergeCell ref="J81:J83"/>
    <mergeCell ref="K81:K83"/>
    <mergeCell ref="L81:L83"/>
    <mergeCell ref="M81:M83"/>
    <mergeCell ref="N81:N83"/>
    <mergeCell ref="O81:O83"/>
    <mergeCell ref="P81:P83"/>
    <mergeCell ref="Q81:Q83"/>
    <mergeCell ref="B91:B92"/>
    <mergeCell ref="C91:C92"/>
    <mergeCell ref="D91:D92"/>
    <mergeCell ref="E91:E92"/>
    <mergeCell ref="F91:F92"/>
    <mergeCell ref="G91:G92"/>
    <mergeCell ref="J91:J92"/>
    <mergeCell ref="K91:K92"/>
    <mergeCell ref="L91:L92"/>
    <mergeCell ref="M91:M92"/>
    <mergeCell ref="N91:N92"/>
    <mergeCell ref="O91:O92"/>
    <mergeCell ref="P91:P92"/>
    <mergeCell ref="Q91:Q92"/>
    <mergeCell ref="R91:R92"/>
    <mergeCell ref="S91:S92"/>
    <mergeCell ref="T91:T92"/>
    <mergeCell ref="U91:U92"/>
    <mergeCell ref="V91:AA91"/>
    <mergeCell ref="AB91:AB92"/>
    <mergeCell ref="AC91:AC92"/>
    <mergeCell ref="AD91:AD92"/>
    <mergeCell ref="AE91:AE92"/>
    <mergeCell ref="AF91:AF92"/>
    <mergeCell ref="AG91:AG92"/>
    <mergeCell ref="AH91:AH92"/>
    <mergeCell ref="AI91:AI92"/>
    <mergeCell ref="AJ91:AJ92"/>
    <mergeCell ref="AK91:AK92"/>
    <mergeCell ref="AL91:AL92"/>
    <mergeCell ref="AM91:AM92"/>
    <mergeCell ref="AN91:AN92"/>
    <mergeCell ref="B100:AM100"/>
    <mergeCell ref="B93:B96"/>
    <mergeCell ref="C93:C96"/>
    <mergeCell ref="D93:D96"/>
    <mergeCell ref="E93:E96"/>
    <mergeCell ref="G93:G96"/>
    <mergeCell ref="H93:H96"/>
    <mergeCell ref="I93:I96"/>
    <mergeCell ref="J93:J96"/>
    <mergeCell ref="K93:K96"/>
    <mergeCell ref="L93:L96"/>
    <mergeCell ref="M93:M96"/>
    <mergeCell ref="N93:N96"/>
    <mergeCell ref="O93:O96"/>
    <mergeCell ref="P93:P96"/>
    <mergeCell ref="Q93:Q96"/>
    <mergeCell ref="R93:R96"/>
    <mergeCell ref="W108:W109"/>
    <mergeCell ref="X108:X109"/>
    <mergeCell ref="Y108:Y109"/>
    <mergeCell ref="Z108:Z109"/>
    <mergeCell ref="AA108:AA109"/>
    <mergeCell ref="B98:AM99"/>
    <mergeCell ref="B101:C101"/>
    <mergeCell ref="D101:AM101"/>
    <mergeCell ref="B102:C102"/>
    <mergeCell ref="D102:AM102"/>
    <mergeCell ref="B103:C103"/>
    <mergeCell ref="D103:AM103"/>
    <mergeCell ref="B105:B106"/>
    <mergeCell ref="C105:C106"/>
    <mergeCell ref="D105:D106"/>
    <mergeCell ref="E105:E106"/>
    <mergeCell ref="F105:F106"/>
    <mergeCell ref="G105:G106"/>
    <mergeCell ref="J105:J106"/>
    <mergeCell ref="K105:K106"/>
    <mergeCell ref="L105:L106"/>
    <mergeCell ref="M105:M106"/>
    <mergeCell ref="N105:N106"/>
    <mergeCell ref="O105:O106"/>
    <mergeCell ref="P105:P106"/>
    <mergeCell ref="Q105:Q106"/>
    <mergeCell ref="R105:R106"/>
    <mergeCell ref="S105:S106"/>
    <mergeCell ref="T105:T106"/>
    <mergeCell ref="U105:U106"/>
    <mergeCell ref="V105:AA105"/>
    <mergeCell ref="AB105:AB106"/>
    <mergeCell ref="AB108:AB109"/>
    <mergeCell ref="AC108:AC109"/>
    <mergeCell ref="AD108:AD109"/>
    <mergeCell ref="AE108:AE109"/>
    <mergeCell ref="AF108:AF109"/>
    <mergeCell ref="AG108:AG109"/>
    <mergeCell ref="AH108:AH109"/>
    <mergeCell ref="AI109:AI110"/>
    <mergeCell ref="AJ109:AJ110"/>
    <mergeCell ref="AK109:AK110"/>
    <mergeCell ref="AL109:AL110"/>
    <mergeCell ref="AM109:AM110"/>
    <mergeCell ref="AN109:AN110"/>
    <mergeCell ref="AO109:AO110"/>
    <mergeCell ref="AP109:AP110"/>
    <mergeCell ref="AQ109:AQ110"/>
    <mergeCell ref="AH105:AH106"/>
    <mergeCell ref="AI105:AI106"/>
    <mergeCell ref="AJ105:AJ106"/>
    <mergeCell ref="AK105:AK106"/>
    <mergeCell ref="AL105:AL106"/>
    <mergeCell ref="AM105:AM106"/>
    <mergeCell ref="AC105:AC106"/>
    <mergeCell ref="AD105:AD106"/>
    <mergeCell ref="AE105:AE106"/>
    <mergeCell ref="AF105:AF106"/>
    <mergeCell ref="AG105:AG106"/>
    <mergeCell ref="B107:B111"/>
    <mergeCell ref="C107:C111"/>
    <mergeCell ref="D107:D111"/>
    <mergeCell ref="E107:E111"/>
    <mergeCell ref="G107:G111"/>
    <mergeCell ref="H107:H113"/>
    <mergeCell ref="I107:I111"/>
    <mergeCell ref="J107:J111"/>
    <mergeCell ref="K107:K111"/>
    <mergeCell ref="T122:T123"/>
    <mergeCell ref="U122:U123"/>
    <mergeCell ref="V122:AA122"/>
    <mergeCell ref="AS109:AS110"/>
    <mergeCell ref="B112:B113"/>
    <mergeCell ref="C112:C113"/>
    <mergeCell ref="D112:D113"/>
    <mergeCell ref="E112:E113"/>
    <mergeCell ref="G112:G113"/>
    <mergeCell ref="I112:I113"/>
    <mergeCell ref="J112:J113"/>
    <mergeCell ref="K112:K113"/>
    <mergeCell ref="L112:L113"/>
    <mergeCell ref="M112:M113"/>
    <mergeCell ref="N112:N113"/>
    <mergeCell ref="O112:O113"/>
    <mergeCell ref="P112:P113"/>
    <mergeCell ref="Q112:Q113"/>
    <mergeCell ref="R112:R113"/>
    <mergeCell ref="AR109:AR110"/>
    <mergeCell ref="L107:L111"/>
    <mergeCell ref="M107:M111"/>
    <mergeCell ref="N107:N111"/>
    <mergeCell ref="O107:O111"/>
    <mergeCell ref="P107:P111"/>
    <mergeCell ref="Q107:Q111"/>
    <mergeCell ref="R107:R111"/>
    <mergeCell ref="F108:F109"/>
    <mergeCell ref="S108:S109"/>
    <mergeCell ref="T108:T109"/>
    <mergeCell ref="U108:U109"/>
    <mergeCell ref="V108:V109"/>
    <mergeCell ref="AP122:AP123"/>
    <mergeCell ref="AQ122:AQ123"/>
    <mergeCell ref="AR122:AR123"/>
    <mergeCell ref="B115:AN116"/>
    <mergeCell ref="B118:C118"/>
    <mergeCell ref="D118:AN118"/>
    <mergeCell ref="B119:C119"/>
    <mergeCell ref="D119:AN119"/>
    <mergeCell ref="B120:C120"/>
    <mergeCell ref="D120:AN120"/>
    <mergeCell ref="B121:K121"/>
    <mergeCell ref="L121:R121"/>
    <mergeCell ref="S121:AA121"/>
    <mergeCell ref="AB121:AH121"/>
    <mergeCell ref="AI121:AN121"/>
    <mergeCell ref="AO121:AT121"/>
    <mergeCell ref="B122:B123"/>
    <mergeCell ref="C122:C123"/>
    <mergeCell ref="D122:D123"/>
    <mergeCell ref="E122:E123"/>
    <mergeCell ref="F122:F123"/>
    <mergeCell ref="G122:G123"/>
    <mergeCell ref="J122:J123"/>
    <mergeCell ref="AS122:AS123"/>
    <mergeCell ref="AT122:AT123"/>
    <mergeCell ref="B124:B127"/>
    <mergeCell ref="C124:C127"/>
    <mergeCell ref="D124:D127"/>
    <mergeCell ref="E124:E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B128:AN129"/>
    <mergeCell ref="B131:C131"/>
    <mergeCell ref="D131:AN131"/>
    <mergeCell ref="B132:C132"/>
    <mergeCell ref="D132:AN132"/>
    <mergeCell ref="B133:C133"/>
    <mergeCell ref="D133:AN133"/>
    <mergeCell ref="B134:K134"/>
    <mergeCell ref="L134:R134"/>
    <mergeCell ref="S134:AA134"/>
    <mergeCell ref="AB134:AH134"/>
    <mergeCell ref="AI134:AN134"/>
    <mergeCell ref="K122:K123"/>
    <mergeCell ref="L122:L123"/>
    <mergeCell ref="M122:M123"/>
    <mergeCell ref="N122:N123"/>
    <mergeCell ref="O122:O123"/>
    <mergeCell ref="P122:P123"/>
    <mergeCell ref="Q122:Q123"/>
    <mergeCell ref="R122:R123"/>
    <mergeCell ref="S122:S123"/>
    <mergeCell ref="B135:B136"/>
    <mergeCell ref="C135:C136"/>
    <mergeCell ref="D135:D136"/>
    <mergeCell ref="E135:E136"/>
    <mergeCell ref="F135:F136"/>
    <mergeCell ref="G135:G136"/>
    <mergeCell ref="J135:J136"/>
    <mergeCell ref="K135:K136"/>
    <mergeCell ref="L135:L136"/>
    <mergeCell ref="M135:M136"/>
    <mergeCell ref="N135:N136"/>
    <mergeCell ref="O135:O136"/>
    <mergeCell ref="P135:P136"/>
    <mergeCell ref="Q135:Q136"/>
    <mergeCell ref="R135:R136"/>
    <mergeCell ref="S135:S136"/>
    <mergeCell ref="T135:T136"/>
    <mergeCell ref="U135:U136"/>
    <mergeCell ref="V135:AA135"/>
    <mergeCell ref="AB135:AB136"/>
    <mergeCell ref="AC135:AC136"/>
    <mergeCell ref="AD135:AD136"/>
    <mergeCell ref="AE135:AE136"/>
    <mergeCell ref="AF135:AF136"/>
    <mergeCell ref="AG135:AG136"/>
    <mergeCell ref="AH135:AH136"/>
    <mergeCell ref="AI135:AI136"/>
    <mergeCell ref="AJ135:AJ136"/>
    <mergeCell ref="AK135:AK136"/>
    <mergeCell ref="AL135:AL136"/>
    <mergeCell ref="AM135:AM136"/>
    <mergeCell ref="AN135:AN136"/>
    <mergeCell ref="AO135:AO136"/>
    <mergeCell ref="B137:B139"/>
    <mergeCell ref="C137:C139"/>
    <mergeCell ref="D137:D139"/>
    <mergeCell ref="E137:E139"/>
    <mergeCell ref="G137:G139"/>
    <mergeCell ref="H137:H139"/>
    <mergeCell ref="I137:I139"/>
    <mergeCell ref="J137:J139"/>
    <mergeCell ref="K137:K139"/>
    <mergeCell ref="L137:L139"/>
    <mergeCell ref="M137:M139"/>
    <mergeCell ref="N137:N139"/>
    <mergeCell ref="O137:O139"/>
    <mergeCell ref="P137:P139"/>
    <mergeCell ref="Q137:Q139"/>
    <mergeCell ref="R137:R139"/>
    <mergeCell ref="AB137:AB139"/>
    <mergeCell ref="AC137:AC139"/>
    <mergeCell ref="AD137:AD139"/>
    <mergeCell ref="AJ148:AJ149"/>
    <mergeCell ref="AK148:AK149"/>
    <mergeCell ref="AL148:AL149"/>
    <mergeCell ref="AM148:AM149"/>
    <mergeCell ref="AN148:AN149"/>
    <mergeCell ref="AE137:AE139"/>
    <mergeCell ref="AF137:AF139"/>
    <mergeCell ref="AG137:AG139"/>
    <mergeCell ref="B141:AN142"/>
    <mergeCell ref="B144:C144"/>
    <mergeCell ref="D144:AN144"/>
    <mergeCell ref="B145:C145"/>
    <mergeCell ref="D145:AN145"/>
    <mergeCell ref="B146:C146"/>
    <mergeCell ref="D146:AN146"/>
    <mergeCell ref="B147:K147"/>
    <mergeCell ref="L147:R147"/>
    <mergeCell ref="S147:AA147"/>
    <mergeCell ref="AB147:AH147"/>
    <mergeCell ref="AI147:AN147"/>
    <mergeCell ref="B148:B149"/>
    <mergeCell ref="C148:C149"/>
    <mergeCell ref="D148:D149"/>
    <mergeCell ref="E148:E149"/>
    <mergeCell ref="F148:F149"/>
    <mergeCell ref="G148:G149"/>
    <mergeCell ref="J148:J149"/>
    <mergeCell ref="K148:K149"/>
    <mergeCell ref="L148:L149"/>
    <mergeCell ref="AI148:AI149"/>
    <mergeCell ref="P148:P149"/>
    <mergeCell ref="Q148:Q149"/>
    <mergeCell ref="R148:R149"/>
    <mergeCell ref="S148:S149"/>
    <mergeCell ref="T148:T149"/>
    <mergeCell ref="O154:O155"/>
    <mergeCell ref="B158:AN159"/>
    <mergeCell ref="B161:C161"/>
    <mergeCell ref="D161:AN161"/>
    <mergeCell ref="B162:C162"/>
    <mergeCell ref="D162:AN162"/>
    <mergeCell ref="B163:C163"/>
    <mergeCell ref="D163:AN163"/>
    <mergeCell ref="B164:K164"/>
    <mergeCell ref="L164:R164"/>
    <mergeCell ref="S164:AA164"/>
    <mergeCell ref="AB164:AH164"/>
    <mergeCell ref="AI164:AN164"/>
    <mergeCell ref="M148:M149"/>
    <mergeCell ref="N148:N149"/>
    <mergeCell ref="O148:O149"/>
    <mergeCell ref="B154:B155"/>
    <mergeCell ref="C154:C155"/>
    <mergeCell ref="D154:D155"/>
    <mergeCell ref="E154:E155"/>
    <mergeCell ref="G154:G155"/>
    <mergeCell ref="H154:H155"/>
    <mergeCell ref="J154:J155"/>
    <mergeCell ref="U148:U149"/>
    <mergeCell ref="V148:AA148"/>
    <mergeCell ref="AB148:AB149"/>
    <mergeCell ref="O165:O166"/>
    <mergeCell ref="P165:P166"/>
    <mergeCell ref="Q165:Q166"/>
    <mergeCell ref="R165:R166"/>
    <mergeCell ref="S165:S166"/>
    <mergeCell ref="T165:T166"/>
    <mergeCell ref="AG148:AG149"/>
    <mergeCell ref="AH148:AH149"/>
    <mergeCell ref="AC148:AC149"/>
    <mergeCell ref="AD148:AD149"/>
    <mergeCell ref="AE148:AE149"/>
    <mergeCell ref="AF148:AF149"/>
    <mergeCell ref="U165:U166"/>
    <mergeCell ref="V165:AA165"/>
    <mergeCell ref="AB165:AB166"/>
    <mergeCell ref="AC165:AC166"/>
    <mergeCell ref="AD165:AD166"/>
    <mergeCell ref="AE165:AE166"/>
    <mergeCell ref="AF165:AF166"/>
    <mergeCell ref="AG165:AG166"/>
    <mergeCell ref="AH165:AH166"/>
    <mergeCell ref="AI165:AI166"/>
    <mergeCell ref="AJ165:AJ166"/>
    <mergeCell ref="AK165:AK166"/>
    <mergeCell ref="AL165:AL166"/>
    <mergeCell ref="AM165:AM166"/>
    <mergeCell ref="AN165:AN166"/>
    <mergeCell ref="B167:B170"/>
    <mergeCell ref="C167:C170"/>
    <mergeCell ref="D167:D170"/>
    <mergeCell ref="E167:E170"/>
    <mergeCell ref="G167:G170"/>
    <mergeCell ref="H167:H170"/>
    <mergeCell ref="J167:J170"/>
    <mergeCell ref="K167:K170"/>
    <mergeCell ref="L167:L170"/>
    <mergeCell ref="M167:M170"/>
    <mergeCell ref="N167:N170"/>
    <mergeCell ref="O167:O170"/>
    <mergeCell ref="P167:P170"/>
    <mergeCell ref="Q167:Q170"/>
    <mergeCell ref="R167:R170"/>
    <mergeCell ref="B165:B166"/>
    <mergeCell ref="C165:C166"/>
    <mergeCell ref="D165:D166"/>
    <mergeCell ref="E165:E166"/>
    <mergeCell ref="F165:F166"/>
    <mergeCell ref="G165:G166"/>
    <mergeCell ref="J165:J166"/>
    <mergeCell ref="K165:K166"/>
    <mergeCell ref="L165:L166"/>
    <mergeCell ref="M165:M166"/>
    <mergeCell ref="N165:N166"/>
    <mergeCell ref="B181:B184"/>
    <mergeCell ref="C181:C184"/>
    <mergeCell ref="D181:D184"/>
    <mergeCell ref="E181:E184"/>
    <mergeCell ref="B172:AN173"/>
    <mergeCell ref="B175:C175"/>
    <mergeCell ref="D175:AN175"/>
    <mergeCell ref="B176:C176"/>
    <mergeCell ref="D176:AN176"/>
    <mergeCell ref="B177:C177"/>
    <mergeCell ref="D177:AN177"/>
    <mergeCell ref="B178:K178"/>
    <mergeCell ref="L178:R178"/>
    <mergeCell ref="S178:AA178"/>
    <mergeCell ref="AB178:AH178"/>
    <mergeCell ref="AI178:AN178"/>
    <mergeCell ref="B179:B180"/>
    <mergeCell ref="C179:C180"/>
    <mergeCell ref="D179:D180"/>
    <mergeCell ref="E179:E180"/>
    <mergeCell ref="F179:F180"/>
    <mergeCell ref="G179:G180"/>
    <mergeCell ref="J179:J180"/>
    <mergeCell ref="K179:K180"/>
    <mergeCell ref="L179:L180"/>
    <mergeCell ref="M179:M180"/>
    <mergeCell ref="N179:N180"/>
    <mergeCell ref="O179:O180"/>
    <mergeCell ref="P179:P180"/>
    <mergeCell ref="Q179:Q180"/>
    <mergeCell ref="R179:R180"/>
    <mergeCell ref="S179:S180"/>
    <mergeCell ref="AD179:AD180"/>
    <mergeCell ref="AE179:AE180"/>
    <mergeCell ref="AF179:AF180"/>
    <mergeCell ref="AG179:AG180"/>
    <mergeCell ref="AH179:AH180"/>
    <mergeCell ref="AI179:AI180"/>
    <mergeCell ref="AJ179:AJ180"/>
    <mergeCell ref="AK179:AK180"/>
    <mergeCell ref="AL179:AL180"/>
    <mergeCell ref="AM179:AM180"/>
    <mergeCell ref="AN179:AN180"/>
    <mergeCell ref="G181:G183"/>
    <mergeCell ref="H181:H184"/>
    <mergeCell ref="I181:I184"/>
    <mergeCell ref="J181:J183"/>
    <mergeCell ref="K181:K184"/>
    <mergeCell ref="L181:L184"/>
    <mergeCell ref="M181:M184"/>
    <mergeCell ref="N181:N184"/>
    <mergeCell ref="O181:O183"/>
    <mergeCell ref="P181:P184"/>
    <mergeCell ref="Q181:Q183"/>
    <mergeCell ref="R181:R184"/>
    <mergeCell ref="T179:T180"/>
    <mergeCell ref="U179:U180"/>
    <mergeCell ref="V179:AA179"/>
    <mergeCell ref="AB179:AB180"/>
    <mergeCell ref="G193:G194"/>
    <mergeCell ref="J193:J194"/>
    <mergeCell ref="K193:K194"/>
    <mergeCell ref="L193:L194"/>
    <mergeCell ref="M193:M194"/>
    <mergeCell ref="N193:N194"/>
    <mergeCell ref="O193:O194"/>
    <mergeCell ref="P193:P194"/>
    <mergeCell ref="Q193:Q194"/>
    <mergeCell ref="R193:R194"/>
    <mergeCell ref="S193:S194"/>
    <mergeCell ref="T193:T194"/>
    <mergeCell ref="U193:U194"/>
    <mergeCell ref="AC179:AC180"/>
    <mergeCell ref="V193:AA193"/>
    <mergeCell ref="AB193:AB194"/>
    <mergeCell ref="AC193:AC194"/>
    <mergeCell ref="AD193:AD194"/>
    <mergeCell ref="AE193:AE194"/>
    <mergeCell ref="AF193:AF194"/>
    <mergeCell ref="AG193:AG194"/>
    <mergeCell ref="AH193:AH194"/>
    <mergeCell ref="AI193:AI194"/>
    <mergeCell ref="AJ193:AJ194"/>
    <mergeCell ref="AK193:AK194"/>
    <mergeCell ref="AL193:AL194"/>
    <mergeCell ref="AM193:AM194"/>
    <mergeCell ref="AN193:AN194"/>
    <mergeCell ref="B195:B196"/>
    <mergeCell ref="C195:C196"/>
    <mergeCell ref="D195:D196"/>
    <mergeCell ref="E195:E196"/>
    <mergeCell ref="G195:G196"/>
    <mergeCell ref="H195:H196"/>
    <mergeCell ref="I195:I196"/>
    <mergeCell ref="J195:J196"/>
    <mergeCell ref="K195:K196"/>
    <mergeCell ref="L195:L196"/>
    <mergeCell ref="M195:M196"/>
    <mergeCell ref="N195:N196"/>
    <mergeCell ref="O195:O196"/>
    <mergeCell ref="P195:P196"/>
    <mergeCell ref="Q195:Q196"/>
    <mergeCell ref="R195:R196"/>
    <mergeCell ref="AM195:AM196"/>
    <mergeCell ref="C193:C194"/>
    <mergeCell ref="D193:D194"/>
    <mergeCell ref="E193:E194"/>
    <mergeCell ref="F193:F194"/>
    <mergeCell ref="G197:G199"/>
    <mergeCell ref="H197:H199"/>
    <mergeCell ref="I197:I199"/>
    <mergeCell ref="J197:J199"/>
    <mergeCell ref="K197:K199"/>
    <mergeCell ref="L197:L199"/>
    <mergeCell ref="M197:M199"/>
    <mergeCell ref="N197:N199"/>
    <mergeCell ref="O197:O199"/>
    <mergeCell ref="P197:P199"/>
    <mergeCell ref="Q197:Q199"/>
    <mergeCell ref="R197:R199"/>
    <mergeCell ref="AM197:AM199"/>
    <mergeCell ref="B200:B202"/>
    <mergeCell ref="C200:C202"/>
    <mergeCell ref="D200:D202"/>
    <mergeCell ref="E200:E202"/>
    <mergeCell ref="G200:G202"/>
    <mergeCell ref="H200:H202"/>
    <mergeCell ref="I200:I202"/>
    <mergeCell ref="J200:J202"/>
    <mergeCell ref="K200:K202"/>
    <mergeCell ref="L200:L202"/>
    <mergeCell ref="M200:M202"/>
    <mergeCell ref="N200:N202"/>
    <mergeCell ref="O200:O202"/>
    <mergeCell ref="P200:P202"/>
    <mergeCell ref="Q200:Q202"/>
    <mergeCell ref="R200:R202"/>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M200:AM202"/>
    <mergeCell ref="B204:AN205"/>
    <mergeCell ref="B207:C207"/>
    <mergeCell ref="D207:AN207"/>
    <mergeCell ref="B210:K210"/>
    <mergeCell ref="L210:R210"/>
    <mergeCell ref="S210:AA210"/>
    <mergeCell ref="AB210:AH210"/>
    <mergeCell ref="AI210:AN210"/>
    <mergeCell ref="B211:B212"/>
    <mergeCell ref="C211:C212"/>
    <mergeCell ref="D211:D212"/>
    <mergeCell ref="E211:E212"/>
    <mergeCell ref="F211:F212"/>
    <mergeCell ref="G211:G212"/>
    <mergeCell ref="J211:J212"/>
    <mergeCell ref="K211:K212"/>
    <mergeCell ref="L211:L212"/>
    <mergeCell ref="M211:M212"/>
    <mergeCell ref="N211:N212"/>
    <mergeCell ref="O211:O212"/>
    <mergeCell ref="P211:P212"/>
    <mergeCell ref="Q211:Q212"/>
    <mergeCell ref="R211:R212"/>
    <mergeCell ref="S211:S212"/>
    <mergeCell ref="T211:T212"/>
    <mergeCell ref="U211:U212"/>
    <mergeCell ref="V211:AA211"/>
    <mergeCell ref="AB211:AB212"/>
    <mergeCell ref="AC211:AC212"/>
    <mergeCell ref="AD211:AD212"/>
    <mergeCell ref="AE211:AE212"/>
    <mergeCell ref="AF211:AF212"/>
    <mergeCell ref="AG211:AG212"/>
    <mergeCell ref="AH211:AH212"/>
    <mergeCell ref="AI211:AI212"/>
    <mergeCell ref="AJ211:AJ212"/>
    <mergeCell ref="AK211:AK212"/>
    <mergeCell ref="AL211:AL212"/>
    <mergeCell ref="AM211:AM212"/>
    <mergeCell ref="AN211:AN212"/>
    <mergeCell ref="B213:B216"/>
    <mergeCell ref="C213:C216"/>
    <mergeCell ref="D213:D216"/>
    <mergeCell ref="E213:E216"/>
    <mergeCell ref="G213:G216"/>
    <mergeCell ref="H213:H216"/>
    <mergeCell ref="I213:I216"/>
    <mergeCell ref="J213:J216"/>
    <mergeCell ref="K213:K216"/>
    <mergeCell ref="L213:L216"/>
    <mergeCell ref="M213:M216"/>
    <mergeCell ref="N213:N216"/>
    <mergeCell ref="O213:O216"/>
    <mergeCell ref="P213:P216"/>
    <mergeCell ref="Q213:Q216"/>
    <mergeCell ref="R213:R216"/>
    <mergeCell ref="AG213:AG216"/>
    <mergeCell ref="AH213:AH216"/>
  </mergeCells>
  <conditionalFormatting sqref="K8">
    <cfRule type="cellIs" dxfId="995" priority="581" operator="equal">
      <formula>"Muy Alta"</formula>
    </cfRule>
    <cfRule type="cellIs" dxfId="994" priority="582" operator="equal">
      <formula>"Alta"</formula>
    </cfRule>
    <cfRule type="cellIs" dxfId="993" priority="585" operator="equal">
      <formula>"Muy Baja"</formula>
    </cfRule>
    <cfRule type="cellIs" dxfId="992" priority="584" operator="equal">
      <formula>"Baja"</formula>
    </cfRule>
    <cfRule type="cellIs" dxfId="991" priority="583" operator="equal">
      <formula>"Media"</formula>
    </cfRule>
  </conditionalFormatting>
  <conditionalFormatting sqref="K20 K23">
    <cfRule type="cellIs" dxfId="990" priority="526" operator="equal">
      <formula>"Media"</formula>
    </cfRule>
    <cfRule type="cellIs" dxfId="989" priority="524" operator="equal">
      <formula>"Muy Alta"</formula>
    </cfRule>
    <cfRule type="cellIs" dxfId="988" priority="528" operator="equal">
      <formula>"Muy Baja"</formula>
    </cfRule>
    <cfRule type="cellIs" dxfId="987" priority="525" operator="equal">
      <formula>"Alta"</formula>
    </cfRule>
    <cfRule type="cellIs" dxfId="986" priority="527" operator="equal">
      <formula>"Baja"</formula>
    </cfRule>
  </conditionalFormatting>
  <conditionalFormatting sqref="L35 L38 L40">
    <cfRule type="cellIs" dxfId="985" priority="493" operator="equal">
      <formula>"Media"</formula>
    </cfRule>
    <cfRule type="cellIs" dxfId="984" priority="494" operator="equal">
      <formula>"Baja"</formula>
    </cfRule>
    <cfRule type="cellIs" dxfId="983" priority="495" operator="equal">
      <formula>"Muy Baja"</formula>
    </cfRule>
    <cfRule type="cellIs" dxfId="982" priority="492" operator="equal">
      <formula>"Alta"</formula>
    </cfRule>
    <cfRule type="cellIs" dxfId="981" priority="491" operator="equal">
      <formula>"Muy Alta"</formula>
    </cfRule>
  </conditionalFormatting>
  <conditionalFormatting sqref="L52">
    <cfRule type="cellIs" dxfId="980" priority="461" operator="equal">
      <formula>"Muy Baja"</formula>
    </cfRule>
    <cfRule type="cellIs" dxfId="979" priority="458" operator="equal">
      <formula>"Alta"</formula>
    </cfRule>
    <cfRule type="cellIs" dxfId="978" priority="457" operator="equal">
      <formula>"Muy Alta"</formula>
    </cfRule>
    <cfRule type="cellIs" dxfId="977" priority="459" operator="equal">
      <formula>"Media"</formula>
    </cfRule>
    <cfRule type="cellIs" dxfId="976" priority="460" operator="equal">
      <formula>"Baja"</formula>
    </cfRule>
  </conditionalFormatting>
  <conditionalFormatting sqref="L67 L69">
    <cfRule type="cellIs" dxfId="975" priority="432" operator="equal">
      <formula>"Muy Baja"</formula>
    </cfRule>
    <cfRule type="cellIs" dxfId="974" priority="431" operator="equal">
      <formula>"Baja"</formula>
    </cfRule>
    <cfRule type="cellIs" dxfId="973" priority="430" operator="equal">
      <formula>"Media"</formula>
    </cfRule>
    <cfRule type="cellIs" dxfId="972" priority="429" operator="equal">
      <formula>"Alta"</formula>
    </cfRule>
    <cfRule type="cellIs" dxfId="971" priority="428" operator="equal">
      <formula>"Muy Alta"</formula>
    </cfRule>
  </conditionalFormatting>
  <conditionalFormatting sqref="L81 AC81:AC83">
    <cfRule type="cellIs" dxfId="970" priority="409" operator="equal">
      <formula>"Muy Alta"</formula>
    </cfRule>
    <cfRule type="cellIs" dxfId="969" priority="411" operator="equal">
      <formula>"Media"</formula>
    </cfRule>
    <cfRule type="cellIs" dxfId="968" priority="410" operator="equal">
      <formula>"Alta"</formula>
    </cfRule>
    <cfRule type="cellIs" dxfId="967" priority="413" operator="equal">
      <formula>"Muy Baja"</formula>
    </cfRule>
    <cfRule type="cellIs" dxfId="966" priority="412" operator="equal">
      <formula>"Baja"</formula>
    </cfRule>
  </conditionalFormatting>
  <conditionalFormatting sqref="L93">
    <cfRule type="cellIs" dxfId="965" priority="394" operator="equal">
      <formula>"Muy Alta"</formula>
    </cfRule>
    <cfRule type="cellIs" dxfId="964" priority="395" operator="equal">
      <formula>"Alta"</formula>
    </cfRule>
    <cfRule type="cellIs" dxfId="963" priority="396" operator="equal">
      <formula>"Media"</formula>
    </cfRule>
    <cfRule type="cellIs" dxfId="962" priority="397" operator="equal">
      <formula>"Baja"</formula>
    </cfRule>
    <cfRule type="cellIs" dxfId="961" priority="398" operator="equal">
      <formula>"Muy Baja"</formula>
    </cfRule>
  </conditionalFormatting>
  <conditionalFormatting sqref="L107:L108 L112">
    <cfRule type="cellIs" dxfId="960" priority="368" operator="equal">
      <formula>"Baja"</formula>
    </cfRule>
    <cfRule type="cellIs" dxfId="959" priority="366" operator="equal">
      <formula>"Alta"</formula>
    </cfRule>
    <cfRule type="cellIs" dxfId="958" priority="367" operator="equal">
      <formula>"Media"</formula>
    </cfRule>
    <cfRule type="cellIs" dxfId="957" priority="365" operator="equal">
      <formula>"Muy Alta"</formula>
    </cfRule>
    <cfRule type="cellIs" dxfId="956" priority="369" operator="equal">
      <formula>"Muy Baja"</formula>
    </cfRule>
  </conditionalFormatting>
  <conditionalFormatting sqref="L124 AC124:AC127">
    <cfRule type="cellIs" dxfId="955" priority="318" operator="equal">
      <formula>"Muy Alta"</formula>
    </cfRule>
    <cfRule type="cellIs" dxfId="954" priority="322" operator="equal">
      <formula>"Muy Baja"</formula>
    </cfRule>
    <cfRule type="cellIs" dxfId="953" priority="321" operator="equal">
      <formula>"Baja"</formula>
    </cfRule>
    <cfRule type="cellIs" dxfId="952" priority="319" operator="equal">
      <formula>"Alta"</formula>
    </cfRule>
    <cfRule type="cellIs" dxfId="951" priority="320" operator="equal">
      <formula>"Media"</formula>
    </cfRule>
  </conditionalFormatting>
  <conditionalFormatting sqref="L137 AC137">
    <cfRule type="cellIs" dxfId="950" priority="305" operator="equal">
      <formula>"Media"</formula>
    </cfRule>
    <cfRule type="cellIs" dxfId="949" priority="306" operator="equal">
      <formula>"Baja"</formula>
    </cfRule>
    <cfRule type="cellIs" dxfId="948" priority="307" operator="equal">
      <formula>"Muy Baja"</formula>
    </cfRule>
    <cfRule type="cellIs" dxfId="947" priority="304" operator="equal">
      <formula>"Alta"</formula>
    </cfRule>
    <cfRule type="cellIs" dxfId="946" priority="303" operator="equal">
      <formula>"Muy Alta"</formula>
    </cfRule>
  </conditionalFormatting>
  <conditionalFormatting sqref="L150:L156 AC150:AC156">
    <cfRule type="cellIs" dxfId="945" priority="156" operator="equal">
      <formula>"Media"</formula>
    </cfRule>
    <cfRule type="cellIs" dxfId="944" priority="155" operator="equal">
      <formula>"Alta"</formula>
    </cfRule>
    <cfRule type="cellIs" dxfId="943" priority="157" operator="equal">
      <formula>"Baja"</formula>
    </cfRule>
    <cfRule type="cellIs" dxfId="942" priority="154" operator="equal">
      <formula>"Muy Alta"</formula>
    </cfRule>
    <cfRule type="cellIs" dxfId="941" priority="158" operator="equal">
      <formula>"Muy Baja"</formula>
    </cfRule>
  </conditionalFormatting>
  <conditionalFormatting sqref="L167">
    <cfRule type="cellIs" dxfId="940" priority="115" operator="equal">
      <formula>"Muy Baja"</formula>
    </cfRule>
    <cfRule type="cellIs" dxfId="939" priority="113" operator="equal">
      <formula>"Media"</formula>
    </cfRule>
    <cfRule type="cellIs" dxfId="938" priority="111" operator="equal">
      <formula>"Muy Alta"</formula>
    </cfRule>
    <cfRule type="cellIs" dxfId="937" priority="112" operator="equal">
      <formula>"Alta"</formula>
    </cfRule>
    <cfRule type="cellIs" dxfId="936" priority="114" operator="equal">
      <formula>"Baja"</formula>
    </cfRule>
  </conditionalFormatting>
  <conditionalFormatting sqref="L181 AC181:AC184">
    <cfRule type="cellIs" dxfId="935" priority="110" operator="equal">
      <formula>"Muy Baja"</formula>
    </cfRule>
    <cfRule type="cellIs" dxfId="934" priority="106" operator="equal">
      <formula>"Muy Alta"</formula>
    </cfRule>
    <cfRule type="cellIs" dxfId="933" priority="107" operator="equal">
      <formula>"Alta"</formula>
    </cfRule>
    <cfRule type="cellIs" dxfId="932" priority="108" operator="equal">
      <formula>"Media"</formula>
    </cfRule>
    <cfRule type="cellIs" dxfId="931" priority="109" operator="equal">
      <formula>"Baja"</formula>
    </cfRule>
  </conditionalFormatting>
  <conditionalFormatting sqref="L195 L197 L200 AC202">
    <cfRule type="cellIs" dxfId="930" priority="63" operator="equal">
      <formula>"Muy Alta"</formula>
    </cfRule>
    <cfRule type="cellIs" dxfId="929" priority="64" operator="equal">
      <formula>"Alta"</formula>
    </cfRule>
    <cfRule type="cellIs" dxfId="928" priority="65" operator="equal">
      <formula>"Media"</formula>
    </cfRule>
    <cfRule type="cellIs" dxfId="927" priority="66" operator="equal">
      <formula>"Baja"</formula>
    </cfRule>
    <cfRule type="cellIs" dxfId="926" priority="67" operator="equal">
      <formula>"Muy Baja"</formula>
    </cfRule>
  </conditionalFormatting>
  <conditionalFormatting sqref="L213">
    <cfRule type="cellIs" dxfId="925" priority="62" operator="equal">
      <formula>"Muy Baja"</formula>
    </cfRule>
    <cfRule type="cellIs" dxfId="924" priority="58" operator="equal">
      <formula>"Muy Alta"</formula>
    </cfRule>
    <cfRule type="cellIs" dxfId="923" priority="59" operator="equal">
      <formula>"Alta"</formula>
    </cfRule>
    <cfRule type="cellIs" dxfId="922" priority="60" operator="equal">
      <formula>"Media"</formula>
    </cfRule>
    <cfRule type="cellIs" dxfId="921" priority="61" operator="equal">
      <formula>"Baja"</formula>
    </cfRule>
  </conditionalFormatting>
  <conditionalFormatting sqref="L217">
    <cfRule type="cellIs" dxfId="920" priority="26" operator="equal">
      <formula>"Alta"</formula>
    </cfRule>
    <cfRule type="cellIs" dxfId="919" priority="25" operator="equal">
      <formula>"Muy Alta"</formula>
    </cfRule>
    <cfRule type="cellIs" dxfId="918" priority="29" operator="equal">
      <formula>"Muy Baja"</formula>
    </cfRule>
    <cfRule type="cellIs" dxfId="917" priority="27" operator="equal">
      <formula>"Media"</formula>
    </cfRule>
    <cfRule type="cellIs" dxfId="916" priority="28" operator="equal">
      <formula>"Baja"</formula>
    </cfRule>
  </conditionalFormatting>
  <conditionalFormatting sqref="N8:N9">
    <cfRule type="containsText" dxfId="915" priority="571" operator="containsText" text="❌">
      <formula>NOT(ISERROR(SEARCH("❌",N8)))</formula>
    </cfRule>
  </conditionalFormatting>
  <conditionalFormatting sqref="N20:N24 O195:O202">
    <cfRule type="containsText" dxfId="914" priority="1145" operator="containsText" text="❌">
      <formula>NOT(ISERROR(SEARCH(("❌"),(N20))))</formula>
    </cfRule>
  </conditionalFormatting>
  <conditionalFormatting sqref="O8">
    <cfRule type="cellIs" dxfId="913" priority="578" operator="equal">
      <formula>"Moderado"</formula>
    </cfRule>
    <cfRule type="cellIs" dxfId="912" priority="579" operator="equal">
      <formula>"Menor"</formula>
    </cfRule>
    <cfRule type="cellIs" dxfId="911" priority="580" operator="equal">
      <formula>"Leve"</formula>
    </cfRule>
    <cfRule type="cellIs" dxfId="910" priority="576" operator="equal">
      <formula>"Catastrófico"</formula>
    </cfRule>
    <cfRule type="cellIs" dxfId="909" priority="577" operator="equal">
      <formula>"Mayor"</formula>
    </cfRule>
  </conditionalFormatting>
  <conditionalFormatting sqref="O20 O23">
    <cfRule type="cellIs" dxfId="908" priority="532" operator="equal">
      <formula>"Moderado"</formula>
    </cfRule>
    <cfRule type="cellIs" dxfId="907" priority="533" operator="equal">
      <formula>"Menor"</formula>
    </cfRule>
    <cfRule type="cellIs" dxfId="906" priority="534" operator="equal">
      <formula>"Leve"</formula>
    </cfRule>
    <cfRule type="cellIs" dxfId="905" priority="530" operator="equal">
      <formula>"Catastrófico"</formula>
    </cfRule>
    <cfRule type="cellIs" dxfId="904" priority="531" operator="equal">
      <formula>"Mayor"</formula>
    </cfRule>
  </conditionalFormatting>
  <conditionalFormatting sqref="O35:O41 O67:O70 M157 M171 M185 M203 M218:M327">
    <cfRule type="containsText" dxfId="903" priority="1130" operator="containsText" text="❌">
      <formula>NOT(ISERROR(SEARCH("❌",M35)))</formula>
    </cfRule>
  </conditionalFormatting>
  <conditionalFormatting sqref="O52:O56">
    <cfRule type="containsText" dxfId="902" priority="447" operator="containsText" text="❌">
      <formula>NOT(ISERROR(SEARCH("❌",O52)))</formula>
    </cfRule>
  </conditionalFormatting>
  <conditionalFormatting sqref="O81:O83">
    <cfRule type="containsText" dxfId="901" priority="399" operator="containsText" text="❌">
      <formula>NOT(ISERROR(SEARCH("❌",O81)))</formula>
    </cfRule>
  </conditionalFormatting>
  <conditionalFormatting sqref="O93:O96">
    <cfRule type="containsText" dxfId="900" priority="384" operator="containsText" text="❌">
      <formula>NOT(ISERROR(SEARCH("❌",O93)))</formula>
    </cfRule>
  </conditionalFormatting>
  <conditionalFormatting sqref="O107:O113">
    <cfRule type="containsText" dxfId="899" priority="337" operator="containsText" text="❌">
      <formula>NOT(ISERROR(SEARCH("❌",O107)))</formula>
    </cfRule>
  </conditionalFormatting>
  <conditionalFormatting sqref="O124:O127">
    <cfRule type="containsText" dxfId="898" priority="308" operator="containsText" text="❌">
      <formula>NOT(ISERROR(SEARCH("❌",O124)))</formula>
    </cfRule>
  </conditionalFormatting>
  <conditionalFormatting sqref="O137:O139">
    <cfRule type="containsText" dxfId="897" priority="293" operator="containsText" text="❌">
      <formula>NOT(ISERROR(SEARCH("❌",O137)))</formula>
    </cfRule>
  </conditionalFormatting>
  <conditionalFormatting sqref="O150:O156">
    <cfRule type="containsText" dxfId="896" priority="140" operator="containsText" text="❌">
      <formula>NOT(ISERROR(SEARCH("❌",O150)))</formula>
    </cfRule>
  </conditionalFormatting>
  <conditionalFormatting sqref="O167:O170">
    <cfRule type="containsText" dxfId="895" priority="116" operator="containsText" text="❌">
      <formula>NOT(ISERROR(SEARCH(("❌"),(O167))))</formula>
    </cfRule>
  </conditionalFormatting>
  <conditionalFormatting sqref="O181:O184">
    <cfRule type="containsText" dxfId="894" priority="96" operator="containsText" text="❌">
      <formula>NOT(ISERROR(SEARCH("❌",O181)))</formula>
    </cfRule>
  </conditionalFormatting>
  <conditionalFormatting sqref="O213:O217">
    <cfRule type="containsText" dxfId="893" priority="15" operator="containsText" text="❌">
      <formula>NOT(ISERROR(SEARCH("❌",O213)))</formula>
    </cfRule>
  </conditionalFormatting>
  <conditionalFormatting sqref="P35 P38 P40">
    <cfRule type="cellIs" dxfId="892" priority="497" operator="equal">
      <formula>"Mayor"</formula>
    </cfRule>
    <cfRule type="cellIs" dxfId="891" priority="496" operator="equal">
      <formula>"Catastrófico"</formula>
    </cfRule>
    <cfRule type="cellIs" dxfId="890" priority="499" operator="equal">
      <formula>"Menor"</formula>
    </cfRule>
    <cfRule type="cellIs" dxfId="889" priority="500" operator="equal">
      <formula>"Leve"</formula>
    </cfRule>
    <cfRule type="cellIs" dxfId="888" priority="498" operator="equal">
      <formula>"Moderado"</formula>
    </cfRule>
  </conditionalFormatting>
  <conditionalFormatting sqref="P52">
    <cfRule type="cellIs" dxfId="887" priority="456" operator="equal">
      <formula>"Leve"</formula>
    </cfRule>
    <cfRule type="cellIs" dxfId="886" priority="455" operator="equal">
      <formula>"Menor"</formula>
    </cfRule>
    <cfRule type="cellIs" dxfId="885" priority="454" operator="equal">
      <formula>"Moderado"</formula>
    </cfRule>
    <cfRule type="cellIs" dxfId="884" priority="453" operator="equal">
      <formula>"Mayor"</formula>
    </cfRule>
    <cfRule type="cellIs" dxfId="883" priority="452" operator="equal">
      <formula>"Catastrófico"</formula>
    </cfRule>
  </conditionalFormatting>
  <conditionalFormatting sqref="P67 P69">
    <cfRule type="cellIs" dxfId="882" priority="425" operator="equal">
      <formula>"Moderado"</formula>
    </cfRule>
    <cfRule type="cellIs" dxfId="881" priority="427" operator="equal">
      <formula>"Leve"</formula>
    </cfRule>
    <cfRule type="cellIs" dxfId="880" priority="426" operator="equal">
      <formula>"Menor"</formula>
    </cfRule>
    <cfRule type="cellIs" dxfId="879" priority="424" operator="equal">
      <formula>"Mayor"</formula>
    </cfRule>
    <cfRule type="cellIs" dxfId="878" priority="423" operator="equal">
      <formula>"Catastrófico"</formula>
    </cfRule>
  </conditionalFormatting>
  <conditionalFormatting sqref="P81 AE81:AE83">
    <cfRule type="cellIs" dxfId="877" priority="408" operator="equal">
      <formula>"Leve"</formula>
    </cfRule>
    <cfRule type="cellIs" dxfId="876" priority="407" operator="equal">
      <formula>"Menor"</formula>
    </cfRule>
    <cfRule type="cellIs" dxfId="875" priority="406" operator="equal">
      <formula>"Moderado"</formula>
    </cfRule>
    <cfRule type="cellIs" dxfId="874" priority="405" operator="equal">
      <formula>"Mayor"</formula>
    </cfRule>
    <cfRule type="cellIs" dxfId="873" priority="404" operator="equal">
      <formula>"Catastrófico"</formula>
    </cfRule>
  </conditionalFormatting>
  <conditionalFormatting sqref="P93">
    <cfRule type="cellIs" dxfId="872" priority="389" operator="equal">
      <formula>"Catastrófico"</formula>
    </cfRule>
    <cfRule type="cellIs" dxfId="871" priority="390" operator="equal">
      <formula>"Mayor"</formula>
    </cfRule>
    <cfRule type="cellIs" dxfId="870" priority="391" operator="equal">
      <formula>"Moderado"</formula>
    </cfRule>
    <cfRule type="cellIs" dxfId="869" priority="392" operator="equal">
      <formula>"Menor"</formula>
    </cfRule>
    <cfRule type="cellIs" dxfId="868" priority="393" operator="equal">
      <formula>"Leve"</formula>
    </cfRule>
  </conditionalFormatting>
  <conditionalFormatting sqref="P107:P108 P112">
    <cfRule type="cellIs" dxfId="867" priority="361" operator="equal">
      <formula>"Mayor"</formula>
    </cfRule>
    <cfRule type="cellIs" dxfId="866" priority="360" operator="equal">
      <formula>"Catastrófico"</formula>
    </cfRule>
    <cfRule type="cellIs" dxfId="865" priority="364" operator="equal">
      <formula>"Leve"</formula>
    </cfRule>
    <cfRule type="cellIs" dxfId="864" priority="363" operator="equal">
      <formula>"Menor"</formula>
    </cfRule>
    <cfRule type="cellIs" dxfId="863" priority="362" operator="equal">
      <formula>"Moderado"</formula>
    </cfRule>
  </conditionalFormatting>
  <conditionalFormatting sqref="P124 AE124:AE127">
    <cfRule type="cellIs" dxfId="862" priority="317" operator="equal">
      <formula>"Leve"</formula>
    </cfRule>
    <cfRule type="cellIs" dxfId="861" priority="316" operator="equal">
      <formula>"Menor"</formula>
    </cfRule>
    <cfRule type="cellIs" dxfId="860" priority="315" operator="equal">
      <formula>"Moderado"</formula>
    </cfRule>
    <cfRule type="cellIs" dxfId="859" priority="314" operator="equal">
      <formula>"Mayor"</formula>
    </cfRule>
    <cfRule type="cellIs" dxfId="858" priority="313" operator="equal">
      <formula>"Catastrófico"</formula>
    </cfRule>
  </conditionalFormatting>
  <conditionalFormatting sqref="P137 AE137">
    <cfRule type="cellIs" dxfId="857" priority="302" operator="equal">
      <formula>"Leve"</formula>
    </cfRule>
    <cfRule type="cellIs" dxfId="856" priority="298" operator="equal">
      <formula>"Catastrófico"</formula>
    </cfRule>
    <cfRule type="cellIs" dxfId="855" priority="299" operator="equal">
      <formula>"Mayor"</formula>
    </cfRule>
    <cfRule type="cellIs" dxfId="854" priority="300" operator="equal">
      <formula>"Moderado"</formula>
    </cfRule>
    <cfRule type="cellIs" dxfId="853" priority="301" operator="equal">
      <formula>"Menor"</formula>
    </cfRule>
  </conditionalFormatting>
  <conditionalFormatting sqref="P150:P156 AE150:AE156">
    <cfRule type="cellIs" dxfId="852" priority="152" operator="equal">
      <formula>"Menor"</formula>
    </cfRule>
    <cfRule type="cellIs" dxfId="851" priority="153" operator="equal">
      <formula>"Leve"</formula>
    </cfRule>
    <cfRule type="cellIs" dxfId="850" priority="149" operator="equal">
      <formula>"Catastrófico"</formula>
    </cfRule>
    <cfRule type="cellIs" dxfId="849" priority="150" operator="equal">
      <formula>"Mayor"</formula>
    </cfRule>
    <cfRule type="cellIs" dxfId="848" priority="151" operator="equal">
      <formula>"Moderado"</formula>
    </cfRule>
  </conditionalFormatting>
  <conditionalFormatting sqref="P167">
    <cfRule type="cellIs" dxfId="847" priority="120" operator="equal">
      <formula>"Menor"</formula>
    </cfRule>
    <cfRule type="cellIs" dxfId="846" priority="117" operator="equal">
      <formula>"Catastrófico"</formula>
    </cfRule>
    <cfRule type="cellIs" dxfId="845" priority="118" operator="equal">
      <formula>"Mayor"</formula>
    </cfRule>
    <cfRule type="cellIs" dxfId="844" priority="119" operator="equal">
      <formula>"Moderado"</formula>
    </cfRule>
    <cfRule type="cellIs" dxfId="843" priority="121" operator="equal">
      <formula>"Leve"</formula>
    </cfRule>
  </conditionalFormatting>
  <conditionalFormatting sqref="P181 AE181:AE184">
    <cfRule type="cellIs" dxfId="842" priority="105" operator="equal">
      <formula>"Leve"</formula>
    </cfRule>
    <cfRule type="cellIs" dxfId="841" priority="101" operator="equal">
      <formula>"Catastrófico"</formula>
    </cfRule>
    <cfRule type="cellIs" dxfId="840" priority="102" operator="equal">
      <formula>"Mayor"</formula>
    </cfRule>
    <cfRule type="cellIs" dxfId="839" priority="103" operator="equal">
      <formula>"Moderado"</formula>
    </cfRule>
    <cfRule type="cellIs" dxfId="838" priority="104" operator="equal">
      <formula>"Menor"</formula>
    </cfRule>
  </conditionalFormatting>
  <conditionalFormatting sqref="P195 P197 P200 AE202">
    <cfRule type="cellIs" dxfId="837" priority="69" operator="equal">
      <formula>"Catastrófico"</formula>
    </cfRule>
    <cfRule type="cellIs" dxfId="836" priority="70" operator="equal">
      <formula>"Mayor"</formula>
    </cfRule>
    <cfRule type="cellIs" dxfId="835" priority="71" operator="equal">
      <formula>"Moderado"</formula>
    </cfRule>
    <cfRule type="cellIs" dxfId="834" priority="73" operator="equal">
      <formula>"Leve"</formula>
    </cfRule>
    <cfRule type="cellIs" dxfId="833" priority="72" operator="equal">
      <formula>"Menor"</formula>
    </cfRule>
  </conditionalFormatting>
  <conditionalFormatting sqref="P213">
    <cfRule type="cellIs" dxfId="832" priority="55" operator="equal">
      <formula>"Moderado"</formula>
    </cfRule>
    <cfRule type="cellIs" dxfId="831" priority="56" operator="equal">
      <formula>"Menor"</formula>
    </cfRule>
    <cfRule type="cellIs" dxfId="830" priority="57" operator="equal">
      <formula>"Leve"</formula>
    </cfRule>
    <cfRule type="cellIs" dxfId="829" priority="53" operator="equal">
      <formula>"Catastrófico"</formula>
    </cfRule>
    <cfRule type="cellIs" dxfId="828" priority="54" operator="equal">
      <formula>"Mayor"</formula>
    </cfRule>
  </conditionalFormatting>
  <conditionalFormatting sqref="P217">
    <cfRule type="cellIs" dxfId="827" priority="24" operator="equal">
      <formula>"Leve"</formula>
    </cfRule>
    <cfRule type="cellIs" dxfId="826" priority="23" operator="equal">
      <formula>"Menor"</formula>
    </cfRule>
    <cfRule type="cellIs" dxfId="825" priority="22" operator="equal">
      <formula>"Moderado"</formula>
    </cfRule>
    <cfRule type="cellIs" dxfId="824" priority="21" operator="equal">
      <formula>"Mayor"</formula>
    </cfRule>
    <cfRule type="cellIs" dxfId="823" priority="20" operator="equal">
      <formula>"Catastrófico"</formula>
    </cfRule>
  </conditionalFormatting>
  <conditionalFormatting sqref="Q8">
    <cfRule type="cellIs" dxfId="822" priority="573" operator="equal">
      <formula>"Alto"</formula>
    </cfRule>
    <cfRule type="cellIs" dxfId="821" priority="572" operator="equal">
      <formula>"Extremo"</formula>
    </cfRule>
    <cfRule type="cellIs" dxfId="820" priority="574" operator="equal">
      <formula>"Moderado"</formula>
    </cfRule>
    <cfRule type="cellIs" dxfId="819" priority="575" operator="equal">
      <formula>"Bajo"</formula>
    </cfRule>
  </conditionalFormatting>
  <conditionalFormatting sqref="Q20">
    <cfRule type="cellIs" dxfId="818" priority="537" operator="equal">
      <formula>"Moderado"</formula>
    </cfRule>
    <cfRule type="cellIs" dxfId="817" priority="538" operator="equal">
      <formula>"Bajo"</formula>
    </cfRule>
    <cfRule type="cellIs" dxfId="816" priority="536" operator="equal">
      <formula>"Alto"</formula>
    </cfRule>
    <cfRule type="cellIs" dxfId="815" priority="535" operator="equal">
      <formula>"Extremo"</formula>
    </cfRule>
  </conditionalFormatting>
  <conditionalFormatting sqref="Q23">
    <cfRule type="cellIs" dxfId="814" priority="542" operator="equal">
      <formula>"Bajo"</formula>
    </cfRule>
    <cfRule type="cellIs" dxfId="813" priority="541" operator="equal">
      <formula>"Moderado"</formula>
    </cfRule>
    <cfRule type="cellIs" dxfId="812" priority="540" operator="equal">
      <formula>"Alto"</formula>
    </cfRule>
    <cfRule type="cellIs" dxfId="811" priority="539" operator="equal">
      <formula>"Extremo"</formula>
    </cfRule>
  </conditionalFormatting>
  <conditionalFormatting sqref="R35">
    <cfRule type="cellIs" dxfId="810" priority="502" operator="equal">
      <formula>"Alto"</formula>
    </cfRule>
    <cfRule type="cellIs" dxfId="809" priority="501" operator="equal">
      <formula>"Extremo"</formula>
    </cfRule>
    <cfRule type="cellIs" dxfId="808" priority="504" operator="equal">
      <formula>"Bajo"</formula>
    </cfRule>
    <cfRule type="cellIs" dxfId="807" priority="503" operator="equal">
      <formula>"Moderado"</formula>
    </cfRule>
  </conditionalFormatting>
  <conditionalFormatting sqref="R38 R40">
    <cfRule type="cellIs" dxfId="806" priority="521" operator="equal">
      <formula>"Moderado"</formula>
    </cfRule>
    <cfRule type="cellIs" dxfId="805" priority="520" operator="equal">
      <formula>"Alto"</formula>
    </cfRule>
    <cfRule type="cellIs" dxfId="804" priority="519" operator="equal">
      <formula>"Extremo"</formula>
    </cfRule>
    <cfRule type="cellIs" dxfId="803" priority="522" operator="equal">
      <formula>"Bajo"</formula>
    </cfRule>
  </conditionalFormatting>
  <conditionalFormatting sqref="R52">
    <cfRule type="cellIs" dxfId="802" priority="451" operator="equal">
      <formula>"Bajo"</formula>
    </cfRule>
    <cfRule type="cellIs" dxfId="801" priority="448" operator="equal">
      <formula>"Extremo"</formula>
    </cfRule>
    <cfRule type="cellIs" dxfId="800" priority="450" operator="equal">
      <formula>"Moderado"</formula>
    </cfRule>
    <cfRule type="cellIs" dxfId="799" priority="449" operator="equal">
      <formula>"Alto"</formula>
    </cfRule>
  </conditionalFormatting>
  <conditionalFormatting sqref="R67">
    <cfRule type="cellIs" dxfId="798" priority="421" operator="equal">
      <formula>"Moderado"</formula>
    </cfRule>
    <cfRule type="cellIs" dxfId="797" priority="420" operator="equal">
      <formula>"Alto"</formula>
    </cfRule>
    <cfRule type="cellIs" dxfId="796" priority="419" operator="equal">
      <formula>"Extremo"</formula>
    </cfRule>
    <cfRule type="cellIs" dxfId="795" priority="422" operator="equal">
      <formula>"Bajo"</formula>
    </cfRule>
  </conditionalFormatting>
  <conditionalFormatting sqref="R69">
    <cfRule type="cellIs" dxfId="794" priority="417" operator="equal">
      <formula>"Moderado"</formula>
    </cfRule>
    <cfRule type="cellIs" dxfId="793" priority="415" operator="equal">
      <formula>"Extremo"</formula>
    </cfRule>
    <cfRule type="cellIs" dxfId="792" priority="418" operator="equal">
      <formula>"Bajo"</formula>
    </cfRule>
    <cfRule type="cellIs" dxfId="791" priority="416" operator="equal">
      <formula>"Alto"</formula>
    </cfRule>
  </conditionalFormatting>
  <conditionalFormatting sqref="R81 AG81:AG83">
    <cfRule type="cellIs" dxfId="790" priority="400" operator="equal">
      <formula>"Extremo"</formula>
    </cfRule>
    <cfRule type="cellIs" dxfId="789" priority="401" operator="equal">
      <formula>"Alto"</formula>
    </cfRule>
    <cfRule type="cellIs" dxfId="788" priority="402" operator="equal">
      <formula>"Moderado"</formula>
    </cfRule>
    <cfRule type="cellIs" dxfId="787" priority="403" operator="equal">
      <formula>"Bajo"</formula>
    </cfRule>
  </conditionalFormatting>
  <conditionalFormatting sqref="R93">
    <cfRule type="cellIs" dxfId="786" priority="385" operator="equal">
      <formula>"Extremo"</formula>
    </cfRule>
    <cfRule type="cellIs" dxfId="785" priority="388" operator="equal">
      <formula>"Bajo"</formula>
    </cfRule>
    <cfRule type="cellIs" dxfId="784" priority="387" operator="equal">
      <formula>"Moderado"</formula>
    </cfRule>
    <cfRule type="cellIs" dxfId="783" priority="386" operator="equal">
      <formula>"Alto"</formula>
    </cfRule>
  </conditionalFormatting>
  <conditionalFormatting sqref="R107:R108">
    <cfRule type="cellIs" dxfId="782" priority="357" operator="equal">
      <formula>"Alto"</formula>
    </cfRule>
    <cfRule type="cellIs" dxfId="781" priority="356" operator="equal">
      <formula>"Extremo"</formula>
    </cfRule>
    <cfRule type="cellIs" dxfId="780" priority="359" operator="equal">
      <formula>"Bajo"</formula>
    </cfRule>
    <cfRule type="cellIs" dxfId="779" priority="358" operator="equal">
      <formula>"Moderado"</formula>
    </cfRule>
  </conditionalFormatting>
  <conditionalFormatting sqref="R112">
    <cfRule type="cellIs" dxfId="778" priority="339" operator="equal">
      <formula>"Alto"</formula>
    </cfRule>
    <cfRule type="cellIs" dxfId="777" priority="341" operator="equal">
      <formula>"Bajo"</formula>
    </cfRule>
    <cfRule type="cellIs" dxfId="776" priority="338" operator="equal">
      <formula>"Extremo"</formula>
    </cfRule>
    <cfRule type="cellIs" dxfId="775" priority="340" operator="equal">
      <formula>"Moderado"</formula>
    </cfRule>
  </conditionalFormatting>
  <conditionalFormatting sqref="R124 AG124:AG127">
    <cfRule type="cellIs" dxfId="774" priority="309" operator="equal">
      <formula>"Extremo"</formula>
    </cfRule>
    <cfRule type="cellIs" dxfId="773" priority="312" operator="equal">
      <formula>"Bajo"</formula>
    </cfRule>
    <cfRule type="cellIs" dxfId="772" priority="311" operator="equal">
      <formula>"Moderado"</formula>
    </cfRule>
    <cfRule type="cellIs" dxfId="771" priority="310" operator="equal">
      <formula>"Alto"</formula>
    </cfRule>
  </conditionalFormatting>
  <conditionalFormatting sqref="R137 AG137">
    <cfRule type="cellIs" dxfId="770" priority="297" operator="equal">
      <formula>"Bajo"</formula>
    </cfRule>
    <cfRule type="cellIs" dxfId="769" priority="296" operator="equal">
      <formula>"Moderado"</formula>
    </cfRule>
    <cfRule type="cellIs" dxfId="768" priority="295" operator="equal">
      <formula>"Alto"</formula>
    </cfRule>
    <cfRule type="cellIs" dxfId="767" priority="294" operator="equal">
      <formula>"Extremo"</formula>
    </cfRule>
  </conditionalFormatting>
  <conditionalFormatting sqref="R150:R156">
    <cfRule type="cellIs" dxfId="766" priority="142" operator="equal">
      <formula>"Alto"</formula>
    </cfRule>
    <cfRule type="cellIs" dxfId="765" priority="143" operator="equal">
      <formula>"Moderado"</formula>
    </cfRule>
    <cfRule type="cellIs" dxfId="764" priority="144" operator="equal">
      <formula>"Bajo"</formula>
    </cfRule>
    <cfRule type="cellIs" dxfId="763" priority="141" operator="equal">
      <formula>"Extremo"</formula>
    </cfRule>
  </conditionalFormatting>
  <conditionalFormatting sqref="R167">
    <cfRule type="cellIs" dxfId="762" priority="122" operator="equal">
      <formula>"Extremo"</formula>
    </cfRule>
    <cfRule type="cellIs" dxfId="761" priority="125" operator="equal">
      <formula>"Bajo"</formula>
    </cfRule>
    <cfRule type="cellIs" dxfId="760" priority="124" operator="equal">
      <formula>"Moderado"</formula>
    </cfRule>
    <cfRule type="cellIs" dxfId="759" priority="123" operator="equal">
      <formula>"Alto"</formula>
    </cfRule>
  </conditionalFormatting>
  <conditionalFormatting sqref="R181 AG181:AG184">
    <cfRule type="cellIs" dxfId="758" priority="100" operator="equal">
      <formula>"Bajo"</formula>
    </cfRule>
    <cfRule type="cellIs" dxfId="757" priority="99" operator="equal">
      <formula>"Moderado"</formula>
    </cfRule>
    <cfRule type="cellIs" dxfId="756" priority="97" operator="equal">
      <formula>"Extremo"</formula>
    </cfRule>
    <cfRule type="cellIs" dxfId="755" priority="98" operator="equal">
      <formula>"Alto"</formula>
    </cfRule>
  </conditionalFormatting>
  <conditionalFormatting sqref="R195 AG202">
    <cfRule type="cellIs" dxfId="754" priority="77" operator="equal">
      <formula>"Bajo"</formula>
    </cfRule>
    <cfRule type="cellIs" dxfId="753" priority="76" operator="equal">
      <formula>"Moderado"</formula>
    </cfRule>
    <cfRule type="cellIs" dxfId="752" priority="75" operator="equal">
      <formula>"Alto"</formula>
    </cfRule>
    <cfRule type="cellIs" dxfId="751" priority="74" operator="equal">
      <formula>"Extremo"</formula>
    </cfRule>
  </conditionalFormatting>
  <conditionalFormatting sqref="R197 R200">
    <cfRule type="cellIs" dxfId="750" priority="81" operator="equal">
      <formula>"Bajo"</formula>
    </cfRule>
    <cfRule type="cellIs" dxfId="749" priority="80" operator="equal">
      <formula>"Moderado"</formula>
    </cfRule>
    <cfRule type="cellIs" dxfId="748" priority="79" operator="equal">
      <formula>"Alto"</formula>
    </cfRule>
    <cfRule type="cellIs" dxfId="747" priority="78" operator="equal">
      <formula>"Extremo"</formula>
    </cfRule>
  </conditionalFormatting>
  <conditionalFormatting sqref="R213">
    <cfRule type="cellIs" dxfId="746" priority="52" operator="equal">
      <formula>"Bajo"</formula>
    </cfRule>
    <cfRule type="cellIs" dxfId="745" priority="51" operator="equal">
      <formula>"Moderado"</formula>
    </cfRule>
    <cfRule type="cellIs" dxfId="744" priority="49" operator="equal">
      <formula>"Extremo"</formula>
    </cfRule>
    <cfRule type="cellIs" dxfId="743" priority="50" operator="equal">
      <formula>"Alto"</formula>
    </cfRule>
  </conditionalFormatting>
  <conditionalFormatting sqref="R217">
    <cfRule type="cellIs" dxfId="742" priority="19" operator="equal">
      <formula>"Bajo"</formula>
    </cfRule>
    <cfRule type="cellIs" dxfId="741" priority="18" operator="equal">
      <formula>"Moderado"</formula>
    </cfRule>
    <cfRule type="cellIs" dxfId="740" priority="17" operator="equal">
      <formula>"Alto"</formula>
    </cfRule>
    <cfRule type="cellIs" dxfId="739" priority="16" operator="equal">
      <formula>"Extremo"</formula>
    </cfRule>
  </conditionalFormatting>
  <conditionalFormatting sqref="AA157 AA171 AA185 AA203 AA218:AA327">
    <cfRule type="cellIs" dxfId="738" priority="1273" operator="equal">
      <formula>"Baja"</formula>
    </cfRule>
    <cfRule type="cellIs" dxfId="737" priority="1274" operator="equal">
      <formula>"Media"</formula>
    </cfRule>
    <cfRule type="cellIs" dxfId="736" priority="1270" operator="equal">
      <formula>"Alta"</formula>
    </cfRule>
    <cfRule type="cellIs" dxfId="735" priority="1271" operator="equal">
      <formula>"Muy Alta"</formula>
    </cfRule>
    <cfRule type="cellIs" dxfId="734" priority="1272" operator="equal">
      <formula>"Muy Baja"</formula>
    </cfRule>
  </conditionalFormatting>
  <conditionalFormatting sqref="AB8:AB10">
    <cfRule type="cellIs" dxfId="733" priority="570" operator="equal">
      <formula>"Muy Baja"</formula>
    </cfRule>
    <cfRule type="cellIs" dxfId="732" priority="566" operator="equal">
      <formula>"Muy Alta"</formula>
    </cfRule>
    <cfRule type="cellIs" dxfId="731" priority="568" operator="equal">
      <formula>"Media"</formula>
    </cfRule>
    <cfRule type="cellIs" dxfId="730" priority="569" operator="equal">
      <formula>"Baja"</formula>
    </cfRule>
    <cfRule type="cellIs" dxfId="729" priority="567" operator="equal">
      <formula>"Alta"</formula>
    </cfRule>
  </conditionalFormatting>
  <conditionalFormatting sqref="AB20:AB24 AC195:AC200">
    <cfRule type="cellIs" dxfId="728" priority="1203" operator="equal">
      <formula>"Muy Baja"</formula>
    </cfRule>
    <cfRule type="cellIs" dxfId="727" priority="1199" operator="equal">
      <formula>"Muy Alta"</formula>
    </cfRule>
    <cfRule type="cellIs" dxfId="726" priority="1200" operator="equal">
      <formula>"Alta"</formula>
    </cfRule>
    <cfRule type="cellIs" dxfId="725" priority="1201" operator="equal">
      <formula>"Media"</formula>
    </cfRule>
    <cfRule type="cellIs" dxfId="724" priority="1202" operator="equal">
      <formula>"Baja"</formula>
    </cfRule>
  </conditionalFormatting>
  <conditionalFormatting sqref="AB25 AB42 AB57 AB71 AB97 AB114 AB140">
    <cfRule type="cellIs" dxfId="723" priority="1241" operator="equal">
      <formula>"Muy Alta"</formula>
    </cfRule>
    <cfRule type="cellIs" dxfId="722" priority="1242" operator="equal">
      <formula>"Alta"</formula>
    </cfRule>
    <cfRule type="cellIs" dxfId="721" priority="1243" operator="equal">
      <formula>"Media"</formula>
    </cfRule>
    <cfRule type="cellIs" dxfId="720" priority="1244" operator="equal">
      <formula>"Baja"</formula>
    </cfRule>
    <cfRule type="cellIs" dxfId="719" priority="1245" operator="equal">
      <formula>"Muy Baja"</formula>
    </cfRule>
  </conditionalFormatting>
  <conditionalFormatting sqref="AC35:AC41">
    <cfRule type="cellIs" dxfId="718" priority="1170" operator="equal">
      <formula>"Muy Baja"</formula>
    </cfRule>
    <cfRule type="cellIs" dxfId="717" priority="1167" operator="equal">
      <formula>"Alta"</formula>
    </cfRule>
    <cfRule type="cellIs" dxfId="716" priority="1166" operator="equal">
      <formula>"Muy Alta"</formula>
    </cfRule>
    <cfRule type="cellIs" dxfId="715" priority="1168" operator="equal">
      <formula>"Media"</formula>
    </cfRule>
    <cfRule type="cellIs" dxfId="714" priority="1169" operator="equal">
      <formula>"Baja"</formula>
    </cfRule>
  </conditionalFormatting>
  <conditionalFormatting sqref="AC52:AC56">
    <cfRule type="cellIs" dxfId="713" priority="446" operator="equal">
      <formula>"Muy Baja"</formula>
    </cfRule>
    <cfRule type="cellIs" dxfId="712" priority="445" operator="equal">
      <formula>"Baja"</formula>
    </cfRule>
    <cfRule type="cellIs" dxfId="711" priority="442" operator="equal">
      <formula>"Muy Alta"</formula>
    </cfRule>
    <cfRule type="cellIs" dxfId="710" priority="444" operator="equal">
      <formula>"Media"</formula>
    </cfRule>
    <cfRule type="cellIs" dxfId="709" priority="443" operator="equal">
      <formula>"Alta"</formula>
    </cfRule>
  </conditionalFormatting>
  <conditionalFormatting sqref="AC67:AC70">
    <cfRule type="cellIs" dxfId="708" priority="1161" operator="equal">
      <formula>"Muy Alta"</formula>
    </cfRule>
    <cfRule type="cellIs" dxfId="707" priority="1163" operator="equal">
      <formula>"Media"</formula>
    </cfRule>
    <cfRule type="cellIs" dxfId="706" priority="1164" operator="equal">
      <formula>"Baja"</formula>
    </cfRule>
    <cfRule type="cellIs" dxfId="705" priority="1165" operator="equal">
      <formula>"Muy Baja"</formula>
    </cfRule>
    <cfRule type="cellIs" dxfId="704" priority="1162" operator="equal">
      <formula>"Alta"</formula>
    </cfRule>
  </conditionalFormatting>
  <conditionalFormatting sqref="AC93:AC96">
    <cfRule type="cellIs" dxfId="703" priority="382" operator="equal">
      <formula>"Baja"</formula>
    </cfRule>
    <cfRule type="cellIs" dxfId="702" priority="381" operator="equal">
      <formula>"Media"</formula>
    </cfRule>
    <cfRule type="cellIs" dxfId="701" priority="379" operator="equal">
      <formula>"Muy Alta"</formula>
    </cfRule>
    <cfRule type="cellIs" dxfId="700" priority="383" operator="equal">
      <formula>"Muy Baja"</formula>
    </cfRule>
    <cfRule type="cellIs" dxfId="699" priority="380" operator="equal">
      <formula>"Alta"</formula>
    </cfRule>
  </conditionalFormatting>
  <conditionalFormatting sqref="AC107:AC108">
    <cfRule type="cellIs" dxfId="698" priority="354" operator="equal">
      <formula>"Baja"</formula>
    </cfRule>
    <cfRule type="cellIs" dxfId="697" priority="355" operator="equal">
      <formula>"Muy Baja"</formula>
    </cfRule>
    <cfRule type="cellIs" dxfId="696" priority="351" operator="equal">
      <formula>"Muy Alta"</formula>
    </cfRule>
    <cfRule type="cellIs" dxfId="695" priority="352" operator="equal">
      <formula>"Alta"</formula>
    </cfRule>
    <cfRule type="cellIs" dxfId="694" priority="353" operator="equal">
      <formula>"Media"</formula>
    </cfRule>
  </conditionalFormatting>
  <conditionalFormatting sqref="AC110:AC113">
    <cfRule type="cellIs" dxfId="693" priority="335" operator="equal">
      <formula>"Baja"</formula>
    </cfRule>
    <cfRule type="cellIs" dxfId="692" priority="334" operator="equal">
      <formula>"Media"</formula>
    </cfRule>
    <cfRule type="cellIs" dxfId="691" priority="333" operator="equal">
      <formula>"Alta"</formula>
    </cfRule>
    <cfRule type="cellIs" dxfId="690" priority="332" operator="equal">
      <formula>"Muy Alta"</formula>
    </cfRule>
    <cfRule type="cellIs" dxfId="689" priority="336" operator="equal">
      <formula>"Muy Baja"</formula>
    </cfRule>
  </conditionalFormatting>
  <conditionalFormatting sqref="AC157 AC171 AC185 AC203 AC218:AC327">
    <cfRule type="cellIs" dxfId="688" priority="1269" operator="equal">
      <formula>"Leve"</formula>
    </cfRule>
    <cfRule type="cellIs" dxfId="687" priority="1265" operator="equal">
      <formula>"Menor"</formula>
    </cfRule>
    <cfRule type="cellIs" dxfId="686" priority="1268" operator="equal">
      <formula>"Catastrófico"</formula>
    </cfRule>
    <cfRule type="cellIs" dxfId="685" priority="1267" operator="equal">
      <formula>"Mayor"</formula>
    </cfRule>
    <cfRule type="cellIs" dxfId="684" priority="1266" operator="equal">
      <formula>"Moderado"</formula>
    </cfRule>
  </conditionalFormatting>
  <conditionalFormatting sqref="AC167:AC170">
    <cfRule type="cellIs" dxfId="683" priority="130" operator="equal">
      <formula>"Muy Baja"</formula>
    </cfRule>
    <cfRule type="cellIs" dxfId="682" priority="129" operator="equal">
      <formula>"Baja"</formula>
    </cfRule>
    <cfRule type="cellIs" dxfId="681" priority="128" operator="equal">
      <formula>"Media"</formula>
    </cfRule>
    <cfRule type="cellIs" dxfId="680" priority="127" operator="equal">
      <formula>"Alta"</formula>
    </cfRule>
    <cfRule type="cellIs" dxfId="679" priority="126" operator="equal">
      <formula>"Muy Alta"</formula>
    </cfRule>
  </conditionalFormatting>
  <conditionalFormatting sqref="AC213:AC217">
    <cfRule type="cellIs" dxfId="678" priority="10" operator="equal">
      <formula>"Muy Alta"</formula>
    </cfRule>
    <cfRule type="cellIs" dxfId="677" priority="14" operator="equal">
      <formula>"Muy Baja"</formula>
    </cfRule>
    <cfRule type="cellIs" dxfId="676" priority="13" operator="equal">
      <formula>"Baja"</formula>
    </cfRule>
    <cfRule type="cellIs" dxfId="675" priority="11" operator="equal">
      <formula>"Alta"</formula>
    </cfRule>
    <cfRule type="cellIs" dxfId="674" priority="12" operator="equal">
      <formula>"Media"</formula>
    </cfRule>
  </conditionalFormatting>
  <conditionalFormatting sqref="AD8:AD10">
    <cfRule type="cellIs" dxfId="673" priority="563" operator="equal">
      <formula>"Moderado"</formula>
    </cfRule>
    <cfRule type="cellIs" dxfId="672" priority="564" operator="equal">
      <formula>"Menor"</formula>
    </cfRule>
    <cfRule type="cellIs" dxfId="671" priority="565" operator="equal">
      <formula>"Leve"</formula>
    </cfRule>
    <cfRule type="cellIs" dxfId="670" priority="561" operator="equal">
      <formula>"Catastrófico"</formula>
    </cfRule>
    <cfRule type="cellIs" dxfId="669" priority="562" operator="equal">
      <formula>"Mayor"</formula>
    </cfRule>
  </conditionalFormatting>
  <conditionalFormatting sqref="AD20:AD24 AE195:AE200">
    <cfRule type="cellIs" dxfId="668" priority="1209" operator="equal">
      <formula>"Leve"</formula>
    </cfRule>
    <cfRule type="cellIs" dxfId="667" priority="1208" operator="equal">
      <formula>"Menor"</formula>
    </cfRule>
    <cfRule type="cellIs" dxfId="666" priority="1207" operator="equal">
      <formula>"Moderado"</formula>
    </cfRule>
    <cfRule type="cellIs" dxfId="665" priority="1206" operator="equal">
      <formula>"Mayor"</formula>
    </cfRule>
    <cfRule type="cellIs" dxfId="664" priority="1205" operator="equal">
      <formula>"Catastrófico"</formula>
    </cfRule>
  </conditionalFormatting>
  <conditionalFormatting sqref="AD25 AD42 AD57 AD71 AD97 AD114 AD140">
    <cfRule type="cellIs" dxfId="663" priority="1237" operator="equal">
      <formula>"Mayor"</formula>
    </cfRule>
    <cfRule type="cellIs" dxfId="662" priority="1238" operator="equal">
      <formula>"Moderado"</formula>
    </cfRule>
    <cfRule type="cellIs" dxfId="661" priority="1239" operator="equal">
      <formula>"Menor"</formula>
    </cfRule>
    <cfRule type="cellIs" dxfId="660" priority="1240" operator="equal">
      <formula>"Leve"</formula>
    </cfRule>
    <cfRule type="cellIs" dxfId="659" priority="1236" operator="equal">
      <formula>"Catastrófico"</formula>
    </cfRule>
  </conditionalFormatting>
  <conditionalFormatting sqref="AE35:AE41">
    <cfRule type="cellIs" dxfId="658" priority="1174" operator="equal">
      <formula>"Menor"</formula>
    </cfRule>
    <cfRule type="cellIs" dxfId="657" priority="1173" operator="equal">
      <formula>"Moderado"</formula>
    </cfRule>
    <cfRule type="cellIs" dxfId="656" priority="1175" operator="equal">
      <formula>"Leve"</formula>
    </cfRule>
    <cfRule type="cellIs" dxfId="655" priority="1172" operator="equal">
      <formula>"Mayor"</formula>
    </cfRule>
    <cfRule type="cellIs" dxfId="654" priority="1171" operator="equal">
      <formula>"Catastrófico"</formula>
    </cfRule>
  </conditionalFormatting>
  <conditionalFormatting sqref="AE52:AE56">
    <cfRule type="cellIs" dxfId="653" priority="433" operator="equal">
      <formula>"Catastrófico"</formula>
    </cfRule>
    <cfRule type="cellIs" dxfId="652" priority="434" operator="equal">
      <formula>"Mayor"</formula>
    </cfRule>
    <cfRule type="cellIs" dxfId="651" priority="435" operator="equal">
      <formula>"Moderado"</formula>
    </cfRule>
    <cfRule type="cellIs" dxfId="650" priority="437" operator="equal">
      <formula>"Leve"</formula>
    </cfRule>
    <cfRule type="cellIs" dxfId="649" priority="436" operator="equal">
      <formula>"Menor"</formula>
    </cfRule>
  </conditionalFormatting>
  <conditionalFormatting sqref="AE67:AE70">
    <cfRule type="cellIs" dxfId="648" priority="1156" operator="equal">
      <formula>"Catastrófico"</formula>
    </cfRule>
    <cfRule type="cellIs" dxfId="647" priority="1160" operator="equal">
      <formula>"Leve"</formula>
    </cfRule>
    <cfRule type="cellIs" dxfId="646" priority="1157" operator="equal">
      <formula>"Mayor"</formula>
    </cfRule>
    <cfRule type="cellIs" dxfId="645" priority="1158" operator="equal">
      <formula>"Moderado"</formula>
    </cfRule>
    <cfRule type="cellIs" dxfId="644" priority="1159" operator="equal">
      <formula>"Menor"</formula>
    </cfRule>
  </conditionalFormatting>
  <conditionalFormatting sqref="AE93:AE96">
    <cfRule type="cellIs" dxfId="643" priority="375" operator="equal">
      <formula>"Mayor"</formula>
    </cfRule>
    <cfRule type="cellIs" dxfId="642" priority="376" operator="equal">
      <formula>"Moderado"</formula>
    </cfRule>
    <cfRule type="cellIs" dxfId="641" priority="374" operator="equal">
      <formula>"Catastrófico"</formula>
    </cfRule>
    <cfRule type="cellIs" dxfId="640" priority="377" operator="equal">
      <formula>"Menor"</formula>
    </cfRule>
    <cfRule type="cellIs" dxfId="639" priority="378" operator="equal">
      <formula>"Leve"</formula>
    </cfRule>
  </conditionalFormatting>
  <conditionalFormatting sqref="AE107:AE108">
    <cfRule type="cellIs" dxfId="638" priority="347" operator="equal">
      <formula>"Mayor"</formula>
    </cfRule>
    <cfRule type="cellIs" dxfId="637" priority="348" operator="equal">
      <formula>"Moderado"</formula>
    </cfRule>
    <cfRule type="cellIs" dxfId="636" priority="349" operator="equal">
      <formula>"Menor"</formula>
    </cfRule>
    <cfRule type="cellIs" dxfId="635" priority="350" operator="equal">
      <formula>"Leve"</formula>
    </cfRule>
    <cfRule type="cellIs" dxfId="634" priority="346" operator="equal">
      <formula>"Catastrófico"</formula>
    </cfRule>
  </conditionalFormatting>
  <conditionalFormatting sqref="AE110:AE113">
    <cfRule type="cellIs" dxfId="633" priority="331" operator="equal">
      <formula>"Leve"</formula>
    </cfRule>
    <cfRule type="cellIs" dxfId="632" priority="330" operator="equal">
      <formula>"Menor"</formula>
    </cfRule>
    <cfRule type="cellIs" dxfId="631" priority="329" operator="equal">
      <formula>"Moderado"</formula>
    </cfRule>
    <cfRule type="cellIs" dxfId="630" priority="328" operator="equal">
      <formula>"Mayor"</formula>
    </cfRule>
    <cfRule type="cellIs" dxfId="629" priority="327" operator="equal">
      <formula>"Catastrófico"</formula>
    </cfRule>
  </conditionalFormatting>
  <conditionalFormatting sqref="AE157 AE171 AE185 AE203 AE218:AE327">
    <cfRule type="cellIs" dxfId="628" priority="1264" operator="equal">
      <formula>"Extremo"</formula>
    </cfRule>
    <cfRule type="cellIs" dxfId="627" priority="1263" operator="equal">
      <formula>"Alto"</formula>
    </cfRule>
    <cfRule type="cellIs" dxfId="626" priority="1262" operator="equal">
      <formula>"Moderado"</formula>
    </cfRule>
    <cfRule type="cellIs" dxfId="625" priority="1261" operator="equal">
      <formula>"Bajo"</formula>
    </cfRule>
  </conditionalFormatting>
  <conditionalFormatting sqref="AE167:AE170">
    <cfRule type="cellIs" dxfId="624" priority="135" operator="equal">
      <formula>"Leve"</formula>
    </cfRule>
    <cfRule type="cellIs" dxfId="623" priority="134" operator="equal">
      <formula>"Menor"</formula>
    </cfRule>
    <cfRule type="cellIs" dxfId="622" priority="133" operator="equal">
      <formula>"Moderado"</formula>
    </cfRule>
    <cfRule type="cellIs" dxfId="621" priority="131" operator="equal">
      <formula>"Catastrófico"</formula>
    </cfRule>
    <cfRule type="cellIs" dxfId="620" priority="132" operator="equal">
      <formula>"Mayor"</formula>
    </cfRule>
  </conditionalFormatting>
  <conditionalFormatting sqref="AE213:AE217">
    <cfRule type="cellIs" dxfId="619" priority="9" operator="equal">
      <formula>"Leve"</formula>
    </cfRule>
    <cfRule type="cellIs" dxfId="618" priority="8" operator="equal">
      <formula>"Menor"</formula>
    </cfRule>
    <cfRule type="cellIs" dxfId="617" priority="7" operator="equal">
      <formula>"Moderado"</formula>
    </cfRule>
    <cfRule type="cellIs" dxfId="616" priority="6" operator="equal">
      <formula>"Mayor"</formula>
    </cfRule>
    <cfRule type="cellIs" dxfId="615" priority="5" operator="equal">
      <formula>"Catastrófico"</formula>
    </cfRule>
  </conditionalFormatting>
  <conditionalFormatting sqref="AF8:AF10">
    <cfRule type="cellIs" dxfId="614" priority="560" operator="equal">
      <formula>"Bajo"</formula>
    </cfRule>
    <cfRule type="cellIs" dxfId="613" priority="559" operator="equal">
      <formula>"Moderado"</formula>
    </cfRule>
    <cfRule type="cellIs" dxfId="612" priority="558" operator="equal">
      <formula>"Alto"</formula>
    </cfRule>
    <cfRule type="cellIs" dxfId="611" priority="557" operator="equal">
      <formula>"Extremo"</formula>
    </cfRule>
  </conditionalFormatting>
  <conditionalFormatting sqref="AF20:AF24 AG195:AG200">
    <cfRule type="cellIs" dxfId="610" priority="1213" operator="equal">
      <formula>"Bajo"</formula>
    </cfRule>
    <cfRule type="cellIs" dxfId="609" priority="1210" operator="equal">
      <formula>"Extremo"</formula>
    </cfRule>
    <cfRule type="cellIs" dxfId="608" priority="1211" operator="equal">
      <formula>"Alto"</formula>
    </cfRule>
    <cfRule type="cellIs" dxfId="607" priority="1212" operator="equal">
      <formula>"Moderado"</formula>
    </cfRule>
  </conditionalFormatting>
  <conditionalFormatting sqref="AF25 AF42 AF57 AF71 AF97 AF114 AF140">
    <cfRule type="cellIs" dxfId="606" priority="1235" operator="equal">
      <formula>"Bajo"</formula>
    </cfRule>
    <cfRule type="cellIs" dxfId="605" priority="1234" operator="equal">
      <formula>"Moderado"</formula>
    </cfRule>
    <cfRule type="cellIs" dxfId="604" priority="1233" operator="equal">
      <formula>"Alto"</formula>
    </cfRule>
    <cfRule type="cellIs" dxfId="603" priority="1232" operator="equal">
      <formula>"Extremo"</formula>
    </cfRule>
  </conditionalFormatting>
  <conditionalFormatting sqref="AG35:AG41">
    <cfRule type="cellIs" dxfId="602" priority="1178" operator="equal">
      <formula>"Moderado"</formula>
    </cfRule>
    <cfRule type="cellIs" dxfId="601" priority="1177" operator="equal">
      <formula>"Alto"</formula>
    </cfRule>
    <cfRule type="cellIs" dxfId="600" priority="1176" operator="equal">
      <formula>"Extremo"</formula>
    </cfRule>
    <cfRule type="cellIs" dxfId="599" priority="1179" operator="equal">
      <formula>"Bajo"</formula>
    </cfRule>
  </conditionalFormatting>
  <conditionalFormatting sqref="AG52:AG56">
    <cfRule type="cellIs" dxfId="598" priority="441" operator="equal">
      <formula>"Bajo"</formula>
    </cfRule>
    <cfRule type="cellIs" dxfId="597" priority="439" operator="equal">
      <formula>"Alto"</formula>
    </cfRule>
    <cfRule type="cellIs" dxfId="596" priority="438" operator="equal">
      <formula>"Extremo"</formula>
    </cfRule>
    <cfRule type="cellIs" dxfId="595" priority="440" operator="equal">
      <formula>"Moderado"</formula>
    </cfRule>
  </conditionalFormatting>
  <conditionalFormatting sqref="AG67:AG70">
    <cfRule type="cellIs" dxfId="594" priority="1152" operator="equal">
      <formula>"Extremo"</formula>
    </cfRule>
    <cfRule type="cellIs" dxfId="593" priority="1153" operator="equal">
      <formula>"Alto"</formula>
    </cfRule>
    <cfRule type="cellIs" dxfId="592" priority="1154" operator="equal">
      <formula>"Moderado"</formula>
    </cfRule>
    <cfRule type="cellIs" dxfId="591" priority="1155" operator="equal">
      <formula>"Bajo"</formula>
    </cfRule>
  </conditionalFormatting>
  <conditionalFormatting sqref="AG93:AG96">
    <cfRule type="cellIs" dxfId="590" priority="372" operator="equal">
      <formula>"Moderado"</formula>
    </cfRule>
    <cfRule type="cellIs" dxfId="589" priority="373" operator="equal">
      <formula>"Bajo"</formula>
    </cfRule>
    <cfRule type="cellIs" dxfId="588" priority="371" operator="equal">
      <formula>"Alto"</formula>
    </cfRule>
    <cfRule type="cellIs" dxfId="587" priority="370" operator="equal">
      <formula>"Extremo"</formula>
    </cfRule>
  </conditionalFormatting>
  <conditionalFormatting sqref="AG107:AG108">
    <cfRule type="cellIs" dxfId="586" priority="342" operator="equal">
      <formula>"Extremo"</formula>
    </cfRule>
    <cfRule type="cellIs" dxfId="585" priority="343" operator="equal">
      <formula>"Alto"</formula>
    </cfRule>
    <cfRule type="cellIs" dxfId="584" priority="344" operator="equal">
      <formula>"Moderado"</formula>
    </cfRule>
    <cfRule type="cellIs" dxfId="583" priority="345" operator="equal">
      <formula>"Bajo"</formula>
    </cfRule>
  </conditionalFormatting>
  <conditionalFormatting sqref="AG110:AG113">
    <cfRule type="cellIs" dxfId="582" priority="323" operator="equal">
      <formula>"Extremo"</formula>
    </cfRule>
    <cfRule type="cellIs" dxfId="581" priority="325" operator="equal">
      <formula>"Moderado"</formula>
    </cfRule>
    <cfRule type="cellIs" dxfId="580" priority="326" operator="equal">
      <formula>"Bajo"</formula>
    </cfRule>
    <cfRule type="cellIs" dxfId="579" priority="324" operator="equal">
      <formula>"Alto"</formula>
    </cfRule>
  </conditionalFormatting>
  <conditionalFormatting sqref="AG150:AG156">
    <cfRule type="cellIs" dxfId="578" priority="146" operator="equal">
      <formula>"Alto"</formula>
    </cfRule>
    <cfRule type="cellIs" dxfId="577" priority="148" operator="equal">
      <formula>"Bajo"</formula>
    </cfRule>
    <cfRule type="cellIs" dxfId="576" priority="147" operator="equal">
      <formula>"Moderado"</formula>
    </cfRule>
    <cfRule type="cellIs" dxfId="575" priority="145" operator="equal">
      <formula>"Extremo"</formula>
    </cfRule>
  </conditionalFormatting>
  <conditionalFormatting sqref="AG167:AG170">
    <cfRule type="cellIs" dxfId="574" priority="139" operator="equal">
      <formula>"Bajo"</formula>
    </cfRule>
    <cfRule type="cellIs" dxfId="573" priority="136" operator="equal">
      <formula>"Extremo"</formula>
    </cfRule>
    <cfRule type="cellIs" dxfId="572" priority="137" operator="equal">
      <formula>"Alto"</formula>
    </cfRule>
    <cfRule type="cellIs" dxfId="571" priority="138" operator="equal">
      <formula>"Moderado"</formula>
    </cfRule>
  </conditionalFormatting>
  <conditionalFormatting sqref="AG213">
    <cfRule type="cellIs" dxfId="570" priority="45" operator="equal">
      <formula>"Extremo"</formula>
    </cfRule>
    <cfRule type="cellIs" dxfId="569" priority="46" operator="equal">
      <formula>"Alto"</formula>
    </cfRule>
    <cfRule type="cellIs" dxfId="568" priority="47" operator="equal">
      <formula>"Moderado"</formula>
    </cfRule>
    <cfRule type="cellIs" dxfId="567" priority="48" operator="equal">
      <formula>"Bajo"</formula>
    </cfRule>
  </conditionalFormatting>
  <conditionalFormatting sqref="AG217">
    <cfRule type="cellIs" dxfId="566" priority="3" operator="equal">
      <formula>"Moderado"</formula>
    </cfRule>
    <cfRule type="cellIs" dxfId="565" priority="4" operator="equal">
      <formula>"Bajo"</formula>
    </cfRule>
    <cfRule type="cellIs" dxfId="564" priority="1" operator="equal">
      <formula>"Extremo"</formula>
    </cfRule>
    <cfRule type="cellIs" dxfId="563" priority="2" operator="equal">
      <formula>"Alto"</formula>
    </cfRule>
  </conditionalFormatting>
  <dataValidations count="8">
    <dataValidation type="list" allowBlank="1" showInputMessage="1" showErrorMessage="1" sqref="G8:G9 H81 H93:H96 H124:H127 H137:H139 H150:H156 H181:H184" xr:uid="{A4BEB23C-6174-4295-94B1-BAB891388C18}">
      <formula1>"Gestión, FISCAL,"</formula1>
    </dataValidation>
    <dataValidation type="list" allowBlank="1" showErrorMessage="1" sqref="G20 G23 H167 H195 H197 H200" xr:uid="{6C8BA142-23FF-4629-A33F-2568153D28D2}">
      <formula1>"Gestión,FISCAL"</formula1>
    </dataValidation>
    <dataValidation type="list" allowBlank="1" showInputMessage="1" showErrorMessage="1" sqref="H35 H38 H40" xr:uid="{4345DE62-0468-472A-B344-C203CD21C393}">
      <formula1>"Gestion,Fiscal"</formula1>
    </dataValidation>
    <dataValidation type="list" allowBlank="1" showInputMessage="1" showErrorMessage="1" sqref="H107:H113" xr:uid="{C3DD6E45-30A4-4263-B8E1-2EEB2DF729E0}">
      <formula1>"Gestión,Fiscal"</formula1>
    </dataValidation>
    <dataValidation type="custom" allowBlank="1" showInputMessage="1" showErrorMessage="1" error="Recuerde que las acciones se generan bajo la medida de mitigar el riesgo" sqref="AM137:AM139" xr:uid="{FE42B048-CE3B-47C2-A693-9252670B8CFF}">
      <formula1>IF(OR(AH137=#REF!,AH137=#REF!,AH137=#REF!),ISBLANK(AH137),ISTEXT(AH137))</formula1>
    </dataValidation>
    <dataValidation type="custom" allowBlank="1" showInputMessage="1" showErrorMessage="1" error="Recuerde que las acciones se generan bajo la medida de mitigar el riesgo" sqref="AL137:AL139" xr:uid="{601BC5D1-7C9D-4FDC-B66B-D325F5C2C789}">
      <formula1>IF(OR(AH137=#REF!,AH137=#REF!,AH137=#REF!),ISBLANK(AH137),ISTEXT(AH137))</formula1>
    </dataValidation>
    <dataValidation type="custom" allowBlank="1" showInputMessage="1" showErrorMessage="1" error="Recuerde que las acciones se generan bajo la medida de mitigar el riesgo" sqref="AJ137:AJ139" xr:uid="{945CA502-A6B2-46F8-AF90-4C6A4028B663}">
      <formula1>IF(OR(AH137=#REF!,AH137=#REF!,AH137=#REF!),ISBLANK(AH137),ISTEXT(AH137))</formula1>
    </dataValidation>
    <dataValidation type="list" allowBlank="1" showInputMessage="1" showErrorMessage="1" sqref="H213 H217" xr:uid="{0E719A46-6C9D-4E09-8C7E-98ABE3526AED}">
      <formula1>"Gestión,FISCAL"</formula1>
    </dataValidation>
  </dataValidations>
  <hyperlinks>
    <hyperlink ref="AM214" r:id="rId1" display="mailto:sigami@ibague.gov.co" xr:uid="{4892D1E0-0A1C-47DC-88FC-D2DFB6F0E75B}"/>
  </hyperlinks>
  <pageMargins left="0.7" right="0.7" top="0.75" bottom="0.75" header="0.3" footer="0.3"/>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2051-8708-4E23-ACC0-77795AC9D53B}">
  <dimension ref="A1:BB320"/>
  <sheetViews>
    <sheetView tabSelected="1" topLeftCell="A306" zoomScale="55" zoomScaleNormal="55" workbookViewId="0">
      <selection activeCell="G319" sqref="G319:G320"/>
    </sheetView>
  </sheetViews>
  <sheetFormatPr baseColWidth="10" defaultColWidth="11.44140625" defaultRowHeight="13.8" x14ac:dyDescent="0.3"/>
  <cols>
    <col min="1" max="1" width="4" style="239" bestFit="1" customWidth="1"/>
    <col min="2" max="2" width="15.5546875" style="239" customWidth="1"/>
    <col min="3" max="3" width="31.109375" style="239" customWidth="1"/>
    <col min="4" max="4" width="38.109375" style="239" customWidth="1"/>
    <col min="5" max="5" width="57.33203125" style="239" customWidth="1"/>
    <col min="6" max="6" width="61.6640625" style="35" customWidth="1"/>
    <col min="7" max="7" width="35.109375" style="35" customWidth="1"/>
    <col min="8" max="8" width="45" style="240" customWidth="1"/>
    <col min="9" max="9" width="32.21875" style="35" customWidth="1"/>
    <col min="10" max="10" width="33.6640625" style="35" bestFit="1" customWidth="1"/>
    <col min="11" max="11" width="18" style="35" customWidth="1"/>
    <col min="12" max="12" width="24.77734375" style="35" customWidth="1"/>
    <col min="13" max="13" width="28.33203125" style="35" customWidth="1"/>
    <col min="14" max="14" width="31.6640625" style="35" customWidth="1"/>
    <col min="15" max="15" width="23.88671875" style="35" customWidth="1"/>
    <col min="16" max="16" width="18.5546875" style="35" customWidth="1"/>
    <col min="17" max="17" width="14.33203125" style="35" customWidth="1"/>
    <col min="18" max="18" width="14.44140625" style="35" customWidth="1"/>
    <col min="19" max="19" width="73.44140625" style="35" customWidth="1"/>
    <col min="20" max="20" width="13.5546875" style="35" bestFit="1" customWidth="1"/>
    <col min="21" max="21" width="18" style="35" customWidth="1"/>
    <col min="22" max="22" width="13.5546875" style="35" customWidth="1"/>
    <col min="23" max="23" width="11.5546875" style="35" customWidth="1"/>
    <col min="24" max="24" width="6.6640625" style="35" customWidth="1"/>
    <col min="25" max="25" width="4.6640625" style="35" customWidth="1"/>
    <col min="26" max="26" width="20.77734375" style="35" customWidth="1"/>
    <col min="27" max="27" width="8.6640625" style="35" customWidth="1"/>
    <col min="28" max="28" width="10.44140625" style="35" customWidth="1"/>
    <col min="29" max="29" width="9.33203125" style="35" customWidth="1"/>
    <col min="30" max="30" width="9.109375" style="35" customWidth="1"/>
    <col min="31" max="31" width="8.44140625" style="35" customWidth="1"/>
    <col min="32" max="32" width="10" style="35" customWidth="1"/>
    <col min="33" max="33" width="29.6640625" style="35" bestFit="1" customWidth="1"/>
    <col min="34" max="34" width="61.77734375" style="35" customWidth="1"/>
    <col min="35" max="35" width="36.77734375" style="35" customWidth="1"/>
    <col min="36" max="36" width="28.33203125" style="35" customWidth="1"/>
    <col min="37" max="37" width="29" style="35" customWidth="1"/>
    <col min="38" max="38" width="128.21875" style="35" customWidth="1"/>
    <col min="39" max="39" width="16.33203125" style="35" bestFit="1" customWidth="1"/>
    <col min="40" max="40" width="60.109375" style="35" customWidth="1"/>
    <col min="41" max="41" width="61.5546875" style="35" bestFit="1" customWidth="1"/>
    <col min="42" max="42" width="44.33203125" style="35" customWidth="1"/>
    <col min="43" max="43" width="59.44140625" style="35" customWidth="1"/>
    <col min="44" max="44" width="48.6640625" style="35" bestFit="1" customWidth="1"/>
    <col min="45" max="45" width="32.5546875" style="35" customWidth="1"/>
    <col min="46" max="46" width="32.33203125" style="35" customWidth="1"/>
    <col min="47" max="47" width="57.6640625" style="35" customWidth="1"/>
    <col min="48" max="48" width="22.88671875" style="35" customWidth="1"/>
    <col min="49" max="49" width="27.5546875" style="35" customWidth="1"/>
    <col min="50" max="50" width="27" style="35" customWidth="1"/>
    <col min="51" max="51" width="18.109375" style="35" customWidth="1"/>
    <col min="52" max="52" width="29" style="35" customWidth="1"/>
    <col min="53" max="53" width="19.5546875" style="35" bestFit="1" customWidth="1"/>
    <col min="54" max="16384" width="11.44140625" style="35"/>
  </cols>
  <sheetData>
    <row r="1" spans="1:53" s="523" customFormat="1" x14ac:dyDescent="0.25">
      <c r="A1" s="2970" t="s">
        <v>156</v>
      </c>
      <c r="B1" s="3371"/>
      <c r="C1" s="3371"/>
      <c r="D1" s="3371"/>
      <c r="E1" s="3371"/>
      <c r="F1" s="3371"/>
      <c r="G1" s="3371"/>
      <c r="H1" s="3371"/>
      <c r="I1" s="3371"/>
      <c r="J1" s="3371"/>
      <c r="K1" s="3371"/>
      <c r="L1" s="3371"/>
      <c r="M1" s="3371"/>
      <c r="N1" s="3371"/>
      <c r="O1" s="3371"/>
      <c r="P1" s="3371"/>
      <c r="Q1" s="3371"/>
      <c r="R1" s="3371"/>
      <c r="S1" s="3371"/>
      <c r="T1" s="3371"/>
      <c r="U1" s="3371"/>
      <c r="V1" s="3371"/>
      <c r="W1" s="3371"/>
      <c r="X1" s="3371"/>
      <c r="Y1" s="3371"/>
      <c r="Z1" s="3371"/>
      <c r="AA1" s="3371"/>
      <c r="AB1" s="3371"/>
      <c r="AC1" s="3371"/>
      <c r="AD1" s="3371"/>
      <c r="AE1" s="3371"/>
      <c r="AF1" s="3371"/>
      <c r="AG1" s="3371"/>
      <c r="AH1" s="3371"/>
      <c r="AI1" s="3371"/>
      <c r="AJ1" s="3371"/>
      <c r="AK1" s="3371"/>
      <c r="AL1" s="3371"/>
      <c r="AM1" s="3372"/>
    </row>
    <row r="2" spans="1:53" s="523" customFormat="1" x14ac:dyDescent="0.25">
      <c r="A2" s="3373"/>
      <c r="B2" s="3374"/>
      <c r="C2" s="3374"/>
      <c r="D2" s="3374"/>
      <c r="E2" s="3374"/>
      <c r="F2" s="3374"/>
      <c r="G2" s="3374"/>
      <c r="H2" s="3374"/>
      <c r="I2" s="3374"/>
      <c r="J2" s="3374"/>
      <c r="K2" s="3374"/>
      <c r="L2" s="3374"/>
      <c r="M2" s="3374"/>
      <c r="N2" s="3374"/>
      <c r="O2" s="3374"/>
      <c r="P2" s="3374"/>
      <c r="Q2" s="3374"/>
      <c r="R2" s="3374"/>
      <c r="S2" s="3374"/>
      <c r="T2" s="3374"/>
      <c r="U2" s="3374"/>
      <c r="V2" s="3374"/>
      <c r="W2" s="3374"/>
      <c r="X2" s="3374"/>
      <c r="Y2" s="3374"/>
      <c r="Z2" s="3374"/>
      <c r="AA2" s="3374"/>
      <c r="AB2" s="3374"/>
      <c r="AC2" s="3374"/>
      <c r="AD2" s="3374"/>
      <c r="AE2" s="3374"/>
      <c r="AF2" s="3374"/>
      <c r="AG2" s="3374"/>
      <c r="AH2" s="3374"/>
      <c r="AI2" s="3374"/>
      <c r="AJ2" s="3374"/>
      <c r="AK2" s="3374"/>
      <c r="AL2" s="3374"/>
      <c r="AM2" s="3375"/>
    </row>
    <row r="3" spans="1:53" s="523" customFormat="1" x14ac:dyDescent="0.25">
      <c r="A3" s="694"/>
      <c r="B3" s="695"/>
      <c r="C3" s="694"/>
      <c r="D3" s="694"/>
      <c r="E3" s="694"/>
      <c r="F3" s="311"/>
      <c r="G3" s="311"/>
      <c r="H3" s="311"/>
      <c r="I3" s="696"/>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row>
    <row r="4" spans="1:53" s="523" customFormat="1" ht="23.4" x14ac:dyDescent="0.3">
      <c r="A4" s="2340" t="s">
        <v>157</v>
      </c>
      <c r="B4" s="2324"/>
      <c r="C4" s="2341" t="s">
        <v>1014</v>
      </c>
      <c r="D4" s="2324"/>
      <c r="E4" s="2324"/>
      <c r="F4" s="2324"/>
      <c r="G4" s="2324"/>
      <c r="H4" s="2324"/>
      <c r="I4" s="2324"/>
      <c r="J4" s="2324"/>
      <c r="K4" s="2324"/>
      <c r="L4" s="2324"/>
      <c r="M4" s="2324"/>
      <c r="N4" s="2324"/>
      <c r="O4" s="2324"/>
      <c r="P4" s="2324"/>
      <c r="Q4" s="2324"/>
      <c r="R4" s="2324"/>
      <c r="S4" s="2324"/>
      <c r="T4" s="2324"/>
      <c r="U4" s="2324"/>
      <c r="V4" s="2324"/>
      <c r="W4" s="2324"/>
      <c r="X4" s="2324"/>
      <c r="Y4" s="2324"/>
      <c r="Z4" s="2324"/>
      <c r="AA4" s="2324"/>
      <c r="AB4" s="2324"/>
      <c r="AC4" s="2324"/>
      <c r="AD4" s="2324"/>
      <c r="AE4" s="2324"/>
      <c r="AF4" s="2324"/>
      <c r="AG4" s="2324"/>
      <c r="AH4" s="2324"/>
      <c r="AI4" s="2324"/>
      <c r="AJ4" s="2324"/>
      <c r="AK4" s="2324"/>
      <c r="AL4" s="2324"/>
      <c r="AM4" s="2325"/>
    </row>
    <row r="5" spans="1:53" s="523" customFormat="1" ht="23.4" x14ac:dyDescent="0.3">
      <c r="A5" s="2340" t="s">
        <v>158</v>
      </c>
      <c r="B5" s="2324"/>
      <c r="C5" s="2342" t="s">
        <v>1015</v>
      </c>
      <c r="D5" s="2324"/>
      <c r="E5" s="2324"/>
      <c r="F5" s="2324"/>
      <c r="G5" s="2324"/>
      <c r="H5" s="2324"/>
      <c r="I5" s="2324"/>
      <c r="J5" s="2324"/>
      <c r="K5" s="2324"/>
      <c r="L5" s="2324"/>
      <c r="M5" s="2324"/>
      <c r="N5" s="2324"/>
      <c r="O5" s="2324"/>
      <c r="P5" s="2324"/>
      <c r="Q5" s="2324"/>
      <c r="R5" s="2324"/>
      <c r="S5" s="2324"/>
      <c r="T5" s="2324"/>
      <c r="U5" s="2324"/>
      <c r="V5" s="2324"/>
      <c r="W5" s="2324"/>
      <c r="X5" s="2324"/>
      <c r="Y5" s="2324"/>
      <c r="Z5" s="2324"/>
      <c r="AA5" s="2324"/>
      <c r="AB5" s="2324"/>
      <c r="AC5" s="2324"/>
      <c r="AD5" s="2324"/>
      <c r="AE5" s="2324"/>
      <c r="AF5" s="2324"/>
      <c r="AG5" s="2324"/>
      <c r="AH5" s="2324"/>
      <c r="AI5" s="2324"/>
      <c r="AJ5" s="2324"/>
      <c r="AK5" s="2324"/>
      <c r="AL5" s="2324"/>
      <c r="AM5" s="2325"/>
    </row>
    <row r="6" spans="1:53" s="523" customFormat="1" ht="23.4" x14ac:dyDescent="0.3">
      <c r="A6" s="2340" t="s">
        <v>159</v>
      </c>
      <c r="B6" s="2324"/>
      <c r="C6" s="2342" t="s">
        <v>1016</v>
      </c>
      <c r="D6" s="2324"/>
      <c r="E6" s="2324"/>
      <c r="F6" s="2324"/>
      <c r="G6" s="2324"/>
      <c r="H6" s="2324"/>
      <c r="I6" s="2324"/>
      <c r="J6" s="2324"/>
      <c r="K6" s="2324"/>
      <c r="L6" s="2324"/>
      <c r="M6" s="2324"/>
      <c r="N6" s="2324"/>
      <c r="O6" s="2324"/>
      <c r="P6" s="2324"/>
      <c r="Q6" s="2324"/>
      <c r="R6" s="2324"/>
      <c r="S6" s="2324"/>
      <c r="T6" s="2324"/>
      <c r="U6" s="2324"/>
      <c r="V6" s="2324"/>
      <c r="W6" s="2324"/>
      <c r="X6" s="2324"/>
      <c r="Y6" s="2324"/>
      <c r="Z6" s="2324"/>
      <c r="AA6" s="2324"/>
      <c r="AB6" s="2324"/>
      <c r="AC6" s="2324"/>
      <c r="AD6" s="2324"/>
      <c r="AE6" s="2324"/>
      <c r="AF6" s="2324"/>
      <c r="AG6" s="2324"/>
      <c r="AH6" s="2324"/>
      <c r="AI6" s="2324"/>
      <c r="AJ6" s="2324"/>
      <c r="AK6" s="2324"/>
      <c r="AL6" s="2324"/>
      <c r="AM6" s="2325"/>
    </row>
    <row r="7" spans="1:53" s="523" customFormat="1" ht="14.4" x14ac:dyDescent="0.3">
      <c r="A7" s="2323" t="s">
        <v>160</v>
      </c>
      <c r="B7" s="2324"/>
      <c r="C7" s="2324"/>
      <c r="D7" s="2324"/>
      <c r="E7" s="2324"/>
      <c r="F7" s="2324"/>
      <c r="G7" s="2324"/>
      <c r="H7" s="2324"/>
      <c r="I7" s="2324"/>
      <c r="J7" s="2325"/>
      <c r="K7" s="2326" t="s">
        <v>161</v>
      </c>
      <c r="L7" s="2327"/>
      <c r="M7" s="2327"/>
      <c r="N7" s="2327"/>
      <c r="O7" s="2327"/>
      <c r="P7" s="2327"/>
      <c r="Q7" s="2318"/>
      <c r="R7" s="2326" t="s">
        <v>162</v>
      </c>
      <c r="S7" s="2327"/>
      <c r="T7" s="2327"/>
      <c r="U7" s="2327"/>
      <c r="V7" s="2327"/>
      <c r="W7" s="2327"/>
      <c r="X7" s="2327"/>
      <c r="Y7" s="2327"/>
      <c r="Z7" s="2318"/>
      <c r="AA7" s="2326" t="s">
        <v>163</v>
      </c>
      <c r="AB7" s="2327"/>
      <c r="AC7" s="2327"/>
      <c r="AD7" s="2327"/>
      <c r="AE7" s="2327"/>
      <c r="AF7" s="2327"/>
      <c r="AG7" s="2318"/>
      <c r="AH7" s="2326" t="s">
        <v>164</v>
      </c>
      <c r="AI7" s="2327"/>
      <c r="AJ7" s="2327"/>
      <c r="AK7" s="2327"/>
      <c r="AL7" s="2327"/>
      <c r="AM7" s="2318"/>
    </row>
    <row r="8" spans="1:53" s="523" customFormat="1" ht="14.4" x14ac:dyDescent="0.3">
      <c r="A8" s="2328" t="s">
        <v>165</v>
      </c>
      <c r="B8" s="2329" t="s">
        <v>142</v>
      </c>
      <c r="C8" s="2330" t="s">
        <v>166</v>
      </c>
      <c r="D8" s="2330" t="s">
        <v>167</v>
      </c>
      <c r="E8" s="2305" t="s">
        <v>168</v>
      </c>
      <c r="F8" s="2331" t="s">
        <v>60</v>
      </c>
      <c r="G8" s="697"/>
      <c r="H8" s="697"/>
      <c r="I8" s="2305" t="s">
        <v>169</v>
      </c>
      <c r="J8" s="2330" t="s">
        <v>170</v>
      </c>
      <c r="K8" s="2330" t="s">
        <v>171</v>
      </c>
      <c r="L8" s="2332" t="s">
        <v>172</v>
      </c>
      <c r="M8" s="2305" t="s">
        <v>173</v>
      </c>
      <c r="N8" s="2305" t="s">
        <v>174</v>
      </c>
      <c r="O8" s="2334" t="s">
        <v>175</v>
      </c>
      <c r="P8" s="2332" t="s">
        <v>172</v>
      </c>
      <c r="Q8" s="2330" t="s">
        <v>176</v>
      </c>
      <c r="R8" s="2335" t="s">
        <v>177</v>
      </c>
      <c r="S8" s="2305" t="s">
        <v>178</v>
      </c>
      <c r="T8" s="2305" t="s">
        <v>179</v>
      </c>
      <c r="U8" s="2336" t="s">
        <v>180</v>
      </c>
      <c r="V8" s="2324"/>
      <c r="W8" s="2324"/>
      <c r="X8" s="2324"/>
      <c r="Y8" s="2324"/>
      <c r="Z8" s="2325"/>
      <c r="AA8" s="2335" t="s">
        <v>181</v>
      </c>
      <c r="AB8" s="2335" t="s">
        <v>182</v>
      </c>
      <c r="AC8" s="2335" t="s">
        <v>172</v>
      </c>
      <c r="AD8" s="2335" t="s">
        <v>183</v>
      </c>
      <c r="AE8" s="2335" t="s">
        <v>172</v>
      </c>
      <c r="AF8" s="2335" t="s">
        <v>184</v>
      </c>
      <c r="AG8" s="2335" t="s">
        <v>185</v>
      </c>
      <c r="AH8" s="2305" t="s">
        <v>164</v>
      </c>
      <c r="AI8" s="2305" t="s">
        <v>143</v>
      </c>
      <c r="AJ8" s="2305" t="s">
        <v>186</v>
      </c>
      <c r="AK8" s="2305" t="s">
        <v>187</v>
      </c>
      <c r="AL8" s="2305" t="s">
        <v>188</v>
      </c>
      <c r="AM8" s="2305" t="s">
        <v>189</v>
      </c>
    </row>
    <row r="9" spans="1:53" s="523" customFormat="1" ht="71.400000000000006" x14ac:dyDescent="0.25">
      <c r="A9" s="2306"/>
      <c r="B9" s="2306"/>
      <c r="C9" s="2306"/>
      <c r="D9" s="2306"/>
      <c r="E9" s="2308"/>
      <c r="F9" s="2308"/>
      <c r="G9" s="697" t="s">
        <v>511</v>
      </c>
      <c r="H9" s="697" t="s">
        <v>190</v>
      </c>
      <c r="I9" s="2306"/>
      <c r="J9" s="2306"/>
      <c r="K9" s="2306"/>
      <c r="L9" s="2333"/>
      <c r="M9" s="2306"/>
      <c r="N9" s="2306"/>
      <c r="O9" s="2333"/>
      <c r="P9" s="2333"/>
      <c r="Q9" s="2306"/>
      <c r="R9" s="2306"/>
      <c r="S9" s="2306"/>
      <c r="T9" s="2306"/>
      <c r="U9" s="698" t="s">
        <v>191</v>
      </c>
      <c r="V9" s="698" t="s">
        <v>192</v>
      </c>
      <c r="W9" s="698" t="s">
        <v>193</v>
      </c>
      <c r="X9" s="698" t="s">
        <v>194</v>
      </c>
      <c r="Y9" s="698" t="s">
        <v>195</v>
      </c>
      <c r="Z9" s="698" t="s">
        <v>196</v>
      </c>
      <c r="AA9" s="2306"/>
      <c r="AB9" s="2306"/>
      <c r="AC9" s="2306"/>
      <c r="AD9" s="2306"/>
      <c r="AE9" s="2306"/>
      <c r="AF9" s="2306"/>
      <c r="AG9" s="2306"/>
      <c r="AH9" s="2306"/>
      <c r="AI9" s="2306"/>
      <c r="AJ9" s="2306"/>
      <c r="AK9" s="2306"/>
      <c r="AL9" s="2306"/>
      <c r="AM9" s="2306"/>
    </row>
    <row r="10" spans="1:53" s="523" customFormat="1" ht="82.8" x14ac:dyDescent="0.25">
      <c r="A10" s="2307">
        <v>1</v>
      </c>
      <c r="B10" s="2315" t="s">
        <v>197</v>
      </c>
      <c r="C10" s="2315" t="s">
        <v>1017</v>
      </c>
      <c r="D10" s="2385" t="s">
        <v>1018</v>
      </c>
      <c r="E10" s="888" t="s">
        <v>1019</v>
      </c>
      <c r="F10" s="2315" t="s">
        <v>1020</v>
      </c>
      <c r="G10" s="2315" t="s">
        <v>512</v>
      </c>
      <c r="H10" s="2315" t="s">
        <v>1021</v>
      </c>
      <c r="I10" s="2316" t="s">
        <v>198</v>
      </c>
      <c r="J10" s="2319">
        <v>365</v>
      </c>
      <c r="K10" s="2320" t="str">
        <f>IF(J10&lt;=0,"",IF(J10&lt;=2,"Muy Baja",IF(J10&lt;=24,"Baja",IF(J10&lt;=500,"Media",IF(J10&lt;=5000,"Alta","Muy Alta")))))</f>
        <v>Media</v>
      </c>
      <c r="L10" s="2321">
        <f>IF(K10="","",IF(K10="Muy Baja",0.2,IF(K10="Baja",0.4,IF(K10="Media",0.6,IF(K10="Alta",0.8,IF(K10="Muy Alta",1,))))))</f>
        <v>0.6</v>
      </c>
      <c r="M10" s="2321" t="s">
        <v>199</v>
      </c>
      <c r="N10" s="2321" t="str">
        <f>IF(NOT(ISERROR(MATCH(M10,'[59]Tabla Impacto'!$B$221:$B$223,0))),'[59]Tabla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2320" t="str">
        <f>IF(OR(N10='[59]Tabla Impacto'!$C$11,N10='[59]Tabla Impacto'!$D$11),"Leve",IF(OR(N10='[59]Tabla Impacto'!$C$12,N10='[59]Tabla Impacto'!$D$12),"Menor",IF(OR(N10='[59]Tabla Impacto'!$C$13,N10='[59]Tabla Impacto'!$D$13),"Moderado",IF(OR(N10='[59]Tabla Impacto'!$C$14,N10='[59]Tabla Impacto'!$D$14),"Mayor",IF(OR(N10='[59]Tabla Impacto'!$C$15,N10='[59]Tabla Impacto'!$D$15),"Catastrófico","")))))</f>
        <v>Mayor</v>
      </c>
      <c r="P10" s="2321">
        <f>IF(O10="","",IF(O10="Leve",0.2,IF(O10="Menor",0.4,IF(O10="Moderado",0.6,IF(O10="Mayor",0.8,IF(O10="Catastrófico",1,))))))</f>
        <v>0.8</v>
      </c>
      <c r="Q10" s="2322"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877">
        <v>1</v>
      </c>
      <c r="S10" s="878" t="str">
        <f>+[59]DOFA!E36</f>
        <v>D14,O5 El jefe de la Oficina de Comunicaciones, regularmente de manera semanal realiza el seguimiento de las actividades programadas por las dependencias de la Administración Municipal, definiendo responsabilidades  comunicacionales a cada uno de los periodistas de la Oficina de Comunicaciones, dejando como evidencia el informe mensual de actividades por equipos de trabajo en una matriz que deben diligenciar mensualmenete. Si se presenta desviación de la actividad el jefe de oficina toma los correctivos necesarios</v>
      </c>
      <c r="T10" s="877" t="str">
        <f t="shared" ref="T10:T11" si="0">IF(OR(U10="Preventivo",U10="Detectivo"),"Probabilidad",IF(U10="Correctivo","Impacto",""))</f>
        <v>Probabilidad</v>
      </c>
      <c r="U10" s="879" t="s">
        <v>207</v>
      </c>
      <c r="V10" s="879" t="s">
        <v>201</v>
      </c>
      <c r="W10" s="880" t="str">
        <f t="shared" ref="W10:W11" si="1">IF(AND(U10="Preventivo",V10="Automático"),"50%",IF(AND(U10="Preventivo",V10="Manual"),"40%",IF(AND(U10="Detectivo",V10="Automático"),"40%",IF(AND(U10="Detectivo",V10="Manual"),"30%",IF(AND(U10="Correctivo",V10="Automático"),"35%",IF(AND(U10="Correctivo",V10="Manual"),"25%",""))))))</f>
        <v>40%</v>
      </c>
      <c r="X10" s="879" t="s">
        <v>202</v>
      </c>
      <c r="Y10" s="879" t="s">
        <v>203</v>
      </c>
      <c r="Z10" s="879" t="s">
        <v>204</v>
      </c>
      <c r="AA10" s="881">
        <f>IFERROR(IF(T10="Probabilidad",(L10-(+L10*W10)),IF(T10="Impacto",L10,"")),"")</f>
        <v>0.36</v>
      </c>
      <c r="AB10" s="882" t="str">
        <f t="shared" ref="AB10:AB11" si="2">IFERROR(IF(AA10="","",IF(AA10&lt;=0.2,"Muy Baja",IF(AA10&lt;=0.4,"Baja",IF(AA10&lt;=0.6,"Media",IF(AA10&lt;=0.8,"Alta","Muy Alta"))))),"")</f>
        <v>Baja</v>
      </c>
      <c r="AC10" s="871">
        <f t="shared" ref="AC10:AC11" si="3">+AA10</f>
        <v>0.36</v>
      </c>
      <c r="AD10" s="882" t="str">
        <f t="shared" ref="AD10:AD11" si="4">IFERROR(IF(AE10="","",IF(AE10&lt;=0.2,"Leve",IF(AE10&lt;=0.4,"Menor",IF(AE10&lt;=0.6,"Moderado",IF(AE10&lt;=0.8,"Mayor","Catastrófico"))))),"")</f>
        <v>Mayor</v>
      </c>
      <c r="AE10" s="871">
        <f>IFERROR(IF(T10="Impacto",(P10-(+P10*W10)),IF(T10="Probabilidad",P10,"")),"")</f>
        <v>0.8</v>
      </c>
      <c r="AF10" s="883" t="str">
        <f t="shared" ref="AF10:AF11" si="5">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Alto</v>
      </c>
      <c r="AG10" s="2986" t="s">
        <v>205</v>
      </c>
      <c r="AH10" s="2309" t="s">
        <v>1022</v>
      </c>
      <c r="AI10" s="2309" t="s">
        <v>1023</v>
      </c>
      <c r="AJ10" s="3011">
        <v>45535</v>
      </c>
      <c r="AK10" s="3011">
        <v>45656</v>
      </c>
      <c r="AL10" s="2309" t="s">
        <v>1420</v>
      </c>
      <c r="AM10" s="2975" t="s">
        <v>295</v>
      </c>
    </row>
    <row r="11" spans="1:53" s="523" customFormat="1" ht="96.6" x14ac:dyDescent="0.25">
      <c r="A11" s="2308"/>
      <c r="B11" s="2308"/>
      <c r="C11" s="2308"/>
      <c r="D11" s="2381"/>
      <c r="E11" s="888" t="s">
        <v>1025</v>
      </c>
      <c r="F11" s="2308"/>
      <c r="G11" s="2308"/>
      <c r="H11" s="2308"/>
      <c r="I11" s="2317"/>
      <c r="J11" s="2308"/>
      <c r="K11" s="3381"/>
      <c r="L11" s="2308"/>
      <c r="M11" s="2308"/>
      <c r="N11" s="2308"/>
      <c r="O11" s="3381"/>
      <c r="P11" s="2308"/>
      <c r="Q11" s="3380"/>
      <c r="R11" s="877">
        <v>2</v>
      </c>
      <c r="S11" s="878" t="str">
        <f>+[59]DOFA!E37</f>
        <v>D18,O5 El editor de la oficina de comunicaciones o quien haga sus veces, cada vez que se requiera reliza la revisión y corrección de estilo de los comunicados elaborados, copys, textos para piezas gráficas, subtitulos para videos, textos para cuñas, y demás articulos periodistocos. Dejando como evidencia la directriz en las actas de que nada podrá ser publicado sin la debida revisión y corrección y adicional la publicación en el portal web y perfiles institucionales de las  redes sociales de la Alcaldía de Ibagué. si los textos requieren ser corregidos se devulven a su redactor.</v>
      </c>
      <c r="T11" s="877" t="str">
        <f t="shared" si="0"/>
        <v>Probabilidad</v>
      </c>
      <c r="U11" s="879" t="s">
        <v>207</v>
      </c>
      <c r="V11" s="879" t="s">
        <v>201</v>
      </c>
      <c r="W11" s="880" t="str">
        <f t="shared" si="1"/>
        <v>40%</v>
      </c>
      <c r="X11" s="879" t="s">
        <v>202</v>
      </c>
      <c r="Y11" s="879" t="s">
        <v>203</v>
      </c>
      <c r="Z11" s="879" t="s">
        <v>204</v>
      </c>
      <c r="AA11" s="881">
        <f>IFERROR(IF(AND(T10="Probabilidad",T11="Probabilidad"),(AC10-(+AC10*W11)),IF(AND(T10="Impacto",T11="Probabilidad"),(L10-(+L10*W11)),IF(T11="Impacto",AC10,""))),"")</f>
        <v>0.216</v>
      </c>
      <c r="AB11" s="882" t="str">
        <f t="shared" si="2"/>
        <v>Baja</v>
      </c>
      <c r="AC11" s="871">
        <f t="shared" si="3"/>
        <v>0.216</v>
      </c>
      <c r="AD11" s="882" t="str">
        <f t="shared" si="4"/>
        <v>Mayor</v>
      </c>
      <c r="AE11" s="871">
        <f>IFERROR(IF(AND(T10="Impacto",T11="Impacto"),(AE10-(+AE10*W11)),IF(AND(T10="Probabilidad",T11="Impacto"),(P10-(+P10*W11)),IF(T11="Probabilidad",AE10,""))),"")</f>
        <v>0.8</v>
      </c>
      <c r="AF11" s="883" t="str">
        <f t="shared" si="5"/>
        <v>Alto</v>
      </c>
      <c r="AG11" s="2306"/>
      <c r="AH11" s="2306"/>
      <c r="AI11" s="2306"/>
      <c r="AJ11" s="2306"/>
      <c r="AK11" s="2306"/>
      <c r="AL11" s="2306"/>
      <c r="AM11" s="2306"/>
    </row>
    <row r="12" spans="1:53" s="523" customFormat="1" ht="13.8" customHeight="1" x14ac:dyDescent="0.25">
      <c r="A12" s="3382" t="s">
        <v>156</v>
      </c>
      <c r="B12" s="3382"/>
      <c r="C12" s="3382"/>
      <c r="D12" s="3382"/>
      <c r="E12" s="3382"/>
      <c r="F12" s="3382"/>
      <c r="G12" s="3382"/>
      <c r="H12" s="3382"/>
      <c r="I12" s="3382"/>
      <c r="J12" s="3382"/>
      <c r="K12" s="3382"/>
      <c r="L12" s="3382"/>
      <c r="M12" s="3382"/>
      <c r="N12" s="3382"/>
      <c r="O12" s="3382"/>
      <c r="P12" s="3382"/>
      <c r="Q12" s="3382"/>
      <c r="R12" s="3382"/>
      <c r="S12" s="3382"/>
      <c r="T12" s="3382"/>
      <c r="U12" s="3382"/>
      <c r="V12" s="3382"/>
      <c r="W12" s="3382"/>
      <c r="X12" s="3382"/>
      <c r="Y12" s="3382"/>
      <c r="Z12" s="3382"/>
      <c r="AA12" s="3382"/>
      <c r="AB12" s="3382"/>
      <c r="AC12" s="3382"/>
      <c r="AD12" s="3382"/>
      <c r="AE12" s="3382"/>
      <c r="AF12" s="3382"/>
      <c r="AG12" s="3382"/>
      <c r="AH12" s="3382"/>
      <c r="AI12" s="3382"/>
      <c r="AJ12" s="3382"/>
      <c r="AK12" s="3382"/>
      <c r="AL12" s="3382"/>
      <c r="AM12" s="1007"/>
      <c r="AN12" s="1007"/>
      <c r="AO12" s="1007"/>
      <c r="AP12" s="1007"/>
      <c r="AQ12" s="1007"/>
      <c r="AR12" s="1007"/>
      <c r="AS12" s="1007"/>
      <c r="AT12" s="1007"/>
      <c r="AU12" s="1007"/>
      <c r="AV12" s="1007"/>
      <c r="AW12" s="1007"/>
      <c r="AX12" s="1007"/>
      <c r="AY12" s="1007"/>
      <c r="AZ12" s="1007"/>
      <c r="BA12" s="1007"/>
    </row>
    <row r="13" spans="1:53" s="523" customFormat="1" ht="13.8" customHeight="1" x14ac:dyDescent="0.25">
      <c r="A13" s="3382"/>
      <c r="B13" s="3382"/>
      <c r="C13" s="3382"/>
      <c r="D13" s="3382"/>
      <c r="E13" s="3382"/>
      <c r="F13" s="3382"/>
      <c r="G13" s="3382"/>
      <c r="H13" s="3382"/>
      <c r="I13" s="3382"/>
      <c r="J13" s="3382"/>
      <c r="K13" s="3382"/>
      <c r="L13" s="3382"/>
      <c r="M13" s="3382"/>
      <c r="N13" s="3382"/>
      <c r="O13" s="3382"/>
      <c r="P13" s="3382"/>
      <c r="Q13" s="3382"/>
      <c r="R13" s="3382"/>
      <c r="S13" s="3382"/>
      <c r="T13" s="3382"/>
      <c r="U13" s="3382"/>
      <c r="V13" s="3382"/>
      <c r="W13" s="3382"/>
      <c r="X13" s="3382"/>
      <c r="Y13" s="3382"/>
      <c r="Z13" s="3382"/>
      <c r="AA13" s="3382"/>
      <c r="AB13" s="3382"/>
      <c r="AC13" s="3382"/>
      <c r="AD13" s="3382"/>
      <c r="AE13" s="3382"/>
      <c r="AF13" s="3382"/>
      <c r="AG13" s="3382"/>
      <c r="AH13" s="3382"/>
      <c r="AI13" s="3382"/>
      <c r="AJ13" s="3382"/>
      <c r="AK13" s="3382"/>
      <c r="AL13" s="3382"/>
      <c r="AM13" s="1007"/>
      <c r="AN13" s="1007"/>
      <c r="AO13" s="1007"/>
      <c r="AP13" s="1007"/>
      <c r="AQ13" s="1007"/>
      <c r="AR13" s="1007"/>
      <c r="AS13" s="1007"/>
      <c r="AT13" s="1007"/>
      <c r="AU13" s="1007"/>
      <c r="AV13" s="1007"/>
      <c r="AW13" s="1007"/>
      <c r="AX13" s="1007"/>
      <c r="AY13" s="1007"/>
      <c r="AZ13" s="1007"/>
      <c r="BA13" s="1007"/>
    </row>
    <row r="14" spans="1:53" s="523" customFormat="1" x14ac:dyDescent="0.25">
      <c r="A14" s="1008"/>
      <c r="B14" s="1009"/>
      <c r="C14" s="1008"/>
      <c r="D14" s="1008"/>
      <c r="E14" s="1008"/>
      <c r="F14" s="1007"/>
      <c r="G14" s="1007"/>
      <c r="H14" s="1007"/>
      <c r="I14" s="1010"/>
      <c r="J14" s="1007"/>
      <c r="K14" s="1007"/>
      <c r="L14" s="1007"/>
      <c r="M14" s="1007"/>
      <c r="N14" s="1007"/>
      <c r="O14" s="1007"/>
      <c r="P14" s="1007"/>
      <c r="Q14" s="1007"/>
      <c r="R14" s="1007"/>
      <c r="S14" s="1007"/>
      <c r="T14" s="1007"/>
      <c r="U14" s="1007"/>
      <c r="V14" s="1007"/>
      <c r="W14" s="1007"/>
      <c r="X14" s="1007"/>
      <c r="Y14" s="1007"/>
      <c r="Z14" s="1007"/>
      <c r="AA14" s="1007"/>
      <c r="AB14" s="1007"/>
      <c r="AC14" s="1007"/>
      <c r="AD14" s="1007"/>
      <c r="AE14" s="1007"/>
      <c r="AF14" s="1007"/>
      <c r="AG14" s="1007"/>
      <c r="AH14" s="1007"/>
      <c r="AI14" s="1007"/>
      <c r="AJ14" s="1007"/>
      <c r="AK14" s="1007"/>
      <c r="AL14" s="1007"/>
      <c r="AM14" s="1007"/>
      <c r="AN14" s="1007"/>
      <c r="AO14" s="1007"/>
      <c r="AP14" s="1007"/>
      <c r="AQ14" s="1007"/>
      <c r="AR14" s="1007"/>
      <c r="AS14" s="1007"/>
      <c r="AT14" s="1007"/>
      <c r="AU14" s="1007"/>
      <c r="AV14" s="1007"/>
      <c r="AW14" s="1007"/>
      <c r="AX14" s="1007"/>
      <c r="AY14" s="1007"/>
      <c r="AZ14" s="1007"/>
      <c r="BA14" s="1007"/>
    </row>
    <row r="15" spans="1:53" s="523" customFormat="1" ht="23.4" x14ac:dyDescent="0.25">
      <c r="A15" s="3312" t="s">
        <v>157</v>
      </c>
      <c r="B15" s="3312"/>
      <c r="C15" s="3324" t="s">
        <v>466</v>
      </c>
      <c r="D15" s="3324"/>
      <c r="E15" s="3324"/>
      <c r="F15" s="3324"/>
      <c r="G15" s="3324"/>
      <c r="H15" s="3324"/>
      <c r="I15" s="3324"/>
      <c r="J15" s="3324"/>
      <c r="K15" s="3324"/>
      <c r="L15" s="3324"/>
      <c r="M15" s="3324"/>
      <c r="N15" s="3324"/>
      <c r="O15" s="3324"/>
      <c r="P15" s="3324"/>
      <c r="Q15" s="3324"/>
      <c r="R15" s="3324"/>
      <c r="S15" s="3324"/>
      <c r="T15" s="3324"/>
      <c r="U15" s="3324"/>
      <c r="V15" s="3324"/>
      <c r="W15" s="3324"/>
      <c r="X15" s="3324"/>
      <c r="Y15" s="3324"/>
      <c r="Z15" s="3324"/>
      <c r="AA15" s="3324"/>
      <c r="AB15" s="3324"/>
      <c r="AC15" s="3324"/>
      <c r="AD15" s="3324"/>
      <c r="AE15" s="3324"/>
      <c r="AF15" s="3324"/>
      <c r="AG15" s="3324"/>
      <c r="AH15" s="3324"/>
      <c r="AI15" s="3324"/>
      <c r="AJ15" s="3324"/>
      <c r="AK15" s="3324"/>
      <c r="AL15" s="3324"/>
      <c r="AM15" s="1007"/>
      <c r="AN15" s="1007"/>
      <c r="AO15" s="1007"/>
      <c r="AP15" s="1007"/>
      <c r="AQ15" s="1007"/>
      <c r="AR15" s="1007"/>
      <c r="AS15" s="1007"/>
      <c r="AT15" s="1007"/>
      <c r="AU15" s="1007"/>
      <c r="AV15" s="1007"/>
      <c r="AW15" s="1007"/>
      <c r="AX15" s="1007"/>
      <c r="AY15" s="1007"/>
      <c r="AZ15" s="1007"/>
      <c r="BA15" s="1007"/>
    </row>
    <row r="16" spans="1:53" s="523" customFormat="1" ht="23.4" customHeight="1" x14ac:dyDescent="0.25">
      <c r="A16" s="3312" t="s">
        <v>158</v>
      </c>
      <c r="B16" s="3312"/>
      <c r="C16" s="3313" t="s">
        <v>467</v>
      </c>
      <c r="D16" s="3313"/>
      <c r="E16" s="3313"/>
      <c r="F16" s="3313"/>
      <c r="G16" s="3313"/>
      <c r="H16" s="3313"/>
      <c r="I16" s="3313"/>
      <c r="J16" s="3313"/>
      <c r="K16" s="3313"/>
      <c r="L16" s="3313"/>
      <c r="M16" s="3313"/>
      <c r="N16" s="3313"/>
      <c r="O16" s="3313"/>
      <c r="P16" s="3313"/>
      <c r="Q16" s="3313"/>
      <c r="R16" s="3313"/>
      <c r="S16" s="3313"/>
      <c r="T16" s="3313"/>
      <c r="U16" s="3313"/>
      <c r="V16" s="3313"/>
      <c r="W16" s="3313"/>
      <c r="X16" s="3313"/>
      <c r="Y16" s="3313"/>
      <c r="Z16" s="3313"/>
      <c r="AA16" s="3313"/>
      <c r="AB16" s="3313"/>
      <c r="AC16" s="3313"/>
      <c r="AD16" s="3313"/>
      <c r="AE16" s="3313"/>
      <c r="AF16" s="3313"/>
      <c r="AG16" s="3313"/>
      <c r="AH16" s="3313"/>
      <c r="AI16" s="3313"/>
      <c r="AJ16" s="3313"/>
      <c r="AK16" s="3313"/>
      <c r="AL16" s="3313"/>
      <c r="AM16" s="1007"/>
      <c r="AN16" s="1007"/>
      <c r="AO16" s="1007"/>
      <c r="AP16" s="1007"/>
      <c r="AQ16" s="1007"/>
      <c r="AR16" s="1007"/>
      <c r="AS16" s="1007"/>
      <c r="AT16" s="1007"/>
      <c r="AU16" s="1007"/>
      <c r="AV16" s="1007"/>
      <c r="AW16" s="1007"/>
      <c r="AX16" s="1007"/>
      <c r="AY16" s="1007"/>
      <c r="AZ16" s="1007"/>
      <c r="BA16" s="1007"/>
    </row>
    <row r="17" spans="1:53" s="523" customFormat="1" ht="23.4" customHeight="1" x14ac:dyDescent="0.25">
      <c r="A17" s="3312" t="s">
        <v>159</v>
      </c>
      <c r="B17" s="3312"/>
      <c r="C17" s="3313" t="s">
        <v>468</v>
      </c>
      <c r="D17" s="3313"/>
      <c r="E17" s="3313"/>
      <c r="F17" s="3313"/>
      <c r="G17" s="3313"/>
      <c r="H17" s="3313"/>
      <c r="I17" s="3313"/>
      <c r="J17" s="3313"/>
      <c r="K17" s="3313"/>
      <c r="L17" s="3313"/>
      <c r="M17" s="3313"/>
      <c r="N17" s="3313"/>
      <c r="O17" s="3313"/>
      <c r="P17" s="3313"/>
      <c r="Q17" s="3313"/>
      <c r="R17" s="3313"/>
      <c r="S17" s="3313"/>
      <c r="T17" s="3313"/>
      <c r="U17" s="3313"/>
      <c r="V17" s="3313"/>
      <c r="W17" s="3313"/>
      <c r="X17" s="3313"/>
      <c r="Y17" s="3313"/>
      <c r="Z17" s="3313"/>
      <c r="AA17" s="3313"/>
      <c r="AB17" s="3313"/>
      <c r="AC17" s="3313"/>
      <c r="AD17" s="3313"/>
      <c r="AE17" s="3313"/>
      <c r="AF17" s="3313"/>
      <c r="AG17" s="3313"/>
      <c r="AH17" s="3313"/>
      <c r="AI17" s="3313"/>
      <c r="AJ17" s="3313"/>
      <c r="AK17" s="3313"/>
      <c r="AL17" s="3313"/>
      <c r="AM17" s="1007"/>
      <c r="AN17" s="1007"/>
      <c r="AO17" s="1007"/>
      <c r="AP17" s="1007"/>
      <c r="AQ17" s="1007"/>
      <c r="AR17" s="1007"/>
      <c r="AS17" s="1007"/>
      <c r="AT17" s="1007"/>
      <c r="AU17" s="1007"/>
      <c r="AV17" s="1007"/>
      <c r="AW17" s="1007"/>
      <c r="AX17" s="1007"/>
      <c r="AY17" s="1007"/>
      <c r="AZ17" s="1007"/>
      <c r="BA17" s="1007"/>
    </row>
    <row r="18" spans="1:53" s="523" customFormat="1" x14ac:dyDescent="0.25">
      <c r="A18" s="3314" t="s">
        <v>160</v>
      </c>
      <c r="B18" s="3314"/>
      <c r="C18" s="3314"/>
      <c r="D18" s="3314"/>
      <c r="E18" s="3314"/>
      <c r="F18" s="3314"/>
      <c r="G18" s="3314"/>
      <c r="H18" s="3314"/>
      <c r="I18" s="3314"/>
      <c r="J18" s="3314"/>
      <c r="K18" s="3315" t="s">
        <v>161</v>
      </c>
      <c r="L18" s="3315"/>
      <c r="M18" s="3315"/>
      <c r="N18" s="3315"/>
      <c r="O18" s="3315"/>
      <c r="P18" s="3315"/>
      <c r="Q18" s="3315"/>
      <c r="R18" s="3315" t="s">
        <v>162</v>
      </c>
      <c r="S18" s="3315"/>
      <c r="T18" s="3315"/>
      <c r="U18" s="3315"/>
      <c r="V18" s="3315"/>
      <c r="W18" s="3315"/>
      <c r="X18" s="3315"/>
      <c r="Y18" s="3315"/>
      <c r="Z18" s="3315"/>
      <c r="AA18" s="3315" t="s">
        <v>163</v>
      </c>
      <c r="AB18" s="3315"/>
      <c r="AC18" s="3315"/>
      <c r="AD18" s="3315"/>
      <c r="AE18" s="3315"/>
      <c r="AF18" s="3315"/>
      <c r="AG18" s="3315"/>
      <c r="AH18" s="3315" t="s">
        <v>164</v>
      </c>
      <c r="AI18" s="3315"/>
      <c r="AJ18" s="3315"/>
      <c r="AK18" s="3315"/>
      <c r="AL18" s="3315"/>
      <c r="AM18" s="1007"/>
      <c r="AN18" s="1007"/>
      <c r="AO18" s="1007"/>
      <c r="AP18" s="1007"/>
      <c r="AQ18" s="1007"/>
      <c r="AR18" s="1007"/>
      <c r="AS18" s="1007"/>
      <c r="AT18" s="1007"/>
      <c r="AU18" s="1007"/>
      <c r="AV18" s="1007"/>
      <c r="AW18" s="1007"/>
      <c r="AX18" s="1007"/>
      <c r="AY18" s="1007"/>
      <c r="AZ18" s="1007"/>
      <c r="BA18" s="1007"/>
    </row>
    <row r="19" spans="1:53" s="523" customFormat="1" ht="13.8" customHeight="1" x14ac:dyDescent="0.25">
      <c r="A19" s="3316" t="s">
        <v>165</v>
      </c>
      <c r="B19" s="3314" t="s">
        <v>142</v>
      </c>
      <c r="C19" s="3317" t="s">
        <v>166</v>
      </c>
      <c r="D19" s="3317" t="s">
        <v>167</v>
      </c>
      <c r="E19" s="3318" t="s">
        <v>168</v>
      </c>
      <c r="F19" s="3319" t="s">
        <v>60</v>
      </c>
      <c r="G19" s="3319" t="s">
        <v>511</v>
      </c>
      <c r="H19" s="1011"/>
      <c r="I19" s="3299" t="s">
        <v>169</v>
      </c>
      <c r="J19" s="3317" t="s">
        <v>170</v>
      </c>
      <c r="K19" s="3317" t="s">
        <v>171</v>
      </c>
      <c r="L19" s="3320" t="s">
        <v>172</v>
      </c>
      <c r="M19" s="3299" t="s">
        <v>173</v>
      </c>
      <c r="N19" s="3299" t="s">
        <v>174</v>
      </c>
      <c r="O19" s="3321" t="s">
        <v>175</v>
      </c>
      <c r="P19" s="3320" t="s">
        <v>172</v>
      </c>
      <c r="Q19" s="3317" t="s">
        <v>176</v>
      </c>
      <c r="R19" s="3311" t="s">
        <v>177</v>
      </c>
      <c r="S19" s="3299" t="s">
        <v>178</v>
      </c>
      <c r="T19" s="3299" t="s">
        <v>179</v>
      </c>
      <c r="U19" s="3299" t="s">
        <v>180</v>
      </c>
      <c r="V19" s="3299"/>
      <c r="W19" s="3299"/>
      <c r="X19" s="3299"/>
      <c r="Y19" s="3299"/>
      <c r="Z19" s="3299"/>
      <c r="AA19" s="3311" t="s">
        <v>181</v>
      </c>
      <c r="AB19" s="3311" t="s">
        <v>182</v>
      </c>
      <c r="AC19" s="3311" t="s">
        <v>172</v>
      </c>
      <c r="AD19" s="3311" t="s">
        <v>183</v>
      </c>
      <c r="AE19" s="3311" t="s">
        <v>172</v>
      </c>
      <c r="AF19" s="3311" t="s">
        <v>184</v>
      </c>
      <c r="AG19" s="3311" t="s">
        <v>185</v>
      </c>
      <c r="AH19" s="3299" t="s">
        <v>164</v>
      </c>
      <c r="AI19" s="3299" t="s">
        <v>143</v>
      </c>
      <c r="AJ19" s="3299" t="s">
        <v>187</v>
      </c>
      <c r="AK19" s="3299" t="s">
        <v>188</v>
      </c>
      <c r="AL19" s="3299" t="s">
        <v>186</v>
      </c>
      <c r="AM19" s="3299" t="s">
        <v>187</v>
      </c>
      <c r="AN19" s="3299" t="s">
        <v>188</v>
      </c>
      <c r="AO19" s="3299" t="s">
        <v>186</v>
      </c>
      <c r="AP19" s="3299" t="s">
        <v>187</v>
      </c>
      <c r="AQ19" s="3299" t="s">
        <v>188</v>
      </c>
      <c r="AR19" s="3299" t="s">
        <v>186</v>
      </c>
      <c r="AS19" s="3299" t="s">
        <v>187</v>
      </c>
      <c r="AT19" s="3299" t="s">
        <v>188</v>
      </c>
      <c r="AU19" s="3299" t="s">
        <v>186</v>
      </c>
      <c r="AV19" s="3299" t="s">
        <v>187</v>
      </c>
      <c r="AW19" s="3299" t="s">
        <v>188</v>
      </c>
      <c r="AX19" s="3299" t="s">
        <v>186</v>
      </c>
      <c r="AY19" s="3299" t="s">
        <v>187</v>
      </c>
      <c r="AZ19" s="3318" t="s">
        <v>188</v>
      </c>
      <c r="BA19" s="3299" t="s">
        <v>186</v>
      </c>
    </row>
    <row r="20" spans="1:53" s="523" customFormat="1" ht="71.400000000000006" x14ac:dyDescent="0.25">
      <c r="A20" s="3316"/>
      <c r="B20" s="3314"/>
      <c r="C20" s="3317"/>
      <c r="D20" s="3317"/>
      <c r="E20" s="3318"/>
      <c r="F20" s="3319"/>
      <c r="G20" s="3319"/>
      <c r="H20" s="1011" t="s">
        <v>190</v>
      </c>
      <c r="I20" s="3299"/>
      <c r="J20" s="3317"/>
      <c r="K20" s="3317"/>
      <c r="L20" s="3320"/>
      <c r="M20" s="3299"/>
      <c r="N20" s="3299"/>
      <c r="O20" s="3321"/>
      <c r="P20" s="3321"/>
      <c r="Q20" s="3317"/>
      <c r="R20" s="3311"/>
      <c r="S20" s="3299"/>
      <c r="T20" s="3299"/>
      <c r="U20" s="1012" t="s">
        <v>191</v>
      </c>
      <c r="V20" s="1012" t="s">
        <v>192</v>
      </c>
      <c r="W20" s="1012" t="s">
        <v>193</v>
      </c>
      <c r="X20" s="1012" t="s">
        <v>194</v>
      </c>
      <c r="Y20" s="1012" t="s">
        <v>195</v>
      </c>
      <c r="Z20" s="1012" t="s">
        <v>196</v>
      </c>
      <c r="AA20" s="3311"/>
      <c r="AB20" s="3311"/>
      <c r="AC20" s="3311"/>
      <c r="AD20" s="3311"/>
      <c r="AE20" s="3311"/>
      <c r="AF20" s="3311"/>
      <c r="AG20" s="3311"/>
      <c r="AH20" s="3299"/>
      <c r="AI20" s="3299"/>
      <c r="AJ20" s="3299"/>
      <c r="AK20" s="3299"/>
      <c r="AL20" s="3299"/>
      <c r="AM20" s="3299"/>
      <c r="AN20" s="3299"/>
      <c r="AO20" s="3299"/>
      <c r="AP20" s="3299"/>
      <c r="AQ20" s="3299"/>
      <c r="AR20" s="3299"/>
      <c r="AS20" s="3299"/>
      <c r="AT20" s="3299"/>
      <c r="AU20" s="3299"/>
      <c r="AV20" s="3299"/>
      <c r="AW20" s="3299"/>
      <c r="AX20" s="3299"/>
      <c r="AY20" s="3299"/>
      <c r="AZ20" s="3317"/>
      <c r="BA20" s="3299"/>
    </row>
    <row r="21" spans="1:53" s="523" customFormat="1" ht="96.6" x14ac:dyDescent="0.25">
      <c r="A21" s="3279">
        <v>1</v>
      </c>
      <c r="B21" s="3300" t="s">
        <v>197</v>
      </c>
      <c r="C21" s="3300" t="s">
        <v>469</v>
      </c>
      <c r="D21" s="3300" t="s">
        <v>1030</v>
      </c>
      <c r="E21" s="1138" t="s">
        <v>471</v>
      </c>
      <c r="F21" s="3283" t="s">
        <v>1031</v>
      </c>
      <c r="G21" s="3384" t="s">
        <v>512</v>
      </c>
      <c r="H21" s="3301" t="s">
        <v>1032</v>
      </c>
      <c r="I21" s="3285" t="s">
        <v>198</v>
      </c>
      <c r="J21" s="3302">
        <v>240</v>
      </c>
      <c r="K21" s="3287" t="str">
        <f>IF(J21&lt;=0,"",IF(J21&lt;=2,"Muy Baja",IF(J21&lt;=24,"Baja",IF(J21&lt;=500,"Media",IF(J21&lt;=5000,"Alta","Muy Alta")))))</f>
        <v>Media</v>
      </c>
      <c r="L21" s="3288">
        <f>IF(K21="","",IF(K21="Muy Baja",0.2,IF(K21="Baja",0.4,IF(K21="Media",0.6,IF(K21="Alta",0.8,IF(K21="Muy Alta",1,))))))</f>
        <v>0.6</v>
      </c>
      <c r="M21" s="3303" t="s">
        <v>225</v>
      </c>
      <c r="N21" s="3383" t="str">
        <f>IF(NOT(ISERROR(MATCH(M21,'[60]Tabla Impacto'!$B$221:$B$223,0))),'[60]Tabla Impacto'!$F$223&amp;"Por favor no seleccionar los criterios de impacto(Afectación Económica o presupuestal y Pérdida Reputacional)",M21)</f>
        <v xml:space="preserve">     El riesgo afecta la imagen de la entidad con algunos usuarios de relevancia frente al logro de los objetivos</v>
      </c>
      <c r="O21" s="3305" t="str">
        <f>IF(OR(N21='[60]Tabla Impacto'!$C$11,N21='[60]Tabla Impacto'!$D$11),"Leve",IF(OR(N21='[60]Tabla Impacto'!$C$12,N21='[60]Tabla Impacto'!$D$12),"Menor",IF(OR(N21='[60]Tabla Impacto'!$C$13,N21='[60]Tabla Impacto'!$D$13),"Moderado",IF(OR(N21='[60]Tabla Impacto'!$C$14,N21='[60]Tabla Impacto'!$D$14),"Mayor",IF(OR(N21='[60]Tabla Impacto'!$C$15,N21='[60]Tabla Impacto'!$D$15),"Catastrófico","")))))</f>
        <v>Moderado</v>
      </c>
      <c r="P21" s="3304">
        <f>IF(O21="","",IF(O21="Leve",0.2,IF(O21="Menor",0.4,IF(O21="Moderado",0.6,IF(O21="Mayor",0.8,IF(O21="Catastrófico",1,))))))</f>
        <v>0.6</v>
      </c>
      <c r="Q21" s="3306" t="str">
        <f>IF(OR(AND(K21="Muy Baja",O21="Leve"),AND(K21="Muy Baja",O21="Menor"),AND(K21="Baja",O21="Leve")),"Bajo",IF(OR(AND(K21="Muy baja",O21="Moderado"),AND(K21="Baja",O21="Menor"),AND(K21="Baja",O21="Moderado"),AND(K21="Media",O21="Leve"),AND(K21="Media",O21="Menor"),AND(K21="Media",O21="Moderado"),AND(K21="Alta",O21="Leve"),AND(K21="Alta",O21="Menor")),"Moderado",IF(OR(AND(K21="Muy Baja",O21="Mayor"),AND(K21="Baja",O21="Mayor"),AND(K21="Media",O21="Mayor"),AND(K21="Alta",O21="Moderado"),AND(K21="Alta",O21="Mayor"),AND(K21="Muy Alta",O21="Leve"),AND(K21="Muy Alta",O21="Menor"),AND(K21="Muy Alta",O21="Moderado"),AND(K21="Muy Alta",O21="Mayor")),"Alto",IF(OR(AND(K21="Muy Baja",O21="Catastrófico"),AND(K21="Baja",O21="Catastrófico"),AND(K21="Media",O21="Catastrófico"),AND(K21="Alta",O21="Catastrófico"),AND(K21="Muy Alta",O21="Catastrófico")),"Extremo",""))))</f>
        <v>Moderado</v>
      </c>
      <c r="R21" s="1139">
        <v>1</v>
      </c>
      <c r="S21" s="1140" t="s">
        <v>1033</v>
      </c>
      <c r="T21" s="1015" t="str">
        <f t="shared" ref="T21:T25" si="6">IF(OR(U21="Preventivo",U21="Detectivo"),"Probabilidad",IF(U21="Correctivo","Impacto",""))</f>
        <v>Probabilidad</v>
      </c>
      <c r="U21" s="1016" t="s">
        <v>207</v>
      </c>
      <c r="V21" s="1016" t="s">
        <v>201</v>
      </c>
      <c r="W21" s="1017" t="str">
        <f t="shared" ref="W21:W27" si="7">IF(AND(U21="Preventivo",V21="Automático"),"50%",IF(AND(U21="Preventivo",V21="Manual"),"40%",IF(AND(U21="Detectivo",V21="Automático"),"40%",IF(AND(U21="Detectivo",V21="Manual"),"30%",IF(AND(U21="Correctivo",V21="Automático"),"35%",IF(AND(U21="Correctivo",V21="Manual"),"25%",""))))))</f>
        <v>40%</v>
      </c>
      <c r="X21" s="1016" t="s">
        <v>202</v>
      </c>
      <c r="Y21" s="1016" t="s">
        <v>203</v>
      </c>
      <c r="Z21" s="1016" t="s">
        <v>298</v>
      </c>
      <c r="AA21" s="256">
        <f>IFERROR(IF(T21="Probabilidad",(L21-(+L21*W21)),IF(T21="Impacto",L21,"")),"")</f>
        <v>0.36</v>
      </c>
      <c r="AB21" s="1141" t="str">
        <f t="shared" ref="AB21:AB27" si="8">IFERROR(IF(AA21="","",IF(AA21&lt;=0.2,"Muy Baja",IF(AA21&lt;=0.4,"Baja",IF(AA21&lt;=0.6,"Media",IF(AA21&lt;=0.8,"Alta","Muy Alta"))))),"")</f>
        <v>Baja</v>
      </c>
      <c r="AC21" s="1142">
        <f t="shared" ref="AC21:AC27" si="9">+AA21</f>
        <v>0.36</v>
      </c>
      <c r="AD21" s="1141" t="str">
        <f t="shared" ref="AD21:AD25" si="10">IFERROR(IF(AE21="","",IF(AE21&lt;=0.2,"Leve",IF(AE21&lt;=0.4,"Menor",IF(AE21&lt;=0.6,"Moderado",IF(AE21&lt;=0.8,"Mayor","Catastrófico"))))),"")</f>
        <v>Moderado</v>
      </c>
      <c r="AE21" s="1142">
        <f>IFERROR(IF(T21="Impacto",(P21-(+P21*W21)),IF(T21="Probabilidad",P21,"")),"")</f>
        <v>0.6</v>
      </c>
      <c r="AF21" s="1143" t="str">
        <f t="shared" ref="AF21:AF27" si="11">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Moderado</v>
      </c>
      <c r="AG21" s="3296" t="s">
        <v>312</v>
      </c>
      <c r="AH21" s="1144" t="s">
        <v>1034</v>
      </c>
      <c r="AI21" s="3274" t="s">
        <v>149</v>
      </c>
      <c r="AJ21" s="3293" t="s">
        <v>528</v>
      </c>
      <c r="AK21" s="1145" t="s">
        <v>1035</v>
      </c>
      <c r="AL21" s="3307">
        <v>45342</v>
      </c>
      <c r="AM21" s="3293" t="s">
        <v>530</v>
      </c>
      <c r="AN21" s="1145" t="s">
        <v>1035</v>
      </c>
      <c r="AO21" s="3293">
        <v>45412</v>
      </c>
      <c r="AP21" s="3293" t="s">
        <v>532</v>
      </c>
      <c r="AQ21" s="1145" t="s">
        <v>1035</v>
      </c>
      <c r="AR21" s="3293">
        <v>45473</v>
      </c>
      <c r="AS21" s="3293" t="s">
        <v>534</v>
      </c>
      <c r="AT21" s="1145" t="s">
        <v>1035</v>
      </c>
      <c r="AU21" s="3293">
        <v>45534</v>
      </c>
      <c r="AV21" s="3293" t="s">
        <v>1036</v>
      </c>
      <c r="AW21" s="1145" t="s">
        <v>1237</v>
      </c>
      <c r="AX21" s="3293">
        <v>45595</v>
      </c>
      <c r="AY21" s="3293" t="s">
        <v>1421</v>
      </c>
      <c r="AZ21" s="1145" t="s">
        <v>1237</v>
      </c>
      <c r="BA21" s="3293">
        <v>45657</v>
      </c>
    </row>
    <row r="22" spans="1:53" s="523" customFormat="1" ht="78" x14ac:dyDescent="0.25">
      <c r="A22" s="3279"/>
      <c r="B22" s="3300"/>
      <c r="C22" s="3300"/>
      <c r="D22" s="3300"/>
      <c r="E22" s="1138" t="s">
        <v>535</v>
      </c>
      <c r="F22" s="3283"/>
      <c r="G22" s="3385"/>
      <c r="H22" s="3301"/>
      <c r="I22" s="3285"/>
      <c r="J22" s="3302"/>
      <c r="K22" s="3287"/>
      <c r="L22" s="3288"/>
      <c r="M22" s="3303"/>
      <c r="N22" s="3383">
        <f>IF(NOT(ISERROR(MATCH(M22,_xlfn.ANCHORARRAY(F26),0))),#REF!&amp;"Por favor no seleccionar los criterios de impacto",M22)</f>
        <v>0</v>
      </c>
      <c r="O22" s="3305"/>
      <c r="P22" s="3304"/>
      <c r="Q22" s="3306"/>
      <c r="R22" s="1139">
        <v>2</v>
      </c>
      <c r="S22" s="1146" t="s">
        <v>536</v>
      </c>
      <c r="T22" s="1015" t="str">
        <f t="shared" si="6"/>
        <v>Probabilidad</v>
      </c>
      <c r="U22" s="1016" t="s">
        <v>207</v>
      </c>
      <c r="V22" s="1016" t="s">
        <v>201</v>
      </c>
      <c r="W22" s="1017" t="str">
        <f t="shared" si="7"/>
        <v>40%</v>
      </c>
      <c r="X22" s="1016" t="s">
        <v>202</v>
      </c>
      <c r="Y22" s="1016" t="s">
        <v>203</v>
      </c>
      <c r="Z22" s="1016" t="s">
        <v>298</v>
      </c>
      <c r="AA22" s="256">
        <f>IFERROR(IF(AND(T21="Probabilidad",T22="Probabilidad"),(AC21-(+AC21*W22)),IF(AND(T21="Impacto",T22="Probabilidad"),(L21-(+L21*W22)),IF(T22="Impacto",AC21,""))),"")</f>
        <v>0.216</v>
      </c>
      <c r="AB22" s="1141" t="str">
        <f t="shared" si="8"/>
        <v>Baja</v>
      </c>
      <c r="AC22" s="1142">
        <f t="shared" si="9"/>
        <v>0.216</v>
      </c>
      <c r="AD22" s="1141" t="str">
        <f t="shared" si="10"/>
        <v>Moderado</v>
      </c>
      <c r="AE22" s="1142">
        <f>IFERROR(IF(AND(T21="Impacto",T22="Impacto"),(AE21-(+AE21*W22)),IF(AND(T21="Probabilidad",T22="Impacto"),(P21-(+P21*W22)),IF(T22="Probabilidad",AE21,""))),"")</f>
        <v>0.6</v>
      </c>
      <c r="AF22" s="1143" t="str">
        <f t="shared" si="11"/>
        <v>Moderado</v>
      </c>
      <c r="AG22" s="3296"/>
      <c r="AH22" s="1147" t="s">
        <v>527</v>
      </c>
      <c r="AI22" s="3274"/>
      <c r="AJ22" s="3294"/>
      <c r="AK22" s="1148" t="s">
        <v>529</v>
      </c>
      <c r="AL22" s="3308"/>
      <c r="AM22" s="3294"/>
      <c r="AN22" s="1148" t="s">
        <v>529</v>
      </c>
      <c r="AO22" s="3309"/>
      <c r="AP22" s="3294"/>
      <c r="AQ22" s="1148" t="s">
        <v>1038</v>
      </c>
      <c r="AR22" s="3309"/>
      <c r="AS22" s="3294"/>
      <c r="AT22" s="1148" t="s">
        <v>1038</v>
      </c>
      <c r="AU22" s="3309"/>
      <c r="AV22" s="3294"/>
      <c r="AW22" s="1148" t="s">
        <v>1038</v>
      </c>
      <c r="AX22" s="3309"/>
      <c r="AY22" s="3294"/>
      <c r="AZ22" s="1148" t="s">
        <v>1038</v>
      </c>
      <c r="BA22" s="3309"/>
    </row>
    <row r="23" spans="1:53" s="523" customFormat="1" ht="82.8" x14ac:dyDescent="0.25">
      <c r="A23" s="3279"/>
      <c r="B23" s="3300"/>
      <c r="C23" s="3300"/>
      <c r="D23" s="3300"/>
      <c r="E23" s="1149" t="s">
        <v>472</v>
      </c>
      <c r="F23" s="3283"/>
      <c r="G23" s="3385"/>
      <c r="H23" s="3301"/>
      <c r="I23" s="3285"/>
      <c r="J23" s="3302"/>
      <c r="K23" s="3287"/>
      <c r="L23" s="3288"/>
      <c r="M23" s="3303"/>
      <c r="N23" s="3383">
        <f>IF(NOT(ISERROR(MATCH(M23,_xlfn.ANCHORARRAY(F27),0))),#REF!&amp;"Por favor no seleccionar los criterios de impacto",M23)</f>
        <v>0</v>
      </c>
      <c r="O23" s="3305"/>
      <c r="P23" s="3304"/>
      <c r="Q23" s="3306"/>
      <c r="R23" s="1139">
        <v>3</v>
      </c>
      <c r="S23" s="1146" t="s">
        <v>1039</v>
      </c>
      <c r="T23" s="1150" t="str">
        <f t="shared" si="6"/>
        <v>Probabilidad</v>
      </c>
      <c r="U23" s="1016" t="s">
        <v>207</v>
      </c>
      <c r="V23" s="1016" t="s">
        <v>201</v>
      </c>
      <c r="W23" s="1151" t="str">
        <f t="shared" si="7"/>
        <v>40%</v>
      </c>
      <c r="X23" s="1016" t="s">
        <v>202</v>
      </c>
      <c r="Y23" s="1016" t="s">
        <v>203</v>
      </c>
      <c r="Z23" s="1016" t="s">
        <v>298</v>
      </c>
      <c r="AA23" s="256">
        <f>IFERROR(IF(AND(T22="Probabilidad",T23="Probabilidad"),(AC22-(+AC22*W23)),IF(AND(T22="Impacto",T23="Probabilidad"),(AC21-(+AC21*W23)),IF(T23="Impacto",AC22,""))),"")</f>
        <v>0.12959999999999999</v>
      </c>
      <c r="AB23" s="1141" t="str">
        <f t="shared" si="8"/>
        <v>Muy Baja</v>
      </c>
      <c r="AC23" s="1142">
        <f t="shared" si="9"/>
        <v>0.12959999999999999</v>
      </c>
      <c r="AD23" s="1141" t="str">
        <f t="shared" si="10"/>
        <v>Moderado</v>
      </c>
      <c r="AE23" s="1142">
        <f>IFERROR(IF(AND(T22="Impacto",T23="Impacto"),(AE22-(+AE22*W23)),IF(AND(T22="Probabilidad",T23="Impacto"),(AE21-(+AE21*W23)),IF(T23="Probabilidad",AE22,""))),"")</f>
        <v>0.6</v>
      </c>
      <c r="AF23" s="1143" t="str">
        <f t="shared" si="11"/>
        <v>Moderado</v>
      </c>
      <c r="AG23" s="1152"/>
      <c r="AH23" s="1153" t="s">
        <v>1040</v>
      </c>
      <c r="AI23" s="1154" t="s">
        <v>1041</v>
      </c>
      <c r="AJ23" s="1155" t="s">
        <v>1042</v>
      </c>
      <c r="AK23" s="1156" t="s">
        <v>1043</v>
      </c>
      <c r="AL23" s="1155">
        <v>45350</v>
      </c>
      <c r="AM23" s="1155" t="s">
        <v>530</v>
      </c>
      <c r="AN23" s="1020" t="s">
        <v>1044</v>
      </c>
      <c r="AO23" s="1021">
        <v>45412</v>
      </c>
      <c r="AP23" s="1021" t="s">
        <v>1045</v>
      </c>
      <c r="AQ23" s="1020" t="s">
        <v>1044</v>
      </c>
      <c r="AR23" s="1021">
        <v>45469</v>
      </c>
      <c r="AS23" s="1021" t="s">
        <v>1046</v>
      </c>
      <c r="AT23" s="1020" t="s">
        <v>1044</v>
      </c>
      <c r="AU23" s="1021">
        <v>45534</v>
      </c>
      <c r="AV23" s="1021" t="s">
        <v>1036</v>
      </c>
      <c r="AW23" s="1020" t="s">
        <v>1044</v>
      </c>
      <c r="AX23" s="1021">
        <v>45595</v>
      </c>
      <c r="AY23" s="1021" t="s">
        <v>1421</v>
      </c>
      <c r="AZ23" s="1020" t="s">
        <v>1044</v>
      </c>
      <c r="BA23" s="1021">
        <v>45657</v>
      </c>
    </row>
    <row r="24" spans="1:53" s="523" customFormat="1" ht="78" customHeight="1" x14ac:dyDescent="0.25">
      <c r="A24" s="3279">
        <v>2</v>
      </c>
      <c r="B24" s="3274" t="s">
        <v>197</v>
      </c>
      <c r="C24" s="3295" t="s">
        <v>1047</v>
      </c>
      <c r="D24" s="3274" t="s">
        <v>474</v>
      </c>
      <c r="E24" s="1018" t="s">
        <v>537</v>
      </c>
      <c r="F24" s="3273" t="s">
        <v>1048</v>
      </c>
      <c r="G24" s="3384" t="s">
        <v>512</v>
      </c>
      <c r="H24" s="3284" t="s">
        <v>538</v>
      </c>
      <c r="I24" s="3285" t="s">
        <v>198</v>
      </c>
      <c r="J24" s="3286">
        <v>12</v>
      </c>
      <c r="K24" s="3287" t="str">
        <f>IF(J24&lt;=0,"",IF(J24&lt;=2,"Muy Baja",IF(J24&lt;=24,"Baja",IF(J24&lt;=500,"Media",IF(J24&lt;=5000,"Alta","Muy Alta")))))</f>
        <v>Baja</v>
      </c>
      <c r="L24" s="3288">
        <f>IF(K24="","",IF(K24="Muy Baja",0.2,IF(K24="Baja",0.4,IF(K24="Media",0.6,IF(K24="Alta",0.8,IF(K24="Muy Alta",1,))))))</f>
        <v>0.4</v>
      </c>
      <c r="M24" s="3289" t="s">
        <v>213</v>
      </c>
      <c r="N24" s="3288" t="str">
        <f>IF(NOT(ISERROR(MATCH(M24,'[60]Tabla Impacto'!$B$221:$B$223,0))),'[60]Tabla Impacto'!$F$223&amp;"Por favor no seleccionar los criterios de impacto(Afectación Económica o presupuestal y Pérdida Reputacional)",M24)</f>
        <v xml:space="preserve">     El riesgo afecta la imagen de la entidad internamente, de conocimiento general, nivel interno, de junta dircetiva y accionistas y/o de provedores</v>
      </c>
      <c r="O24" s="3287" t="str">
        <f>IF(OR(N24='[60]Tabla Impacto'!$C$11,N24='[60]Tabla Impacto'!$D$11),"Leve",IF(OR(N24='[60]Tabla Impacto'!$C$12,N24='[60]Tabla Impacto'!$D$12),"Menor",IF(OR(N24='[60]Tabla Impacto'!$C$13,N24='[60]Tabla Impacto'!$D$13),"Moderado",IF(OR(N24='[60]Tabla Impacto'!$C$14,N24='[60]Tabla Impacto'!$D$14),"Mayor",IF(OR(N24='[60]Tabla Impacto'!$C$15,N24='[60]Tabla Impacto'!$D$15),"Catastrófico","")))))</f>
        <v>Menor</v>
      </c>
      <c r="P24" s="3288">
        <f>IF(O24="","",IF(O24="Leve",0.2,IF(O24="Menor",0.4,IF(O24="Moderado",0.6,IF(O24="Mayor",0.8,IF(O24="Catastrófico",1,))))))</f>
        <v>0.4</v>
      </c>
      <c r="Q24" s="3290" t="str">
        <f>IF(OR(AND(K24="Muy Baja",O24="Leve"),AND(K24="Muy Baja",O24="Menor"),AND(K24="Baja",O24="Leve")),"Bajo",IF(OR(AND(K24="Muy baja",O24="Moderado"),AND(K24="Baja",O24="Menor"),AND(K24="Baja",O24="Moderado"),AND(K24="Media",O24="Leve"),AND(K24="Media",O24="Menor"),AND(K24="Media",O24="Moderado"),AND(K24="Alta",O24="Leve"),AND(K24="Alta",O24="Menor")),"Moderado",IF(OR(AND(K24="Muy Baja",O24="Mayor"),AND(K24="Baja",O24="Mayor"),AND(K24="Media",O24="Mayor"),AND(K24="Alta",O24="Moderado"),AND(K24="Alta",O24="Mayor"),AND(K24="Muy Alta",O24="Leve"),AND(K24="Muy Alta",O24="Menor"),AND(K24="Muy Alta",O24="Moderado"),AND(K24="Muy Alta",O24="Mayor")),"Alto",IF(OR(AND(K24="Muy Baja",O24="Catastrófico"),AND(K24="Baja",O24="Catastrófico"),AND(K24="Media",O24="Catastrófico"),AND(K24="Alta",O24="Catastrófico"),AND(K24="Muy Alta",O24="Catastrófico")),"Extremo",""))))</f>
        <v>Moderado</v>
      </c>
      <c r="R24" s="1139">
        <v>1</v>
      </c>
      <c r="S24" s="1158" t="s">
        <v>476</v>
      </c>
      <c r="T24" s="1015" t="str">
        <f t="shared" si="6"/>
        <v>Probabilidad</v>
      </c>
      <c r="U24" s="1016" t="s">
        <v>207</v>
      </c>
      <c r="V24" s="1016" t="s">
        <v>201</v>
      </c>
      <c r="W24" s="1017" t="str">
        <f t="shared" si="7"/>
        <v>40%</v>
      </c>
      <c r="X24" s="1016" t="s">
        <v>202</v>
      </c>
      <c r="Y24" s="1016" t="s">
        <v>203</v>
      </c>
      <c r="Z24" s="1016" t="s">
        <v>204</v>
      </c>
      <c r="AA24" s="272">
        <f>IFERROR(IF(T24="Probabilidad",(L24-(+L24*W24)),IF(T24="Impacto",L24,"")),"")</f>
        <v>0.24</v>
      </c>
      <c r="AB24" s="1024" t="str">
        <f t="shared" si="8"/>
        <v>Baja</v>
      </c>
      <c r="AC24" s="1025">
        <f t="shared" si="9"/>
        <v>0.24</v>
      </c>
      <c r="AD24" s="1024" t="str">
        <f t="shared" si="10"/>
        <v>Menor</v>
      </c>
      <c r="AE24" s="1025">
        <f>IFERROR(IF(T24="Impacto",(P24-(+P24*W24)),IF(T24="Probabilidad",P24,"")),"")</f>
        <v>0.4</v>
      </c>
      <c r="AF24" s="1026" t="str">
        <f t="shared" si="11"/>
        <v>Moderado</v>
      </c>
      <c r="AG24" s="3296" t="s">
        <v>205</v>
      </c>
      <c r="AH24" s="1144" t="s">
        <v>539</v>
      </c>
      <c r="AI24" s="3274" t="s">
        <v>149</v>
      </c>
      <c r="AJ24" s="3276" t="s">
        <v>528</v>
      </c>
      <c r="AK24" s="1145" t="s">
        <v>542</v>
      </c>
      <c r="AL24" s="3269">
        <v>45351</v>
      </c>
      <c r="AM24" s="3276" t="s">
        <v>530</v>
      </c>
      <c r="AN24" s="1145" t="s">
        <v>542</v>
      </c>
      <c r="AO24" s="3269">
        <v>45412</v>
      </c>
      <c r="AP24" s="3276" t="s">
        <v>532</v>
      </c>
      <c r="AQ24" s="1145" t="s">
        <v>542</v>
      </c>
      <c r="AR24" s="3269" t="s">
        <v>543</v>
      </c>
      <c r="AS24" s="3276" t="s">
        <v>534</v>
      </c>
      <c r="AT24" s="1145" t="s">
        <v>542</v>
      </c>
      <c r="AU24" s="3269">
        <v>45534</v>
      </c>
      <c r="AV24" s="3276" t="s">
        <v>1036</v>
      </c>
      <c r="AW24" s="1145" t="s">
        <v>542</v>
      </c>
      <c r="AX24" s="3269">
        <v>45595</v>
      </c>
      <c r="AY24" s="3276" t="s">
        <v>1421</v>
      </c>
      <c r="AZ24" s="1145" t="s">
        <v>542</v>
      </c>
      <c r="BA24" s="3269">
        <v>45657</v>
      </c>
    </row>
    <row r="25" spans="1:53" s="523" customFormat="1" ht="78" x14ac:dyDescent="0.25">
      <c r="A25" s="3279"/>
      <c r="B25" s="3274"/>
      <c r="C25" s="3295"/>
      <c r="D25" s="3274"/>
      <c r="E25" s="1018" t="s">
        <v>477</v>
      </c>
      <c r="F25" s="3273"/>
      <c r="G25" s="3385"/>
      <c r="H25" s="3284"/>
      <c r="I25" s="3285"/>
      <c r="J25" s="3286"/>
      <c r="K25" s="3287"/>
      <c r="L25" s="3288"/>
      <c r="M25" s="3289"/>
      <c r="N25" s="3288">
        <f>IF(NOT(ISERROR(MATCH(M25,_xlfn.ANCHORARRAY(F28),0))),L30&amp;"Por favor no seleccionar los criterios de impacto",M25)</f>
        <v>0</v>
      </c>
      <c r="O25" s="3287"/>
      <c r="P25" s="3288"/>
      <c r="Q25" s="3290"/>
      <c r="R25" s="1139">
        <v>2</v>
      </c>
      <c r="S25" s="1159" t="s">
        <v>544</v>
      </c>
      <c r="T25" s="1015" t="str">
        <f t="shared" si="6"/>
        <v>Probabilidad</v>
      </c>
      <c r="U25" s="1016" t="s">
        <v>200</v>
      </c>
      <c r="V25" s="1016" t="s">
        <v>201</v>
      </c>
      <c r="W25" s="1017" t="str">
        <f t="shared" si="7"/>
        <v>30%</v>
      </c>
      <c r="X25" s="1016" t="s">
        <v>202</v>
      </c>
      <c r="Y25" s="1016" t="s">
        <v>203</v>
      </c>
      <c r="Z25" s="1016" t="s">
        <v>204</v>
      </c>
      <c r="AA25" s="272">
        <f>IFERROR(IF(AND(T24="Probabilidad",T25="Probabilidad"),(AC24-(+AC24*W25)),IF(AND(T24="Impacto",T25="Probabilidad"),(L24-(+L24*W25)),IF(T25="Impacto",AC24,""))),"")</f>
        <v>0.16799999999999998</v>
      </c>
      <c r="AB25" s="1024" t="str">
        <f t="shared" si="8"/>
        <v>Muy Baja</v>
      </c>
      <c r="AC25" s="1025">
        <f t="shared" si="9"/>
        <v>0.16799999999999998</v>
      </c>
      <c r="AD25" s="1024" t="str">
        <f t="shared" si="10"/>
        <v>Menor</v>
      </c>
      <c r="AE25" s="1025">
        <f>IFERROR(IF(AND(T24="Impacto",T25="Impacto"),(AE24-(+AE24*W25)),IF(AND(T24="Probabilidad",T25="Impacto"),(P24-(+P24*W25)),IF(T25="Probabilidad",AE24,""))),"")</f>
        <v>0.4</v>
      </c>
      <c r="AF25" s="1026" t="str">
        <f t="shared" si="11"/>
        <v>Bajo</v>
      </c>
      <c r="AG25" s="3296"/>
      <c r="AH25" s="1144" t="s">
        <v>1049</v>
      </c>
      <c r="AI25" s="3274"/>
      <c r="AJ25" s="3297"/>
      <c r="AK25" s="1144" t="s">
        <v>1050</v>
      </c>
      <c r="AL25" s="3298"/>
      <c r="AM25" s="3297"/>
      <c r="AN25" s="1144" t="s">
        <v>1050</v>
      </c>
      <c r="AO25" s="3270"/>
      <c r="AP25" s="3297"/>
      <c r="AQ25" s="1144" t="s">
        <v>1050</v>
      </c>
      <c r="AR25" s="3270"/>
      <c r="AS25" s="3297"/>
      <c r="AT25" s="1144" t="s">
        <v>1050</v>
      </c>
      <c r="AU25" s="3270"/>
      <c r="AV25" s="3297"/>
      <c r="AW25" s="1144" t="s">
        <v>1050</v>
      </c>
      <c r="AX25" s="3270"/>
      <c r="AY25" s="3297"/>
      <c r="AZ25" s="1144" t="s">
        <v>1050</v>
      </c>
      <c r="BA25" s="3270"/>
    </row>
    <row r="26" spans="1:53" s="523" customFormat="1" ht="69" customHeight="1" x14ac:dyDescent="0.25">
      <c r="A26" s="3279">
        <v>3</v>
      </c>
      <c r="B26" s="3274" t="s">
        <v>197</v>
      </c>
      <c r="C26" s="3274" t="s">
        <v>478</v>
      </c>
      <c r="D26" s="3280" t="s">
        <v>545</v>
      </c>
      <c r="E26" s="1160" t="s">
        <v>546</v>
      </c>
      <c r="F26" s="3273" t="s">
        <v>1051</v>
      </c>
      <c r="G26" s="3386" t="s">
        <v>512</v>
      </c>
      <c r="H26" s="3284" t="s">
        <v>548</v>
      </c>
      <c r="I26" s="3285" t="s">
        <v>198</v>
      </c>
      <c r="J26" s="3286">
        <v>12</v>
      </c>
      <c r="K26" s="3287" t="str">
        <f>IF(J26&lt;=0,"",IF(J26&lt;=2,"Muy Baja",IF(J26&lt;=24,"Baja",IF(J26&lt;=500,"Media",IF(J26&lt;=5000,"Alta","Muy Alta")))))</f>
        <v>Baja</v>
      </c>
      <c r="L26" s="3288">
        <f>IF(K26="","",IF(K26="Muy Baja",0.2,IF(K26="Baja",0.4,IF(K26="Media",0.6,IF(K26="Alta",0.8,IF(K26="Muy Alta",1,))))))</f>
        <v>0.4</v>
      </c>
      <c r="M26" s="3289" t="s">
        <v>479</v>
      </c>
      <c r="N26" s="3398" t="str">
        <f>IF(NOT(ISERROR(MATCH(M26,'[60]Tabla Impacto'!$B$221:$B$223,0))),'[60]Tabla Impacto'!$F$223&amp;"Por favor no seleccionar los criterios de impacto(Afectación Económica o presupuestal y Pérdida Reputacional)",M26)</f>
        <v>❌Por favor no seleccionar los criterios de impacto(Afectación Económica o presupuestal y Pérdida Reputacional)</v>
      </c>
      <c r="O26" s="3287" t="s">
        <v>62</v>
      </c>
      <c r="P26" s="3288">
        <f>IF(O26="","",IF(O26="Leve",0.2,IF(O26="Menor",0.4,IF(O26="Moderado",0.6,IF(O26="Mayor",0.8,IF(O26="Catastrófico",1,))))))</f>
        <v>0.4</v>
      </c>
      <c r="Q26" s="3290" t="str">
        <f>IF(OR(AND(K26="Muy Baja",O26="Leve"),AND(K26="Muy Baja",O26="Menor"),AND(K26="Baja",O26="Leve")),"Bajo",IF(OR(AND(K26="Muy baja",O26="Moderado"),AND(K26="Baja",O26="Menor"),AND(K26="Baja",O26="Moderado"),AND(K26="Media",O26="Leve"),AND(K26="Media",O26="Menor"),AND(K26="Media",O26="Moderado"),AND(K26="Alta",O26="Leve"),AND(K26="Alta",O26="Menor")),"Moderado",IF(OR(AND(K26="Muy Baja",O26="Mayor"),AND(K26="Baja",O26="Mayor"),AND(K26="Media",O26="Mayor"),AND(K26="Alta",O26="Moderado"),AND(K26="Alta",O26="Mayor"),AND(K26="Muy Alta",O26="Leve"),AND(K26="Muy Alta",O26="Menor"),AND(K26="Muy Alta",O26="Moderado"),AND(K26="Muy Alta",O26="Mayor")),"Alto",IF(OR(AND(K26="Muy Baja",O26="Catastrófico"),AND(K26="Baja",O26="Catastrófico"),AND(K26="Media",O26="Catastrófico"),AND(K26="Alta",O26="Catastrófico"),AND(K26="Muy Alta",O26="Catastrófico")),"Extremo",""))))</f>
        <v>Moderado</v>
      </c>
      <c r="R26" s="3396">
        <v>1</v>
      </c>
      <c r="S26" s="1161" t="s">
        <v>549</v>
      </c>
      <c r="T26" s="1150" t="s">
        <v>141</v>
      </c>
      <c r="U26" s="1157" t="s">
        <v>308</v>
      </c>
      <c r="V26" s="1157" t="s">
        <v>201</v>
      </c>
      <c r="W26" s="1151" t="str">
        <f t="shared" si="7"/>
        <v>25%</v>
      </c>
      <c r="X26" s="1157" t="s">
        <v>208</v>
      </c>
      <c r="Y26" s="1157" t="s">
        <v>203</v>
      </c>
      <c r="Z26" s="1157" t="s">
        <v>204</v>
      </c>
      <c r="AA26" s="256">
        <f>IFERROR(IF(T26="Probabilidad",(L26-(+L26*W26)),IF(T26="Impacto",L26,"")),"")</f>
        <v>0.30000000000000004</v>
      </c>
      <c r="AB26" s="1141" t="str">
        <f t="shared" si="8"/>
        <v>Baja</v>
      </c>
      <c r="AC26" s="1142">
        <f t="shared" si="9"/>
        <v>0.30000000000000004</v>
      </c>
      <c r="AD26" s="1024" t="s">
        <v>62</v>
      </c>
      <c r="AE26" s="1142">
        <f>IFERROR(IF(T26="Impacto",(P26-(+P26*W26)),IF(T26="Probabilidad",P26,"")),"")</f>
        <v>0.4</v>
      </c>
      <c r="AF26" s="1143" t="str">
        <f t="shared" si="11"/>
        <v>Moderado</v>
      </c>
      <c r="AG26" s="2065" t="s">
        <v>205</v>
      </c>
      <c r="AH26" s="3273" t="s">
        <v>1052</v>
      </c>
      <c r="AI26" s="3275" t="s">
        <v>149</v>
      </c>
      <c r="AJ26" s="3276" t="s">
        <v>528</v>
      </c>
      <c r="AK26" s="3271" t="s">
        <v>551</v>
      </c>
      <c r="AL26" s="3276">
        <v>45351</v>
      </c>
      <c r="AM26" s="3276" t="s">
        <v>530</v>
      </c>
      <c r="AN26" s="3271" t="s">
        <v>551</v>
      </c>
      <c r="AO26" s="3276">
        <v>45412</v>
      </c>
      <c r="AP26" s="3276" t="s">
        <v>532</v>
      </c>
      <c r="AQ26" s="3271" t="s">
        <v>552</v>
      </c>
      <c r="AR26" s="3269">
        <v>45473</v>
      </c>
      <c r="AS26" s="3276" t="s">
        <v>534</v>
      </c>
      <c r="AT26" s="3271" t="s">
        <v>552</v>
      </c>
      <c r="AU26" s="3269">
        <v>45534</v>
      </c>
      <c r="AV26" s="3276" t="s">
        <v>1036</v>
      </c>
      <c r="AW26" s="3271" t="s">
        <v>552</v>
      </c>
      <c r="AX26" s="3269">
        <v>45595</v>
      </c>
      <c r="AY26" s="3276" t="s">
        <v>1421</v>
      </c>
      <c r="AZ26" s="3276" t="s">
        <v>552</v>
      </c>
      <c r="BA26" s="3269">
        <v>45657</v>
      </c>
    </row>
    <row r="27" spans="1:53" s="523" customFormat="1" ht="69" x14ac:dyDescent="0.25">
      <c r="A27" s="3279"/>
      <c r="B27" s="3274"/>
      <c r="C27" s="3274"/>
      <c r="D27" s="3281"/>
      <c r="E27" s="1160" t="s">
        <v>480</v>
      </c>
      <c r="F27" s="3273"/>
      <c r="G27" s="3385"/>
      <c r="H27" s="3284"/>
      <c r="I27" s="3285"/>
      <c r="J27" s="3286"/>
      <c r="K27" s="3287"/>
      <c r="L27" s="3288"/>
      <c r="M27" s="3289"/>
      <c r="N27" s="3398">
        <f>IF(NOT(ISERROR(MATCH(M27,_xlfn.ANCHORARRAY(F34),0))),L36&amp;"Por favor no seleccionar los criterios de impacto",M27)</f>
        <v>0</v>
      </c>
      <c r="O27" s="3287"/>
      <c r="P27" s="3288"/>
      <c r="Q27" s="3290"/>
      <c r="R27" s="3397"/>
      <c r="S27" s="1162" t="s">
        <v>1053</v>
      </c>
      <c r="T27" s="1150" t="s">
        <v>141</v>
      </c>
      <c r="U27" s="1157" t="s">
        <v>308</v>
      </c>
      <c r="V27" s="1157" t="s">
        <v>201</v>
      </c>
      <c r="W27" s="1151" t="str">
        <f t="shared" si="7"/>
        <v>25%</v>
      </c>
      <c r="X27" s="1157" t="s">
        <v>208</v>
      </c>
      <c r="Y27" s="1157" t="s">
        <v>203</v>
      </c>
      <c r="Z27" s="1157" t="s">
        <v>204</v>
      </c>
      <c r="AA27" s="256">
        <f>IFERROR(IF(AND(T26="Probabilidad",T27="Probabilidad"),(AC26-(+AC26*W27)),IF(AND(T26="Impacto",T27="Probabilidad"),(L26-(+L26*W27)),IF(T27="Impacto",AC26,""))),"")</f>
        <v>0.22500000000000003</v>
      </c>
      <c r="AB27" s="1141" t="str">
        <f t="shared" si="8"/>
        <v>Baja</v>
      </c>
      <c r="AC27" s="1142">
        <f t="shared" si="9"/>
        <v>0.22500000000000003</v>
      </c>
      <c r="AD27" s="1024" t="s">
        <v>62</v>
      </c>
      <c r="AE27" s="1142">
        <f>IFERROR(IF(AND(T26="Impacto",T27="Impacto"),(AE26-(+AE26*W27)),IF(AND(T26="Probabilidad",T27="Impacto"),(P26-(+P26*W27)),IF(T27="Probabilidad",AE26,""))),"")</f>
        <v>0.4</v>
      </c>
      <c r="AF27" s="1143" t="str">
        <f t="shared" si="11"/>
        <v>Moderado</v>
      </c>
      <c r="AG27" s="2065"/>
      <c r="AH27" s="3274"/>
      <c r="AI27" s="3275"/>
      <c r="AJ27" s="3277"/>
      <c r="AK27" s="3271"/>
      <c r="AL27" s="3278"/>
      <c r="AM27" s="3277"/>
      <c r="AN27" s="3271"/>
      <c r="AO27" s="3278"/>
      <c r="AP27" s="3277"/>
      <c r="AQ27" s="3271"/>
      <c r="AR27" s="3270"/>
      <c r="AS27" s="3277"/>
      <c r="AT27" s="3271"/>
      <c r="AU27" s="3270"/>
      <c r="AV27" s="3277"/>
      <c r="AW27" s="3271"/>
      <c r="AX27" s="3270"/>
      <c r="AY27" s="3277"/>
      <c r="AZ27" s="3277"/>
      <c r="BA27" s="3270"/>
    </row>
    <row r="28" spans="1:53" s="523" customFormat="1" ht="14.4" x14ac:dyDescent="0.3">
      <c r="A28" s="3387" t="s">
        <v>156</v>
      </c>
      <c r="B28" s="3388"/>
      <c r="C28" s="3388"/>
      <c r="D28" s="3388"/>
      <c r="E28" s="3388"/>
      <c r="F28" s="3388"/>
      <c r="G28" s="3388"/>
      <c r="H28" s="3388"/>
      <c r="I28" s="3388"/>
      <c r="J28" s="3388"/>
      <c r="K28" s="3388"/>
      <c r="L28" s="3388"/>
      <c r="M28" s="3388"/>
      <c r="N28" s="3388"/>
      <c r="O28" s="3388"/>
      <c r="P28" s="3388"/>
      <c r="Q28" s="3388"/>
      <c r="R28" s="3388"/>
      <c r="S28" s="3388"/>
      <c r="T28" s="3388"/>
      <c r="U28" s="3388"/>
      <c r="V28" s="3388"/>
      <c r="W28" s="3388"/>
      <c r="X28" s="3388"/>
      <c r="Y28" s="3388"/>
      <c r="Z28" s="3388"/>
      <c r="AA28" s="3388"/>
      <c r="AB28" s="3388"/>
      <c r="AC28" s="3388"/>
      <c r="AD28" s="3388"/>
      <c r="AE28" s="3388"/>
      <c r="AF28" s="3388"/>
      <c r="AG28" s="3388"/>
      <c r="AH28" s="3388"/>
      <c r="AI28" s="3388"/>
      <c r="AJ28" s="3388"/>
      <c r="AK28" s="3388"/>
      <c r="AL28" s="3388"/>
      <c r="AM28" s="3389"/>
      <c r="AN28" s="1163"/>
      <c r="AO28" s="1163"/>
      <c r="AP28" s="1163"/>
      <c r="AQ28" s="1163"/>
      <c r="AR28" s="1163"/>
      <c r="AS28" s="1163"/>
    </row>
    <row r="29" spans="1:53" s="523" customFormat="1" ht="14.4" x14ac:dyDescent="0.3">
      <c r="A29" s="3390"/>
      <c r="B29" s="3391"/>
      <c r="C29" s="3391"/>
      <c r="D29" s="3391"/>
      <c r="E29" s="3391"/>
      <c r="F29" s="3391"/>
      <c r="G29" s="3391"/>
      <c r="H29" s="3391"/>
      <c r="I29" s="3391"/>
      <c r="J29" s="3391"/>
      <c r="K29" s="3391"/>
      <c r="L29" s="3391"/>
      <c r="M29" s="3391"/>
      <c r="N29" s="3391"/>
      <c r="O29" s="3391"/>
      <c r="P29" s="3391"/>
      <c r="Q29" s="3391"/>
      <c r="R29" s="3391"/>
      <c r="S29" s="3391"/>
      <c r="T29" s="3391"/>
      <c r="U29" s="3391"/>
      <c r="V29" s="3391"/>
      <c r="W29" s="3391"/>
      <c r="X29" s="3391"/>
      <c r="Y29" s="3391"/>
      <c r="Z29" s="3391"/>
      <c r="AA29" s="3391"/>
      <c r="AB29" s="3391"/>
      <c r="AC29" s="3391"/>
      <c r="AD29" s="3391"/>
      <c r="AE29" s="3391"/>
      <c r="AF29" s="3391"/>
      <c r="AG29" s="3391"/>
      <c r="AH29" s="3391"/>
      <c r="AI29" s="3391"/>
      <c r="AJ29" s="3391"/>
      <c r="AK29" s="3391"/>
      <c r="AL29" s="3391"/>
      <c r="AM29" s="3392"/>
      <c r="AN29" s="1163"/>
      <c r="AO29" s="1163"/>
      <c r="AP29" s="1163"/>
      <c r="AQ29" s="1163"/>
      <c r="AR29" s="1163"/>
      <c r="AS29" s="1163"/>
    </row>
    <row r="30" spans="1:53" s="523" customFormat="1" ht="14.4" x14ac:dyDescent="0.3">
      <c r="A30" s="1164"/>
      <c r="B30" s="1165"/>
      <c r="C30" s="1164"/>
      <c r="D30" s="1164"/>
      <c r="E30" s="1164"/>
      <c r="F30" s="1163"/>
      <c r="G30" s="1163"/>
      <c r="H30" s="1163"/>
      <c r="I30" s="1166"/>
      <c r="J30" s="1163"/>
      <c r="K30" s="1163"/>
      <c r="L30" s="1163"/>
      <c r="M30" s="1163"/>
      <c r="N30" s="1163"/>
      <c r="O30" s="1163"/>
      <c r="P30" s="1163"/>
      <c r="Q30" s="1163"/>
      <c r="R30" s="1163"/>
      <c r="S30" s="1163"/>
      <c r="T30" s="1163"/>
      <c r="U30" s="1163"/>
      <c r="V30" s="1163"/>
      <c r="W30" s="1163"/>
      <c r="X30" s="1163"/>
      <c r="Y30" s="1163"/>
      <c r="Z30" s="1163"/>
      <c r="AA30" s="1163"/>
      <c r="AB30" s="1163"/>
      <c r="AC30" s="1163"/>
      <c r="AD30" s="1163"/>
      <c r="AE30" s="1163"/>
      <c r="AF30" s="1163"/>
      <c r="AG30" s="1163"/>
      <c r="AH30" s="1163"/>
      <c r="AI30" s="1163"/>
      <c r="AJ30" s="1163"/>
      <c r="AK30" s="1163"/>
      <c r="AL30" s="1163"/>
      <c r="AM30" s="1163"/>
      <c r="AN30" s="1163"/>
      <c r="AO30" s="1163"/>
      <c r="AP30" s="1163"/>
      <c r="AQ30" s="1163"/>
      <c r="AR30" s="1163"/>
      <c r="AS30" s="1163"/>
    </row>
    <row r="31" spans="1:53" s="523" customFormat="1" ht="14.4" x14ac:dyDescent="0.3">
      <c r="A31" s="3393" t="s">
        <v>157</v>
      </c>
      <c r="B31" s="3394"/>
      <c r="C31" s="3395" t="s">
        <v>1065</v>
      </c>
      <c r="D31" s="3395"/>
      <c r="E31" s="3395"/>
      <c r="F31" s="3395"/>
      <c r="G31" s="3395"/>
      <c r="H31" s="3395"/>
      <c r="I31" s="3395"/>
      <c r="J31" s="3395"/>
      <c r="K31" s="3395"/>
      <c r="L31" s="3395"/>
      <c r="M31" s="3395"/>
      <c r="N31" s="3395"/>
      <c r="O31" s="3395"/>
      <c r="P31" s="3395"/>
      <c r="Q31" s="3395"/>
      <c r="R31" s="3395"/>
      <c r="S31" s="3395"/>
      <c r="T31" s="3395"/>
      <c r="U31" s="3395"/>
      <c r="V31" s="3395"/>
      <c r="W31" s="3395"/>
      <c r="X31" s="3395"/>
      <c r="Y31" s="3395"/>
      <c r="Z31" s="3395"/>
      <c r="AA31" s="3395"/>
      <c r="AB31" s="3395"/>
      <c r="AC31" s="3395"/>
      <c r="AD31" s="3395"/>
      <c r="AE31" s="3395"/>
      <c r="AF31" s="3395"/>
      <c r="AG31" s="3395"/>
      <c r="AH31" s="3395"/>
      <c r="AI31" s="3395"/>
      <c r="AJ31" s="3395"/>
      <c r="AK31" s="3395"/>
      <c r="AL31" s="3395"/>
      <c r="AM31" s="3395"/>
      <c r="AN31" s="1163"/>
      <c r="AO31" s="1163"/>
      <c r="AP31" s="1163"/>
      <c r="AQ31" s="1163"/>
      <c r="AR31" s="1163"/>
      <c r="AS31" s="1163"/>
    </row>
    <row r="32" spans="1:53" s="523" customFormat="1" ht="14.4" x14ac:dyDescent="0.3">
      <c r="A32" s="3393" t="s">
        <v>158</v>
      </c>
      <c r="B32" s="3394"/>
      <c r="C32" s="3413" t="s">
        <v>1066</v>
      </c>
      <c r="D32" s="3413"/>
      <c r="E32" s="3413"/>
      <c r="F32" s="3413"/>
      <c r="G32" s="3413"/>
      <c r="H32" s="3413"/>
      <c r="I32" s="3413"/>
      <c r="J32" s="3413"/>
      <c r="K32" s="3413"/>
      <c r="L32" s="3413"/>
      <c r="M32" s="3413"/>
      <c r="N32" s="3413"/>
      <c r="O32" s="3413"/>
      <c r="P32" s="3413"/>
      <c r="Q32" s="3413"/>
      <c r="R32" s="3413"/>
      <c r="S32" s="3413"/>
      <c r="T32" s="3413"/>
      <c r="U32" s="3413"/>
      <c r="V32" s="3413"/>
      <c r="W32" s="3413"/>
      <c r="X32" s="3413"/>
      <c r="Y32" s="3413"/>
      <c r="Z32" s="3413"/>
      <c r="AA32" s="3413"/>
      <c r="AB32" s="3413"/>
      <c r="AC32" s="3413"/>
      <c r="AD32" s="3413"/>
      <c r="AE32" s="3413"/>
      <c r="AF32" s="3413"/>
      <c r="AG32" s="3413"/>
      <c r="AH32" s="3413"/>
      <c r="AI32" s="3413"/>
      <c r="AJ32" s="3413"/>
      <c r="AK32" s="3413"/>
      <c r="AL32" s="3413"/>
      <c r="AM32" s="3413"/>
      <c r="AN32" s="1163"/>
      <c r="AO32" s="1163"/>
      <c r="AP32" s="1163"/>
      <c r="AQ32" s="1163"/>
      <c r="AR32" s="1163"/>
      <c r="AS32" s="1163"/>
    </row>
    <row r="33" spans="1:45" s="523" customFormat="1" ht="14.4" x14ac:dyDescent="0.3">
      <c r="A33" s="3393" t="s">
        <v>159</v>
      </c>
      <c r="B33" s="3394"/>
      <c r="C33" s="3413" t="s">
        <v>977</v>
      </c>
      <c r="D33" s="3413"/>
      <c r="E33" s="3413"/>
      <c r="F33" s="3413"/>
      <c r="G33" s="3413"/>
      <c r="H33" s="3413"/>
      <c r="I33" s="3413"/>
      <c r="J33" s="3413"/>
      <c r="K33" s="3413"/>
      <c r="L33" s="3413"/>
      <c r="M33" s="3413"/>
      <c r="N33" s="3413"/>
      <c r="O33" s="3413"/>
      <c r="P33" s="3413"/>
      <c r="Q33" s="3413"/>
      <c r="R33" s="3413"/>
      <c r="S33" s="3413"/>
      <c r="T33" s="3413"/>
      <c r="U33" s="3413"/>
      <c r="V33" s="3413"/>
      <c r="W33" s="3413"/>
      <c r="X33" s="3413"/>
      <c r="Y33" s="3413"/>
      <c r="Z33" s="3413"/>
      <c r="AA33" s="3413"/>
      <c r="AB33" s="3413"/>
      <c r="AC33" s="3413"/>
      <c r="AD33" s="3413"/>
      <c r="AE33" s="3413"/>
      <c r="AF33" s="3413"/>
      <c r="AG33" s="3413"/>
      <c r="AH33" s="3414"/>
      <c r="AI33" s="3414"/>
      <c r="AJ33" s="3414"/>
      <c r="AK33" s="3414"/>
      <c r="AL33" s="3414"/>
      <c r="AM33" s="3414"/>
      <c r="AN33" s="1163"/>
      <c r="AO33" s="1163"/>
      <c r="AP33" s="1163"/>
      <c r="AQ33" s="1163"/>
      <c r="AR33" s="1163"/>
      <c r="AS33" s="1163"/>
    </row>
    <row r="34" spans="1:45" s="523" customFormat="1" x14ac:dyDescent="0.25">
      <c r="A34" s="3415" t="s">
        <v>160</v>
      </c>
      <c r="B34" s="3416"/>
      <c r="C34" s="3417"/>
      <c r="D34" s="3417"/>
      <c r="E34" s="3417"/>
      <c r="F34" s="3417"/>
      <c r="G34" s="3417"/>
      <c r="H34" s="3417"/>
      <c r="I34" s="3417"/>
      <c r="J34" s="3418"/>
      <c r="K34" s="3408" t="s">
        <v>161</v>
      </c>
      <c r="L34" s="3417"/>
      <c r="M34" s="3417"/>
      <c r="N34" s="3417"/>
      <c r="O34" s="3417"/>
      <c r="P34" s="3417"/>
      <c r="Q34" s="3418"/>
      <c r="R34" s="3408" t="s">
        <v>162</v>
      </c>
      <c r="S34" s="3417"/>
      <c r="T34" s="3417"/>
      <c r="U34" s="3417"/>
      <c r="V34" s="3417"/>
      <c r="W34" s="3417"/>
      <c r="X34" s="3417"/>
      <c r="Y34" s="3417"/>
      <c r="Z34" s="3418"/>
      <c r="AA34" s="3408" t="s">
        <v>163</v>
      </c>
      <c r="AB34" s="3417"/>
      <c r="AC34" s="3417"/>
      <c r="AD34" s="3417"/>
      <c r="AE34" s="3417"/>
      <c r="AF34" s="3417"/>
      <c r="AG34" s="3417"/>
      <c r="AH34" s="3419" t="s">
        <v>164</v>
      </c>
      <c r="AI34" s="3419"/>
      <c r="AJ34" s="3419"/>
      <c r="AK34" s="3419"/>
      <c r="AL34" s="3419"/>
      <c r="AM34" s="3419"/>
      <c r="AN34" s="3419"/>
      <c r="AO34" s="3419"/>
      <c r="AP34" s="3419"/>
      <c r="AQ34" s="3419"/>
      <c r="AR34" s="3419"/>
      <c r="AS34" s="3419"/>
    </row>
    <row r="35" spans="1:45" s="523" customFormat="1" x14ac:dyDescent="0.25">
      <c r="A35" s="3409" t="s">
        <v>165</v>
      </c>
      <c r="B35" s="3411" t="s">
        <v>142</v>
      </c>
      <c r="C35" s="3405" t="s">
        <v>166</v>
      </c>
      <c r="D35" s="3405" t="s">
        <v>1422</v>
      </c>
      <c r="E35" s="3404" t="s">
        <v>1423</v>
      </c>
      <c r="F35" s="3412" t="s">
        <v>60</v>
      </c>
      <c r="G35" s="3402" t="s">
        <v>1424</v>
      </c>
      <c r="H35" s="1167"/>
      <c r="I35" s="3404" t="s">
        <v>169</v>
      </c>
      <c r="J35" s="3405" t="s">
        <v>170</v>
      </c>
      <c r="K35" s="3406" t="s">
        <v>171</v>
      </c>
      <c r="L35" s="3407" t="s">
        <v>172</v>
      </c>
      <c r="M35" s="3404" t="s">
        <v>173</v>
      </c>
      <c r="N35" s="3404" t="s">
        <v>174</v>
      </c>
      <c r="O35" s="3433" t="s">
        <v>175</v>
      </c>
      <c r="P35" s="3407" t="s">
        <v>172</v>
      </c>
      <c r="Q35" s="3405" t="s">
        <v>176</v>
      </c>
      <c r="R35" s="3399" t="s">
        <v>177</v>
      </c>
      <c r="S35" s="3401" t="s">
        <v>178</v>
      </c>
      <c r="T35" s="3404" t="s">
        <v>179</v>
      </c>
      <c r="U35" s="3401" t="s">
        <v>180</v>
      </c>
      <c r="V35" s="3401"/>
      <c r="W35" s="3401"/>
      <c r="X35" s="3401"/>
      <c r="Y35" s="3401"/>
      <c r="Z35" s="3401"/>
      <c r="AA35" s="3432" t="s">
        <v>181</v>
      </c>
      <c r="AB35" s="3432" t="s">
        <v>182</v>
      </c>
      <c r="AC35" s="3432" t="s">
        <v>172</v>
      </c>
      <c r="AD35" s="3432" t="s">
        <v>183</v>
      </c>
      <c r="AE35" s="3432" t="s">
        <v>172</v>
      </c>
      <c r="AF35" s="3432" t="s">
        <v>184</v>
      </c>
      <c r="AG35" s="3399" t="s">
        <v>185</v>
      </c>
      <c r="AH35" s="3405" t="s">
        <v>164</v>
      </c>
      <c r="AI35" s="3405" t="s">
        <v>143</v>
      </c>
      <c r="AJ35" s="3405" t="s">
        <v>186</v>
      </c>
      <c r="AK35" s="3405" t="s">
        <v>187</v>
      </c>
      <c r="AL35" s="3405" t="s">
        <v>188</v>
      </c>
      <c r="AM35" s="3430" t="s">
        <v>189</v>
      </c>
      <c r="AN35" s="3420" t="s">
        <v>1067</v>
      </c>
      <c r="AO35" s="3420" t="s">
        <v>1068</v>
      </c>
      <c r="AP35" s="3420" t="s">
        <v>1069</v>
      </c>
      <c r="AQ35" s="3420" t="s">
        <v>1070</v>
      </c>
      <c r="AR35" s="3420" t="s">
        <v>1425</v>
      </c>
      <c r="AS35" s="3420" t="s">
        <v>1426</v>
      </c>
    </row>
    <row r="36" spans="1:45" s="523" customFormat="1" ht="71.400000000000006" x14ac:dyDescent="0.25">
      <c r="A36" s="3410"/>
      <c r="B36" s="3411"/>
      <c r="C36" s="3401"/>
      <c r="D36" s="3401"/>
      <c r="E36" s="3406"/>
      <c r="F36" s="3402"/>
      <c r="G36" s="3403"/>
      <c r="H36" s="1167" t="s">
        <v>190</v>
      </c>
      <c r="I36" s="3405"/>
      <c r="J36" s="3401"/>
      <c r="K36" s="3405"/>
      <c r="L36" s="3408"/>
      <c r="M36" s="3405"/>
      <c r="N36" s="3405"/>
      <c r="O36" s="3408"/>
      <c r="P36" s="3408"/>
      <c r="Q36" s="3401"/>
      <c r="R36" s="3400"/>
      <c r="S36" s="3401"/>
      <c r="T36" s="3405"/>
      <c r="U36" s="1168" t="s">
        <v>191</v>
      </c>
      <c r="V36" s="1168" t="s">
        <v>192</v>
      </c>
      <c r="W36" s="1168" t="s">
        <v>193</v>
      </c>
      <c r="X36" s="1168" t="s">
        <v>194</v>
      </c>
      <c r="Y36" s="1168" t="s">
        <v>195</v>
      </c>
      <c r="Z36" s="1168" t="s">
        <v>196</v>
      </c>
      <c r="AA36" s="3432"/>
      <c r="AB36" s="3432"/>
      <c r="AC36" s="3432"/>
      <c r="AD36" s="3432"/>
      <c r="AE36" s="3432"/>
      <c r="AF36" s="3432"/>
      <c r="AG36" s="3400"/>
      <c r="AH36" s="3401"/>
      <c r="AI36" s="3401"/>
      <c r="AJ36" s="3401"/>
      <c r="AK36" s="3401"/>
      <c r="AL36" s="3401"/>
      <c r="AM36" s="3431"/>
      <c r="AN36" s="3421"/>
      <c r="AO36" s="3421"/>
      <c r="AP36" s="3421"/>
      <c r="AQ36" s="3421"/>
      <c r="AR36" s="3421"/>
      <c r="AS36" s="3421"/>
    </row>
    <row r="37" spans="1:45" s="523" customFormat="1" ht="67.2" x14ac:dyDescent="0.25">
      <c r="A37" s="3190">
        <v>1</v>
      </c>
      <c r="B37" s="3422" t="s">
        <v>197</v>
      </c>
      <c r="C37" s="2264" t="s">
        <v>978</v>
      </c>
      <c r="D37" s="3424" t="s">
        <v>979</v>
      </c>
      <c r="E37" s="1169" t="s">
        <v>980</v>
      </c>
      <c r="F37" s="3426" t="s">
        <v>1427</v>
      </c>
      <c r="G37" s="3427" t="s">
        <v>1236</v>
      </c>
      <c r="H37" s="3426" t="s">
        <v>982</v>
      </c>
      <c r="I37" s="3200" t="s">
        <v>198</v>
      </c>
      <c r="J37" s="3447">
        <v>360</v>
      </c>
      <c r="K37" s="3440" t="str">
        <f>IF(J37&lt;=0,"",IF(J37&lt;=2,"Muy Baja",IF(J37&lt;=24,"Baja",IF(J37&lt;=500,"Media",IF(J37&lt;=5000,"Alta","Muy Alta")))))</f>
        <v>Media</v>
      </c>
      <c r="L37" s="3183">
        <f>IF(K37="","",IF(K37="Muy Baja",0.2,IF(K37="Baja",0.4,IF(K37="Media",0.6,IF(K37="Alta",0.8,IF(K37="Muy Alta",1,))))))</f>
        <v>0.6</v>
      </c>
      <c r="M37" s="3449" t="s">
        <v>199</v>
      </c>
      <c r="N37" s="3183" t="str">
        <f>IF(NOT(ISERROR(MATCH(M37,'[61]Tabla Impacto'!$B$221:$B$223,0))),'[61]Tabla Impacto'!$F$223&amp;"Por favor no seleccionar los criterios de impacto(Afectación Económica o presupuestal y Pérdida Reputacional)",M37)</f>
        <v xml:space="preserve">     El riesgo afecta la imagen de de la entidad con efecto publicitario sostenido a nivel de sector administrativo, nivel departamental o municipal</v>
      </c>
      <c r="O37" s="3440" t="str">
        <f>IF(OR(N37='[61]Tabla Impacto'!$C$11,N37='[61]Tabla Impacto'!$D$11),"Leve",IF(OR(N37='[61]Tabla Impacto'!$C$12,N37='[61]Tabla Impacto'!$D$12),"Menor",IF(OR(N37='[61]Tabla Impacto'!$C$13,N37='[61]Tabla Impacto'!$D$13),"Moderado",IF(OR(N37='[61]Tabla Impacto'!$C$14,N37='[61]Tabla Impacto'!$D$14),"Mayor",IF(OR(N37='[61]Tabla Impacto'!$C$15,N37='[61]Tabla Impacto'!$D$15),"Catastrófico","")))))</f>
        <v>Mayor</v>
      </c>
      <c r="P37" s="3183">
        <f>IF(O37="","",IF(O37="Leve",0.2,IF(O37="Menor",0.4,IF(O37="Moderado",0.6,IF(O37="Mayor",0.8,IF(O37="Catastrófico",1,))))))</f>
        <v>0.8</v>
      </c>
      <c r="Q37" s="3442" t="str">
        <f>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Alto</v>
      </c>
      <c r="R37" s="1049">
        <v>1</v>
      </c>
      <c r="S37" s="717" t="s">
        <v>1071</v>
      </c>
      <c r="T37" s="1050" t="str">
        <f>IF(OR(U37="Preventivo",U37="Detectivo"),"Probabilidad",IF(U37="Correctivo","Impacto",""))</f>
        <v>Probabilidad</v>
      </c>
      <c r="U37" s="1051" t="s">
        <v>200</v>
      </c>
      <c r="V37" s="1051" t="s">
        <v>201</v>
      </c>
      <c r="W37" s="1052" t="str">
        <f>IF(AND(U37="Preventivo",V37="Automático"),"50%",IF(AND(U37="Preventivo",V37="Manual"),"40%",IF(AND(U37="Detectivo",V37="Automático"),"40%",IF(AND(U37="Detectivo",V37="Manual"),"30%",IF(AND(U37="Correctivo",V37="Automático"),"35%",IF(AND(U37="Correctivo",V37="Manual"),"25%",""))))))</f>
        <v>30%</v>
      </c>
      <c r="X37" s="1051" t="s">
        <v>202</v>
      </c>
      <c r="Y37" s="1051" t="s">
        <v>203</v>
      </c>
      <c r="Z37" s="1051" t="s">
        <v>204</v>
      </c>
      <c r="AA37" s="1053">
        <f>IFERROR(IF(T37="Probabilidad",(L37-(+L37*W37)),IF(T37="Impacto",L37,"")),"")</f>
        <v>0.42</v>
      </c>
      <c r="AB37" s="1054" t="str">
        <f>IFERROR(IF(AA37="","",IF(AA37&lt;=0.2,"Muy Baja",IF(AA37&lt;=0.4,"Baja",IF(AA37&lt;=0.6,"Media",IF(AA37&lt;=0.8,"Alta","Muy Alta"))))),"")</f>
        <v>Media</v>
      </c>
      <c r="AC37" s="1055">
        <f>+AA37</f>
        <v>0.42</v>
      </c>
      <c r="AD37" s="1054" t="str">
        <f>IFERROR(IF(AE37="","",IF(AE37&lt;=0.2,"Leve",IF(AE37&lt;=0.4,"Menor",IF(AE37&lt;=0.6,"Moderado",IF(AE37&lt;=0.8,"Mayor","Catastrófico"))))),"")</f>
        <v>Mayor</v>
      </c>
      <c r="AE37" s="1055">
        <f>IFERROR(IF(T37="Impacto",(P37-(+P37*W37)),IF(T37="Probabilidad",P37,"")),"")</f>
        <v>0.8</v>
      </c>
      <c r="AF37" s="1056" t="str">
        <f>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Alto</v>
      </c>
      <c r="AG37" s="3444" t="s">
        <v>205</v>
      </c>
      <c r="AH37" s="2239" t="s">
        <v>984</v>
      </c>
      <c r="AI37" s="2239" t="s">
        <v>1428</v>
      </c>
      <c r="AJ37" s="3434" t="s">
        <v>986</v>
      </c>
      <c r="AK37" s="2208" t="s">
        <v>1072</v>
      </c>
      <c r="AL37" s="2239" t="s">
        <v>987</v>
      </c>
      <c r="AM37" s="3437" t="s">
        <v>295</v>
      </c>
      <c r="AN37" s="2239" t="s">
        <v>1073</v>
      </c>
      <c r="AO37" s="2239" t="s">
        <v>1429</v>
      </c>
      <c r="AP37" s="2239" t="s">
        <v>1073</v>
      </c>
      <c r="AQ37" s="2239" t="s">
        <v>1430</v>
      </c>
      <c r="AR37" s="2239" t="s">
        <v>1073</v>
      </c>
      <c r="AS37" s="2239" t="s">
        <v>1431</v>
      </c>
    </row>
    <row r="38" spans="1:45" s="523" customFormat="1" ht="82.8" x14ac:dyDescent="0.25">
      <c r="A38" s="3191"/>
      <c r="B38" s="3423"/>
      <c r="C38" s="2265"/>
      <c r="D38" s="3425"/>
      <c r="E38" s="1169" t="s">
        <v>988</v>
      </c>
      <c r="F38" s="3426"/>
      <c r="G38" s="3428"/>
      <c r="H38" s="3426"/>
      <c r="I38" s="3201"/>
      <c r="J38" s="3448"/>
      <c r="K38" s="3441"/>
      <c r="L38" s="3184"/>
      <c r="M38" s="3450"/>
      <c r="N38" s="3184">
        <f>IF(NOT(ISERROR(MATCH(M38,_xlfn.ANCHORARRAY(#REF!),0))),#REF!&amp;"Por favor no seleccionar los criterios de impacto",M38)</f>
        <v>0</v>
      </c>
      <c r="O38" s="3441"/>
      <c r="P38" s="3184"/>
      <c r="Q38" s="3443"/>
      <c r="R38" s="1049">
        <v>2</v>
      </c>
      <c r="S38" s="1112" t="s">
        <v>1432</v>
      </c>
      <c r="T38" s="1050" t="str">
        <f>IF(OR(U38="Preventivo",U38="Detectivo"),"Probabilidad",IF(U38="Correctivo","Impacto",""))</f>
        <v>Probabilidad</v>
      </c>
      <c r="U38" s="1051" t="s">
        <v>207</v>
      </c>
      <c r="V38" s="1051" t="s">
        <v>201</v>
      </c>
      <c r="W38" s="1052" t="str">
        <f t="shared" ref="W38:W41" si="12">IF(AND(U38="Preventivo",V38="Automático"),"50%",IF(AND(U38="Preventivo",V38="Manual"),"40%",IF(AND(U38="Detectivo",V38="Automático"),"40%",IF(AND(U38="Detectivo",V38="Manual"),"30%",IF(AND(U38="Correctivo",V38="Automático"),"35%",IF(AND(U38="Correctivo",V38="Manual"),"25%",""))))))</f>
        <v>40%</v>
      </c>
      <c r="X38" s="1051" t="s">
        <v>208</v>
      </c>
      <c r="Y38" s="1051" t="s">
        <v>203</v>
      </c>
      <c r="Z38" s="1051" t="s">
        <v>204</v>
      </c>
      <c r="AA38" s="1053">
        <f>IFERROR(IF(AND(T37="Probabilidad",T38="Probabilidad"),(AC37-(+AC37*W38)),IF(AND(T37="Impacto",T38="Probabilidad"),(L37-(+L37*W38)),IF(T38="Impacto",AC37,""))),"")</f>
        <v>0.252</v>
      </c>
      <c r="AB38" s="1054" t="str">
        <f t="shared" ref="AB38:AB41" si="13">IFERROR(IF(AA38="","",IF(AA38&lt;=0.2,"Muy Baja",IF(AA38&lt;=0.4,"Baja",IF(AA38&lt;=0.6,"Media",IF(AA38&lt;=0.8,"Alta","Muy Alta"))))),"")</f>
        <v>Baja</v>
      </c>
      <c r="AC38" s="1055">
        <f>+AA38</f>
        <v>0.252</v>
      </c>
      <c r="AD38" s="1054" t="str">
        <f t="shared" ref="AD38:AD41" si="14">IFERROR(IF(AE38="","",IF(AE38&lt;=0.2,"Leve",IF(AE38&lt;=0.4,"Menor",IF(AE38&lt;=0.6,"Moderado",IF(AE38&lt;=0.8,"Mayor","Catastrófico"))))),"")</f>
        <v>Mayor</v>
      </c>
      <c r="AE38" s="1055">
        <f>IFERROR(IF(AND(T37="Impacto",T38="Impacto"),(AE37-(+AE37*W38)),IF(AND(T37="Probabilidad",T38="Impacto"),(P37-(+P37*W38)),IF(T38="Probabilidad",AE37,""))),"")</f>
        <v>0.8</v>
      </c>
      <c r="AF38" s="1056" t="str">
        <f t="shared" ref="AF38:AF41" si="15">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Alto</v>
      </c>
      <c r="AG38" s="3445"/>
      <c r="AH38" s="2240"/>
      <c r="AI38" s="2240"/>
      <c r="AJ38" s="3435"/>
      <c r="AK38" s="2209"/>
      <c r="AL38" s="2240"/>
      <c r="AM38" s="3438"/>
      <c r="AN38" s="2240"/>
      <c r="AO38" s="2240"/>
      <c r="AP38" s="2240"/>
      <c r="AQ38" s="2240"/>
      <c r="AR38" s="2240"/>
      <c r="AS38" s="2240"/>
    </row>
    <row r="39" spans="1:45" s="523" customFormat="1" ht="96.6" x14ac:dyDescent="0.25">
      <c r="A39" s="3191"/>
      <c r="B39" s="3423"/>
      <c r="C39" s="2265"/>
      <c r="D39" s="3425"/>
      <c r="E39" s="1169" t="s">
        <v>990</v>
      </c>
      <c r="F39" s="3426"/>
      <c r="G39" s="3428"/>
      <c r="H39" s="3426"/>
      <c r="I39" s="3201"/>
      <c r="J39" s="3448"/>
      <c r="K39" s="3441"/>
      <c r="L39" s="3184"/>
      <c r="M39" s="3450"/>
      <c r="N39" s="3184">
        <f>IF(NOT(ISERROR(MATCH(M39,_xlfn.ANCHORARRAY(#REF!),0))),#REF!&amp;"Por favor no seleccionar los criterios de impacto",M39)</f>
        <v>0</v>
      </c>
      <c r="O39" s="3441"/>
      <c r="P39" s="3184"/>
      <c r="Q39" s="3443"/>
      <c r="R39" s="1049">
        <v>3</v>
      </c>
      <c r="S39" s="1170" t="s">
        <v>1433</v>
      </c>
      <c r="T39" s="1050" t="str">
        <f t="shared" ref="T39:T41" si="16">IF(OR(U39="Preventivo",U39="Detectivo"),"Probabilidad",IF(U39="Correctivo","Impacto",""))</f>
        <v>Probabilidad</v>
      </c>
      <c r="U39" s="1051" t="s">
        <v>207</v>
      </c>
      <c r="V39" s="1051" t="s">
        <v>201</v>
      </c>
      <c r="W39" s="1052" t="str">
        <f t="shared" si="12"/>
        <v>40%</v>
      </c>
      <c r="X39" s="1051" t="s">
        <v>208</v>
      </c>
      <c r="Y39" s="1051" t="s">
        <v>203</v>
      </c>
      <c r="Z39" s="1051" t="s">
        <v>204</v>
      </c>
      <c r="AA39" s="1053">
        <f>IFERROR(IF(AND(T38="Probabilidad",T39="Probabilidad"),(AC38-(+AC38*W39)),IF(AND(T38="Impacto",T39="Probabilidad"),(AC37-(+AC37*W39)),IF(T39="Impacto",AC38,""))),"")</f>
        <v>0.1512</v>
      </c>
      <c r="AB39" s="1054" t="str">
        <f t="shared" si="13"/>
        <v>Muy Baja</v>
      </c>
      <c r="AC39" s="1055">
        <f t="shared" ref="AC39:AC45" si="17">+AA39</f>
        <v>0.1512</v>
      </c>
      <c r="AD39" s="1054" t="str">
        <f t="shared" si="14"/>
        <v>Mayor</v>
      </c>
      <c r="AE39" s="1055">
        <f t="shared" ref="AE39" si="18">IFERROR(IF(AND(T38="Impacto",T39="Impacto"),(AE38-(+AE38*W39)),IF(AND(T38="Probabilidad",T39="Impacto"),(AE37-(+AE37*W39)),IF(T39="Probabilidad",AE38,""))),"")</f>
        <v>0.8</v>
      </c>
      <c r="AF39" s="1056" t="str">
        <f t="shared" si="15"/>
        <v>Alto</v>
      </c>
      <c r="AG39" s="3445"/>
      <c r="AH39" s="2240"/>
      <c r="AI39" s="2240"/>
      <c r="AJ39" s="3435"/>
      <c r="AK39" s="2209"/>
      <c r="AL39" s="2240"/>
      <c r="AM39" s="3438"/>
      <c r="AN39" s="2240"/>
      <c r="AO39" s="2240"/>
      <c r="AP39" s="2240"/>
      <c r="AQ39" s="2240"/>
      <c r="AR39" s="2240"/>
      <c r="AS39" s="2240"/>
    </row>
    <row r="40" spans="1:45" s="523" customFormat="1" ht="58.8" x14ac:dyDescent="0.25">
      <c r="A40" s="3191"/>
      <c r="B40" s="3423"/>
      <c r="C40" s="2265"/>
      <c r="D40" s="3425"/>
      <c r="E40" s="1076" t="s">
        <v>1434</v>
      </c>
      <c r="F40" s="3426"/>
      <c r="G40" s="3428"/>
      <c r="H40" s="3426"/>
      <c r="I40" s="3201"/>
      <c r="J40" s="3448"/>
      <c r="K40" s="3441"/>
      <c r="L40" s="3184"/>
      <c r="M40" s="3450"/>
      <c r="N40" s="3184">
        <f>IF(NOT(ISERROR(MATCH(M40,_xlfn.ANCHORARRAY(#REF!),0))),#REF!&amp;"Por favor no seleccionar los criterios de impacto",M40)</f>
        <v>0</v>
      </c>
      <c r="O40" s="3441"/>
      <c r="P40" s="3184"/>
      <c r="Q40" s="3443"/>
      <c r="R40" s="1049">
        <v>4</v>
      </c>
      <c r="S40" s="717" t="s">
        <v>1435</v>
      </c>
      <c r="T40" s="1050" t="str">
        <f t="shared" si="16"/>
        <v>Probabilidad</v>
      </c>
      <c r="U40" s="1051" t="s">
        <v>207</v>
      </c>
      <c r="V40" s="1051" t="s">
        <v>201</v>
      </c>
      <c r="W40" s="1052" t="str">
        <f t="shared" si="12"/>
        <v>40%</v>
      </c>
      <c r="X40" s="1051" t="s">
        <v>208</v>
      </c>
      <c r="Y40" s="1051" t="s">
        <v>203</v>
      </c>
      <c r="Z40" s="1051" t="s">
        <v>204</v>
      </c>
      <c r="AA40" s="1053">
        <f>IFERROR(IF(AND(T39="Probabilidad",T40="Probabilidad"),(AC39-(+AC39*W40)),IF(AND(T39="Impacto",T40="Probabilidad"),(AC38-(+AC38*W40)),IF(T40="Impacto",AC39,""))),"")</f>
        <v>9.0719999999999995E-2</v>
      </c>
      <c r="AB40" s="1054" t="str">
        <f t="shared" si="13"/>
        <v>Muy Baja</v>
      </c>
      <c r="AC40" s="1055">
        <f t="shared" si="17"/>
        <v>9.0719999999999995E-2</v>
      </c>
      <c r="AD40" s="1054" t="str">
        <f t="shared" si="14"/>
        <v>Mayor</v>
      </c>
      <c r="AE40" s="1055">
        <f>IFERROR(IF(AND(T39="Impacto",T40="Impacto"),(AE39-(+AE39*W40)),IF(AND(T39="Probabilidad",T40="Impacto"),(AE38-(+AE38*W40)),IF(T40="Probabilidad",AE39,""))),"")</f>
        <v>0.8</v>
      </c>
      <c r="AF40" s="1056" t="str">
        <f t="shared" si="15"/>
        <v>Alto</v>
      </c>
      <c r="AG40" s="3445"/>
      <c r="AH40" s="2240"/>
      <c r="AI40" s="2240"/>
      <c r="AJ40" s="3435"/>
      <c r="AK40" s="2209"/>
      <c r="AL40" s="2240"/>
      <c r="AM40" s="3438"/>
      <c r="AN40" s="2240"/>
      <c r="AO40" s="2240"/>
      <c r="AP40" s="2240"/>
      <c r="AQ40" s="2240"/>
      <c r="AR40" s="2240"/>
      <c r="AS40" s="2240"/>
    </row>
    <row r="41" spans="1:45" s="523" customFormat="1" ht="58.8" x14ac:dyDescent="0.25">
      <c r="A41" s="3191"/>
      <c r="B41" s="3423"/>
      <c r="C41" s="2265"/>
      <c r="D41" s="3425"/>
      <c r="E41" s="1169" t="s">
        <v>994</v>
      </c>
      <c r="F41" s="3426"/>
      <c r="G41" s="3429"/>
      <c r="H41" s="3426"/>
      <c r="I41" s="3201"/>
      <c r="J41" s="3448"/>
      <c r="K41" s="3441"/>
      <c r="L41" s="3184"/>
      <c r="M41" s="3450"/>
      <c r="N41" s="3184">
        <f>IF(NOT(ISERROR(MATCH(M41,_xlfn.ANCHORARRAY(#REF!),0))),#REF!&amp;"Por favor no seleccionar los criterios de impacto",M41)</f>
        <v>0</v>
      </c>
      <c r="O41" s="3441"/>
      <c r="P41" s="3184"/>
      <c r="Q41" s="3443"/>
      <c r="R41" s="1049">
        <v>5</v>
      </c>
      <c r="S41" s="717" t="s">
        <v>1436</v>
      </c>
      <c r="T41" s="1050" t="str">
        <f t="shared" si="16"/>
        <v>Probabilidad</v>
      </c>
      <c r="U41" s="1051" t="s">
        <v>200</v>
      </c>
      <c r="V41" s="1051" t="s">
        <v>201</v>
      </c>
      <c r="W41" s="1052" t="str">
        <f t="shared" si="12"/>
        <v>30%</v>
      </c>
      <c r="X41" s="1051" t="s">
        <v>208</v>
      </c>
      <c r="Y41" s="1051" t="s">
        <v>203</v>
      </c>
      <c r="Z41" s="1051" t="s">
        <v>204</v>
      </c>
      <c r="AA41" s="1053">
        <f>IFERROR(IF(AND(T40="Probabilidad",T41="Probabilidad"),(AC40-(+AC40*W41)),IF(AND(T40="Impacto",T41="Probabilidad"),(AC39-(+AC39*W41)),IF(T41="Impacto",AC40,""))),"")</f>
        <v>6.3504000000000005E-2</v>
      </c>
      <c r="AB41" s="1054" t="str">
        <f t="shared" si="13"/>
        <v>Muy Baja</v>
      </c>
      <c r="AC41" s="1055">
        <f t="shared" si="17"/>
        <v>6.3504000000000005E-2</v>
      </c>
      <c r="AD41" s="1054" t="str">
        <f t="shared" si="14"/>
        <v>Mayor</v>
      </c>
      <c r="AE41" s="1055">
        <f>IFERROR(IF(AND(T40="Impacto",T41="Impacto"),(AE40-(+AE40*W41)),IF(AND(T40="Probabilidad",T41="Impacto"),(AE39-(+AE39*W41)),IF(T41="Probabilidad",AE40,""))),"")</f>
        <v>0.8</v>
      </c>
      <c r="AF41" s="1056" t="str">
        <f t="shared" si="15"/>
        <v>Alto</v>
      </c>
      <c r="AG41" s="3446"/>
      <c r="AH41" s="2241"/>
      <c r="AI41" s="2241"/>
      <c r="AJ41" s="3436"/>
      <c r="AK41" s="2210"/>
      <c r="AL41" s="2241"/>
      <c r="AM41" s="3439"/>
      <c r="AN41" s="2241"/>
      <c r="AO41" s="2241"/>
      <c r="AP41" s="2241"/>
      <c r="AQ41" s="2241"/>
      <c r="AR41" s="2241"/>
      <c r="AS41" s="2241"/>
    </row>
    <row r="42" spans="1:45" s="523" customFormat="1" ht="82.8" x14ac:dyDescent="0.25">
      <c r="A42" s="3190">
        <v>2</v>
      </c>
      <c r="B42" s="2239" t="s">
        <v>209</v>
      </c>
      <c r="C42" s="2264" t="s">
        <v>996</v>
      </c>
      <c r="D42" s="3424" t="s">
        <v>997</v>
      </c>
      <c r="E42" s="1169" t="s">
        <v>998</v>
      </c>
      <c r="F42" s="3426" t="s">
        <v>1437</v>
      </c>
      <c r="G42" s="3427" t="s">
        <v>1236</v>
      </c>
      <c r="H42" s="3427" t="s">
        <v>1000</v>
      </c>
      <c r="I42" s="3200" t="s">
        <v>198</v>
      </c>
      <c r="J42" s="3447">
        <v>360</v>
      </c>
      <c r="K42" s="3440" t="str">
        <f>IF(J42&lt;=0,"",IF(J42&lt;=2,"Muy Baja",IF(J42&lt;=24,"Baja",IF(J42&lt;=500,"Media",IF(J42&lt;=5000,"Alta","Muy Alta")))))</f>
        <v>Media</v>
      </c>
      <c r="L42" s="3183">
        <f>IF(K42="","",IF(K42="Muy Baja",0.2,IF(K42="Baja",0.4,IF(K42="Media",0.6,IF(K42="Alta",0.8,IF(K42="Muy Alta",1,))))))</f>
        <v>0.6</v>
      </c>
      <c r="M42" s="3449" t="s">
        <v>199</v>
      </c>
      <c r="N42" s="3183" t="str">
        <f>IF(NOT(ISERROR(MATCH(M42,'[61]Tabla Impacto'!$B$221:$B$223,0))),'[61]Tabla Impacto'!$F$223&amp;"Por favor no seleccionar los criterios de impacto(Afectación Económica o presupuestal y Pérdida Reputacional)",M42)</f>
        <v xml:space="preserve">     El riesgo afecta la imagen de de la entidad con efecto publicitario sostenido a nivel de sector administrativo, nivel departamental o municipal</v>
      </c>
      <c r="O42" s="3440" t="str">
        <f>IF(OR(N42='[61]Tabla Impacto'!$C$11,N42='[61]Tabla Impacto'!$D$11),"Leve",IF(OR(N42='[61]Tabla Impacto'!$C$12,N42='[61]Tabla Impacto'!$D$12),"Menor",IF(OR(N42='[61]Tabla Impacto'!$C$13,N42='[61]Tabla Impacto'!$D$13),"Moderado",IF(OR(N42='[61]Tabla Impacto'!$C$14,N42='[61]Tabla Impacto'!$D$14),"Mayor",IF(OR(N42='[61]Tabla Impacto'!$C$15,N42='[61]Tabla Impacto'!$D$15),"Catastrófico","")))))</f>
        <v>Mayor</v>
      </c>
      <c r="P42" s="3183">
        <f>IF(O42="","",IF(O42="Leve",0.2,IF(O42="Menor",0.4,IF(O42="Moderado",0.6,IF(O42="Mayor",0.8,IF(O42="Catastrófico",1,))))))</f>
        <v>0.8</v>
      </c>
      <c r="Q42" s="3442" t="str">
        <f>IF(OR(AND(K42="Muy Baja",O42="Leve"),AND(K42="Muy Baja",O42="Menor"),AND(K42="Baja",O42="Leve")),"Bajo",IF(OR(AND(K42="Muy baja",O42="Moderado"),AND(K42="Baja",O42="Menor"),AND(K42="Baja",O42="Moderado"),AND(K42="Media",O42="Leve"),AND(K42="Media",O42="Menor"),AND(K42="Media",O42="Moderado"),AND(K42="Alta",O42="Leve"),AND(K42="Alta",O42="Menor")),"Moderado",IF(OR(AND(K42="Muy Baja",O42="Mayor"),AND(K42="Baja",O42="Mayor"),AND(K42="Media",O42="Mayor"),AND(K42="Alta",O42="Moderado"),AND(K42="Alta",O42="Mayor"),AND(K42="Muy Alta",O42="Leve"),AND(K42="Muy Alta",O42="Menor"),AND(K42="Muy Alta",O42="Moderado"),AND(K42="Muy Alta",O42="Mayor")),"Alto",IF(OR(AND(K42="Muy Baja",O42="Catastrófico"),AND(K42="Baja",O42="Catastrófico"),AND(K42="Media",O42="Catastrófico"),AND(K42="Alta",O42="Catastrófico"),AND(K42="Muy Alta",O42="Catastrófico")),"Extremo",""))))</f>
        <v>Alto</v>
      </c>
      <c r="R42" s="1171">
        <v>1</v>
      </c>
      <c r="S42" s="1172" t="s">
        <v>1438</v>
      </c>
      <c r="T42" s="1050" t="str">
        <f>IF(OR(U42="Preventivo",U42="Detectivo"),"Probabilidad",IF(U42="Correctivo","Impacto",""))</f>
        <v>Probabilidad</v>
      </c>
      <c r="U42" s="1051" t="s">
        <v>207</v>
      </c>
      <c r="V42" s="1051" t="s">
        <v>201</v>
      </c>
      <c r="W42" s="1052" t="str">
        <f>IF(AND(U42="Preventivo",V42="Automático"),"50%",IF(AND(U42="Preventivo",V42="Manual"),"40%",IF(AND(U42="Detectivo",V42="Automático"),"40%",IF(AND(U42="Detectivo",V42="Manual"),"30%",IF(AND(U42="Correctivo",V42="Automático"),"35%",IF(AND(U42="Correctivo",V42="Manual"),"25%",""))))))</f>
        <v>40%</v>
      </c>
      <c r="X42" s="1051" t="s">
        <v>202</v>
      </c>
      <c r="Y42" s="1051" t="s">
        <v>203</v>
      </c>
      <c r="Z42" s="1051" t="s">
        <v>204</v>
      </c>
      <c r="AA42" s="1173">
        <f>IFERROR(IF(T42="Probabilidad",(L42-(+L42*W42)),IF(T42="Impacto",L42,"")),"")</f>
        <v>0.36</v>
      </c>
      <c r="AB42" s="1174" t="str">
        <f>IFERROR(IF(AA42="","",IF(AA42&lt;=0.2,"Muy Baja",IF(AA42&lt;=0.4,"Baja",IF(AA42&lt;=0.6,"Media",IF(AA42&lt;=0.8,"Alta","Muy Alta"))))),"")</f>
        <v>Baja</v>
      </c>
      <c r="AC42" s="1175">
        <f t="shared" si="17"/>
        <v>0.36</v>
      </c>
      <c r="AD42" s="1174" t="str">
        <f>IFERROR(IF(AE42="","",IF(AE42&lt;=0.2,"Leve",IF(AE42&lt;=0.4,"Menor",IF(AE42&lt;=0.6,"Moderado",IF(AE42&lt;=0.8,"Mayor","Catastrófico"))))),"")</f>
        <v>Mayor</v>
      </c>
      <c r="AE42" s="1175">
        <f>IFERROR(IF(T42="Impacto",(P42-(+P42*W42)),IF(T42="Probabilidad",P42,"")),"")</f>
        <v>0.8</v>
      </c>
      <c r="AF42" s="1176" t="str">
        <f>IFERROR(IF(OR(AND(AB42="Muy Baja",AD42="Leve"),AND(AB42="Muy Baja",AD42="Menor"),AND(AB42="Baja",AD42="Leve")),"Bajo",IF(OR(AND(AB42="Muy baja",AD42="Moderado"),AND(AB42="Baja",AD42="Menor"),AND(AB42="Baja",AD42="Moderado"),AND(AB42="Media",AD42="Leve"),AND(AB42="Media",AD42="Menor"),AND(AB42="Media",AD42="Moderado"),AND(AB42="Alta",AD42="Leve"),AND(AB42="Alta",AD42="Menor")),"Moderado",IF(OR(AND(AB42="Muy Baja",AD42="Mayor"),AND(AB42="Baja",AD42="Mayor"),AND(AB42="Media",AD42="Mayor"),AND(AB42="Alta",AD42="Moderado"),AND(AB42="Alta",AD42="Mayor"),AND(AB42="Muy Alta",AD42="Leve"),AND(AB42="Muy Alta",AD42="Menor"),AND(AB42="Muy Alta",AD42="Moderado"),AND(AB42="Muy Alta",AD42="Mayor")),"Alto",IF(OR(AND(AB42="Muy Baja",AD42="Catastrófico"),AND(AB42="Baja",AD42="Catastrófico"),AND(AB42="Media",AD42="Catastrófico"),AND(AB42="Alta",AD42="Catastrófico"),AND(AB42="Muy Alta",AD42="Catastrófico")),"Extremo","")))),"")</f>
        <v>Alto</v>
      </c>
      <c r="AG42" s="3444" t="s">
        <v>205</v>
      </c>
      <c r="AH42" s="2239" t="s">
        <v>1002</v>
      </c>
      <c r="AI42" s="2239" t="s">
        <v>1003</v>
      </c>
      <c r="AJ42" s="3434" t="s">
        <v>1004</v>
      </c>
      <c r="AK42" s="2208" t="s">
        <v>1013</v>
      </c>
      <c r="AL42" s="2239" t="s">
        <v>1005</v>
      </c>
      <c r="AM42" s="3437" t="s">
        <v>295</v>
      </c>
      <c r="AN42" s="3453" t="s">
        <v>1077</v>
      </c>
      <c r="AO42" s="3453" t="s">
        <v>1078</v>
      </c>
      <c r="AP42" s="3453" t="s">
        <v>1079</v>
      </c>
      <c r="AQ42" s="3456" t="s">
        <v>1080</v>
      </c>
      <c r="AR42" s="3456" t="s">
        <v>1080</v>
      </c>
      <c r="AS42" s="3456" t="s">
        <v>1439</v>
      </c>
    </row>
    <row r="43" spans="1:45" s="523" customFormat="1" ht="82.8" x14ac:dyDescent="0.25">
      <c r="A43" s="3191"/>
      <c r="B43" s="2240"/>
      <c r="C43" s="2265"/>
      <c r="D43" s="3425"/>
      <c r="E43" s="1169" t="s">
        <v>1006</v>
      </c>
      <c r="F43" s="3426"/>
      <c r="G43" s="3428"/>
      <c r="H43" s="3428"/>
      <c r="I43" s="3201"/>
      <c r="J43" s="3448"/>
      <c r="K43" s="3441"/>
      <c r="L43" s="3184"/>
      <c r="M43" s="3450"/>
      <c r="N43" s="3184">
        <f>IF(NOT(ISERROR(MATCH(M43,_xlfn.ANCHORARRAY(F42),0))),#REF!&amp;"Por favor no seleccionar los criterios de impacto",M43)</f>
        <v>0</v>
      </c>
      <c r="O43" s="3441"/>
      <c r="P43" s="3184"/>
      <c r="Q43" s="3443"/>
      <c r="R43" s="1171">
        <v>2</v>
      </c>
      <c r="S43" s="1172" t="s">
        <v>1007</v>
      </c>
      <c r="T43" s="1050" t="str">
        <f>IF(OR(U43="Preventivo",U43="Detectivo"),"Probabilidad",IF(U43="Correctivo","Impacto",""))</f>
        <v>Probabilidad</v>
      </c>
      <c r="U43" s="1051" t="s">
        <v>207</v>
      </c>
      <c r="V43" s="1051" t="s">
        <v>201</v>
      </c>
      <c r="W43" s="1052" t="str">
        <f t="shared" ref="W43:W45" si="19">IF(AND(U43="Preventivo",V43="Automático"),"50%",IF(AND(U43="Preventivo",V43="Manual"),"40%",IF(AND(U43="Detectivo",V43="Automático"),"40%",IF(AND(U43="Detectivo",V43="Manual"),"30%",IF(AND(U43="Correctivo",V43="Automático"),"35%",IF(AND(U43="Correctivo",V43="Manual"),"25%",""))))))</f>
        <v>40%</v>
      </c>
      <c r="X43" s="1051" t="s">
        <v>202</v>
      </c>
      <c r="Y43" s="1051" t="s">
        <v>210</v>
      </c>
      <c r="Z43" s="1051" t="s">
        <v>204</v>
      </c>
      <c r="AA43" s="1173">
        <f>IFERROR(IF(AND(T42="Probabilidad",T43="Probabilidad"),(AC42-(+AC42*W43)),IF(AND(T42="Impacto",T43="Probabilidad"),(L42-(+L42*W43)),IF(T43="Impacto",AC42,""))),"")</f>
        <v>0.216</v>
      </c>
      <c r="AB43" s="1174" t="str">
        <f t="shared" ref="AB43:AB45" si="20">IFERROR(IF(AA43="","",IF(AA43&lt;=0.2,"Muy Baja",IF(AA43&lt;=0.4,"Baja",IF(AA43&lt;=0.6,"Media",IF(AA43&lt;=0.8,"Alta","Muy Alta"))))),"")</f>
        <v>Baja</v>
      </c>
      <c r="AC43" s="1175">
        <f t="shared" si="17"/>
        <v>0.216</v>
      </c>
      <c r="AD43" s="1174" t="str">
        <f t="shared" ref="AD43:AD45" si="21">IFERROR(IF(AE43="","",IF(AE43&lt;=0.2,"Leve",IF(AE43&lt;=0.4,"Menor",IF(AE43&lt;=0.6,"Moderado",IF(AE43&lt;=0.8,"Mayor","Catastrófico"))))),"")</f>
        <v>Mayor</v>
      </c>
      <c r="AE43" s="1175">
        <f>IFERROR(IF(AND(T42="Impacto",T43="Impacto"),(AE42-(+AE42*W43)),IF(AND(T42="Probabilidad",T43="Impacto"),(P42-(+P42*W43)),IF(T43="Probabilidad",AE42,""))),"")</f>
        <v>0.8</v>
      </c>
      <c r="AF43" s="1176" t="str">
        <f t="shared" ref="AF43:AF45" si="22">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Alto</v>
      </c>
      <c r="AG43" s="3445"/>
      <c r="AH43" s="2240"/>
      <c r="AI43" s="2240"/>
      <c r="AJ43" s="3435"/>
      <c r="AK43" s="2209"/>
      <c r="AL43" s="2240"/>
      <c r="AM43" s="3438"/>
      <c r="AN43" s="3454"/>
      <c r="AO43" s="3454"/>
      <c r="AP43" s="3454"/>
      <c r="AQ43" s="3457"/>
      <c r="AR43" s="3457"/>
      <c r="AS43" s="3457"/>
    </row>
    <row r="44" spans="1:45" s="523" customFormat="1" ht="110.4" x14ac:dyDescent="0.25">
      <c r="A44" s="3191"/>
      <c r="B44" s="2240"/>
      <c r="C44" s="2265"/>
      <c r="D44" s="3425"/>
      <c r="E44" s="1169" t="s">
        <v>1008</v>
      </c>
      <c r="F44" s="3426"/>
      <c r="G44" s="3428"/>
      <c r="H44" s="3428"/>
      <c r="I44" s="3201"/>
      <c r="J44" s="3448"/>
      <c r="K44" s="3441"/>
      <c r="L44" s="3184"/>
      <c r="M44" s="3450"/>
      <c r="N44" s="3184"/>
      <c r="O44" s="3441"/>
      <c r="P44" s="3184"/>
      <c r="Q44" s="3443"/>
      <c r="R44" s="1171">
        <v>3</v>
      </c>
      <c r="S44" s="1177" t="s">
        <v>1440</v>
      </c>
      <c r="T44" s="1050" t="str">
        <f t="shared" ref="T44:T45" si="23">IF(OR(U44="Preventivo",U44="Detectivo"),"Probabilidad",IF(U44="Correctivo","Impacto",""))</f>
        <v>Probabilidad</v>
      </c>
      <c r="U44" s="1051" t="s">
        <v>200</v>
      </c>
      <c r="V44" s="1051" t="s">
        <v>1010</v>
      </c>
      <c r="W44" s="1052" t="str">
        <f t="shared" si="19"/>
        <v>40%</v>
      </c>
      <c r="X44" s="1051" t="s">
        <v>208</v>
      </c>
      <c r="Y44" s="1051" t="s">
        <v>203</v>
      </c>
      <c r="Z44" s="1051" t="s">
        <v>204</v>
      </c>
      <c r="AA44" s="1173">
        <f>IFERROR(IF(AND(T43="Probabilidad",T44="Probabilidad"),(AC43-(+AC43*W44)),IF(AND(T43="Impacto",T44="Probabilidad"),(L43-(+L43*W44)),IF(T44="Impacto",AC43,""))),"")</f>
        <v>0.12959999999999999</v>
      </c>
      <c r="AB44" s="1174" t="str">
        <f t="shared" si="20"/>
        <v>Muy Baja</v>
      </c>
      <c r="AC44" s="1175">
        <f t="shared" si="17"/>
        <v>0.12959999999999999</v>
      </c>
      <c r="AD44" s="1174" t="str">
        <f t="shared" si="21"/>
        <v>Mayor</v>
      </c>
      <c r="AE44" s="1175">
        <f>IFERROR(IF(AND(T43="Impacto",T44="Impacto"),(AE43-(+AE43*W44)),IF(AND(T43="Probabilidad",T44="Impacto"),(P43-(+P43*W44)),IF(T44="Probabilidad",AE43,""))),"")</f>
        <v>0.8</v>
      </c>
      <c r="AF44" s="1176" t="str">
        <f t="shared" si="22"/>
        <v>Alto</v>
      </c>
      <c r="AG44" s="3445"/>
      <c r="AH44" s="2240"/>
      <c r="AI44" s="2240"/>
      <c r="AJ44" s="3435"/>
      <c r="AK44" s="2209"/>
      <c r="AL44" s="2240"/>
      <c r="AM44" s="3438"/>
      <c r="AN44" s="3454"/>
      <c r="AO44" s="3454"/>
      <c r="AP44" s="3454"/>
      <c r="AQ44" s="3457"/>
      <c r="AR44" s="3457"/>
      <c r="AS44" s="3457"/>
    </row>
    <row r="45" spans="1:45" s="523" customFormat="1" ht="69" x14ac:dyDescent="0.25">
      <c r="A45" s="3191"/>
      <c r="B45" s="2240"/>
      <c r="C45" s="2265"/>
      <c r="D45" s="3425"/>
      <c r="E45" s="1169" t="s">
        <v>1011</v>
      </c>
      <c r="F45" s="3426"/>
      <c r="G45" s="3429"/>
      <c r="H45" s="3428"/>
      <c r="I45" s="3201"/>
      <c r="J45" s="3448"/>
      <c r="K45" s="3441"/>
      <c r="L45" s="3184"/>
      <c r="M45" s="3450"/>
      <c r="N45" s="3184"/>
      <c r="O45" s="3441"/>
      <c r="P45" s="3184"/>
      <c r="Q45" s="3443"/>
      <c r="R45" s="1171">
        <v>4</v>
      </c>
      <c r="S45" s="1177" t="s">
        <v>1012</v>
      </c>
      <c r="T45" s="1050" t="str">
        <f t="shared" si="23"/>
        <v>Probabilidad</v>
      </c>
      <c r="U45" s="1051" t="s">
        <v>207</v>
      </c>
      <c r="V45" s="1051" t="s">
        <v>201</v>
      </c>
      <c r="W45" s="1052" t="str">
        <f t="shared" si="19"/>
        <v>40%</v>
      </c>
      <c r="X45" s="1051" t="s">
        <v>202</v>
      </c>
      <c r="Y45" s="1051" t="s">
        <v>210</v>
      </c>
      <c r="Z45" s="1051" t="s">
        <v>204</v>
      </c>
      <c r="AA45" s="1173">
        <f>IFERROR(IF(AND(T44="Probabilidad",T45="Probabilidad"),(AC44-(+AC44*W45)),IF(AND(T44="Impacto",T45="Probabilidad"),(L44-(+L44*W45)),IF(T45="Impacto",AC44,""))),"")</f>
        <v>7.7759999999999996E-2</v>
      </c>
      <c r="AB45" s="1174" t="str">
        <f t="shared" si="20"/>
        <v>Muy Baja</v>
      </c>
      <c r="AC45" s="1175">
        <f t="shared" si="17"/>
        <v>7.7759999999999996E-2</v>
      </c>
      <c r="AD45" s="1174" t="str">
        <f t="shared" si="21"/>
        <v>Mayor</v>
      </c>
      <c r="AE45" s="1175">
        <f>IFERROR(IF(AND(T44="Impacto",T45="Impacto"),(AE44-(+AE44*W45)),IF(AND(T44="Probabilidad",T45="Impacto"),(P44-(+P44*W45)),IF(T45="Probabilidad",AE44,""))),"")</f>
        <v>0.8</v>
      </c>
      <c r="AF45" s="1176" t="str">
        <f t="shared" si="22"/>
        <v>Alto</v>
      </c>
      <c r="AG45" s="3445"/>
      <c r="AH45" s="2240"/>
      <c r="AI45" s="2240"/>
      <c r="AJ45" s="3436"/>
      <c r="AK45" s="2210"/>
      <c r="AL45" s="2241"/>
      <c r="AM45" s="3439"/>
      <c r="AN45" s="3455"/>
      <c r="AO45" s="3455"/>
      <c r="AP45" s="3455"/>
      <c r="AQ45" s="3458"/>
      <c r="AR45" s="3458"/>
      <c r="AS45" s="3458"/>
    </row>
    <row r="46" spans="1:45" s="523" customFormat="1" x14ac:dyDescent="0.25">
      <c r="A46" s="2970" t="s">
        <v>156</v>
      </c>
      <c r="B46" s="3371"/>
      <c r="C46" s="3371"/>
      <c r="D46" s="3371"/>
      <c r="E46" s="3371"/>
      <c r="F46" s="3371"/>
      <c r="G46" s="3371"/>
      <c r="H46" s="3371"/>
      <c r="I46" s="3371"/>
      <c r="J46" s="3371"/>
      <c r="K46" s="3371"/>
      <c r="L46" s="3371"/>
      <c r="M46" s="3371"/>
      <c r="N46" s="3371"/>
      <c r="O46" s="3371"/>
      <c r="P46" s="3371"/>
      <c r="Q46" s="3371"/>
      <c r="R46" s="3371"/>
      <c r="S46" s="3371"/>
      <c r="T46" s="3371"/>
      <c r="U46" s="3371"/>
      <c r="V46" s="3371"/>
      <c r="W46" s="3371"/>
      <c r="X46" s="3371"/>
      <c r="Y46" s="3371"/>
      <c r="Z46" s="3371"/>
      <c r="AA46" s="3371"/>
      <c r="AB46" s="3371"/>
      <c r="AC46" s="3371"/>
      <c r="AD46" s="3371"/>
      <c r="AE46" s="3371"/>
      <c r="AF46" s="3371"/>
      <c r="AG46" s="3371"/>
      <c r="AH46" s="3371"/>
      <c r="AI46" s="3371"/>
      <c r="AJ46" s="3371"/>
      <c r="AK46" s="3371"/>
      <c r="AL46" s="3371"/>
      <c r="AM46" s="3372"/>
    </row>
    <row r="47" spans="1:45" s="523" customFormat="1" x14ac:dyDescent="0.25">
      <c r="A47" s="3373"/>
      <c r="B47" s="3374"/>
      <c r="C47" s="3374"/>
      <c r="D47" s="3374"/>
      <c r="E47" s="3374"/>
      <c r="F47" s="3374"/>
      <c r="G47" s="3374"/>
      <c r="H47" s="3374"/>
      <c r="I47" s="3374"/>
      <c r="J47" s="3374"/>
      <c r="K47" s="3374"/>
      <c r="L47" s="3374"/>
      <c r="M47" s="3374"/>
      <c r="N47" s="3374"/>
      <c r="O47" s="3374"/>
      <c r="P47" s="3374"/>
      <c r="Q47" s="3374"/>
      <c r="R47" s="3374"/>
      <c r="S47" s="3374"/>
      <c r="T47" s="3374"/>
      <c r="U47" s="3374"/>
      <c r="V47" s="3374"/>
      <c r="W47" s="3374"/>
      <c r="X47" s="3374"/>
      <c r="Y47" s="3374"/>
      <c r="Z47" s="3374"/>
      <c r="AA47" s="3374"/>
      <c r="AB47" s="3374"/>
      <c r="AC47" s="3374"/>
      <c r="AD47" s="3374"/>
      <c r="AE47" s="3374"/>
      <c r="AF47" s="3374"/>
      <c r="AG47" s="3374"/>
      <c r="AH47" s="3374"/>
      <c r="AI47" s="3374"/>
      <c r="AJ47" s="3374"/>
      <c r="AK47" s="3374"/>
      <c r="AL47" s="3374"/>
      <c r="AM47" s="3375"/>
    </row>
    <row r="48" spans="1:45" s="523" customFormat="1" x14ac:dyDescent="0.25">
      <c r="A48" s="694"/>
      <c r="B48" s="695"/>
      <c r="C48" s="694"/>
      <c r="D48" s="694"/>
      <c r="E48" s="694"/>
      <c r="F48" s="311"/>
      <c r="G48" s="311"/>
      <c r="H48" s="311"/>
      <c r="I48" s="696"/>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row>
    <row r="49" spans="1:39" s="523" customFormat="1" ht="23.4" x14ac:dyDescent="0.3">
      <c r="A49" s="2340" t="s">
        <v>157</v>
      </c>
      <c r="B49" s="2324"/>
      <c r="C49" s="2341" t="s">
        <v>577</v>
      </c>
      <c r="D49" s="3334"/>
      <c r="E49" s="3334"/>
      <c r="F49" s="3334"/>
      <c r="G49" s="3334"/>
      <c r="H49" s="3334"/>
      <c r="I49" s="3334"/>
      <c r="J49" s="3334"/>
      <c r="K49" s="3334"/>
      <c r="L49" s="3334"/>
      <c r="M49" s="3334"/>
      <c r="N49" s="3334"/>
      <c r="O49" s="3334"/>
      <c r="P49" s="3334"/>
      <c r="Q49" s="3334"/>
      <c r="R49" s="3334"/>
      <c r="S49" s="3334"/>
      <c r="T49" s="3334"/>
      <c r="U49" s="3334"/>
      <c r="V49" s="3334"/>
      <c r="W49" s="3334"/>
      <c r="X49" s="3334"/>
      <c r="Y49" s="3334"/>
      <c r="Z49" s="3334"/>
      <c r="AA49" s="3334"/>
      <c r="AB49" s="3334"/>
      <c r="AC49" s="3334"/>
      <c r="AD49" s="3334"/>
      <c r="AE49" s="3334"/>
      <c r="AF49" s="3334"/>
      <c r="AG49" s="3334"/>
      <c r="AH49" s="3334"/>
      <c r="AI49" s="3334"/>
      <c r="AJ49" s="3334"/>
      <c r="AK49" s="3334"/>
      <c r="AL49" s="3334"/>
      <c r="AM49" s="3335"/>
    </row>
    <row r="50" spans="1:39" s="523" customFormat="1" ht="23.4" x14ac:dyDescent="0.3">
      <c r="A50" s="2340" t="s">
        <v>158</v>
      </c>
      <c r="B50" s="2324"/>
      <c r="C50" s="3451" t="s">
        <v>578</v>
      </c>
      <c r="D50" s="2324"/>
      <c r="E50" s="2324"/>
      <c r="F50" s="2324"/>
      <c r="G50" s="2324"/>
      <c r="H50" s="2324"/>
      <c r="I50" s="2324"/>
      <c r="J50" s="2324"/>
      <c r="K50" s="2324"/>
      <c r="L50" s="2324"/>
      <c r="M50" s="2324"/>
      <c r="N50" s="2324"/>
      <c r="O50" s="2324"/>
      <c r="P50" s="2324"/>
      <c r="Q50" s="2324"/>
      <c r="R50" s="2324"/>
      <c r="S50" s="2324"/>
      <c r="T50" s="2324"/>
      <c r="U50" s="2324"/>
      <c r="V50" s="2324"/>
      <c r="W50" s="2324"/>
      <c r="X50" s="2324"/>
      <c r="Y50" s="2324"/>
      <c r="Z50" s="2324"/>
      <c r="AA50" s="2324"/>
      <c r="AB50" s="2324"/>
      <c r="AC50" s="2324"/>
      <c r="AD50" s="2324"/>
      <c r="AE50" s="2324"/>
      <c r="AF50" s="2324"/>
      <c r="AG50" s="2324"/>
      <c r="AH50" s="2324"/>
      <c r="AI50" s="2324"/>
      <c r="AJ50" s="2324"/>
      <c r="AK50" s="2324"/>
      <c r="AL50" s="2324"/>
      <c r="AM50" s="2325"/>
    </row>
    <row r="51" spans="1:39" s="523" customFormat="1" ht="23.4" x14ac:dyDescent="0.3">
      <c r="A51" s="2340" t="s">
        <v>159</v>
      </c>
      <c r="B51" s="2324"/>
      <c r="C51" s="3452" t="s">
        <v>579</v>
      </c>
      <c r="D51" s="2338"/>
      <c r="E51" s="2338"/>
      <c r="F51" s="2338"/>
      <c r="G51" s="2338"/>
      <c r="H51" s="2338"/>
      <c r="I51" s="2338"/>
      <c r="J51" s="2338"/>
      <c r="K51" s="2338"/>
      <c r="L51" s="2338"/>
      <c r="M51" s="2338"/>
      <c r="N51" s="2338"/>
      <c r="O51" s="2338"/>
      <c r="P51" s="2338"/>
      <c r="Q51" s="2338"/>
      <c r="R51" s="2338"/>
      <c r="S51" s="2338"/>
      <c r="T51" s="2338"/>
      <c r="U51" s="2338"/>
      <c r="V51" s="2338"/>
      <c r="W51" s="2338"/>
      <c r="X51" s="2338"/>
      <c r="Y51" s="2338"/>
      <c r="Z51" s="2338"/>
      <c r="AA51" s="2338"/>
      <c r="AB51" s="2338"/>
      <c r="AC51" s="2338"/>
      <c r="AD51" s="2338"/>
      <c r="AE51" s="2338"/>
      <c r="AF51" s="2338"/>
      <c r="AG51" s="2338"/>
      <c r="AH51" s="2338"/>
      <c r="AI51" s="2338"/>
      <c r="AJ51" s="2338"/>
      <c r="AK51" s="2338"/>
      <c r="AL51" s="2338"/>
      <c r="AM51" s="2339"/>
    </row>
    <row r="52" spans="1:39" s="523" customFormat="1" ht="14.4" x14ac:dyDescent="0.3">
      <c r="A52" s="2323" t="s">
        <v>160</v>
      </c>
      <c r="B52" s="2324"/>
      <c r="C52" s="2324"/>
      <c r="D52" s="2324"/>
      <c r="E52" s="2324"/>
      <c r="F52" s="2324"/>
      <c r="G52" s="2324"/>
      <c r="H52" s="2324"/>
      <c r="I52" s="2324"/>
      <c r="J52" s="2325"/>
      <c r="K52" s="2326" t="s">
        <v>161</v>
      </c>
      <c r="L52" s="2327"/>
      <c r="M52" s="2327"/>
      <c r="N52" s="2327"/>
      <c r="O52" s="2327"/>
      <c r="P52" s="2327"/>
      <c r="Q52" s="2318"/>
      <c r="R52" s="2326" t="s">
        <v>162</v>
      </c>
      <c r="S52" s="2327"/>
      <c r="T52" s="2327"/>
      <c r="U52" s="2327"/>
      <c r="V52" s="2327"/>
      <c r="W52" s="2327"/>
      <c r="X52" s="2327"/>
      <c r="Y52" s="2327"/>
      <c r="Z52" s="2318"/>
      <c r="AA52" s="2326" t="s">
        <v>163</v>
      </c>
      <c r="AB52" s="2327"/>
      <c r="AC52" s="2327"/>
      <c r="AD52" s="2327"/>
      <c r="AE52" s="2327"/>
      <c r="AF52" s="2327"/>
      <c r="AG52" s="2318"/>
      <c r="AH52" s="2326" t="s">
        <v>164</v>
      </c>
      <c r="AI52" s="2327"/>
      <c r="AJ52" s="2327"/>
      <c r="AK52" s="2327"/>
      <c r="AL52" s="2327"/>
      <c r="AM52" s="2318"/>
    </row>
    <row r="53" spans="1:39" s="523" customFormat="1" ht="14.4" customHeight="1" x14ac:dyDescent="0.3">
      <c r="A53" s="2328" t="s">
        <v>165</v>
      </c>
      <c r="B53" s="2329" t="s">
        <v>142</v>
      </c>
      <c r="C53" s="2330" t="s">
        <v>166</v>
      </c>
      <c r="D53" s="2330" t="s">
        <v>167</v>
      </c>
      <c r="E53" s="2305" t="s">
        <v>168</v>
      </c>
      <c r="F53" s="2331" t="s">
        <v>60</v>
      </c>
      <c r="G53" s="697"/>
      <c r="H53" s="697"/>
      <c r="I53" s="2305" t="s">
        <v>169</v>
      </c>
      <c r="J53" s="2330" t="s">
        <v>170</v>
      </c>
      <c r="K53" s="2330" t="s">
        <v>171</v>
      </c>
      <c r="L53" s="2332" t="s">
        <v>172</v>
      </c>
      <c r="M53" s="2305" t="s">
        <v>173</v>
      </c>
      <c r="N53" s="2305" t="s">
        <v>174</v>
      </c>
      <c r="O53" s="2334" t="s">
        <v>175</v>
      </c>
      <c r="P53" s="2332" t="s">
        <v>172</v>
      </c>
      <c r="Q53" s="2330" t="s">
        <v>176</v>
      </c>
      <c r="R53" s="2335" t="s">
        <v>177</v>
      </c>
      <c r="S53" s="2305" t="s">
        <v>178</v>
      </c>
      <c r="T53" s="3404" t="s">
        <v>179</v>
      </c>
      <c r="U53" s="2336" t="s">
        <v>180</v>
      </c>
      <c r="V53" s="2324"/>
      <c r="W53" s="2324"/>
      <c r="X53" s="2324"/>
      <c r="Y53" s="2324"/>
      <c r="Z53" s="2325"/>
      <c r="AA53" s="2335" t="s">
        <v>181</v>
      </c>
      <c r="AB53" s="2335" t="s">
        <v>182</v>
      </c>
      <c r="AC53" s="2335" t="s">
        <v>172</v>
      </c>
      <c r="AD53" s="2335" t="s">
        <v>183</v>
      </c>
      <c r="AE53" s="2335" t="s">
        <v>172</v>
      </c>
      <c r="AF53" s="2335" t="s">
        <v>184</v>
      </c>
      <c r="AG53" s="2335" t="s">
        <v>185</v>
      </c>
      <c r="AH53" s="2305" t="s">
        <v>164</v>
      </c>
      <c r="AI53" s="2305" t="s">
        <v>143</v>
      </c>
      <c r="AJ53" s="2305" t="s">
        <v>186</v>
      </c>
      <c r="AK53" s="2305" t="s">
        <v>187</v>
      </c>
      <c r="AL53" s="2305" t="s">
        <v>188</v>
      </c>
      <c r="AM53" s="3459" t="s">
        <v>189</v>
      </c>
    </row>
    <row r="54" spans="1:39" s="523" customFormat="1" ht="72.599999999999994" customHeight="1" x14ac:dyDescent="0.25">
      <c r="A54" s="2306"/>
      <c r="B54" s="2306"/>
      <c r="C54" s="2306"/>
      <c r="D54" s="2306"/>
      <c r="E54" s="2308"/>
      <c r="F54" s="2308"/>
      <c r="G54" s="697" t="s">
        <v>511</v>
      </c>
      <c r="H54" s="697" t="s">
        <v>190</v>
      </c>
      <c r="I54" s="2306"/>
      <c r="J54" s="2306"/>
      <c r="K54" s="2306"/>
      <c r="L54" s="2333"/>
      <c r="M54" s="2306"/>
      <c r="N54" s="2306"/>
      <c r="O54" s="2333"/>
      <c r="P54" s="2333"/>
      <c r="Q54" s="2306"/>
      <c r="R54" s="2306"/>
      <c r="S54" s="2306"/>
      <c r="T54" s="3405"/>
      <c r="U54" s="698" t="s">
        <v>191</v>
      </c>
      <c r="V54" s="698" t="s">
        <v>192</v>
      </c>
      <c r="W54" s="698" t="s">
        <v>193</v>
      </c>
      <c r="X54" s="698" t="s">
        <v>194</v>
      </c>
      <c r="Y54" s="698" t="s">
        <v>195</v>
      </c>
      <c r="Z54" s="698" t="s">
        <v>196</v>
      </c>
      <c r="AA54" s="2306"/>
      <c r="AB54" s="2306"/>
      <c r="AC54" s="2306"/>
      <c r="AD54" s="2306"/>
      <c r="AE54" s="2306"/>
      <c r="AF54" s="2306"/>
      <c r="AG54" s="2306"/>
      <c r="AH54" s="2306"/>
      <c r="AI54" s="2306"/>
      <c r="AJ54" s="2306"/>
      <c r="AK54" s="2306"/>
      <c r="AL54" s="2306"/>
      <c r="AM54" s="2333"/>
    </row>
    <row r="55" spans="1:39" s="523" customFormat="1" ht="124.8" x14ac:dyDescent="0.25">
      <c r="A55" s="2307">
        <v>1</v>
      </c>
      <c r="B55" s="2315" t="s">
        <v>209</v>
      </c>
      <c r="C55" s="2315" t="s">
        <v>356</v>
      </c>
      <c r="D55" s="2315" t="s">
        <v>357</v>
      </c>
      <c r="E55" s="1178" t="s">
        <v>580</v>
      </c>
      <c r="F55" s="2315" t="s">
        <v>358</v>
      </c>
      <c r="G55" s="2315" t="s">
        <v>512</v>
      </c>
      <c r="H55" s="1179" t="s">
        <v>581</v>
      </c>
      <c r="I55" s="1180" t="s">
        <v>198</v>
      </c>
      <c r="J55" s="2319">
        <v>365</v>
      </c>
      <c r="K55" s="2320" t="str">
        <f>IF(J55&lt;=0,"",IF(J55&lt;=2,"Muy Baja",IF(J55&lt;=L1026,"Baja",IF(J55&lt;=500,"Media",IF(J55&lt;=5000,"Alta","Muy Alta")))))</f>
        <v>Media</v>
      </c>
      <c r="L55" s="2321">
        <f>IF(K55="","",IF(K55="Muy Baja",0.2,IF(K55="Baja",0.4,IF(K55="Media",0.6,IF(K55="Alta",0.8,IF(K55="Muy Alta",1,))))))</f>
        <v>0.6</v>
      </c>
      <c r="M55" s="2321" t="s">
        <v>199</v>
      </c>
      <c r="N55" s="2321" t="str">
        <f>IF(NOT(ISERROR(MATCH(M55,'[62]Tabla Impacto'!$B$221:$B$223,0))),'[62]Tabla Impacto'!$F$223&amp;"Por favor no seleccionar los criterios de impacto(Afectación Económica o presupuestal y Pérdida Reputacional)",M55)</f>
        <v xml:space="preserve">     El riesgo afecta la imagen de de la entidad con efecto publicitario sostenido a nivel de sector administrativo, nivel departamental o municipal</v>
      </c>
      <c r="O55" s="2320" t="str">
        <f>IF(OR(N55='[62]Tabla Impacto'!$C$11,N55='[62]Tabla Impacto'!$D$11),"Leve",IF(OR(N55='[62]Tabla Impacto'!$C$12,N55='[62]Tabla Impacto'!$D$12),"Menor",IF(OR(N55='[62]Tabla Impacto'!$C$13,N55='[62]Tabla Impacto'!$D$13),"Moderado",IF(OR(N55='[62]Tabla Impacto'!$C$14,N55='[62]Tabla Impacto'!$D$14),"Mayor",IF(OR(N55='[62]Tabla Impacto'!$C$15,N55='[62]Tabla Impacto'!$D$15),"Catastrófico","")))))</f>
        <v>Mayor</v>
      </c>
      <c r="P55" s="2321">
        <f>IF(O55="","",IF(O55="Leve",0.2,IF(O55="Menor",0.4,IF(O55="Moderado",0.6,IF(O55="Mayor",0.8,IF(O55="Catastrófico",1,))))))</f>
        <v>0.8</v>
      </c>
      <c r="Q55" s="2322" t="str">
        <f>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Alto</v>
      </c>
      <c r="R55" s="877">
        <v>1</v>
      </c>
      <c r="S55" s="3460" t="s">
        <v>1081</v>
      </c>
      <c r="T55" s="3462" t="str">
        <f>IF(OR(U55="Preventivo",U55="Detectivo"),"Probabilidad",IF(U55="Correctivo","Impacto",""))</f>
        <v>Probabilidad</v>
      </c>
      <c r="U55" s="2366" t="s">
        <v>207</v>
      </c>
      <c r="V55" s="2366" t="s">
        <v>201</v>
      </c>
      <c r="W55" s="2369" t="str">
        <f>IF(AND(U55="Preventivo",V55="Automático"),"50%",IF(AND(U55="Preventivo",V55="Manual"),"40%",IF(AND(U55="Detectivo",V55="Automático"),"40%",IF(AND(U55="Detectivo",V55="Manual"),"30%",IF(AND(U55="Correctivo",V55="Automático"),"35%",IF(AND(U55="Correctivo",V55="Manual"),"25%",""))))))</f>
        <v>40%</v>
      </c>
      <c r="X55" s="2366" t="s">
        <v>208</v>
      </c>
      <c r="Y55" s="2366" t="s">
        <v>203</v>
      </c>
      <c r="Z55" s="2366" t="s">
        <v>204</v>
      </c>
      <c r="AA55" s="2367">
        <f>IFERROR(IF(T55="Probabilidad",(L55-(+L55*W55)),IF(T55="Impacto",L55,"")),"")</f>
        <v>0.36</v>
      </c>
      <c r="AB55" s="2368" t="str">
        <f>IFERROR(IF(AA55="","",IF(AA55&lt;=0.2,"Muy Baja",IF(AA55&lt;=0.4,"Baja",IF(AA55&lt;=0.6,"Media",IF(AA55&lt;=0.8,"Alta","Muy Alta"))))),"")</f>
        <v>Baja</v>
      </c>
      <c r="AC55" s="2369">
        <f>+AA55</f>
        <v>0.36</v>
      </c>
      <c r="AD55" s="2368" t="str">
        <f>IFERROR(IF(AE55="","",IF(AE55&lt;=0.2,"Leve",IF(AE55&lt;=0.4,"Menor",IF(AE55&lt;=0.6,"Moderado",IF(AE55&lt;=0.8,"Mayor","Catastrófico"))))),"")</f>
        <v>Mayor</v>
      </c>
      <c r="AE55" s="2369">
        <f>IFERROR(IF(T55="Impacto",(P55-(+P55*W55)),IF(T55="Probabilidad",P55,"")),"")</f>
        <v>0.8</v>
      </c>
      <c r="AF55" s="2372" t="str">
        <f>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Alto</v>
      </c>
      <c r="AG55" s="2366" t="s">
        <v>205</v>
      </c>
      <c r="AH55" s="2309" t="s">
        <v>1082</v>
      </c>
      <c r="AI55" s="2309" t="s">
        <v>1083</v>
      </c>
      <c r="AJ55" s="3474">
        <v>45412</v>
      </c>
      <c r="AK55" s="3474">
        <v>45534</v>
      </c>
      <c r="AL55" s="2309" t="s">
        <v>1084</v>
      </c>
      <c r="AM55" s="2309" t="s">
        <v>206</v>
      </c>
    </row>
    <row r="56" spans="1:39" s="523" customFormat="1" ht="27.6" x14ac:dyDescent="0.25">
      <c r="A56" s="2308"/>
      <c r="B56" s="2308"/>
      <c r="C56" s="2308"/>
      <c r="D56" s="2308"/>
      <c r="E56" s="1181" t="s">
        <v>362</v>
      </c>
      <c r="F56" s="2306"/>
      <c r="G56" s="2308"/>
      <c r="H56" s="1179"/>
      <c r="I56" s="1182"/>
      <c r="J56" s="2308"/>
      <c r="K56" s="2308"/>
      <c r="L56" s="2308"/>
      <c r="M56" s="2308"/>
      <c r="N56" s="3463"/>
      <c r="O56" s="3381"/>
      <c r="P56" s="2308"/>
      <c r="Q56" s="3380"/>
      <c r="R56" s="877">
        <v>2</v>
      </c>
      <c r="S56" s="3461"/>
      <c r="T56" s="2306"/>
      <c r="U56" s="2306"/>
      <c r="V56" s="2306"/>
      <c r="W56" s="2306"/>
      <c r="X56" s="2306"/>
      <c r="Y56" s="2306"/>
      <c r="Z56" s="2306"/>
      <c r="AA56" s="2306"/>
      <c r="AB56" s="2306"/>
      <c r="AC56" s="2306"/>
      <c r="AD56" s="2306"/>
      <c r="AE56" s="2306"/>
      <c r="AF56" s="2306"/>
      <c r="AG56" s="2306"/>
      <c r="AH56" s="3015"/>
      <c r="AI56" s="3015"/>
      <c r="AJ56" s="3475"/>
      <c r="AK56" s="3475"/>
      <c r="AL56" s="3015"/>
      <c r="AM56" s="3015"/>
    </row>
    <row r="57" spans="1:39" s="523" customFormat="1" ht="69" x14ac:dyDescent="0.25">
      <c r="A57" s="1183">
        <v>2</v>
      </c>
      <c r="B57" s="3465" t="s">
        <v>209</v>
      </c>
      <c r="C57" s="3465" t="s">
        <v>356</v>
      </c>
      <c r="D57" s="3465" t="s">
        <v>583</v>
      </c>
      <c r="E57" s="1184" t="s">
        <v>584</v>
      </c>
      <c r="F57" s="3464" t="s">
        <v>585</v>
      </c>
      <c r="G57" s="3465" t="s">
        <v>512</v>
      </c>
      <c r="H57" s="3466" t="s">
        <v>586</v>
      </c>
      <c r="I57" s="3465" t="s">
        <v>198</v>
      </c>
      <c r="J57" s="3467">
        <v>365</v>
      </c>
      <c r="K57" s="2320" t="str">
        <f>IF(J57&lt;=0,"",IF(J57&lt;=2,"Muy Baja",IF(J57&lt;=L1028,"Baja",IF(J57&lt;=500,"Media",IF(J57&lt;=5000,"Alta","Muy Alta")))))</f>
        <v>Media</v>
      </c>
      <c r="L57" s="2321">
        <f>IF(K57="","",IF(K57="Muy Baja",0.2,IF(K57="Baja",0.4,IF(K57="Media",0.6,IF(K57="Alta",0.8,IF(K57="Muy Alta",1,))))))</f>
        <v>0.6</v>
      </c>
      <c r="M57" s="3463" t="s">
        <v>225</v>
      </c>
      <c r="N57" s="3463"/>
      <c r="O57" s="3381"/>
      <c r="P57" s="1185"/>
      <c r="Q57" s="3380"/>
      <c r="R57" s="877">
        <v>3</v>
      </c>
      <c r="S57" s="886" t="s">
        <v>587</v>
      </c>
      <c r="T57" s="2375" t="str">
        <f>IF(OR(U57="Preventivo",U57="Detectivo"),"Probabilidad",IF(U57="Correctivo","Impacto",""))</f>
        <v>Probabilidad</v>
      </c>
      <c r="U57" s="2366" t="s">
        <v>207</v>
      </c>
      <c r="V57" s="2366" t="s">
        <v>201</v>
      </c>
      <c r="W57" s="2369" t="str">
        <f>IF(AND(U57="Preventivo",V57="Automático"),"50%",IF(AND(U57="Preventivo",V57="Manual"),"40%",IF(AND(U57="Detectivo",V57="Automático"),"40%",IF(AND(U57="Detectivo",V57="Manual"),"30%",IF(AND(U57="Correctivo",V57="Automático"),"35%",IF(AND(U57="Correctivo",V57="Manual"),"25%",""))))))</f>
        <v>40%</v>
      </c>
      <c r="X57" s="2366" t="s">
        <v>202</v>
      </c>
      <c r="Y57" s="2366" t="s">
        <v>203</v>
      </c>
      <c r="Z57" s="2366" t="s">
        <v>204</v>
      </c>
      <c r="AA57" s="881" t="str">
        <f t="shared" ref="AA57:AA60" si="24">IFERROR(IF(AND(T56="Probabilidad",T57="Probabilidad"),(AC56-(+AC56*W57)),IF(AND(T56="Impacto",T57="Probabilidad"),(AC55-(+AC55*W57)),IF(T57="Impacto",AC56,""))),"")</f>
        <v/>
      </c>
      <c r="AB57" s="882" t="str">
        <f t="shared" ref="AB57:AB61" si="25">IFERROR(IF(AA57="","",IF(AA57&lt;=0.2,"Muy Baja",IF(AA57&lt;=0.4,"Baja",IF(AA57&lt;=0.6,"Media",IF(AA57&lt;=0.8,"Alta","Muy Alta"))))),"")</f>
        <v/>
      </c>
      <c r="AC57" s="871" t="str">
        <f t="shared" ref="AC57:AC61" si="26">+AA57</f>
        <v/>
      </c>
      <c r="AD57" s="882" t="str">
        <f t="shared" ref="AD57:AD61" si="27">IFERROR(IF(AE57="","",IF(AE57&lt;=0.2,"Leve",IF(AE57&lt;=0.4,"Menor",IF(AE57&lt;=0.6,"Moderado",IF(AE57&lt;=0.8,"Mayor","Catastrófico"))))),"")</f>
        <v>Leve</v>
      </c>
      <c r="AE57" s="871">
        <f t="shared" ref="AE57:AE60" si="28">IFERROR(IF(AND(T56="Impacto",T57="Impacto"),(AE56-(+AE56*W57)),IF(AND(T56="Probabilidad",T57="Impacto"),(AE55-(+AE55*W57)),IF(T57="Probabilidad",AE56,""))),"")</f>
        <v>0</v>
      </c>
      <c r="AF57" s="883" t="str">
        <f t="shared" ref="AF57:AF61" si="29">IFERROR(IF(OR(AND(AB57="Muy Baja",AD57="Leve"),AND(AB57="Muy Baja",AD57="Menor"),AND(AB57="Baja",AD57="Leve")),"Bajo",IF(OR(AND(AB57="Muy baja",AD57="Moderado"),AND(AB57="Baja",AD57="Menor"),AND(AB57="Baja",AD57="Moderado"),AND(AB57="Media",AD57="Leve"),AND(AB57="Media",AD57="Menor"),AND(AB57="Media",AD57="Moderado"),AND(AB57="Alta",AD57="Leve"),AND(AB57="Alta",AD57="Menor")),"Moderado",IF(OR(AND(AB57="Muy Baja",AD57="Mayor"),AND(AB57="Baja",AD57="Mayor"),AND(AB57="Media",AD57="Mayor"),AND(AB57="Alta",AD57="Moderado"),AND(AB57="Alta",AD57="Mayor"),AND(AB57="Muy Alta",AD57="Leve"),AND(AB57="Muy Alta",AD57="Menor"),AND(AB57="Muy Alta",AD57="Moderado"),AND(AB57="Muy Alta",AD57="Mayor")),"Alto",IF(OR(AND(AB57="Muy Baja",AD57="Catastrófico"),AND(AB57="Baja",AD57="Catastrófico"),AND(AB57="Media",AD57="Catastrófico"),AND(AB57="Alta",AD57="Catastrófico"),AND(AB57="Muy Alta",AD57="Catastrófico")),"Extremo","")))),"")</f>
        <v/>
      </c>
      <c r="AG57" s="870"/>
      <c r="AH57" s="3006" t="s">
        <v>588</v>
      </c>
      <c r="AI57" s="2362" t="s">
        <v>589</v>
      </c>
      <c r="AJ57" s="3474">
        <v>45412</v>
      </c>
      <c r="AK57" s="3474">
        <v>45534</v>
      </c>
      <c r="AL57" s="2981" t="s">
        <v>361</v>
      </c>
      <c r="AM57" s="2981" t="s">
        <v>206</v>
      </c>
    </row>
    <row r="58" spans="1:39" s="523" customFormat="1" ht="55.2" x14ac:dyDescent="0.25">
      <c r="A58" s="1183"/>
      <c r="B58" s="3465"/>
      <c r="C58" s="3465"/>
      <c r="D58" s="3465"/>
      <c r="E58" s="1184" t="s">
        <v>591</v>
      </c>
      <c r="F58" s="2306"/>
      <c r="G58" s="2308"/>
      <c r="H58" s="2306"/>
      <c r="I58" s="2308"/>
      <c r="J58" s="2308"/>
      <c r="K58" s="2308"/>
      <c r="L58" s="2308"/>
      <c r="M58" s="2308"/>
      <c r="N58" s="3463"/>
      <c r="O58" s="3381"/>
      <c r="P58" s="1185"/>
      <c r="Q58" s="3380"/>
      <c r="R58" s="877">
        <v>4</v>
      </c>
      <c r="S58" s="886" t="s">
        <v>592</v>
      </c>
      <c r="T58" s="2306"/>
      <c r="U58" s="2306"/>
      <c r="V58" s="2306"/>
      <c r="W58" s="2306"/>
      <c r="X58" s="2306"/>
      <c r="Y58" s="2306"/>
      <c r="Z58" s="2306"/>
      <c r="AA58" s="881" t="str">
        <f t="shared" si="24"/>
        <v/>
      </c>
      <c r="AB58" s="882" t="str">
        <f t="shared" si="25"/>
        <v/>
      </c>
      <c r="AC58" s="871" t="str">
        <f t="shared" si="26"/>
        <v/>
      </c>
      <c r="AD58" s="882" t="str">
        <f t="shared" si="27"/>
        <v/>
      </c>
      <c r="AE58" s="871" t="str">
        <f t="shared" si="28"/>
        <v/>
      </c>
      <c r="AF58" s="883" t="str">
        <f t="shared" si="29"/>
        <v/>
      </c>
      <c r="AG58" s="870"/>
      <c r="AH58" s="2306"/>
      <c r="AI58" s="2306"/>
      <c r="AJ58" s="3475"/>
      <c r="AK58" s="3475"/>
      <c r="AL58" s="2983"/>
      <c r="AM58" s="2983"/>
    </row>
    <row r="59" spans="1:39" s="523" customFormat="1" ht="82.8" x14ac:dyDescent="0.25">
      <c r="A59" s="1183"/>
      <c r="B59" s="3465" t="s">
        <v>209</v>
      </c>
      <c r="C59" s="3465" t="s">
        <v>593</v>
      </c>
      <c r="D59" s="3465" t="s">
        <v>594</v>
      </c>
      <c r="E59" s="1186" t="s">
        <v>1085</v>
      </c>
      <c r="F59" s="3466" t="s">
        <v>596</v>
      </c>
      <c r="G59" s="3014" t="s">
        <v>597</v>
      </c>
      <c r="H59" s="3464" t="s">
        <v>598</v>
      </c>
      <c r="I59" s="3465" t="s">
        <v>198</v>
      </c>
      <c r="J59" s="3467">
        <v>365</v>
      </c>
      <c r="K59" s="2320" t="str">
        <f>IF(J59&lt;=0,"",IF(J59&lt;=2,"Muy Baja",IF(J59&lt;=L1030,"Baja",IF(J59&lt;=500,"Media",IF(J59&lt;=5000,"Alta","Muy Alta")))))</f>
        <v>Media</v>
      </c>
      <c r="L59" s="2321">
        <f>IF(K59="","",IF(K59="Muy Baja",0.2,IF(K59="Baja",0.4,IF(K59="Media",0.6,IF(K59="Alta",0.8,IF(K59="Muy Alta",1,))))))</f>
        <v>0.6</v>
      </c>
      <c r="M59" s="3463" t="s">
        <v>599</v>
      </c>
      <c r="N59" s="3463"/>
      <c r="O59" s="3381"/>
      <c r="P59" s="1185"/>
      <c r="Q59" s="3380"/>
      <c r="R59" s="877">
        <v>5</v>
      </c>
      <c r="S59" s="886" t="s">
        <v>600</v>
      </c>
      <c r="T59" s="877" t="str">
        <f t="shared" ref="T59:T61" si="30">IF(OR(U59="Preventivo",U59="Detectivo"),"Probabilidad",IF(U59="Correctivo","Impacto",""))</f>
        <v>Probabilidad</v>
      </c>
      <c r="U59" s="879" t="s">
        <v>200</v>
      </c>
      <c r="V59" s="879" t="s">
        <v>201</v>
      </c>
      <c r="W59" s="880" t="str">
        <f t="shared" ref="W59:W61" si="31">IF(AND(U59="Preventivo",V59="Automático"),"50%",IF(AND(U59="Preventivo",V59="Manual"),"40%",IF(AND(U59="Detectivo",V59="Automático"),"40%",IF(AND(U59="Detectivo",V59="Manual"),"30%",IF(AND(U59="Correctivo",V59="Automático"),"35%",IF(AND(U59="Correctivo",V59="Manual"),"25%",""))))))</f>
        <v>30%</v>
      </c>
      <c r="X59" s="879" t="s">
        <v>208</v>
      </c>
      <c r="Y59" s="879" t="s">
        <v>203</v>
      </c>
      <c r="Z59" s="879" t="s">
        <v>204</v>
      </c>
      <c r="AA59" s="881" t="str">
        <f t="shared" si="24"/>
        <v/>
      </c>
      <c r="AB59" s="882" t="str">
        <f t="shared" si="25"/>
        <v/>
      </c>
      <c r="AC59" s="871" t="str">
        <f t="shared" si="26"/>
        <v/>
      </c>
      <c r="AD59" s="882" t="str">
        <f t="shared" si="27"/>
        <v/>
      </c>
      <c r="AE59" s="871" t="str">
        <f t="shared" si="28"/>
        <v/>
      </c>
      <c r="AF59" s="883" t="str">
        <f t="shared" si="29"/>
        <v/>
      </c>
      <c r="AG59" s="870"/>
      <c r="AH59" s="306" t="s">
        <v>601</v>
      </c>
      <c r="AI59" s="306" t="s">
        <v>602</v>
      </c>
      <c r="AJ59" s="1187" t="s">
        <v>603</v>
      </c>
      <c r="AK59" s="1187">
        <v>45534</v>
      </c>
      <c r="AL59" s="892" t="s">
        <v>361</v>
      </c>
      <c r="AM59" s="892" t="s">
        <v>206</v>
      </c>
    </row>
    <row r="60" spans="1:39" s="523" customFormat="1" ht="82.8" x14ac:dyDescent="0.25">
      <c r="A60" s="1188"/>
      <c r="B60" s="2308"/>
      <c r="C60" s="2308"/>
      <c r="D60" s="2308"/>
      <c r="E60" s="1189" t="s">
        <v>605</v>
      </c>
      <c r="F60" s="2308"/>
      <c r="G60" s="2308"/>
      <c r="H60" s="2308"/>
      <c r="I60" s="2308"/>
      <c r="J60" s="2308"/>
      <c r="K60" s="2308"/>
      <c r="L60" s="2308"/>
      <c r="M60" s="2308"/>
      <c r="N60" s="3463"/>
      <c r="O60" s="3381"/>
      <c r="P60" s="1190"/>
      <c r="Q60" s="3380"/>
      <c r="R60" s="877">
        <v>6</v>
      </c>
      <c r="S60" s="886" t="s">
        <v>606</v>
      </c>
      <c r="T60" s="877" t="str">
        <f t="shared" si="30"/>
        <v/>
      </c>
      <c r="U60" s="879"/>
      <c r="V60" s="879"/>
      <c r="W60" s="880" t="str">
        <f t="shared" si="31"/>
        <v/>
      </c>
      <c r="X60" s="879"/>
      <c r="Y60" s="879"/>
      <c r="Z60" s="879"/>
      <c r="AA60" s="881" t="str">
        <f t="shared" si="24"/>
        <v/>
      </c>
      <c r="AB60" s="882" t="str">
        <f t="shared" si="25"/>
        <v/>
      </c>
      <c r="AC60" s="871" t="str">
        <f t="shared" si="26"/>
        <v/>
      </c>
      <c r="AD60" s="882" t="str">
        <f t="shared" si="27"/>
        <v/>
      </c>
      <c r="AE60" s="871" t="str">
        <f t="shared" si="28"/>
        <v/>
      </c>
      <c r="AF60" s="883" t="str">
        <f t="shared" si="29"/>
        <v/>
      </c>
      <c r="AG60" s="870"/>
      <c r="AH60" s="306"/>
      <c r="AI60" s="877"/>
      <c r="AJ60" s="887"/>
      <c r="AK60" s="887"/>
      <c r="AL60" s="306"/>
      <c r="AM60" s="877"/>
    </row>
    <row r="61" spans="1:39" s="523" customFormat="1" ht="62.4" customHeight="1" x14ac:dyDescent="0.25">
      <c r="A61" s="1191"/>
      <c r="B61" s="2308"/>
      <c r="C61" s="2308"/>
      <c r="D61" s="2308"/>
      <c r="E61" s="1192" t="s">
        <v>607</v>
      </c>
      <c r="F61" s="2306"/>
      <c r="G61" s="2308"/>
      <c r="H61" s="2306"/>
      <c r="I61" s="2308"/>
      <c r="J61" s="2308"/>
      <c r="K61" s="2308"/>
      <c r="L61" s="2308"/>
      <c r="M61" s="2308"/>
      <c r="N61" s="3463"/>
      <c r="O61" s="3381"/>
      <c r="P61" s="1193" t="str">
        <f>IF(O59="","",IF(O59="Leve",0.2,IF(O59="Menor",0.4,IF(O59="Moderado",0.6,IF(O59="Mayor",0.8,IF(O59="Catastrófico",1,))))))</f>
        <v/>
      </c>
      <c r="Q61" s="3380"/>
      <c r="R61" s="877">
        <v>1</v>
      </c>
      <c r="S61" s="886" t="s">
        <v>608</v>
      </c>
      <c r="T61" s="877" t="str">
        <f t="shared" si="30"/>
        <v/>
      </c>
      <c r="U61" s="879"/>
      <c r="V61" s="879"/>
      <c r="W61" s="880" t="str">
        <f t="shared" si="31"/>
        <v/>
      </c>
      <c r="X61" s="879"/>
      <c r="Y61" s="879"/>
      <c r="Z61" s="879"/>
      <c r="AA61" s="881" t="str">
        <f>IFERROR(IF(T61="Probabilidad",(L61-(+L61*W61)),IF(T61="Impacto",L61,"")),"")</f>
        <v/>
      </c>
      <c r="AB61" s="882" t="str">
        <f t="shared" si="25"/>
        <v/>
      </c>
      <c r="AC61" s="871" t="str">
        <f t="shared" si="26"/>
        <v/>
      </c>
      <c r="AD61" s="882" t="str">
        <f t="shared" si="27"/>
        <v/>
      </c>
      <c r="AE61" s="871" t="str">
        <f>IFERROR(IF(T61="Impacto",(P61-(+P61*W61)),IF(T61="Probabilidad",P61,"")),"")</f>
        <v/>
      </c>
      <c r="AF61" s="883" t="str">
        <f t="shared" si="29"/>
        <v/>
      </c>
      <c r="AG61" s="870"/>
      <c r="AH61" s="306"/>
      <c r="AI61" s="877"/>
      <c r="AJ61" s="887"/>
      <c r="AK61" s="887"/>
      <c r="AL61" s="306"/>
      <c r="AM61" s="877"/>
    </row>
    <row r="62" spans="1:39" s="523" customFormat="1" x14ac:dyDescent="0.25">
      <c r="A62" s="3468" t="s">
        <v>156</v>
      </c>
      <c r="B62" s="3469"/>
      <c r="C62" s="3469"/>
      <c r="D62" s="3469"/>
      <c r="E62" s="3469"/>
      <c r="F62" s="3469"/>
      <c r="G62" s="3469"/>
      <c r="H62" s="3469"/>
      <c r="I62" s="3469"/>
      <c r="J62" s="3469"/>
      <c r="K62" s="3469"/>
      <c r="L62" s="3469"/>
      <c r="M62" s="3469"/>
      <c r="N62" s="3469"/>
      <c r="O62" s="3469"/>
      <c r="P62" s="3469"/>
      <c r="Q62" s="3469"/>
      <c r="R62" s="3469"/>
      <c r="S62" s="3469"/>
      <c r="T62" s="3469"/>
      <c r="U62" s="3469"/>
      <c r="V62" s="3469"/>
      <c r="W62" s="3469"/>
      <c r="X62" s="3469"/>
      <c r="Y62" s="3469"/>
      <c r="Z62" s="3469"/>
      <c r="AA62" s="3469"/>
      <c r="AB62" s="3469"/>
      <c r="AC62" s="3469"/>
      <c r="AD62" s="3469"/>
      <c r="AE62" s="3469"/>
      <c r="AF62" s="3469"/>
      <c r="AG62" s="3469"/>
      <c r="AH62" s="3469"/>
      <c r="AI62" s="3469"/>
      <c r="AJ62" s="3469"/>
      <c r="AK62" s="3469"/>
      <c r="AL62" s="3469"/>
      <c r="AM62" s="3470"/>
    </row>
    <row r="63" spans="1:39" s="523" customFormat="1" x14ac:dyDescent="0.25">
      <c r="A63" s="3471"/>
      <c r="B63" s="3472"/>
      <c r="C63" s="3472"/>
      <c r="D63" s="3472"/>
      <c r="E63" s="3472"/>
      <c r="F63" s="3472"/>
      <c r="G63" s="3472"/>
      <c r="H63" s="3472"/>
      <c r="I63" s="3472"/>
      <c r="J63" s="3472"/>
      <c r="K63" s="3472"/>
      <c r="L63" s="3472"/>
      <c r="M63" s="3472"/>
      <c r="N63" s="3472"/>
      <c r="O63" s="3472"/>
      <c r="P63" s="3472"/>
      <c r="Q63" s="3472"/>
      <c r="R63" s="3472"/>
      <c r="S63" s="3472"/>
      <c r="T63" s="3472"/>
      <c r="U63" s="3472"/>
      <c r="V63" s="3472"/>
      <c r="W63" s="3472"/>
      <c r="X63" s="3472"/>
      <c r="Y63" s="3472"/>
      <c r="Z63" s="3472"/>
      <c r="AA63" s="3472"/>
      <c r="AB63" s="3472"/>
      <c r="AC63" s="3472"/>
      <c r="AD63" s="3472"/>
      <c r="AE63" s="3472"/>
      <c r="AF63" s="3472"/>
      <c r="AG63" s="3472"/>
      <c r="AH63" s="3472"/>
      <c r="AI63" s="3472"/>
      <c r="AJ63" s="3472"/>
      <c r="AK63" s="3472"/>
      <c r="AL63" s="3472"/>
      <c r="AM63" s="3473"/>
    </row>
    <row r="64" spans="1:39" s="523" customFormat="1" x14ac:dyDescent="0.25">
      <c r="A64" s="703"/>
      <c r="B64" s="704"/>
      <c r="C64" s="703"/>
      <c r="D64" s="703"/>
      <c r="E64" s="703"/>
      <c r="F64" s="700"/>
      <c r="G64" s="700"/>
      <c r="H64" s="700"/>
      <c r="I64" s="705"/>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row>
    <row r="65" spans="1:39" s="523" customFormat="1" ht="23.4" x14ac:dyDescent="0.25">
      <c r="A65" s="2349" t="s">
        <v>157</v>
      </c>
      <c r="B65" s="2350"/>
      <c r="C65" s="2948" t="s">
        <v>640</v>
      </c>
      <c r="D65" s="2948"/>
      <c r="E65" s="2948"/>
      <c r="F65" s="2948"/>
      <c r="G65" s="2948"/>
      <c r="H65" s="2948"/>
      <c r="I65" s="2948"/>
      <c r="J65" s="2948"/>
      <c r="K65" s="2948"/>
      <c r="L65" s="2948"/>
      <c r="M65" s="2948"/>
      <c r="N65" s="2948"/>
      <c r="O65" s="2948"/>
      <c r="P65" s="2948"/>
      <c r="Q65" s="2948"/>
      <c r="R65" s="2948"/>
      <c r="S65" s="2948"/>
      <c r="T65" s="2948"/>
      <c r="U65" s="2948"/>
      <c r="V65" s="2948"/>
      <c r="W65" s="2948"/>
      <c r="X65" s="2948"/>
      <c r="Y65" s="2948"/>
      <c r="Z65" s="2948"/>
      <c r="AA65" s="2948"/>
      <c r="AB65" s="2948"/>
      <c r="AC65" s="2948"/>
      <c r="AD65" s="2948"/>
      <c r="AE65" s="2948"/>
      <c r="AF65" s="2948"/>
      <c r="AG65" s="2948"/>
      <c r="AH65" s="2948"/>
      <c r="AI65" s="2948"/>
      <c r="AJ65" s="2948"/>
      <c r="AK65" s="2948"/>
      <c r="AL65" s="2948"/>
      <c r="AM65" s="2948"/>
    </row>
    <row r="66" spans="1:39" s="523" customFormat="1" ht="23.4" x14ac:dyDescent="0.25">
      <c r="A66" s="2349" t="s">
        <v>158</v>
      </c>
      <c r="B66" s="2350"/>
      <c r="C66" s="2949" t="s">
        <v>641</v>
      </c>
      <c r="D66" s="2949"/>
      <c r="E66" s="2949"/>
      <c r="F66" s="2949"/>
      <c r="G66" s="2949"/>
      <c r="H66" s="2949"/>
      <c r="I66" s="2949"/>
      <c r="J66" s="2949"/>
      <c r="K66" s="2949"/>
      <c r="L66" s="2949"/>
      <c r="M66" s="2949"/>
      <c r="N66" s="2949"/>
      <c r="O66" s="2949"/>
      <c r="P66" s="2949"/>
      <c r="Q66" s="2949"/>
      <c r="R66" s="2949"/>
      <c r="S66" s="2949"/>
      <c r="T66" s="2949"/>
      <c r="U66" s="2949"/>
      <c r="V66" s="2949"/>
      <c r="W66" s="2949"/>
      <c r="X66" s="2949"/>
      <c r="Y66" s="2949"/>
      <c r="Z66" s="2949"/>
      <c r="AA66" s="2949"/>
      <c r="AB66" s="2949"/>
      <c r="AC66" s="2949"/>
      <c r="AD66" s="2949"/>
      <c r="AE66" s="2949"/>
      <c r="AF66" s="2949"/>
      <c r="AG66" s="2949"/>
      <c r="AH66" s="2949"/>
      <c r="AI66" s="2949"/>
      <c r="AJ66" s="2949"/>
      <c r="AK66" s="2949"/>
      <c r="AL66" s="2949"/>
      <c r="AM66" s="2949"/>
    </row>
    <row r="67" spans="1:39" s="523" customFormat="1" ht="23.4" x14ac:dyDescent="0.25">
      <c r="A67" s="2349" t="s">
        <v>159</v>
      </c>
      <c r="B67" s="2350"/>
      <c r="C67" s="2949" t="s">
        <v>642</v>
      </c>
      <c r="D67" s="2949"/>
      <c r="E67" s="2949"/>
      <c r="F67" s="2949"/>
      <c r="G67" s="2949"/>
      <c r="H67" s="2949"/>
      <c r="I67" s="2949"/>
      <c r="J67" s="2949"/>
      <c r="K67" s="2949"/>
      <c r="L67" s="2949"/>
      <c r="M67" s="2949"/>
      <c r="N67" s="2949"/>
      <c r="O67" s="2949"/>
      <c r="P67" s="2949"/>
      <c r="Q67" s="2949"/>
      <c r="R67" s="2949"/>
      <c r="S67" s="2949"/>
      <c r="T67" s="2949"/>
      <c r="U67" s="2949"/>
      <c r="V67" s="2949"/>
      <c r="W67" s="2949"/>
      <c r="X67" s="2949"/>
      <c r="Y67" s="2949"/>
      <c r="Z67" s="2949"/>
      <c r="AA67" s="2949"/>
      <c r="AB67" s="2949"/>
      <c r="AC67" s="2949"/>
      <c r="AD67" s="2949"/>
      <c r="AE67" s="2949"/>
      <c r="AF67" s="2949"/>
      <c r="AG67" s="2949"/>
      <c r="AH67" s="2949"/>
      <c r="AI67" s="2949"/>
      <c r="AJ67" s="2949"/>
      <c r="AK67" s="2949"/>
      <c r="AL67" s="2949"/>
      <c r="AM67" s="2949"/>
    </row>
    <row r="68" spans="1:39" s="523" customFormat="1" x14ac:dyDescent="0.25">
      <c r="A68" s="2351" t="s">
        <v>160</v>
      </c>
      <c r="B68" s="2352"/>
      <c r="C68" s="2353"/>
      <c r="D68" s="2353"/>
      <c r="E68" s="2353"/>
      <c r="F68" s="2353"/>
      <c r="G68" s="2353"/>
      <c r="H68" s="2353"/>
      <c r="I68" s="2353"/>
      <c r="J68" s="2354"/>
      <c r="K68" s="2101" t="s">
        <v>161</v>
      </c>
      <c r="L68" s="2353"/>
      <c r="M68" s="2353"/>
      <c r="N68" s="2353"/>
      <c r="O68" s="2353"/>
      <c r="P68" s="2353"/>
      <c r="Q68" s="2354"/>
      <c r="R68" s="2101" t="s">
        <v>162</v>
      </c>
      <c r="S68" s="2353"/>
      <c r="T68" s="2353"/>
      <c r="U68" s="2353"/>
      <c r="V68" s="2353"/>
      <c r="W68" s="2353"/>
      <c r="X68" s="2353"/>
      <c r="Y68" s="2353"/>
      <c r="Z68" s="2354"/>
      <c r="AA68" s="2101" t="s">
        <v>163</v>
      </c>
      <c r="AB68" s="2353"/>
      <c r="AC68" s="2353"/>
      <c r="AD68" s="2353"/>
      <c r="AE68" s="2353"/>
      <c r="AF68" s="2353"/>
      <c r="AG68" s="2354"/>
      <c r="AH68" s="2101" t="s">
        <v>164</v>
      </c>
      <c r="AI68" s="2353"/>
      <c r="AJ68" s="2353"/>
      <c r="AK68" s="2353"/>
      <c r="AL68" s="2353"/>
      <c r="AM68" s="2354"/>
    </row>
    <row r="69" spans="1:39" s="523" customFormat="1" x14ac:dyDescent="0.25">
      <c r="A69" s="2140" t="s">
        <v>165</v>
      </c>
      <c r="B69" s="2142" t="s">
        <v>142</v>
      </c>
      <c r="C69" s="2042" t="s">
        <v>166</v>
      </c>
      <c r="D69" s="2042" t="s">
        <v>167</v>
      </c>
      <c r="E69" s="2041" t="s">
        <v>168</v>
      </c>
      <c r="F69" s="2103" t="s">
        <v>60</v>
      </c>
      <c r="G69" s="2103" t="s">
        <v>511</v>
      </c>
      <c r="H69" s="280"/>
      <c r="I69" s="2041" t="s">
        <v>169</v>
      </c>
      <c r="J69" s="2042" t="s">
        <v>170</v>
      </c>
      <c r="K69" s="2105" t="s">
        <v>171</v>
      </c>
      <c r="L69" s="2100" t="s">
        <v>172</v>
      </c>
      <c r="M69" s="2041" t="s">
        <v>173</v>
      </c>
      <c r="N69" s="2041" t="s">
        <v>174</v>
      </c>
      <c r="O69" s="2102" t="s">
        <v>175</v>
      </c>
      <c r="P69" s="2100" t="s">
        <v>172</v>
      </c>
      <c r="Q69" s="2042" t="s">
        <v>176</v>
      </c>
      <c r="R69" s="2161" t="s">
        <v>177</v>
      </c>
      <c r="S69" s="2043" t="s">
        <v>178</v>
      </c>
      <c r="T69" s="2041" t="s">
        <v>179</v>
      </c>
      <c r="U69" s="2043" t="s">
        <v>180</v>
      </c>
      <c r="V69" s="2043"/>
      <c r="W69" s="2043"/>
      <c r="X69" s="2043"/>
      <c r="Y69" s="2043"/>
      <c r="Z69" s="2043"/>
      <c r="AA69" s="2099" t="s">
        <v>181</v>
      </c>
      <c r="AB69" s="2099" t="s">
        <v>182</v>
      </c>
      <c r="AC69" s="2099" t="s">
        <v>172</v>
      </c>
      <c r="AD69" s="2099" t="s">
        <v>183</v>
      </c>
      <c r="AE69" s="2099" t="s">
        <v>172</v>
      </c>
      <c r="AF69" s="2099" t="s">
        <v>184</v>
      </c>
      <c r="AG69" s="2161" t="s">
        <v>185</v>
      </c>
      <c r="AH69" s="2043" t="s">
        <v>164</v>
      </c>
      <c r="AI69" s="2043" t="s">
        <v>143</v>
      </c>
      <c r="AJ69" s="2043" t="s">
        <v>186</v>
      </c>
      <c r="AK69" s="2043" t="s">
        <v>187</v>
      </c>
      <c r="AL69" s="2043" t="s">
        <v>188</v>
      </c>
      <c r="AM69" s="2043" t="s">
        <v>189</v>
      </c>
    </row>
    <row r="70" spans="1:39" s="523" customFormat="1" ht="71.400000000000006" x14ac:dyDescent="0.25">
      <c r="A70" s="2141"/>
      <c r="B70" s="2142"/>
      <c r="C70" s="2043"/>
      <c r="D70" s="2043"/>
      <c r="E70" s="2105"/>
      <c r="F70" s="2104"/>
      <c r="G70" s="2104"/>
      <c r="H70" s="280" t="s">
        <v>190</v>
      </c>
      <c r="I70" s="2042"/>
      <c r="J70" s="2043"/>
      <c r="K70" s="2042"/>
      <c r="L70" s="2101"/>
      <c r="M70" s="2042"/>
      <c r="N70" s="2042"/>
      <c r="O70" s="2101"/>
      <c r="P70" s="2101"/>
      <c r="Q70" s="2043"/>
      <c r="R70" s="2162"/>
      <c r="S70" s="2043"/>
      <c r="T70" s="2042"/>
      <c r="U70" s="281" t="s">
        <v>191</v>
      </c>
      <c r="V70" s="281" t="s">
        <v>192</v>
      </c>
      <c r="W70" s="281" t="s">
        <v>193</v>
      </c>
      <c r="X70" s="281" t="s">
        <v>194</v>
      </c>
      <c r="Y70" s="281" t="s">
        <v>195</v>
      </c>
      <c r="Z70" s="281" t="s">
        <v>196</v>
      </c>
      <c r="AA70" s="2099"/>
      <c r="AB70" s="2099"/>
      <c r="AC70" s="2099"/>
      <c r="AD70" s="2099"/>
      <c r="AE70" s="2099"/>
      <c r="AF70" s="2099"/>
      <c r="AG70" s="2162"/>
      <c r="AH70" s="2043"/>
      <c r="AI70" s="2043"/>
      <c r="AJ70" s="2043"/>
      <c r="AK70" s="2043"/>
      <c r="AL70" s="2043"/>
      <c r="AM70" s="2043"/>
    </row>
    <row r="71" spans="1:39" s="523" customFormat="1" ht="78" x14ac:dyDescent="0.25">
      <c r="A71" s="2112">
        <v>1</v>
      </c>
      <c r="B71" s="2237" t="s">
        <v>209</v>
      </c>
      <c r="C71" s="2237" t="s">
        <v>444</v>
      </c>
      <c r="D71" s="3206" t="s">
        <v>445</v>
      </c>
      <c r="E71" s="3267" t="s">
        <v>446</v>
      </c>
      <c r="F71" s="2355" t="s">
        <v>447</v>
      </c>
      <c r="G71" s="3476" t="s">
        <v>512</v>
      </c>
      <c r="H71" s="2355" t="s">
        <v>448</v>
      </c>
      <c r="I71" s="2358" t="s">
        <v>198</v>
      </c>
      <c r="J71" s="2293">
        <v>360</v>
      </c>
      <c r="K71" s="2295" t="str">
        <f>IF(J71&lt;=0,"",IF(J71&lt;=2,"Muy Baja",IF(J71&lt;=24,"Baja",IF(J71&lt;=500,"Media",IF(J71&lt;=5000,"Alta","Muy Alta")))))</f>
        <v>Media</v>
      </c>
      <c r="L71" s="2297">
        <f>IF(K71="","",IF(K71="Muy Baja",0.2,IF(K71="Baja",0.4,IF(K71="Media",0.6,IF(K71="Alta",0.8,IF(K71="Muy Alta",1,))))))</f>
        <v>0.6</v>
      </c>
      <c r="M71" s="2299" t="s">
        <v>303</v>
      </c>
      <c r="N71" s="2297" t="str">
        <f>IF(NOT(ISERROR(MATCH(M71,'[63]Tabla Impacto'!$B$221:$B$223,0))),'[63]Tabla Impacto'!$F$223&amp;"Por favor no seleccionar los criterios de impacto(Afectación Económica o presupuestal y Pérdida Reputacional)",M71)</f>
        <v xml:space="preserve">     El riesgo afecta la imagen de la entidad a nivel nacional, con efecto publicitarios sostenible a nivel país</v>
      </c>
      <c r="O71" s="2295" t="str">
        <f>IF(OR(N71='[63]Tabla Impacto'!$C$11,N71='[63]Tabla Impacto'!$D$11),"Leve",IF(OR(N71='[63]Tabla Impacto'!$C$12,N71='[63]Tabla Impacto'!$D$12),"Menor",IF(OR(N71='[63]Tabla Impacto'!$C$13,N71='[63]Tabla Impacto'!$D$13),"Moderado",IF(OR(N71='[63]Tabla Impacto'!$C$14,N71='[63]Tabla Impacto'!$D$14),"Mayor",IF(OR(N71='[63]Tabla Impacto'!$C$15,N71='[63]Tabla Impacto'!$D$15),"Catastrófico","")))))</f>
        <v>Catastrófico</v>
      </c>
      <c r="P71" s="2297">
        <f>IF(O71="","",IF(O71="Leve",0.2,IF(O71="Menor",0.4,IF(O71="Moderado",0.6,IF(O71="Mayor",0.8,IF(O71="Catastrófico",1,))))))</f>
        <v>1</v>
      </c>
      <c r="Q71" s="2267" t="str">
        <f>IF(OR(AND(K71="Muy Baja",O71="Leve"),AND(K71="Muy Baja",O71="Menor"),AND(K71="Baja",O71="Leve")),"Bajo",IF(OR(AND(K71="Muy baja",O71="Moderado"),AND(K71="Baja",O71="Menor"),AND(K71="Baja",O71="Moderado"),AND(K71="Media",O71="Leve"),AND(K71="Media",O71="Menor"),AND(K71="Media",O71="Moderado"),AND(K71="Alta",O71="Leve"),AND(K71="Alta",O71="Menor")),"Moderado",IF(OR(AND(K71="Muy Baja",O71="Mayor"),AND(K71="Baja",O71="Mayor"),AND(K71="Media",O71="Mayor"),AND(K71="Alta",O71="Moderado"),AND(K71="Alta",O71="Mayor"),AND(K71="Muy Alta",O71="Leve"),AND(K71="Muy Alta",O71="Menor"),AND(K71="Muy Alta",O71="Moderado"),AND(K71="Muy Alta",O71="Mayor")),"Alto",IF(OR(AND(K71="Muy Baja",O71="Catastrófico"),AND(K71="Baja",O71="Catastrófico"),AND(K71="Media",O71="Catastrófico"),AND(K71="Alta",O71="Catastrófico"),AND(K71="Muy Alta",O71="Catastrófico")),"Extremo",""))))</f>
        <v>Extremo</v>
      </c>
      <c r="R71" s="716">
        <v>1</v>
      </c>
      <c r="S71" s="300" t="s">
        <v>449</v>
      </c>
      <c r="T71" s="718" t="str">
        <f>IF(OR(U71="Preventivo",U71="Detectivo"),"Probabilidad",IF(U71="Correctivo","Impacto",""))</f>
        <v>Probabilidad</v>
      </c>
      <c r="U71" s="719" t="s">
        <v>200</v>
      </c>
      <c r="V71" s="719" t="s">
        <v>201</v>
      </c>
      <c r="W71" s="720" t="str">
        <f>IF(AND(U71="Preventivo",V71="Automático"),"50%",IF(AND(U71="Preventivo",V71="Manual"),"40%",IF(AND(U71="Detectivo",V71="Automático"),"40%",IF(AND(U71="Detectivo",V71="Manual"),"30%",IF(AND(U71="Correctivo",V71="Automático"),"35%",IF(AND(U71="Correctivo",V71="Manual"),"25%",""))))))</f>
        <v>30%</v>
      </c>
      <c r="X71" s="719" t="s">
        <v>202</v>
      </c>
      <c r="Y71" s="719" t="s">
        <v>203</v>
      </c>
      <c r="Z71" s="719" t="s">
        <v>204</v>
      </c>
      <c r="AA71" s="721">
        <f>IFERROR(IF(T71="Probabilidad",(L71-(+L71*W71)),IF(T71="Impacto",L71,"")),"")</f>
        <v>0.42</v>
      </c>
      <c r="AB71" s="722" t="str">
        <f>IFERROR(IF(AA71="","",IF(AA71&lt;=0.2,"Muy Baja",IF(AA71&lt;=0.4,"Baja",IF(AA71&lt;=0.6,"Media",IF(AA71&lt;=0.8,"Alta","Muy Alta"))))),"")</f>
        <v>Media</v>
      </c>
      <c r="AC71" s="723">
        <f>+AA71</f>
        <v>0.42</v>
      </c>
      <c r="AD71" s="722" t="str">
        <f>IFERROR(IF(AE71="","",IF(AE71&lt;=0.2,"Leve",IF(AE71&lt;=0.4,"Menor",IF(AE71&lt;=0.6,"Moderado",IF(AE71&lt;=0.8,"Mayor","Catastrófico"))))),"")</f>
        <v>Catastrófico</v>
      </c>
      <c r="AE71" s="723">
        <f>IFERROR(IF(T71="Impacto",(P71-(+P71*W71)),IF(T71="Probabilidad",P71,"")),"")</f>
        <v>1</v>
      </c>
      <c r="AF71" s="724" t="str">
        <f>IFERROR(IF(OR(AND(AB71="Muy Baja",AD71="Leve"),AND(AB71="Muy Baja",AD71="Menor"),AND(AB71="Baja",AD71="Leve")),"Bajo",IF(OR(AND(AB71="Muy baja",AD71="Moderado"),AND(AB71="Baja",AD71="Menor"),AND(AB71="Baja",AD71="Moderado"),AND(AB71="Media",AD71="Leve"),AND(AB71="Media",AD71="Menor"),AND(AB71="Media",AD71="Moderado"),AND(AB71="Alta",AD71="Leve"),AND(AB71="Alta",AD71="Menor")),"Moderado",IF(OR(AND(AB71="Muy Baja",AD71="Mayor"),AND(AB71="Baja",AD71="Mayor"),AND(AB71="Media",AD71="Mayor"),AND(AB71="Alta",AD71="Moderado"),AND(AB71="Alta",AD71="Mayor"),AND(AB71="Muy Alta",AD71="Leve"),AND(AB71="Muy Alta",AD71="Menor"),AND(AB71="Muy Alta",AD71="Moderado"),AND(AB71="Muy Alta",AD71="Mayor")),"Alto",IF(OR(AND(AB71="Muy Baja",AD71="Catastrófico"),AND(AB71="Baja",AD71="Catastrófico"),AND(AB71="Media",AD71="Catastrófico"),AND(AB71="Alta",AD71="Catastrófico"),AND(AB71="Muy Alta",AD71="Catastrófico")),"Extremo","")))),"")</f>
        <v>Extremo</v>
      </c>
      <c r="AG71" s="295"/>
      <c r="AH71" s="2237" t="s">
        <v>450</v>
      </c>
      <c r="AI71" s="2293" t="s">
        <v>451</v>
      </c>
      <c r="AJ71" s="3257">
        <v>45444</v>
      </c>
      <c r="AK71" s="3257" t="s">
        <v>643</v>
      </c>
      <c r="AL71" s="760" t="s">
        <v>1441</v>
      </c>
      <c r="AM71" s="730" t="s">
        <v>206</v>
      </c>
    </row>
    <row r="72" spans="1:39" s="523" customFormat="1" ht="69" x14ac:dyDescent="0.25">
      <c r="A72" s="2113"/>
      <c r="B72" s="2238"/>
      <c r="C72" s="2238"/>
      <c r="D72" s="3207"/>
      <c r="E72" s="3268"/>
      <c r="F72" s="2355"/>
      <c r="G72" s="3476"/>
      <c r="H72" s="2355"/>
      <c r="I72" s="2359"/>
      <c r="J72" s="2294"/>
      <c r="K72" s="2296"/>
      <c r="L72" s="2298"/>
      <c r="M72" s="2300"/>
      <c r="N72" s="2298">
        <f>IF(NOT(ISERROR(MATCH(M72,_xlfn.ANCHORARRAY(#REF!),0))),#REF!&amp;"Por favor no seleccionar los criterios de impacto",M72)</f>
        <v>0</v>
      </c>
      <c r="O72" s="2296"/>
      <c r="P72" s="2298"/>
      <c r="Q72" s="2268"/>
      <c r="R72" s="716">
        <v>2</v>
      </c>
      <c r="S72" s="812" t="s">
        <v>452</v>
      </c>
      <c r="T72" s="718" t="str">
        <f t="shared" ref="T72:T75" si="32">IF(OR(U72="Preventivo",U72="Detectivo"),"Probabilidad",IF(U72="Correctivo","Impacto",""))</f>
        <v>Probabilidad</v>
      </c>
      <c r="U72" s="719" t="s">
        <v>200</v>
      </c>
      <c r="V72" s="719" t="s">
        <v>201</v>
      </c>
      <c r="W72" s="720" t="str">
        <f t="shared" ref="W72:W75" si="33">IF(AND(U72="Preventivo",V72="Automático"),"50%",IF(AND(U72="Preventivo",V72="Manual"),"40%",IF(AND(U72="Detectivo",V72="Automático"),"40%",IF(AND(U72="Detectivo",V72="Manual"),"30%",IF(AND(U72="Correctivo",V72="Automático"),"35%",IF(AND(U72="Correctivo",V72="Manual"),"25%",""))))))</f>
        <v>30%</v>
      </c>
      <c r="X72" s="719" t="s">
        <v>208</v>
      </c>
      <c r="Y72" s="719" t="s">
        <v>203</v>
      </c>
      <c r="Z72" s="719" t="s">
        <v>204</v>
      </c>
      <c r="AA72" s="721">
        <f>IFERROR(IF(AND(T71="Probabilidad",T72="Probabilidad"),(AC71-(+AC71*W72)),IF(AND(T71="Impacto",T72="Probabilidad"),(AC70-(+AC70*W72)),IF(T72="Impacto",AC71,""))),"")</f>
        <v>0.29399999999999998</v>
      </c>
      <c r="AB72" s="722" t="str">
        <f t="shared" ref="AB72:AB74" si="34">IFERROR(IF(AA72="","",IF(AA72&lt;=0.2,"Muy Baja",IF(AA72&lt;=0.4,"Baja",IF(AA72&lt;=0.6,"Media",IF(AA72&lt;=0.8,"Alta","Muy Alta"))))),"")</f>
        <v>Baja</v>
      </c>
      <c r="AC72" s="723">
        <f t="shared" ref="AC72:AC75" si="35">+AA72</f>
        <v>0.29399999999999998</v>
      </c>
      <c r="AD72" s="789" t="str">
        <f t="shared" ref="AD72:AD74" si="36">IFERROR(IF(AE72="","",IF(AE72&lt;=0.2,"Leve",IF(AE72&lt;=0.4,"Menor",IF(AE72&lt;=0.6,"Moderado",IF(AE72&lt;=0.8,"Mayor","Catastrófico"))))),"")</f>
        <v>Catastrófico</v>
      </c>
      <c r="AE72" s="790">
        <f>IFERROR(IF(AND(T71="Impacto",T72="Impacto"),(AE71-(+AE71*W72)),IF(AND(T71="Probabilidad",T72="Impacto"),(AE70-(+AE70*W72)),IF(T72="Probabilidad",AE71,""))),"")</f>
        <v>1</v>
      </c>
      <c r="AF72" s="724" t="str">
        <f t="shared" ref="AF72:AF74" si="37">IFERROR(IF(OR(AND(AB72="Muy Baja",AD72="Leve"),AND(AB72="Muy Baja",AD72="Menor"),AND(AB72="Baja",AD72="Leve")),"Bajo",IF(OR(AND(AB72="Muy baja",AD72="Moderado"),AND(AB72="Baja",AD72="Menor"),AND(AB72="Baja",AD72="Moderado"),AND(AB72="Media",AD72="Leve"),AND(AB72="Media",AD72="Menor"),AND(AB72="Media",AD72="Moderado"),AND(AB72="Alta",AD72="Leve"),AND(AB72="Alta",AD72="Menor")),"Moderado",IF(OR(AND(AB72="Muy Baja",AD72="Mayor"),AND(AB72="Baja",AD72="Mayor"),AND(AB72="Media",AD72="Mayor"),AND(AB72="Alta",AD72="Moderado"),AND(AB72="Alta",AD72="Mayor"),AND(AB72="Muy Alta",AD72="Leve"),AND(AB72="Muy Alta",AD72="Menor"),AND(AB72="Muy Alta",AD72="Moderado"),AND(AB72="Muy Alta",AD72="Mayor")),"Alto",IF(OR(AND(AB72="Muy Baja",AD72="Catastrófico"),AND(AB72="Baja",AD72="Catastrófico"),AND(AB72="Media",AD72="Catastrófico"),AND(AB72="Alta",AD72="Catastrófico"),AND(AB72="Muy Alta",AD72="Catastrófico")),"Extremo","")))),"")</f>
        <v>Extremo</v>
      </c>
      <c r="AG72" s="295"/>
      <c r="AH72" s="2238"/>
      <c r="AI72" s="2294"/>
      <c r="AJ72" s="3258"/>
      <c r="AK72" s="3258"/>
      <c r="AL72" s="300" t="s">
        <v>1442</v>
      </c>
      <c r="AM72" s="780" t="s">
        <v>206</v>
      </c>
    </row>
    <row r="73" spans="1:39" s="523" customFormat="1" ht="69" x14ac:dyDescent="0.25">
      <c r="A73" s="2113"/>
      <c r="B73" s="2238"/>
      <c r="C73" s="2238"/>
      <c r="D73" s="3207"/>
      <c r="E73" s="810" t="s">
        <v>453</v>
      </c>
      <c r="F73" s="2355"/>
      <c r="G73" s="3476"/>
      <c r="H73" s="2355"/>
      <c r="I73" s="2359"/>
      <c r="J73" s="2294"/>
      <c r="K73" s="2296"/>
      <c r="L73" s="2298"/>
      <c r="M73" s="2300"/>
      <c r="N73" s="2298">
        <f>IF(NOT(ISERROR(MATCH(M73,_xlfn.ANCHORARRAY(#REF!),0))),#REF!&amp;"Por favor no seleccionar los criterios de impacto",M73)</f>
        <v>0</v>
      </c>
      <c r="O73" s="2296"/>
      <c r="P73" s="2298"/>
      <c r="Q73" s="2268"/>
      <c r="R73" s="716">
        <v>3</v>
      </c>
      <c r="S73" s="780" t="s">
        <v>454</v>
      </c>
      <c r="T73" s="718" t="str">
        <f t="shared" si="32"/>
        <v>Probabilidad</v>
      </c>
      <c r="U73" s="719" t="s">
        <v>207</v>
      </c>
      <c r="V73" s="719" t="s">
        <v>201</v>
      </c>
      <c r="W73" s="720" t="str">
        <f t="shared" si="33"/>
        <v>40%</v>
      </c>
      <c r="X73" s="719" t="s">
        <v>208</v>
      </c>
      <c r="Y73" s="719" t="s">
        <v>203</v>
      </c>
      <c r="Z73" s="719" t="s">
        <v>204</v>
      </c>
      <c r="AA73" s="721">
        <f t="shared" ref="AA73:AA75" si="38">IFERROR(IF(AND(T72="Probabilidad",T73="Probabilidad"),(AC72-(+AC72*W73)),IF(AND(T72="Impacto",T73="Probabilidad"),(AC71-(+AC71*W73)),IF(T73="Impacto",AC72,""))),"")</f>
        <v>0.1764</v>
      </c>
      <c r="AB73" s="722" t="str">
        <f t="shared" si="34"/>
        <v>Muy Baja</v>
      </c>
      <c r="AC73" s="723">
        <f t="shared" si="35"/>
        <v>0.1764</v>
      </c>
      <c r="AD73" s="789" t="str">
        <f t="shared" si="36"/>
        <v>Catastrófico</v>
      </c>
      <c r="AE73" s="790">
        <f t="shared" ref="AE73:AE75" si="39">IFERROR(IF(AND(T72="Impacto",T73="Impacto"),(AE72-(+AE72*W73)),IF(AND(T72="Probabilidad",T73="Impacto"),(AE71-(+AE71*W73)),IF(T73="Probabilidad",AE72,""))),"")</f>
        <v>1</v>
      </c>
      <c r="AF73" s="724" t="str">
        <f t="shared" si="37"/>
        <v>Extremo</v>
      </c>
      <c r="AG73" s="295"/>
      <c r="AH73" s="2287"/>
      <c r="AI73" s="2971"/>
      <c r="AJ73" s="3259"/>
      <c r="AK73" s="3259"/>
      <c r="AL73" s="300"/>
      <c r="AM73" s="780"/>
    </row>
    <row r="74" spans="1:39" s="523" customFormat="1" ht="69" x14ac:dyDescent="0.25">
      <c r="A74" s="2113"/>
      <c r="B74" s="2238"/>
      <c r="C74" s="2238"/>
      <c r="D74" s="3207"/>
      <c r="E74" s="810" t="s">
        <v>455</v>
      </c>
      <c r="F74" s="2355"/>
      <c r="G74" s="3476"/>
      <c r="H74" s="2355"/>
      <c r="I74" s="2359"/>
      <c r="J74" s="2294"/>
      <c r="K74" s="2296"/>
      <c r="L74" s="2298"/>
      <c r="M74" s="2300"/>
      <c r="N74" s="2298">
        <f>IF(NOT(ISERROR(MATCH(M74,_xlfn.ANCHORARRAY(#REF!),0))),#REF!&amp;"Por favor no seleccionar los criterios de impacto",M74)</f>
        <v>0</v>
      </c>
      <c r="O74" s="2296"/>
      <c r="P74" s="2298"/>
      <c r="Q74" s="2268"/>
      <c r="R74" s="716">
        <v>4</v>
      </c>
      <c r="S74" s="1111" t="s">
        <v>456</v>
      </c>
      <c r="T74" s="718" t="str">
        <f t="shared" si="32"/>
        <v>Impacto</v>
      </c>
      <c r="U74" s="719" t="s">
        <v>308</v>
      </c>
      <c r="V74" s="719" t="s">
        <v>201</v>
      </c>
      <c r="W74" s="720" t="str">
        <f t="shared" si="33"/>
        <v>25%</v>
      </c>
      <c r="X74" s="719" t="s">
        <v>208</v>
      </c>
      <c r="Y74" s="719" t="s">
        <v>210</v>
      </c>
      <c r="Z74" s="719" t="s">
        <v>204</v>
      </c>
      <c r="AA74" s="721">
        <f t="shared" si="38"/>
        <v>0.1764</v>
      </c>
      <c r="AB74" s="722" t="str">
        <f t="shared" si="34"/>
        <v>Muy Baja</v>
      </c>
      <c r="AC74" s="723">
        <f t="shared" si="35"/>
        <v>0.1764</v>
      </c>
      <c r="AD74" s="789" t="str">
        <f t="shared" si="36"/>
        <v>Mayor</v>
      </c>
      <c r="AE74" s="790">
        <f t="shared" si="39"/>
        <v>0.75</v>
      </c>
      <c r="AF74" s="724" t="str">
        <f t="shared" si="37"/>
        <v>Alto</v>
      </c>
      <c r="AG74" s="295"/>
      <c r="AH74" s="761" t="s">
        <v>457</v>
      </c>
      <c r="AI74" s="300" t="s">
        <v>451</v>
      </c>
      <c r="AJ74" s="769"/>
      <c r="AK74" s="779" t="s">
        <v>1443</v>
      </c>
      <c r="AL74" s="300" t="s">
        <v>155</v>
      </c>
      <c r="AM74" s="780" t="s">
        <v>206</v>
      </c>
    </row>
    <row r="75" spans="1:39" s="523" customFormat="1" ht="69" x14ac:dyDescent="0.25">
      <c r="A75" s="2113"/>
      <c r="B75" s="2238"/>
      <c r="C75" s="2238"/>
      <c r="D75" s="3207"/>
      <c r="E75" s="1036" t="s">
        <v>458</v>
      </c>
      <c r="F75" s="2355"/>
      <c r="G75" s="3476"/>
      <c r="H75" s="2355"/>
      <c r="I75" s="2359"/>
      <c r="J75" s="2294"/>
      <c r="K75" s="2296"/>
      <c r="L75" s="2298"/>
      <c r="M75" s="2300"/>
      <c r="N75" s="2298">
        <f>IF(NOT(ISERROR(MATCH(M75,_xlfn.ANCHORARRAY(#REF!),0))),#REF!&amp;"Por favor no seleccionar los criterios de impacto",M75)</f>
        <v>0</v>
      </c>
      <c r="O75" s="2296"/>
      <c r="P75" s="2298"/>
      <c r="Q75" s="2268"/>
      <c r="R75" s="716">
        <v>5</v>
      </c>
      <c r="S75" s="812" t="s">
        <v>459</v>
      </c>
      <c r="T75" s="718" t="str">
        <f t="shared" si="32"/>
        <v>Probabilidad</v>
      </c>
      <c r="U75" s="719" t="s">
        <v>207</v>
      </c>
      <c r="V75" s="719" t="s">
        <v>201</v>
      </c>
      <c r="W75" s="720" t="str">
        <f t="shared" si="33"/>
        <v>40%</v>
      </c>
      <c r="X75" s="719" t="s">
        <v>208</v>
      </c>
      <c r="Y75" s="719" t="s">
        <v>203</v>
      </c>
      <c r="Z75" s="719" t="s">
        <v>204</v>
      </c>
      <c r="AA75" s="721">
        <f t="shared" si="38"/>
        <v>0.10584</v>
      </c>
      <c r="AB75" s="722" t="s">
        <v>460</v>
      </c>
      <c r="AC75" s="723">
        <f t="shared" si="35"/>
        <v>0.10584</v>
      </c>
      <c r="AD75" s="789" t="s">
        <v>461</v>
      </c>
      <c r="AE75" s="790">
        <f t="shared" si="39"/>
        <v>0.75</v>
      </c>
      <c r="AF75" s="724" t="s">
        <v>462</v>
      </c>
      <c r="AG75" s="295"/>
      <c r="AH75" s="300" t="s">
        <v>463</v>
      </c>
      <c r="AI75" s="300" t="s">
        <v>464</v>
      </c>
      <c r="AJ75" s="779"/>
      <c r="AK75" s="779" t="s">
        <v>646</v>
      </c>
      <c r="AL75" s="300" t="s">
        <v>465</v>
      </c>
      <c r="AM75" s="780" t="s">
        <v>295</v>
      </c>
    </row>
    <row r="76" spans="1:39" s="523" customFormat="1" x14ac:dyDescent="0.25">
      <c r="A76" s="694"/>
      <c r="B76" s="695"/>
      <c r="C76" s="694"/>
      <c r="D76" s="694"/>
      <c r="E76" s="694"/>
      <c r="F76" s="311"/>
      <c r="G76" s="311"/>
      <c r="H76" s="311"/>
      <c r="I76" s="696"/>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row>
    <row r="77" spans="1:39" s="523" customFormat="1" x14ac:dyDescent="0.25">
      <c r="A77" s="3468" t="s">
        <v>156</v>
      </c>
      <c r="B77" s="3469"/>
      <c r="C77" s="3469"/>
      <c r="D77" s="3469"/>
      <c r="E77" s="3469"/>
      <c r="F77" s="3469"/>
      <c r="G77" s="3469"/>
      <c r="H77" s="3469"/>
      <c r="I77" s="3469"/>
      <c r="J77" s="3469"/>
      <c r="K77" s="3469"/>
      <c r="L77" s="3469"/>
      <c r="M77" s="3469"/>
      <c r="N77" s="3469"/>
      <c r="O77" s="3469"/>
      <c r="P77" s="3469"/>
      <c r="Q77" s="3469"/>
      <c r="R77" s="3469"/>
      <c r="S77" s="3469"/>
      <c r="T77" s="3469"/>
      <c r="U77" s="3469"/>
      <c r="V77" s="3469"/>
      <c r="W77" s="3469"/>
      <c r="X77" s="3469"/>
      <c r="Y77" s="3469"/>
      <c r="Z77" s="3469"/>
      <c r="AA77" s="3469"/>
      <c r="AB77" s="3469"/>
      <c r="AC77" s="3469"/>
      <c r="AD77" s="3469"/>
      <c r="AE77" s="3469"/>
      <c r="AF77" s="3469"/>
      <c r="AG77" s="3469"/>
      <c r="AH77" s="3469"/>
      <c r="AI77" s="3469"/>
      <c r="AJ77" s="3469"/>
      <c r="AK77" s="3469"/>
      <c r="AL77" s="3470"/>
      <c r="AM77" s="311"/>
    </row>
    <row r="78" spans="1:39" s="523" customFormat="1" x14ac:dyDescent="0.25">
      <c r="A78" s="3471"/>
      <c r="B78" s="3472"/>
      <c r="C78" s="3472"/>
      <c r="D78" s="3472"/>
      <c r="E78" s="3472"/>
      <c r="F78" s="3472"/>
      <c r="G78" s="3472"/>
      <c r="H78" s="3472"/>
      <c r="I78" s="3472"/>
      <c r="J78" s="3472"/>
      <c r="K78" s="3472"/>
      <c r="L78" s="3472"/>
      <c r="M78" s="3472"/>
      <c r="N78" s="3472"/>
      <c r="O78" s="3472"/>
      <c r="P78" s="3472"/>
      <c r="Q78" s="3472"/>
      <c r="R78" s="3472"/>
      <c r="S78" s="3472"/>
      <c r="T78" s="3472"/>
      <c r="U78" s="3472"/>
      <c r="V78" s="3472"/>
      <c r="W78" s="3472"/>
      <c r="X78" s="3472"/>
      <c r="Y78" s="3472"/>
      <c r="Z78" s="3472"/>
      <c r="AA78" s="3472"/>
      <c r="AB78" s="3472"/>
      <c r="AC78" s="3472"/>
      <c r="AD78" s="3472"/>
      <c r="AE78" s="3472"/>
      <c r="AF78" s="3472"/>
      <c r="AG78" s="3472"/>
      <c r="AH78" s="3472"/>
      <c r="AI78" s="3472"/>
      <c r="AJ78" s="3472"/>
      <c r="AK78" s="3472"/>
      <c r="AL78" s="3473"/>
      <c r="AM78" s="311"/>
    </row>
    <row r="79" spans="1:39" s="523" customFormat="1" x14ac:dyDescent="0.25">
      <c r="A79" s="703"/>
      <c r="B79" s="704"/>
      <c r="C79" s="703"/>
      <c r="D79" s="703"/>
      <c r="E79" s="703"/>
      <c r="F79" s="700"/>
      <c r="G79" s="700"/>
      <c r="H79" s="700"/>
      <c r="I79" s="705"/>
      <c r="J79" s="700"/>
      <c r="K79" s="700"/>
      <c r="L79" s="700"/>
      <c r="M79" s="700"/>
      <c r="N79" s="700"/>
      <c r="O79" s="700"/>
      <c r="P79" s="700"/>
      <c r="Q79" s="700"/>
      <c r="R79" s="700"/>
      <c r="S79" s="700"/>
      <c r="T79" s="700"/>
      <c r="U79" s="700"/>
      <c r="V79" s="700"/>
      <c r="W79" s="700"/>
      <c r="X79" s="700"/>
      <c r="Y79" s="700"/>
      <c r="Z79" s="700"/>
      <c r="AA79" s="700"/>
      <c r="AB79" s="700"/>
      <c r="AC79" s="700"/>
      <c r="AD79" s="700"/>
      <c r="AE79" s="700"/>
      <c r="AF79" s="700"/>
      <c r="AG79" s="700"/>
      <c r="AH79" s="700"/>
      <c r="AI79" s="700"/>
      <c r="AJ79" s="700"/>
      <c r="AK79" s="700"/>
      <c r="AL79" s="700"/>
      <c r="AM79" s="311"/>
    </row>
    <row r="80" spans="1:39" s="523" customFormat="1" ht="23.4" x14ac:dyDescent="0.25">
      <c r="A80" s="2349" t="s">
        <v>157</v>
      </c>
      <c r="B80" s="2350"/>
      <c r="C80" s="2039" t="s">
        <v>1244</v>
      </c>
      <c r="D80" s="2039"/>
      <c r="E80" s="2039"/>
      <c r="F80" s="2039"/>
      <c r="G80" s="2039"/>
      <c r="H80" s="2039"/>
      <c r="I80" s="2039"/>
      <c r="J80" s="2039"/>
      <c r="K80" s="2039"/>
      <c r="L80" s="2039"/>
      <c r="M80" s="2039"/>
      <c r="N80" s="2039"/>
      <c r="O80" s="2039"/>
      <c r="P80" s="2039"/>
      <c r="Q80" s="2039"/>
      <c r="R80" s="2039"/>
      <c r="S80" s="2039"/>
      <c r="T80" s="2039"/>
      <c r="U80" s="2039"/>
      <c r="V80" s="2039"/>
      <c r="W80" s="2039"/>
      <c r="X80" s="2039"/>
      <c r="Y80" s="2039"/>
      <c r="Z80" s="2039"/>
      <c r="AA80" s="2039"/>
      <c r="AB80" s="2039"/>
      <c r="AC80" s="2039"/>
      <c r="AD80" s="2039"/>
      <c r="AE80" s="2039"/>
      <c r="AF80" s="2039"/>
      <c r="AG80" s="2039"/>
      <c r="AH80" s="2039"/>
      <c r="AI80" s="2039"/>
      <c r="AJ80" s="2039"/>
      <c r="AK80" s="2039"/>
      <c r="AL80" s="2039"/>
      <c r="AM80" s="311"/>
    </row>
    <row r="81" spans="1:39" s="523" customFormat="1" ht="23.4" x14ac:dyDescent="0.25">
      <c r="A81" s="2349" t="s">
        <v>158</v>
      </c>
      <c r="B81" s="2350"/>
      <c r="C81" s="2040" t="s">
        <v>1245</v>
      </c>
      <c r="D81" s="2040"/>
      <c r="E81" s="2040"/>
      <c r="F81" s="2040"/>
      <c r="G81" s="2040"/>
      <c r="H81" s="2040"/>
      <c r="I81" s="2040"/>
      <c r="J81" s="2040"/>
      <c r="K81" s="2040"/>
      <c r="L81" s="2040"/>
      <c r="M81" s="2040"/>
      <c r="N81" s="2040"/>
      <c r="O81" s="2040"/>
      <c r="P81" s="2040"/>
      <c r="Q81" s="2040"/>
      <c r="R81" s="2040"/>
      <c r="S81" s="2040"/>
      <c r="T81" s="2040"/>
      <c r="U81" s="2040"/>
      <c r="V81" s="2040"/>
      <c r="W81" s="2040"/>
      <c r="X81" s="2040"/>
      <c r="Y81" s="2040"/>
      <c r="Z81" s="2040"/>
      <c r="AA81" s="2040"/>
      <c r="AB81" s="2040"/>
      <c r="AC81" s="2040"/>
      <c r="AD81" s="2040"/>
      <c r="AE81" s="2040"/>
      <c r="AF81" s="2040"/>
      <c r="AG81" s="2040"/>
      <c r="AH81" s="2040"/>
      <c r="AI81" s="2040"/>
      <c r="AJ81" s="2040"/>
      <c r="AK81" s="2040"/>
      <c r="AL81" s="2040"/>
      <c r="AM81" s="311"/>
    </row>
    <row r="82" spans="1:39" s="523" customFormat="1" ht="23.4" x14ac:dyDescent="0.25">
      <c r="A82" s="2349" t="s">
        <v>159</v>
      </c>
      <c r="B82" s="2350"/>
      <c r="C82" s="2040" t="s">
        <v>1246</v>
      </c>
      <c r="D82" s="2040"/>
      <c r="E82" s="2040"/>
      <c r="F82" s="2040"/>
      <c r="G82" s="2040"/>
      <c r="H82" s="2040"/>
      <c r="I82" s="2040"/>
      <c r="J82" s="2040"/>
      <c r="K82" s="2040"/>
      <c r="L82" s="2040"/>
      <c r="M82" s="2040"/>
      <c r="N82" s="2040"/>
      <c r="O82" s="2040"/>
      <c r="P82" s="2040"/>
      <c r="Q82" s="2040"/>
      <c r="R82" s="2040"/>
      <c r="S82" s="2040"/>
      <c r="T82" s="2040"/>
      <c r="U82" s="2040"/>
      <c r="V82" s="2040"/>
      <c r="W82" s="2040"/>
      <c r="X82" s="2040"/>
      <c r="Y82" s="2040"/>
      <c r="Z82" s="2040"/>
      <c r="AA82" s="2040"/>
      <c r="AB82" s="2040"/>
      <c r="AC82" s="2040"/>
      <c r="AD82" s="2040"/>
      <c r="AE82" s="2040"/>
      <c r="AF82" s="2040"/>
      <c r="AG82" s="2040"/>
      <c r="AH82" s="2040"/>
      <c r="AI82" s="2040"/>
      <c r="AJ82" s="2040"/>
      <c r="AK82" s="2040"/>
      <c r="AL82" s="2040"/>
      <c r="AM82" s="311"/>
    </row>
    <row r="83" spans="1:39" s="523" customFormat="1" x14ac:dyDescent="0.25">
      <c r="A83" s="2351" t="s">
        <v>160</v>
      </c>
      <c r="B83" s="2352"/>
      <c r="C83" s="2353"/>
      <c r="D83" s="2353"/>
      <c r="E83" s="2353"/>
      <c r="F83" s="2353"/>
      <c r="G83" s="2353"/>
      <c r="H83" s="2353"/>
      <c r="I83" s="2353"/>
      <c r="J83" s="2354"/>
      <c r="K83" s="2101" t="s">
        <v>161</v>
      </c>
      <c r="L83" s="2353"/>
      <c r="M83" s="2353"/>
      <c r="N83" s="2353"/>
      <c r="O83" s="2353"/>
      <c r="P83" s="2353"/>
      <c r="Q83" s="2354"/>
      <c r="R83" s="2101" t="s">
        <v>162</v>
      </c>
      <c r="S83" s="2353"/>
      <c r="T83" s="2353"/>
      <c r="U83" s="2353"/>
      <c r="V83" s="2353"/>
      <c r="W83" s="2353"/>
      <c r="X83" s="2353"/>
      <c r="Y83" s="2353"/>
      <c r="Z83" s="2354"/>
      <c r="AA83" s="2101" t="s">
        <v>163</v>
      </c>
      <c r="AB83" s="2353"/>
      <c r="AC83" s="2353"/>
      <c r="AD83" s="2353"/>
      <c r="AE83" s="2353"/>
      <c r="AF83" s="2353"/>
      <c r="AG83" s="2354"/>
      <c r="AH83" s="2101" t="s">
        <v>164</v>
      </c>
      <c r="AI83" s="2353"/>
      <c r="AJ83" s="2353"/>
      <c r="AK83" s="2353"/>
      <c r="AL83" s="2354"/>
      <c r="AM83" s="311"/>
    </row>
    <row r="84" spans="1:39" s="523" customFormat="1" x14ac:dyDescent="0.25">
      <c r="A84" s="2140" t="s">
        <v>165</v>
      </c>
      <c r="B84" s="2142" t="s">
        <v>142</v>
      </c>
      <c r="C84" s="2042" t="s">
        <v>166</v>
      </c>
      <c r="D84" s="2042" t="s">
        <v>167</v>
      </c>
      <c r="E84" s="2041" t="s">
        <v>168</v>
      </c>
      <c r="F84" s="2103" t="s">
        <v>60</v>
      </c>
      <c r="G84" s="280"/>
      <c r="H84" s="280"/>
      <c r="I84" s="2041" t="s">
        <v>169</v>
      </c>
      <c r="J84" s="2042" t="s">
        <v>170</v>
      </c>
      <c r="K84" s="2105" t="s">
        <v>171</v>
      </c>
      <c r="L84" s="2100" t="s">
        <v>172</v>
      </c>
      <c r="M84" s="2041" t="s">
        <v>173</v>
      </c>
      <c r="N84" s="2041" t="s">
        <v>174</v>
      </c>
      <c r="O84" s="2102" t="s">
        <v>175</v>
      </c>
      <c r="P84" s="2100" t="s">
        <v>172</v>
      </c>
      <c r="Q84" s="2042" t="s">
        <v>176</v>
      </c>
      <c r="R84" s="2161" t="s">
        <v>177</v>
      </c>
      <c r="S84" s="2043" t="s">
        <v>178</v>
      </c>
      <c r="T84" s="2041" t="s">
        <v>179</v>
      </c>
      <c r="U84" s="2043" t="s">
        <v>180</v>
      </c>
      <c r="V84" s="2043"/>
      <c r="W84" s="2043"/>
      <c r="X84" s="2043"/>
      <c r="Y84" s="2043"/>
      <c r="Z84" s="2043"/>
      <c r="AA84" s="2099" t="s">
        <v>181</v>
      </c>
      <c r="AB84" s="2099" t="s">
        <v>182</v>
      </c>
      <c r="AC84" s="2099" t="s">
        <v>172</v>
      </c>
      <c r="AD84" s="2099" t="s">
        <v>183</v>
      </c>
      <c r="AE84" s="2099" t="s">
        <v>172</v>
      </c>
      <c r="AF84" s="2099" t="s">
        <v>184</v>
      </c>
      <c r="AG84" s="2161" t="s">
        <v>185</v>
      </c>
      <c r="AH84" s="2043" t="s">
        <v>164</v>
      </c>
      <c r="AI84" s="2043" t="s">
        <v>143</v>
      </c>
      <c r="AJ84" s="2043" t="s">
        <v>186</v>
      </c>
      <c r="AK84" s="2043" t="s">
        <v>187</v>
      </c>
      <c r="AL84" s="2043" t="s">
        <v>189</v>
      </c>
      <c r="AM84" s="311"/>
    </row>
    <row r="85" spans="1:39" s="523" customFormat="1" ht="71.400000000000006" x14ac:dyDescent="0.25">
      <c r="A85" s="2141"/>
      <c r="B85" s="2142"/>
      <c r="C85" s="2043"/>
      <c r="D85" s="2043"/>
      <c r="E85" s="2105"/>
      <c r="F85" s="2104"/>
      <c r="G85" s="280" t="s">
        <v>610</v>
      </c>
      <c r="H85" s="280" t="s">
        <v>190</v>
      </c>
      <c r="I85" s="2042"/>
      <c r="J85" s="2043"/>
      <c r="K85" s="2042"/>
      <c r="L85" s="2101"/>
      <c r="M85" s="2042"/>
      <c r="N85" s="2042"/>
      <c r="O85" s="2101"/>
      <c r="P85" s="2101"/>
      <c r="Q85" s="2043"/>
      <c r="R85" s="2162"/>
      <c r="S85" s="2043"/>
      <c r="T85" s="2042"/>
      <c r="U85" s="281" t="s">
        <v>191</v>
      </c>
      <c r="V85" s="281" t="s">
        <v>192</v>
      </c>
      <c r="W85" s="281" t="s">
        <v>193</v>
      </c>
      <c r="X85" s="281" t="s">
        <v>194</v>
      </c>
      <c r="Y85" s="281" t="s">
        <v>195</v>
      </c>
      <c r="Z85" s="281" t="s">
        <v>196</v>
      </c>
      <c r="AA85" s="2099"/>
      <c r="AB85" s="2099"/>
      <c r="AC85" s="2099"/>
      <c r="AD85" s="2099"/>
      <c r="AE85" s="2099"/>
      <c r="AF85" s="2099"/>
      <c r="AG85" s="2162"/>
      <c r="AH85" s="2043"/>
      <c r="AI85" s="2043"/>
      <c r="AJ85" s="2043"/>
      <c r="AK85" s="2043"/>
      <c r="AL85" s="2043"/>
      <c r="AM85" s="311"/>
    </row>
    <row r="86" spans="1:39" s="523" customFormat="1" ht="69" x14ac:dyDescent="0.25">
      <c r="A86" s="2112">
        <v>1</v>
      </c>
      <c r="B86" s="2155" t="s">
        <v>209</v>
      </c>
      <c r="C86" s="2155" t="s">
        <v>1247</v>
      </c>
      <c r="D86" s="2158" t="s">
        <v>1248</v>
      </c>
      <c r="E86" s="941" t="s">
        <v>1249</v>
      </c>
      <c r="F86" s="2125" t="s">
        <v>1250</v>
      </c>
      <c r="G86" s="691" t="s">
        <v>1444</v>
      </c>
      <c r="H86" s="2125" t="s">
        <v>1251</v>
      </c>
      <c r="I86" s="2126" t="s">
        <v>198</v>
      </c>
      <c r="J86" s="2129">
        <f>300*246</f>
        <v>73800</v>
      </c>
      <c r="K86" s="2109" t="str">
        <f>IF(J86&lt;=0,"",IF(J86&lt;=2,"Muy Baja",IF(J86&lt;=24,"Baja",IF(J86&lt;=500,"Media",IF(J86&lt;=5000,"Alta","Muy Alta")))))</f>
        <v>Muy Alta</v>
      </c>
      <c r="L86" s="2106">
        <f>IF(K86="","",IF(K86="Muy Baja",0.2,IF(K86="Baja",0.4,IF(K86="Media",0.6,IF(K86="Alta",0.8,IF(K86="Muy Alta",1,))))))</f>
        <v>1</v>
      </c>
      <c r="M86" s="2132" t="s">
        <v>225</v>
      </c>
      <c r="N86" s="2106" t="str">
        <f>IF(NOT(ISERROR(MATCH(M86,'[64]Tabla Impacto'!$B$221:$B$223,0))),'[64]Tabla Impacto'!$F$223&amp;"Por favor no seleccionar los criterios de impacto(Afectación Económica o presupuestal y Pérdida Reputacional)",M86)</f>
        <v xml:space="preserve">     El riesgo afecta la imagen de la entidad con algunos usuarios de relevancia frente al logro de los objetivos</v>
      </c>
      <c r="O86" s="2109" t="str">
        <f>IF(OR(N86='[64]Tabla Impacto'!$C$11,N86='[64]Tabla Impacto'!$D$11),"Leve",IF(OR(N86='[64]Tabla Impacto'!$C$12,N86='[64]Tabla Impacto'!$D$12),"Menor",IF(OR(N86='[64]Tabla Impacto'!$C$13,N86='[64]Tabla Impacto'!$D$13),"Moderado",IF(OR(N86='[64]Tabla Impacto'!$C$14,N86='[64]Tabla Impacto'!$D$14),"Mayor",IF(OR(N86='[64]Tabla Impacto'!$C$15,N86='[64]Tabla Impacto'!$D$15),"Catastrófico","")))))</f>
        <v>Moderado</v>
      </c>
      <c r="P86" s="2106">
        <f>IF(O86="","",IF(O86="Leve",0.2,IF(O86="Menor",0.4,IF(O86="Moderado",0.6,IF(O86="Mayor",0.8,IF(O86="Catastrófico",1,))))))</f>
        <v>0.6</v>
      </c>
      <c r="Q86" s="2014" t="str">
        <f>IF(OR(AND(K86="Muy Baja",O86="Leve"),AND(K86="Muy Baja",O86="Menor"),AND(K86="Baja",O86="Leve")),"Bajo",IF(OR(AND(K86="Muy baja",O86="Moderado"),AND(K86="Baja",O86="Menor"),AND(K86="Baja",O86="Moderado"),AND(K86="Media",O86="Leve"),AND(K86="Media",O86="Menor"),AND(K86="Media",O86="Moderado"),AND(K86="Alta",O86="Leve"),AND(K86="Alta",O86="Menor")),"Moderado",IF(OR(AND(K86="Muy Baja",O86="Mayor"),AND(K86="Baja",O86="Mayor"),AND(K86="Media",O86="Mayor"),AND(K86="Alta",O86="Moderado"),AND(K86="Alta",O86="Mayor"),AND(K86="Muy Alta",O86="Leve"),AND(K86="Muy Alta",O86="Menor"),AND(K86="Muy Alta",O86="Moderado"),AND(K86="Muy Alta",O86="Mayor")),"Alto",IF(OR(AND(K86="Muy Baja",O86="Catastrófico"),AND(K86="Baja",O86="Catastrófico"),AND(K86="Media",O86="Catastrófico"),AND(K86="Alta",O86="Catastrófico"),AND(K86="Muy Alta",O86="Catastrófico")),"Extremo",""))))</f>
        <v>Alto</v>
      </c>
      <c r="R86" s="283">
        <v>1</v>
      </c>
      <c r="S86" s="284" t="s">
        <v>1252</v>
      </c>
      <c r="T86" s="285" t="str">
        <f>IF(OR(U86="Preventivo",U86="Detectivo"),"Probabilidad",IF(U86="Correctivo","Impacto",""))</f>
        <v>Probabilidad</v>
      </c>
      <c r="U86" s="286" t="s">
        <v>207</v>
      </c>
      <c r="V86" s="286" t="s">
        <v>201</v>
      </c>
      <c r="W86" s="287" t="str">
        <f>IF(AND(U86="Preventivo",V86="Automático"),"50%",IF(AND(U86="Preventivo",V86="Manual"),"40%",IF(AND(U86="Detectivo",V86="Automático"),"40%",IF(AND(U86="Detectivo",V86="Manual"),"30%",IF(AND(U86="Correctivo",V86="Automático"),"35%",IF(AND(U86="Correctivo",V86="Manual"),"25%",""))))))</f>
        <v>40%</v>
      </c>
      <c r="X86" s="286" t="s">
        <v>208</v>
      </c>
      <c r="Y86" s="286" t="s">
        <v>203</v>
      </c>
      <c r="Z86" s="286" t="s">
        <v>204</v>
      </c>
      <c r="AA86" s="744">
        <f>IFERROR(IF(T86="Probabilidad",(L86-(+L86*W86)),IF(T86="Impacto",L86,"")),"")</f>
        <v>0.6</v>
      </c>
      <c r="AB86" s="288" t="str">
        <f>IFERROR(IF(AA86="","",IF(AA86&lt;=0.2,"Muy Baja",IF(AA86&lt;=0.4,"Baja",IF(AA86&lt;=0.6,"Media",IF(AA86&lt;=0.8,"Alta","Muy Alta"))))),"")</f>
        <v>Media</v>
      </c>
      <c r="AC86" s="289">
        <f>+AA86</f>
        <v>0.6</v>
      </c>
      <c r="AD86" s="288" t="str">
        <f>IFERROR(IF(AE86="","",IF(AE86&lt;=0.2,"Leve",IF(AE86&lt;=0.4,"Menor",IF(AE86&lt;=0.6,"Moderado",IF(AE86&lt;=0.8,"Mayor","Catastrófico"))))),"")</f>
        <v>Moderado</v>
      </c>
      <c r="AE86" s="289">
        <f>IFERROR(IF(T86="Impacto",(P86-(+P86*W86)),IF(T86="Probabilidad",P86,"")),"")</f>
        <v>0.6</v>
      </c>
      <c r="AF86" s="290" t="str">
        <f>IFERROR(IF(OR(AND(AB86="Muy Baja",AD86="Leve"),AND(AB86="Muy Baja",AD86="Menor"),AND(AB86="Baja",AD86="Leve")),"Bajo",IF(OR(AND(AB86="Muy baja",AD86="Moderado"),AND(AB86="Baja",AD86="Menor"),AND(AB86="Baja",AD86="Moderado"),AND(AB86="Media",AD86="Leve"),AND(AB86="Media",AD86="Menor"),AND(AB86="Media",AD86="Moderado"),AND(AB86="Alta",AD86="Leve"),AND(AB86="Alta",AD86="Menor")),"Moderado",IF(OR(AND(AB86="Muy Baja",AD86="Mayor"),AND(AB86="Baja",AD86="Mayor"),AND(AB86="Media",AD86="Mayor"),AND(AB86="Alta",AD86="Moderado"),AND(AB86="Alta",AD86="Mayor"),AND(AB86="Muy Alta",AD86="Leve"),AND(AB86="Muy Alta",AD86="Menor"),AND(AB86="Muy Alta",AD86="Moderado"),AND(AB86="Muy Alta",AD86="Mayor")),"Alto",IF(OR(AND(AB86="Muy Baja",AD86="Catastrófico"),AND(AB86="Baja",AD86="Catastrófico"),AND(AB86="Media",AD86="Catastrófico"),AND(AB86="Alta",AD86="Catastrófico"),AND(AB86="Muy Alta",AD86="Catastrófico")),"Extremo","")))),"")</f>
        <v>Moderado</v>
      </c>
      <c r="AG86" s="3477" t="s">
        <v>205</v>
      </c>
      <c r="AH86" s="2155" t="s">
        <v>1253</v>
      </c>
      <c r="AI86" s="2129" t="s">
        <v>1254</v>
      </c>
      <c r="AJ86" s="3479" t="s">
        <v>1445</v>
      </c>
      <c r="AK86" s="3254">
        <v>45754</v>
      </c>
      <c r="AL86" s="1194" t="s">
        <v>206</v>
      </c>
      <c r="AM86" s="311"/>
    </row>
    <row r="87" spans="1:39" s="523" customFormat="1" ht="78" x14ac:dyDescent="0.25">
      <c r="A87" s="2113"/>
      <c r="B87" s="2156"/>
      <c r="C87" s="2156"/>
      <c r="D87" s="2159"/>
      <c r="E87" s="298" t="s">
        <v>1256</v>
      </c>
      <c r="F87" s="2125"/>
      <c r="G87" s="691" t="s">
        <v>1444</v>
      </c>
      <c r="H87" s="2125"/>
      <c r="I87" s="2127"/>
      <c r="J87" s="2130"/>
      <c r="K87" s="2110"/>
      <c r="L87" s="2107"/>
      <c r="M87" s="2133"/>
      <c r="N87" s="2107">
        <f>IF(NOT(ISERROR(MATCH(M87,_xlfn.ANCHORARRAY(F90),0))),L92&amp;"Por favor no seleccionar los criterios de impacto",M87)</f>
        <v>0</v>
      </c>
      <c r="O87" s="2110"/>
      <c r="P87" s="2107"/>
      <c r="Q87" s="2015"/>
      <c r="R87" s="283">
        <v>2</v>
      </c>
      <c r="S87" s="299" t="s">
        <v>1257</v>
      </c>
      <c r="T87" s="285" t="str">
        <f t="shared" ref="T87" si="40">IF(OR(U87="Preventivo",U87="Detectivo"),"Probabilidad",IF(U87="Correctivo","Impacto",""))</f>
        <v>Probabilidad</v>
      </c>
      <c r="U87" s="286" t="s">
        <v>207</v>
      </c>
      <c r="V87" s="286" t="s">
        <v>201</v>
      </c>
      <c r="W87" s="287" t="str">
        <f t="shared" ref="W87" si="41">IF(AND(U87="Preventivo",V87="Automático"),"50%",IF(AND(U87="Preventivo",V87="Manual"),"40%",IF(AND(U87="Detectivo",V87="Automático"),"40%",IF(AND(U87="Detectivo",V87="Manual"),"30%",IF(AND(U87="Correctivo",V87="Automático"),"35%",IF(AND(U87="Correctivo",V87="Manual"),"25%",""))))))</f>
        <v>40%</v>
      </c>
      <c r="X87" s="286" t="s">
        <v>202</v>
      </c>
      <c r="Y87" s="286" t="s">
        <v>203</v>
      </c>
      <c r="Z87" s="286" t="s">
        <v>204</v>
      </c>
      <c r="AA87" s="744">
        <f>IFERROR(IF(AND(T86="Probabilidad",T87="Probabilidad"),(AC86-(+AC86*W87)),IF(AND(T86="Impacto",T87="Probabilidad"),(L86-(+L86*W87)),IF(T87="Impacto",AC86,""))),"")</f>
        <v>0.36</v>
      </c>
      <c r="AB87" s="288" t="str">
        <f t="shared" ref="AB87" si="42">IFERROR(IF(AA87="","",IF(AA87&lt;=0.2,"Muy Baja",IF(AA87&lt;=0.4,"Baja",IF(AA87&lt;=0.6,"Media",IF(AA87&lt;=0.8,"Alta","Muy Alta"))))),"")</f>
        <v>Baja</v>
      </c>
      <c r="AC87" s="289">
        <f>+AA87</f>
        <v>0.36</v>
      </c>
      <c r="AD87" s="288" t="str">
        <f t="shared" ref="AD87" si="43">IFERROR(IF(AE87="","",IF(AE87&lt;=0.2,"Leve",IF(AE87&lt;=0.4,"Menor",IF(AE87&lt;=0.6,"Moderado",IF(AE87&lt;=0.8,"Mayor","Catastrófico"))))),"")</f>
        <v>Moderado</v>
      </c>
      <c r="AE87" s="289">
        <f>IFERROR(IF(AND(T86="Impacto",T87="Impacto"),(AE86-(+AE86*W87)),IF(AND(T86="Probabilidad",T87="Impacto"),(P86-(+P86*W87)),IF(T87="Probabilidad",AE86,""))),"")</f>
        <v>0.6</v>
      </c>
      <c r="AF87" s="290" t="str">
        <f t="shared" ref="AF87" si="44">IFERROR(IF(OR(AND(AB87="Muy Baja",AD87="Leve"),AND(AB87="Muy Baja",AD87="Menor"),AND(AB87="Baja",AD87="Leve")),"Bajo",IF(OR(AND(AB87="Muy baja",AD87="Moderado"),AND(AB87="Baja",AD87="Menor"),AND(AB87="Baja",AD87="Moderado"),AND(AB87="Media",AD87="Leve"),AND(AB87="Media",AD87="Menor"),AND(AB87="Media",AD87="Moderado"),AND(AB87="Alta",AD87="Leve"),AND(AB87="Alta",AD87="Menor")),"Moderado",IF(OR(AND(AB87="Muy Baja",AD87="Mayor"),AND(AB87="Baja",AD87="Mayor"),AND(AB87="Media",AD87="Mayor"),AND(AB87="Alta",AD87="Moderado"),AND(AB87="Alta",AD87="Mayor"),AND(AB87="Muy Alta",AD87="Leve"),AND(AB87="Muy Alta",AD87="Menor"),AND(AB87="Muy Alta",AD87="Moderado"),AND(AB87="Muy Alta",AD87="Mayor")),"Alto",IF(OR(AND(AB87="Muy Baja",AD87="Catastrófico"),AND(AB87="Baja",AD87="Catastrófico"),AND(AB87="Media",AD87="Catastrófico"),AND(AB87="Alta",AD87="Catastrófico"),AND(AB87="Muy Alta",AD87="Catastrófico")),"Extremo","")))),"")</f>
        <v>Moderado</v>
      </c>
      <c r="AG87" s="3478"/>
      <c r="AH87" s="2157"/>
      <c r="AI87" s="2131"/>
      <c r="AJ87" s="3480"/>
      <c r="AK87" s="3255"/>
      <c r="AL87" s="1195"/>
      <c r="AM87" s="311"/>
    </row>
    <row r="88" spans="1:39" s="523" customFormat="1" ht="69" customHeight="1" x14ac:dyDescent="0.25">
      <c r="A88" s="2112">
        <v>2</v>
      </c>
      <c r="B88" s="2115" t="s">
        <v>209</v>
      </c>
      <c r="C88" s="2115" t="s">
        <v>1258</v>
      </c>
      <c r="D88" s="2118" t="s">
        <v>1259</v>
      </c>
      <c r="E88" s="304" t="s">
        <v>1260</v>
      </c>
      <c r="F88" s="2121" t="s">
        <v>1261</v>
      </c>
      <c r="G88" s="1197" t="s">
        <v>1444</v>
      </c>
      <c r="H88" s="3481" t="s">
        <v>1262</v>
      </c>
      <c r="I88" s="2122" t="s">
        <v>198</v>
      </c>
      <c r="J88" s="2090">
        <v>28</v>
      </c>
      <c r="K88" s="2093" t="str">
        <f>IF(J88&lt;=0,"",IF(J88&lt;=2,"Muy Baja",IF(J88&lt;=24,"Baja",IF(J88&lt;=500,"Media",IF(J88&lt;=5000,"Alta","Muy Alta")))))</f>
        <v>Media</v>
      </c>
      <c r="L88" s="2087">
        <f>IF(K88="","",IF(K88="Muy Baja",0.2,IF(K88="Baja",0.4,IF(K88="Media",0.6,IF(K88="Alta",0.8,IF(K88="Muy Alta",1,))))))</f>
        <v>0.6</v>
      </c>
      <c r="M88" s="2096" t="s">
        <v>225</v>
      </c>
      <c r="N88" s="2087" t="str">
        <f>IF(NOT(ISERROR(MATCH(M88,'[64]Tabla Impacto'!$B$221:$B$223,0))),'[64]Tabla Impacto'!$F$223&amp;"Por favor no seleccionar los criterios de impacto(Afectación Económica o presupuestal y Pérdida Reputacional)",M88)</f>
        <v xml:space="preserve">     El riesgo afecta la imagen de la entidad con algunos usuarios de relevancia frente al logro de los objetivos</v>
      </c>
      <c r="O88" s="2093" t="str">
        <f>IF(OR(N88='[64]Tabla Impacto'!$C$11,N88='[64]Tabla Impacto'!$D$11),"Leve",IF(OR(N88='[64]Tabla Impacto'!$C$12,N88='[64]Tabla Impacto'!$D$12),"Menor",IF(OR(N88='[64]Tabla Impacto'!$C$13,N88='[64]Tabla Impacto'!$D$13),"Moderado",IF(OR(N88='[64]Tabla Impacto'!$C$14,N88='[64]Tabla Impacto'!$D$14),"Mayor",IF(OR(N88='[64]Tabla Impacto'!$C$15,N88='[64]Tabla Impacto'!$D$15),"Catastrófico","")))))</f>
        <v>Moderado</v>
      </c>
      <c r="P88" s="2087">
        <f>IF(O88="","",IF(O88="Leve",0.2,IF(O88="Menor",0.4,IF(O88="Moderado",0.6,IF(O88="Mayor",0.8,IF(O88="Catastrófico",1,))))))</f>
        <v>0.6</v>
      </c>
      <c r="Q88" s="2018" t="str">
        <f>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Moderado</v>
      </c>
      <c r="R88" s="283">
        <v>1</v>
      </c>
      <c r="S88" s="1198" t="s">
        <v>1263</v>
      </c>
      <c r="T88" s="285" t="str">
        <f>IF(OR(U88="Preventivo",U88="Detectivo"),"Probabilidad",IF(U88="Correctivo","Impacto",""))</f>
        <v>Probabilidad</v>
      </c>
      <c r="U88" s="286" t="s">
        <v>207</v>
      </c>
      <c r="V88" s="286" t="s">
        <v>1010</v>
      </c>
      <c r="W88" s="287" t="str">
        <f>IF(AND(U88="Preventivo",V88="Automático"),"50%",IF(AND(U88="Preventivo",V88="Manual"),"40%",IF(AND(U88="Detectivo",V88="Automático"),"40%",IF(AND(U88="Detectivo",V88="Manual"),"30%",IF(AND(U88="Correctivo",V88="Automático"),"35%",IF(AND(U88="Correctivo",V88="Manual"),"25%",""))))))</f>
        <v>50%</v>
      </c>
      <c r="X88" s="286" t="s">
        <v>208</v>
      </c>
      <c r="Y88" s="286" t="s">
        <v>203</v>
      </c>
      <c r="Z88" s="286" t="s">
        <v>204</v>
      </c>
      <c r="AA88" s="744">
        <f>IFERROR(IF(T88="Probabilidad",(L88-(+L88*W88)),IF(T88="Impacto",L88,"")),"")</f>
        <v>0.3</v>
      </c>
      <c r="AB88" s="288" t="str">
        <f>IFERROR(IF(AA88="","",IF(AA88&lt;=0.2,"Muy Baja",IF(AA88&lt;=0.4,"Baja",IF(AA88&lt;=0.6,"Media",IF(AA88&lt;=0.8,"Alta","Muy Alta"))))),"")</f>
        <v>Baja</v>
      </c>
      <c r="AC88" s="289">
        <f>+AA88</f>
        <v>0.3</v>
      </c>
      <c r="AD88" s="288" t="str">
        <f>IFERROR(IF(AE88="","",IF(AE88&lt;=0.2,"Leve",IF(AE88&lt;=0.4,"Menor",IF(AE88&lt;=0.6,"Moderado",IF(AE88&lt;=0.8,"Mayor","Catastrófico"))))),"")</f>
        <v>Moderado</v>
      </c>
      <c r="AE88" s="289">
        <f>IFERROR(IF(T88="Impacto",(P88-(+P88*W88)),IF(T88="Probabilidad",P88,"")),"")</f>
        <v>0.6</v>
      </c>
      <c r="AF88" s="290" t="str">
        <f>IFERROR(IF(OR(AND(AB88="Muy Baja",AD88="Leve"),AND(AB88="Muy Baja",AD88="Menor"),AND(AB88="Baja",AD88="Leve")),"Bajo",IF(OR(AND(AB88="Muy baja",AD88="Moderado"),AND(AB88="Baja",AD88="Menor"),AND(AB88="Baja",AD88="Moderado"),AND(AB88="Media",AD88="Leve"),AND(AB88="Media",AD88="Menor"),AND(AB88="Media",AD88="Moderado"),AND(AB88="Alta",AD88="Leve"),AND(AB88="Alta",AD88="Menor")),"Moderado",IF(OR(AND(AB88="Muy Baja",AD88="Mayor"),AND(AB88="Baja",AD88="Mayor"),AND(AB88="Media",AD88="Mayor"),AND(AB88="Alta",AD88="Moderado"),AND(AB88="Alta",AD88="Mayor"),AND(AB88="Muy Alta",AD88="Leve"),AND(AB88="Muy Alta",AD88="Menor"),AND(AB88="Muy Alta",AD88="Moderado"),AND(AB88="Muy Alta",AD88="Mayor")),"Alto",IF(OR(AND(AB88="Muy Baja",AD88="Catastrófico"),AND(AB88="Baja",AD88="Catastrófico"),AND(AB88="Media",AD88="Catastrófico"),AND(AB88="Alta",AD88="Catastrófico"),AND(AB88="Muy Alta",AD88="Catastrófico")),"Extremo","")))),"")</f>
        <v>Moderado</v>
      </c>
      <c r="AG88" s="1200" t="s">
        <v>205</v>
      </c>
      <c r="AH88" s="296" t="s">
        <v>1446</v>
      </c>
      <c r="AI88" s="297" t="s">
        <v>1265</v>
      </c>
      <c r="AJ88" s="303" t="s">
        <v>1445</v>
      </c>
      <c r="AK88" s="1196">
        <v>45754</v>
      </c>
      <c r="AL88" s="1194" t="s">
        <v>206</v>
      </c>
      <c r="AM88" s="311"/>
    </row>
    <row r="89" spans="1:39" s="523" customFormat="1" ht="69" x14ac:dyDescent="0.25">
      <c r="A89" s="2113"/>
      <c r="B89" s="2116"/>
      <c r="C89" s="2116"/>
      <c r="D89" s="2119"/>
      <c r="E89" s="304" t="s">
        <v>1266</v>
      </c>
      <c r="F89" s="2121"/>
      <c r="G89" s="1199" t="s">
        <v>1444</v>
      </c>
      <c r="H89" s="3482"/>
      <c r="I89" s="2123"/>
      <c r="J89" s="2091"/>
      <c r="K89" s="2094"/>
      <c r="L89" s="2088"/>
      <c r="M89" s="2097"/>
      <c r="N89" s="2088">
        <f>IF(NOT(ISERROR(MATCH(M89,_xlfn.ANCHORARRAY(F96),0))),L98&amp;"Por favor no seleccionar los criterios de impacto",M89)</f>
        <v>0</v>
      </c>
      <c r="O89" s="2094"/>
      <c r="P89" s="2088"/>
      <c r="Q89" s="2019"/>
      <c r="R89" s="283">
        <v>2</v>
      </c>
      <c r="S89" s="1198" t="s">
        <v>1267</v>
      </c>
      <c r="T89" s="285" t="str">
        <f>IF(OR(U89="Preventivo",U89="Detectivo"),"Probabilidad",IF(U89="Correctivo","Impacto",""))</f>
        <v>Probabilidad</v>
      </c>
      <c r="U89" s="286" t="s">
        <v>207</v>
      </c>
      <c r="V89" s="286" t="s">
        <v>201</v>
      </c>
      <c r="W89" s="287" t="str">
        <f t="shared" ref="W89" si="45">IF(AND(U89="Preventivo",V89="Automático"),"50%",IF(AND(U89="Preventivo",V89="Manual"),"40%",IF(AND(U89="Detectivo",V89="Automático"),"40%",IF(AND(U89="Detectivo",V89="Manual"),"30%",IF(AND(U89="Correctivo",V89="Automático"),"35%",IF(AND(U89="Correctivo",V89="Manual"),"25%",""))))))</f>
        <v>40%</v>
      </c>
      <c r="X89" s="286" t="s">
        <v>208</v>
      </c>
      <c r="Y89" s="286" t="s">
        <v>203</v>
      </c>
      <c r="Z89" s="286" t="s">
        <v>204</v>
      </c>
      <c r="AA89" s="744">
        <f>IFERROR(IF(AND(T88="Probabilidad",T89="Probabilidad"),(AC88-(+AC88*W89)),IF(AND(T88="Impacto",T89="Probabilidad"),(L88-(+L88*W89)),IF(T89="Impacto",AC88,""))),"")</f>
        <v>0.18</v>
      </c>
      <c r="AB89" s="288" t="str">
        <f t="shared" ref="AB89" si="46">IFERROR(IF(AA89="","",IF(AA89&lt;=0.2,"Muy Baja",IF(AA89&lt;=0.4,"Baja",IF(AA89&lt;=0.6,"Media",IF(AA89&lt;=0.8,"Alta","Muy Alta"))))),"")</f>
        <v>Muy Baja</v>
      </c>
      <c r="AC89" s="289">
        <f>+AA89</f>
        <v>0.18</v>
      </c>
      <c r="AD89" s="288" t="str">
        <f t="shared" ref="AD89" si="47">IFERROR(IF(AE89="","",IF(AE89&lt;=0.2,"Leve",IF(AE89&lt;=0.4,"Menor",IF(AE89&lt;=0.6,"Moderado",IF(AE89&lt;=0.8,"Mayor","Catastrófico"))))),"")</f>
        <v>Moderado</v>
      </c>
      <c r="AE89" s="289">
        <f>IFERROR(IF(AND(T88="Impacto",T89="Impacto"),(AE88-(+AE88*W89)),IF(AND(T88="Probabilidad",T89="Impacto"),(P88-(+P88*W89)),IF(T89="Probabilidad",AE88,""))),"")</f>
        <v>0.6</v>
      </c>
      <c r="AF89" s="290" t="str">
        <f t="shared" ref="AF89" si="48">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Moderado</v>
      </c>
      <c r="AG89" s="1200" t="s">
        <v>205</v>
      </c>
      <c r="AH89" s="296" t="s">
        <v>1447</v>
      </c>
      <c r="AI89" s="297" t="s">
        <v>1265</v>
      </c>
      <c r="AJ89" s="303" t="s">
        <v>1445</v>
      </c>
      <c r="AK89" s="1196">
        <v>45754</v>
      </c>
      <c r="AL89" s="1194" t="s">
        <v>206</v>
      </c>
      <c r="AM89" s="311"/>
    </row>
    <row r="90" spans="1:39" s="523" customFormat="1" x14ac:dyDescent="0.25">
      <c r="A90" s="694"/>
      <c r="B90" s="695"/>
      <c r="C90" s="694"/>
      <c r="D90" s="694"/>
      <c r="E90" s="694"/>
      <c r="F90" s="311"/>
      <c r="G90" s="311"/>
      <c r="H90" s="311"/>
      <c r="I90" s="696"/>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row>
    <row r="91" spans="1:39" s="523" customFormat="1" x14ac:dyDescent="0.25">
      <c r="A91" s="3378" t="s">
        <v>156</v>
      </c>
      <c r="B91" s="3379"/>
      <c r="C91" s="3379"/>
      <c r="D91" s="3379"/>
      <c r="E91" s="3379"/>
      <c r="F91" s="3379"/>
      <c r="G91" s="3379"/>
      <c r="H91" s="3379"/>
      <c r="I91" s="3379"/>
      <c r="J91" s="3379"/>
      <c r="K91" s="3379"/>
      <c r="L91" s="3379"/>
      <c r="M91" s="3379"/>
      <c r="N91" s="3379"/>
      <c r="O91" s="3379"/>
      <c r="P91" s="3379"/>
      <c r="Q91" s="3379"/>
      <c r="R91" s="3379"/>
      <c r="S91" s="3379"/>
      <c r="T91" s="3379"/>
      <c r="U91" s="3379"/>
      <c r="V91" s="3379"/>
      <c r="W91" s="3379"/>
      <c r="X91" s="3379"/>
      <c r="Y91" s="3379"/>
      <c r="Z91" s="3379"/>
      <c r="AA91" s="3379"/>
      <c r="AB91" s="3379"/>
      <c r="AC91" s="3379"/>
      <c r="AD91" s="3379"/>
      <c r="AE91" s="3379"/>
      <c r="AF91" s="3379"/>
      <c r="AG91" s="3379"/>
      <c r="AH91" s="3379"/>
      <c r="AI91" s="3379"/>
      <c r="AJ91" s="3379"/>
      <c r="AK91" s="3379"/>
      <c r="AL91" s="3379"/>
      <c r="AM91" s="311"/>
    </row>
    <row r="92" spans="1:39" s="523" customFormat="1" x14ac:dyDescent="0.25">
      <c r="A92" s="3378"/>
      <c r="B92" s="3379"/>
      <c r="C92" s="3379"/>
      <c r="D92" s="3379"/>
      <c r="E92" s="3379"/>
      <c r="F92" s="3379"/>
      <c r="G92" s="3379"/>
      <c r="H92" s="3379"/>
      <c r="I92" s="3379"/>
      <c r="J92" s="3379"/>
      <c r="K92" s="3379"/>
      <c r="L92" s="3379"/>
      <c r="M92" s="3379"/>
      <c r="N92" s="3379"/>
      <c r="O92" s="3379"/>
      <c r="P92" s="3379"/>
      <c r="Q92" s="3379"/>
      <c r="R92" s="3379"/>
      <c r="S92" s="3379"/>
      <c r="T92" s="3379"/>
      <c r="U92" s="3379"/>
      <c r="V92" s="3379"/>
      <c r="W92" s="3379"/>
      <c r="X92" s="3379"/>
      <c r="Y92" s="3379"/>
      <c r="Z92" s="3379"/>
      <c r="AA92" s="3379"/>
      <c r="AB92" s="3379"/>
      <c r="AC92" s="3379"/>
      <c r="AD92" s="3379"/>
      <c r="AE92" s="3379"/>
      <c r="AF92" s="3379"/>
      <c r="AG92" s="3379"/>
      <c r="AH92" s="3379"/>
      <c r="AI92" s="3379"/>
      <c r="AJ92" s="3379"/>
      <c r="AK92" s="3379"/>
      <c r="AL92" s="3379"/>
      <c r="AM92" s="311"/>
    </row>
    <row r="93" spans="1:39" s="523" customFormat="1" x14ac:dyDescent="0.25">
      <c r="A93" s="703"/>
      <c r="B93" s="704"/>
      <c r="C93" s="703"/>
      <c r="D93" s="703"/>
      <c r="E93" s="703"/>
      <c r="F93" s="700"/>
      <c r="G93" s="700"/>
      <c r="H93" s="700"/>
      <c r="I93" s="705"/>
      <c r="J93" s="700"/>
      <c r="K93" s="700"/>
      <c r="L93" s="700"/>
      <c r="M93" s="700"/>
      <c r="N93" s="700"/>
      <c r="O93" s="700"/>
      <c r="P93" s="700"/>
      <c r="Q93" s="700"/>
      <c r="R93" s="700"/>
      <c r="S93" s="700"/>
      <c r="T93" s="700"/>
      <c r="U93" s="700"/>
      <c r="V93" s="700"/>
      <c r="W93" s="700"/>
      <c r="X93" s="700"/>
      <c r="Y93" s="700"/>
      <c r="Z93" s="700"/>
      <c r="AA93" s="700"/>
      <c r="AB93" s="700"/>
      <c r="AC93" s="700"/>
      <c r="AD93" s="700"/>
      <c r="AE93" s="700"/>
      <c r="AF93" s="700"/>
      <c r="AG93" s="700"/>
      <c r="AH93" s="700"/>
      <c r="AI93" s="700"/>
      <c r="AJ93" s="700"/>
      <c r="AK93" s="700"/>
      <c r="AL93" s="700"/>
      <c r="AM93" s="311"/>
    </row>
    <row r="94" spans="1:39" s="523" customFormat="1" ht="23.4" x14ac:dyDescent="0.25">
      <c r="A94" s="2349" t="s">
        <v>157</v>
      </c>
      <c r="B94" s="2350"/>
      <c r="C94" s="2039" t="s">
        <v>379</v>
      </c>
      <c r="D94" s="2039"/>
      <c r="E94" s="2039"/>
      <c r="F94" s="2039"/>
      <c r="G94" s="2039"/>
      <c r="H94" s="2039"/>
      <c r="I94" s="2039"/>
      <c r="J94" s="2039"/>
      <c r="K94" s="2039"/>
      <c r="L94" s="2039"/>
      <c r="M94" s="2039"/>
      <c r="N94" s="2039"/>
      <c r="O94" s="2039"/>
      <c r="P94" s="2039"/>
      <c r="Q94" s="2039"/>
      <c r="R94" s="2039"/>
      <c r="S94" s="2039"/>
      <c r="T94" s="2039"/>
      <c r="U94" s="2039"/>
      <c r="V94" s="2039"/>
      <c r="W94" s="2039"/>
      <c r="X94" s="2039"/>
      <c r="Y94" s="2039"/>
      <c r="Z94" s="2039"/>
      <c r="AA94" s="2039"/>
      <c r="AB94" s="2039"/>
      <c r="AC94" s="2039"/>
      <c r="AD94" s="2039"/>
      <c r="AE94" s="2039"/>
      <c r="AF94" s="2039"/>
      <c r="AG94" s="2039"/>
      <c r="AH94" s="2039"/>
      <c r="AI94" s="2039"/>
      <c r="AJ94" s="2039"/>
      <c r="AK94" s="2039"/>
      <c r="AL94" s="2039"/>
      <c r="AM94" s="311"/>
    </row>
    <row r="95" spans="1:39" s="523" customFormat="1" ht="23.4" customHeight="1" x14ac:dyDescent="0.25">
      <c r="A95" s="2349" t="s">
        <v>158</v>
      </c>
      <c r="B95" s="2350"/>
      <c r="C95" s="2040" t="s">
        <v>380</v>
      </c>
      <c r="D95" s="2040"/>
      <c r="E95" s="2040"/>
      <c r="F95" s="2040"/>
      <c r="G95" s="2040"/>
      <c r="H95" s="2040"/>
      <c r="I95" s="2040"/>
      <c r="J95" s="2040"/>
      <c r="K95" s="2040"/>
      <c r="L95" s="2040"/>
      <c r="M95" s="2040"/>
      <c r="N95" s="2040"/>
      <c r="O95" s="2040"/>
      <c r="P95" s="2040"/>
      <c r="Q95" s="2040"/>
      <c r="R95" s="2040"/>
      <c r="S95" s="2040"/>
      <c r="T95" s="2040"/>
      <c r="U95" s="2040"/>
      <c r="V95" s="2040"/>
      <c r="W95" s="2040"/>
      <c r="X95" s="2040"/>
      <c r="Y95" s="2040"/>
      <c r="Z95" s="2040"/>
      <c r="AA95" s="2040"/>
      <c r="AB95" s="2040"/>
      <c r="AC95" s="2040"/>
      <c r="AD95" s="2040"/>
      <c r="AE95" s="2040"/>
      <c r="AF95" s="2040"/>
      <c r="AG95" s="2040"/>
      <c r="AH95" s="2040"/>
      <c r="AI95" s="2040"/>
      <c r="AJ95" s="2040"/>
      <c r="AK95" s="2040"/>
      <c r="AL95" s="2040"/>
      <c r="AM95" s="311"/>
    </row>
    <row r="96" spans="1:39" s="523" customFormat="1" ht="23.4" customHeight="1" x14ac:dyDescent="0.25">
      <c r="A96" s="2349" t="s">
        <v>159</v>
      </c>
      <c r="B96" s="2350"/>
      <c r="C96" s="2040" t="s">
        <v>381</v>
      </c>
      <c r="D96" s="2040"/>
      <c r="E96" s="2040"/>
      <c r="F96" s="2040"/>
      <c r="G96" s="2040"/>
      <c r="H96" s="2040"/>
      <c r="I96" s="2040"/>
      <c r="J96" s="2040"/>
      <c r="K96" s="2040"/>
      <c r="L96" s="2040"/>
      <c r="M96" s="2040"/>
      <c r="N96" s="2040"/>
      <c r="O96" s="2040"/>
      <c r="P96" s="2040"/>
      <c r="Q96" s="2040"/>
      <c r="R96" s="2040"/>
      <c r="S96" s="2040"/>
      <c r="T96" s="2040"/>
      <c r="U96" s="2040"/>
      <c r="V96" s="2040"/>
      <c r="W96" s="2040"/>
      <c r="X96" s="2040"/>
      <c r="Y96" s="2040"/>
      <c r="Z96" s="2040"/>
      <c r="AA96" s="2040"/>
      <c r="AB96" s="2040"/>
      <c r="AC96" s="2040"/>
      <c r="AD96" s="2040"/>
      <c r="AE96" s="2040"/>
      <c r="AF96" s="2040"/>
      <c r="AG96" s="2040"/>
      <c r="AH96" s="2040"/>
      <c r="AI96" s="2040"/>
      <c r="AJ96" s="2040"/>
      <c r="AK96" s="2040"/>
      <c r="AL96" s="2040"/>
      <c r="AM96" s="311"/>
    </row>
    <row r="97" spans="1:39" s="523" customFormat="1" x14ac:dyDescent="0.25">
      <c r="A97" s="752" t="s">
        <v>160</v>
      </c>
      <c r="B97" s="753"/>
      <c r="C97" s="754"/>
      <c r="D97" s="754"/>
      <c r="E97" s="754"/>
      <c r="F97" s="754"/>
      <c r="G97" s="754"/>
      <c r="H97" s="754"/>
      <c r="I97" s="754"/>
      <c r="J97" s="755"/>
      <c r="K97" s="756" t="s">
        <v>161</v>
      </c>
      <c r="L97" s="754"/>
      <c r="M97" s="754"/>
      <c r="N97" s="754"/>
      <c r="O97" s="754"/>
      <c r="P97" s="754"/>
      <c r="Q97" s="755"/>
      <c r="R97" s="756" t="s">
        <v>162</v>
      </c>
      <c r="S97" s="754"/>
      <c r="T97" s="754"/>
      <c r="U97" s="754"/>
      <c r="V97" s="754"/>
      <c r="W97" s="754"/>
      <c r="X97" s="754"/>
      <c r="Y97" s="754"/>
      <c r="Z97" s="755"/>
      <c r="AA97" s="756" t="s">
        <v>163</v>
      </c>
      <c r="AB97" s="754"/>
      <c r="AC97" s="754"/>
      <c r="AD97" s="754"/>
      <c r="AE97" s="754"/>
      <c r="AF97" s="754"/>
      <c r="AG97" s="755"/>
      <c r="AH97" s="756" t="s">
        <v>164</v>
      </c>
      <c r="AI97" s="754"/>
      <c r="AJ97" s="754"/>
      <c r="AK97" s="754"/>
      <c r="AL97" s="754"/>
      <c r="AM97" s="311"/>
    </row>
    <row r="98" spans="1:39" s="523" customFormat="1" x14ac:dyDescent="0.25">
      <c r="A98" s="2140" t="s">
        <v>165</v>
      </c>
      <c r="B98" s="2142" t="s">
        <v>142</v>
      </c>
      <c r="C98" s="2042" t="s">
        <v>166</v>
      </c>
      <c r="D98" s="2042" t="s">
        <v>167</v>
      </c>
      <c r="E98" s="2041" t="s">
        <v>168</v>
      </c>
      <c r="F98" s="2103" t="s">
        <v>60</v>
      </c>
      <c r="G98" s="280"/>
      <c r="H98" s="280"/>
      <c r="I98" s="2041" t="s">
        <v>169</v>
      </c>
      <c r="J98" s="2042" t="s">
        <v>170</v>
      </c>
      <c r="K98" s="2105" t="s">
        <v>171</v>
      </c>
      <c r="L98" s="2100" t="s">
        <v>172</v>
      </c>
      <c r="M98" s="2041" t="s">
        <v>173</v>
      </c>
      <c r="N98" s="2041" t="s">
        <v>174</v>
      </c>
      <c r="O98" s="2102" t="s">
        <v>175</v>
      </c>
      <c r="P98" s="2100" t="s">
        <v>172</v>
      </c>
      <c r="Q98" s="2042" t="s">
        <v>176</v>
      </c>
      <c r="R98" s="2161" t="s">
        <v>177</v>
      </c>
      <c r="S98" s="2043" t="s">
        <v>178</v>
      </c>
      <c r="T98" s="2041" t="s">
        <v>179</v>
      </c>
      <c r="U98" s="2043" t="s">
        <v>180</v>
      </c>
      <c r="V98" s="2043"/>
      <c r="W98" s="2043"/>
      <c r="X98" s="2043"/>
      <c r="Y98" s="2043"/>
      <c r="Z98" s="2043"/>
      <c r="AA98" s="2099" t="s">
        <v>181</v>
      </c>
      <c r="AB98" s="2099" t="s">
        <v>182</v>
      </c>
      <c r="AC98" s="2099" t="s">
        <v>172</v>
      </c>
      <c r="AD98" s="2099" t="s">
        <v>183</v>
      </c>
      <c r="AE98" s="2099" t="s">
        <v>172</v>
      </c>
      <c r="AF98" s="2099" t="s">
        <v>184</v>
      </c>
      <c r="AG98" s="2161" t="s">
        <v>185</v>
      </c>
      <c r="AH98" s="2043" t="s">
        <v>164</v>
      </c>
      <c r="AI98" s="2043" t="s">
        <v>143</v>
      </c>
      <c r="AJ98" s="2043" t="s">
        <v>186</v>
      </c>
      <c r="AK98" s="2043" t="s">
        <v>187</v>
      </c>
      <c r="AL98" s="2041" t="s">
        <v>189</v>
      </c>
      <c r="AM98" s="311"/>
    </row>
    <row r="99" spans="1:39" s="523" customFormat="1" ht="71.400000000000006" x14ac:dyDescent="0.25">
      <c r="A99" s="2141"/>
      <c r="B99" s="2142"/>
      <c r="C99" s="2043"/>
      <c r="D99" s="2043"/>
      <c r="E99" s="2105"/>
      <c r="F99" s="2104"/>
      <c r="G99" s="280" t="s">
        <v>610</v>
      </c>
      <c r="H99" s="280" t="s">
        <v>190</v>
      </c>
      <c r="I99" s="2042"/>
      <c r="J99" s="2043"/>
      <c r="K99" s="2042"/>
      <c r="L99" s="2101"/>
      <c r="M99" s="2042"/>
      <c r="N99" s="2042"/>
      <c r="O99" s="2101"/>
      <c r="P99" s="2101"/>
      <c r="Q99" s="2043"/>
      <c r="R99" s="2162"/>
      <c r="S99" s="2043"/>
      <c r="T99" s="2042"/>
      <c r="U99" s="281" t="s">
        <v>191</v>
      </c>
      <c r="V99" s="281" t="s">
        <v>192</v>
      </c>
      <c r="W99" s="281" t="s">
        <v>193</v>
      </c>
      <c r="X99" s="281" t="s">
        <v>194</v>
      </c>
      <c r="Y99" s="281" t="s">
        <v>195</v>
      </c>
      <c r="Z99" s="281" t="s">
        <v>196</v>
      </c>
      <c r="AA99" s="2099"/>
      <c r="AB99" s="2099"/>
      <c r="AC99" s="2099"/>
      <c r="AD99" s="2099"/>
      <c r="AE99" s="2099"/>
      <c r="AF99" s="2099"/>
      <c r="AG99" s="2162"/>
      <c r="AH99" s="2043"/>
      <c r="AI99" s="2043"/>
      <c r="AJ99" s="2043"/>
      <c r="AK99" s="2043"/>
      <c r="AL99" s="2790"/>
      <c r="AM99" s="311"/>
    </row>
    <row r="100" spans="1:39" s="523" customFormat="1" ht="187.2" x14ac:dyDescent="0.25">
      <c r="A100" s="2112">
        <v>1</v>
      </c>
      <c r="B100" s="2155" t="s">
        <v>209</v>
      </c>
      <c r="C100" s="2155" t="s">
        <v>382</v>
      </c>
      <c r="D100" s="2158" t="s">
        <v>719</v>
      </c>
      <c r="E100" s="758" t="s">
        <v>720</v>
      </c>
      <c r="F100" s="2125" t="s">
        <v>721</v>
      </c>
      <c r="G100" s="1979" t="s">
        <v>512</v>
      </c>
      <c r="H100" s="2125" t="s">
        <v>722</v>
      </c>
      <c r="I100" s="2126" t="s">
        <v>198</v>
      </c>
      <c r="J100" s="2129">
        <v>7162</v>
      </c>
      <c r="K100" s="2109" t="str">
        <f>IF(J100&lt;=0,"",IF(J100&lt;=2,"Muy Baja",IF(J100&lt;=24,"Baja",IF(J100&lt;=500,"Media",IF(J100&lt;=5000,"Alta","Muy Alta")))))</f>
        <v>Muy Alta</v>
      </c>
      <c r="L100" s="2106">
        <f>IF(K100="","",IF(K100="Muy Baja",0.2,IF(K100="Baja",0.4,IF(K100="Media",0.6,IF(K100="Alta",0.8,IF(K100="Muy Alta",1,))))))</f>
        <v>1</v>
      </c>
      <c r="M100" s="2132" t="s">
        <v>199</v>
      </c>
      <c r="N100" s="2106" t="str">
        <f>IF(NOT(ISERROR(MATCH(M100,'[65]Tabla Impacto'!$B$221:$B$223,0))),'[65]Tabla Impacto'!$F$223&amp;"Por favor no seleccionar los criterios de impacto(Afectación Económica o presupuestal y Pérdida Reputacional)",M100)</f>
        <v xml:space="preserve">     El riesgo afecta la imagen de de la entidad con efecto publicitario sostenido a nivel de sector administrativo, nivel departamental o municipal</v>
      </c>
      <c r="O100" s="2109" t="str">
        <f>IF(OR(N100='[65]Tabla Impacto'!$C$11,N100='[65]Tabla Impacto'!$D$11),"Leve",IF(OR(N100='[65]Tabla Impacto'!$C$12,N100='[65]Tabla Impacto'!$D$12),"Menor",IF(OR(N100='[65]Tabla Impacto'!$C$13,N100='[65]Tabla Impacto'!$D$13),"Moderado",IF(OR(N100='[65]Tabla Impacto'!$C$14,N100='[65]Tabla Impacto'!$D$14),"Mayor",IF(OR(N100='[65]Tabla Impacto'!$C$15,N100='[65]Tabla Impacto'!$D$15),"Catastrófico","")))))</f>
        <v>Mayor</v>
      </c>
      <c r="P100" s="2106">
        <f>IF(O100="","",IF(O100="Leve",0.2,IF(O100="Menor",0.4,IF(O100="Moderado",0.6,IF(O100="Mayor",0.8,IF(O100="Catastrófico",1,))))))</f>
        <v>0.8</v>
      </c>
      <c r="Q100" s="2014" t="str">
        <f>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Alto</v>
      </c>
      <c r="R100" s="283">
        <v>1</v>
      </c>
      <c r="S100" s="759" t="s">
        <v>723</v>
      </c>
      <c r="T100" s="285" t="str">
        <f>IF(OR(U100="Preventivo",U100="Detectivo"),"Probabilidad",IF(U100="Correctivo","Impacto",""))</f>
        <v>Impacto</v>
      </c>
      <c r="U100" s="286" t="s">
        <v>308</v>
      </c>
      <c r="V100" s="286" t="s">
        <v>201</v>
      </c>
      <c r="W100" s="287" t="str">
        <f>IF(AND(U100="Preventivo",V100="Automático"),"50%",IF(AND(U100="Preventivo",V100="Manual"),"40%",IF(AND(U100="Detectivo",V100="Automático"),"40%",IF(AND(U100="Detectivo",V100="Manual"),"30%",IF(AND(U100="Correctivo",V100="Automático"),"35%",IF(AND(U100="Correctivo",V100="Manual"),"25%",""))))))</f>
        <v>25%</v>
      </c>
      <c r="X100" s="286" t="s">
        <v>208</v>
      </c>
      <c r="Y100" s="286" t="s">
        <v>203</v>
      </c>
      <c r="Z100" s="286" t="s">
        <v>204</v>
      </c>
      <c r="AA100" s="744">
        <f>IFERROR(IF(T100="Probabilidad",(L100-(+L100*W100)),IF(T100="Impacto",L100,"")),"")</f>
        <v>1</v>
      </c>
      <c r="AB100" s="288" t="str">
        <f>IFERROR(IF(AA100="","",IF(AA100&lt;=0.2,"Muy Baja",IF(AA100&lt;=0.4,"Baja",IF(AA100&lt;=0.6,"Media",IF(AA100&lt;=0.8,"Alta","Muy Alta"))))),"")</f>
        <v>Muy Alta</v>
      </c>
      <c r="AC100" s="289">
        <f>+AA100</f>
        <v>1</v>
      </c>
      <c r="AD100" s="288" t="str">
        <f>IFERROR(IF(AE100="","",IF(AE100&lt;=0.2,"Leve",IF(AE100&lt;=0.4,"Menor",IF(AE100&lt;=0.6,"Moderado",IF(AE100&lt;=0.8,"Mayor","Catastrófico"))))),"")</f>
        <v>Moderado</v>
      </c>
      <c r="AE100" s="289">
        <f>IFERROR(IF(T100="Impacto",(P100-(+P100*W100)),IF(T100="Probabilidad",P100,"")),"")</f>
        <v>0.60000000000000009</v>
      </c>
      <c r="AF100" s="290" t="str">
        <f>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Alto</v>
      </c>
      <c r="AG100" s="291" t="s">
        <v>205</v>
      </c>
      <c r="AH100" s="760" t="s">
        <v>724</v>
      </c>
      <c r="AI100" s="761" t="s">
        <v>383</v>
      </c>
      <c r="AJ100" s="301">
        <v>45292</v>
      </c>
      <c r="AK100" s="301">
        <v>45657</v>
      </c>
      <c r="AL100" s="762" t="s">
        <v>206</v>
      </c>
      <c r="AM100" s="311"/>
    </row>
    <row r="101" spans="1:39" s="523" customFormat="1" ht="15.6" x14ac:dyDescent="0.25">
      <c r="A101" s="2113"/>
      <c r="B101" s="2156"/>
      <c r="C101" s="2156"/>
      <c r="D101" s="2159"/>
      <c r="E101" s="2791" t="s">
        <v>384</v>
      </c>
      <c r="F101" s="2125"/>
      <c r="G101" s="1980"/>
      <c r="H101" s="2125"/>
      <c r="I101" s="2127"/>
      <c r="J101" s="2130"/>
      <c r="K101" s="2110"/>
      <c r="L101" s="2107"/>
      <c r="M101" s="2133"/>
      <c r="N101" s="2107"/>
      <c r="O101" s="2110"/>
      <c r="P101" s="2107"/>
      <c r="Q101" s="2015"/>
      <c r="R101" s="2793">
        <v>2</v>
      </c>
      <c r="S101" s="2155" t="s">
        <v>728</v>
      </c>
      <c r="T101" s="2819" t="str">
        <f>IF(OR(U101="Preventivo",U101="Detectivo"),"Probabilidad",IF(U101="Correctivo","Impacto",""))</f>
        <v>Impacto</v>
      </c>
      <c r="U101" s="2801" t="s">
        <v>308</v>
      </c>
      <c r="V101" s="2801" t="s">
        <v>201</v>
      </c>
      <c r="W101" s="2795" t="str">
        <f>IF(AND(U101="Preventivo",V101="Automático"),"50%",IF(AND(U101="Preventivo",V101="Manual"),"40%",IF(AND(U101="Detectivo",V101="Automático"),"40%",IF(AND(U101="Detectivo",V101="Manual"),"30%",IF(AND(U101="Correctivo",V101="Automático"),"35%",IF(AND(U101="Correctivo",V101="Manual"),"25%",""))))))</f>
        <v>25%</v>
      </c>
      <c r="X101" s="2801" t="s">
        <v>208</v>
      </c>
      <c r="Y101" s="2801" t="s">
        <v>203</v>
      </c>
      <c r="Z101" s="2801" t="s">
        <v>204</v>
      </c>
      <c r="AA101" s="2821">
        <f>IFERROR(IF(AND(T100="Probabilidad",T101="Probabilidad"),(AC100-(+AC100*W101)),IF(AND(T100="Impacto",T101="Probabilidad"),(AC99-(+AC99*W101)),IF(T101="Impacto",AC100,""))),"")</f>
        <v>1</v>
      </c>
      <c r="AB101" s="2797" t="str">
        <f>IFERROR(IF(AA101="","",IF(AA101&lt;=0.2,"Muy Baja",IF(AA101&lt;=0.4,"Baja",IF(AA101&lt;=0.6,"Media",IF(AA101&lt;=0.8,"Alta","Muy Alta"))))),"")</f>
        <v>Muy Alta</v>
      </c>
      <c r="AC101" s="2795">
        <f>+AA101</f>
        <v>1</v>
      </c>
      <c r="AD101" s="2797" t="str">
        <f>IFERROR(IF(AE101="","",IF(AE101&lt;=0.2,"Leve",IF(AE101&lt;=0.4,"Menor",IF(AE101&lt;=0.6,"Moderado",IF(AE101&lt;=0.8,"Mayor","Catastrófico"))))),"")</f>
        <v>Moderado</v>
      </c>
      <c r="AE101" s="2795">
        <f>IFERROR(IF(AND(T100="Impacto",T101="Impacto"),(AE100-(+AE100*W101)),IF(AND(T100="Probabilidad",T101="Impacto"),(AE99-(+AE99*W101)),IF(T101="Probabilidad",AE100,""))),"")</f>
        <v>0.45000000000000007</v>
      </c>
      <c r="AF101" s="2799" t="str">
        <f>IFERROR(IF(OR(AND(AB101="Muy Baja",AD101="Leve"),AND(AB101="Muy Baja",AD101="Menor"),AND(AB101="Baja",AD101="Leve")),"Bajo",IF(OR(AND(AB101="Muy baja",AD101="Moderado"),AND(AB101="Baja",AD101="Menor"),AND(AB101="Baja",AD101="Moderado"),AND(AB101="Media",AD101="Leve"),AND(AB101="Media",AD101="Menor"),AND(AB101="Media",AD101="Moderado"),AND(AB101="Alta",AD101="Leve"),AND(AB101="Alta",AD101="Menor")),"Moderado",IF(OR(AND(AB101="Muy Baja",AD101="Mayor"),AND(AB101="Baja",AD101="Mayor"),AND(AB101="Media",AD101="Mayor"),AND(AB101="Alta",AD101="Moderado"),AND(AB101="Alta",AD101="Mayor"),AND(AB101="Muy Alta",AD101="Leve"),AND(AB101="Muy Alta",AD101="Menor"),AND(AB101="Muy Alta",AD101="Moderado"),AND(AB101="Muy Alta",AD101="Mayor")),"Alto",IF(OR(AND(AB101="Muy Baja",AD101="Catastrófico"),AND(AB101="Baja",AD101="Catastrófico"),AND(AB101="Media",AD101="Catastrófico"),AND(AB101="Alta",AD101="Catastrófico"),AND(AB101="Muy Alta",AD101="Catastrófico")),"Extremo","")))),"")</f>
        <v>Alto</v>
      </c>
      <c r="AG101" s="2801" t="s">
        <v>205</v>
      </c>
      <c r="AH101" s="765" t="s">
        <v>385</v>
      </c>
      <c r="AI101" s="736" t="s">
        <v>383</v>
      </c>
      <c r="AJ101" s="766">
        <v>45292</v>
      </c>
      <c r="AK101" s="766">
        <v>45657</v>
      </c>
      <c r="AL101" s="767" t="s">
        <v>206</v>
      </c>
      <c r="AM101" s="311"/>
    </row>
    <row r="102" spans="1:39" s="523" customFormat="1" x14ac:dyDescent="0.25">
      <c r="A102" s="2113"/>
      <c r="B102" s="2156"/>
      <c r="C102" s="2156"/>
      <c r="D102" s="2159"/>
      <c r="E102" s="2792"/>
      <c r="F102" s="2125"/>
      <c r="G102" s="1980"/>
      <c r="H102" s="2125"/>
      <c r="I102" s="2127"/>
      <c r="J102" s="2130"/>
      <c r="K102" s="2110"/>
      <c r="L102" s="2107"/>
      <c r="M102" s="2133"/>
      <c r="N102" s="2107">
        <f>IF(NOT(ISERROR(MATCH(M102,_xlfn.ANCHORARRAY(F107),0))),L109&amp;"Por favor no seleccionar los criterios de impacto",M102)</f>
        <v>0</v>
      </c>
      <c r="O102" s="2110"/>
      <c r="P102" s="2107"/>
      <c r="Q102" s="2015"/>
      <c r="R102" s="2794"/>
      <c r="S102" s="2157"/>
      <c r="T102" s="2820"/>
      <c r="U102" s="2802"/>
      <c r="V102" s="2802"/>
      <c r="W102" s="2796"/>
      <c r="X102" s="2802"/>
      <c r="Y102" s="2802"/>
      <c r="Z102" s="2802"/>
      <c r="AA102" s="2822"/>
      <c r="AB102" s="2798"/>
      <c r="AC102" s="2796"/>
      <c r="AD102" s="2798"/>
      <c r="AE102" s="2796"/>
      <c r="AF102" s="2800"/>
      <c r="AG102" s="2802"/>
      <c r="AH102" s="2803" t="s">
        <v>732</v>
      </c>
      <c r="AI102" s="2237" t="s">
        <v>383</v>
      </c>
      <c r="AJ102" s="2804">
        <v>45292</v>
      </c>
      <c r="AK102" s="2806">
        <v>45657</v>
      </c>
      <c r="AL102" s="2808" t="s">
        <v>206</v>
      </c>
      <c r="AM102" s="311"/>
    </row>
    <row r="103" spans="1:39" s="523" customFormat="1" ht="124.8" x14ac:dyDescent="0.25">
      <c r="A103" s="2113"/>
      <c r="B103" s="2156"/>
      <c r="C103" s="2156"/>
      <c r="D103" s="2159"/>
      <c r="E103" s="749" t="s">
        <v>386</v>
      </c>
      <c r="F103" s="2125"/>
      <c r="G103" s="1980"/>
      <c r="H103" s="2125"/>
      <c r="I103" s="2127"/>
      <c r="J103" s="2130"/>
      <c r="K103" s="2110"/>
      <c r="L103" s="2107"/>
      <c r="M103" s="2133"/>
      <c r="N103" s="2107">
        <f>IF(NOT(ISERROR(MATCH(M103,_xlfn.ANCHORARRAY(F108),0))),L110&amp;"Por favor no seleccionar los criterios de impacto",M103)</f>
        <v>0</v>
      </c>
      <c r="O103" s="2110"/>
      <c r="P103" s="2107"/>
      <c r="Q103" s="2015"/>
      <c r="R103" s="283">
        <v>3</v>
      </c>
      <c r="S103" s="768" t="s">
        <v>387</v>
      </c>
      <c r="T103" s="285" t="str">
        <f t="shared" ref="T103:T104" si="49">IF(OR(U103="Preventivo",U103="Detectivo"),"Probabilidad",IF(U103="Correctivo","Impacto",""))</f>
        <v>Impacto</v>
      </c>
      <c r="U103" s="286" t="s">
        <v>308</v>
      </c>
      <c r="V103" s="286" t="s">
        <v>201</v>
      </c>
      <c r="W103" s="287" t="str">
        <f t="shared" ref="W103:W106" si="50">IF(AND(U103="Preventivo",V103="Automático"),"50%",IF(AND(U103="Preventivo",V103="Manual"),"40%",IF(AND(U103="Detectivo",V103="Automático"),"40%",IF(AND(U103="Detectivo",V103="Manual"),"30%",IF(AND(U103="Correctivo",V103="Automático"),"35%",IF(AND(U103="Correctivo",V103="Manual"),"25%",""))))))</f>
        <v>25%</v>
      </c>
      <c r="X103" s="286" t="s">
        <v>208</v>
      </c>
      <c r="Y103" s="286" t="s">
        <v>203</v>
      </c>
      <c r="Z103" s="286" t="s">
        <v>204</v>
      </c>
      <c r="AA103" s="744">
        <f>IFERROR(IF(AND(T101="Probabilidad",T103="Probabilidad"),(AC101-(+AC101*W103)),IF(AND(T101="Impacto",T103="Probabilidad"),(AC100-(+AC100*W103)),IF(T103="Impacto",AC101,""))),"")</f>
        <v>1</v>
      </c>
      <c r="AB103" s="288" t="str">
        <f t="shared" ref="AB103:AB104" si="51">IFERROR(IF(AA103="","",IF(AA103&lt;=0.2,"Muy Baja",IF(AA103&lt;=0.4,"Baja",IF(AA103&lt;=0.6,"Media",IF(AA103&lt;=0.8,"Alta","Muy Alta"))))),"")</f>
        <v>Muy Alta</v>
      </c>
      <c r="AC103" s="289">
        <f t="shared" ref="AC103:AC104" si="52">+AA103</f>
        <v>1</v>
      </c>
      <c r="AD103" s="288" t="str">
        <f t="shared" ref="AD103:AD104" si="53">IFERROR(IF(AE103="","",IF(AE103&lt;=0.2,"Leve",IF(AE103&lt;=0.4,"Menor",IF(AE103&lt;=0.6,"Moderado",IF(AE103&lt;=0.8,"Mayor","Catastrófico"))))),"")</f>
        <v>Menor</v>
      </c>
      <c r="AE103" s="289">
        <f>IFERROR(IF(AND(T101="Impacto",T103="Impacto"),(AE101-(+AE101*W103)),IF(AND(T101="Probabilidad",T103="Impacto"),(AE100-(+AE100*W103)),IF(T103="Probabilidad",AE101,""))),"")</f>
        <v>0.33750000000000002</v>
      </c>
      <c r="AF103" s="290" t="str">
        <f t="shared" ref="AF103:AF104" si="54">IFERROR(IF(OR(AND(AB103="Muy Baja",AD103="Leve"),AND(AB103="Muy Baja",AD103="Menor"),AND(AB103="Baja",AD103="Leve")),"Bajo",IF(OR(AND(AB103="Muy baja",AD103="Moderado"),AND(AB103="Baja",AD103="Menor"),AND(AB103="Baja",AD103="Moderado"),AND(AB103="Media",AD103="Leve"),AND(AB103="Media",AD103="Menor"),AND(AB103="Media",AD103="Moderado"),AND(AB103="Alta",AD103="Leve"),AND(AB103="Alta",AD103="Menor")),"Moderado",IF(OR(AND(AB103="Muy Baja",AD103="Mayor"),AND(AB103="Baja",AD103="Mayor"),AND(AB103="Media",AD103="Mayor"),AND(AB103="Alta",AD103="Moderado"),AND(AB103="Alta",AD103="Mayor"),AND(AB103="Muy Alta",AD103="Leve"),AND(AB103="Muy Alta",AD103="Menor"),AND(AB103="Muy Alta",AD103="Moderado"),AND(AB103="Muy Alta",AD103="Mayor")),"Alto",IF(OR(AND(AB103="Muy Baja",AD103="Catastrófico"),AND(AB103="Baja",AD103="Catastrófico"),AND(AB103="Media",AD103="Catastrófico"),AND(AB103="Alta",AD103="Catastrófico"),AND(AB103="Muy Alta",AD103="Catastrófico")),"Extremo","")))),"")</f>
        <v>Alto</v>
      </c>
      <c r="AG103" s="291" t="s">
        <v>205</v>
      </c>
      <c r="AH103" s="2286"/>
      <c r="AI103" s="2287"/>
      <c r="AJ103" s="2805"/>
      <c r="AK103" s="2807"/>
      <c r="AL103" s="2809"/>
      <c r="AM103" s="311"/>
    </row>
    <row r="104" spans="1:39" s="523" customFormat="1" ht="156" x14ac:dyDescent="0.25">
      <c r="A104" s="2113"/>
      <c r="B104" s="2156"/>
      <c r="C104" s="2156"/>
      <c r="D104" s="2159"/>
      <c r="E104" s="749" t="s">
        <v>388</v>
      </c>
      <c r="F104" s="2125"/>
      <c r="G104" s="1980"/>
      <c r="H104" s="2125"/>
      <c r="I104" s="2127"/>
      <c r="J104" s="2130"/>
      <c r="K104" s="2110"/>
      <c r="L104" s="2107"/>
      <c r="M104" s="2133"/>
      <c r="N104" s="2107">
        <f>IF(NOT(ISERROR(MATCH(M104,_xlfn.ANCHORARRAY(F109),0))),L111&amp;"Por favor no seleccionar los criterios de impacto",M104)</f>
        <v>0</v>
      </c>
      <c r="O104" s="2110"/>
      <c r="P104" s="2107"/>
      <c r="Q104" s="2015"/>
      <c r="R104" s="283">
        <v>4</v>
      </c>
      <c r="S104" s="759" t="s">
        <v>389</v>
      </c>
      <c r="T104" s="285" t="str">
        <f t="shared" si="49"/>
        <v>Impacto</v>
      </c>
      <c r="U104" s="286" t="s">
        <v>308</v>
      </c>
      <c r="V104" s="286" t="s">
        <v>201</v>
      </c>
      <c r="W104" s="287" t="str">
        <f t="shared" si="50"/>
        <v>25%</v>
      </c>
      <c r="X104" s="286" t="s">
        <v>208</v>
      </c>
      <c r="Y104" s="286" t="s">
        <v>203</v>
      </c>
      <c r="Z104" s="286" t="s">
        <v>204</v>
      </c>
      <c r="AA104" s="744">
        <f>IFERROR(IF(AND(T103="Probabilidad",T104="Probabilidad"),(AC103-(+AC103*W104)),IF(AND(T103="Impacto",T104="Probabilidad"),(AC101-(+AC101*W104)),IF(T104="Impacto",AC103,""))),"")</f>
        <v>1</v>
      </c>
      <c r="AB104" s="288" t="str">
        <f t="shared" si="51"/>
        <v>Muy Alta</v>
      </c>
      <c r="AC104" s="289">
        <f t="shared" si="52"/>
        <v>1</v>
      </c>
      <c r="AD104" s="288" t="str">
        <f t="shared" si="53"/>
        <v>Menor</v>
      </c>
      <c r="AE104" s="289">
        <f>IFERROR(IF(AND(T103="Impacto",T104="Impacto"),(AE103-(+AE103*W104)),IF(AND(T103="Probabilidad",T104="Impacto"),(AE101-(+AE101*W104)),IF(T104="Probabilidad",AE103,""))),"")</f>
        <v>0.25312500000000004</v>
      </c>
      <c r="AF104" s="290" t="str">
        <f t="shared" si="54"/>
        <v>Alto</v>
      </c>
      <c r="AG104" s="291"/>
      <c r="AH104" s="760" t="s">
        <v>390</v>
      </c>
      <c r="AI104" s="300" t="s">
        <v>383</v>
      </c>
      <c r="AJ104" s="769">
        <v>45292</v>
      </c>
      <c r="AK104" s="769">
        <v>45657</v>
      </c>
      <c r="AL104" s="770" t="s">
        <v>206</v>
      </c>
      <c r="AM104" s="311"/>
    </row>
    <row r="105" spans="1:39" s="523" customFormat="1" ht="171.6" x14ac:dyDescent="0.25">
      <c r="A105" s="2112">
        <v>2</v>
      </c>
      <c r="B105" s="2155" t="s">
        <v>197</v>
      </c>
      <c r="C105" s="2155" t="s">
        <v>739</v>
      </c>
      <c r="D105" s="2815" t="s">
        <v>740</v>
      </c>
      <c r="E105" s="771" t="s">
        <v>391</v>
      </c>
      <c r="F105" s="2125" t="s">
        <v>741</v>
      </c>
      <c r="G105" s="1980"/>
      <c r="H105" s="2817" t="s">
        <v>742</v>
      </c>
      <c r="I105" s="2126" t="s">
        <v>392</v>
      </c>
      <c r="J105" s="2090">
        <v>7162</v>
      </c>
      <c r="K105" s="2093" t="str">
        <f>IF(J105&lt;=0,"",IF(J105&lt;=2,"Muy Baja",IF(J105&lt;=24,"Baja",IF(J105&lt;=500,"Media",IF(J105&lt;=5000,"Alta","Muy Alta")))))</f>
        <v>Muy Alta</v>
      </c>
      <c r="L105" s="2087">
        <f>IF(K105="","",IF(K105="Muy Baja",0.2,IF(K105="Baja",0.4,IF(K105="Media",0.6,IF(K105="Alta",0.8,IF(K105="Muy Alta",1,))))))</f>
        <v>1</v>
      </c>
      <c r="M105" s="2096" t="s">
        <v>393</v>
      </c>
      <c r="N105" s="2087" t="str">
        <f>IF(NOT(ISERROR(MATCH(M105,'[65]Tabla Impacto'!$B$221:$B$223,0))),'[65]Tabla Impacto'!$F$223&amp;"Por favor no seleccionar los criterios de impacto(Afectación Económica o presupuestal y Pérdida Reputacional)",M105)</f>
        <v xml:space="preserve">     Entre 200 y 1000 SMLMV</v>
      </c>
      <c r="O105" s="2093" t="str">
        <f>IF(OR(N105='[65]Tabla Impacto'!$C$11,N105='[65]Tabla Impacto'!$D$11),"Leve",IF(OR(N105='[65]Tabla Impacto'!$C$12,N105='[65]Tabla Impacto'!$D$12),"Menor",IF(OR(N105='[65]Tabla Impacto'!$C$13,N105='[65]Tabla Impacto'!$D$13),"Moderado",IF(OR(N105='[65]Tabla Impacto'!$C$14,N105='[65]Tabla Impacto'!$D$14),"Mayor",IF(OR(N105='[65]Tabla Impacto'!$C$15,N105='[65]Tabla Impacto'!$D$15),"Catastrófico","")))))</f>
        <v>Menor</v>
      </c>
      <c r="P105" s="2087">
        <f>IF(O105="","",IF(O105="Leve",0.2,IF(O105="Menor",0.4,IF(O105="Moderado",0.6,IF(O105="Mayor",0.8,IF(O105="Catastrófico",1,))))))</f>
        <v>0.4</v>
      </c>
      <c r="Q105" s="2018" t="str">
        <f>IF(OR(AND(K105="Muy Baja",O105="Leve"),AND(K105="Muy Baja",O105="Menor"),AND(K105="Baja",O105="Leve")),"Bajo",IF(OR(AND(K105="Muy baja",O105="Moderado"),AND(K105="Baja",O105="Menor"),AND(K105="Baja",O105="Moderado"),AND(K105="Media",O105="Leve"),AND(K105="Media",O105="Menor"),AND(K105="Media",O105="Moderado"),AND(K105="Alta",O105="Leve"),AND(K105="Alta",O105="Menor")),"Moderado",IF(OR(AND(K105="Muy Baja",O105="Mayor"),AND(K105="Baja",O105="Mayor"),AND(K105="Media",O105="Mayor"),AND(K105="Alta",O105="Moderado"),AND(K105="Alta",O105="Mayor"),AND(K105="Muy Alta",O105="Leve"),AND(K105="Muy Alta",O105="Menor"),AND(K105="Muy Alta",O105="Moderado"),AND(K105="Muy Alta",O105="Mayor")),"Alto",IF(OR(AND(K105="Muy Baja",O105="Catastrófico"),AND(K105="Baja",O105="Catastrófico"),AND(K105="Media",O105="Catastrófico"),AND(K105="Alta",O105="Catastrófico"),AND(K105="Muy Alta",O105="Catastrófico")),"Extremo",""))))</f>
        <v>Alto</v>
      </c>
      <c r="R105" s="283">
        <v>1</v>
      </c>
      <c r="S105" s="772" t="s">
        <v>743</v>
      </c>
      <c r="T105" s="285" t="str">
        <f>IF(OR(U105="Preventivo",U105="Detectivo"),"Probabilidad",IF(U105="Correctivo","Impacto",""))</f>
        <v>Impacto</v>
      </c>
      <c r="U105" s="286" t="s">
        <v>308</v>
      </c>
      <c r="V105" s="286" t="s">
        <v>201</v>
      </c>
      <c r="W105" s="287" t="str">
        <f t="shared" si="50"/>
        <v>25%</v>
      </c>
      <c r="X105" s="286" t="s">
        <v>208</v>
      </c>
      <c r="Y105" s="286" t="s">
        <v>203</v>
      </c>
      <c r="Z105" s="286" t="s">
        <v>204</v>
      </c>
      <c r="AA105" s="744">
        <f>IFERROR(IF(T105="Probabilidad",(L105-(+L105*W105)),IF(T105="Impacto",L105,"")),"")</f>
        <v>1</v>
      </c>
      <c r="AB105" s="288" t="str">
        <f>IFERROR(IF(AA105="","",IF(AA105&lt;=0.2,"Muy Baja",IF(AA105&lt;=0.4,"Baja",IF(AA105&lt;=0.6,"Media",IF(AA105&lt;=0.8,"Alta","Muy Alta"))))),"")</f>
        <v>Muy Alta</v>
      </c>
      <c r="AC105" s="289">
        <f>+AA105</f>
        <v>1</v>
      </c>
      <c r="AD105" s="288" t="str">
        <f>IFERROR(IF(AE105="","",IF(AE105&lt;=0.2,"Leve",IF(AE105&lt;=0.4,"Menor",IF(AE105&lt;=0.6,"Moderado",IF(AE105&lt;=0.8,"Mayor","Catastrófico"))))),"")</f>
        <v>Menor</v>
      </c>
      <c r="AE105" s="289">
        <f>IFERROR(IF(T105="Impacto",(P105-(+P105*W105)),IF(T105="Probabilidad",P105,"")),"")</f>
        <v>0.30000000000000004</v>
      </c>
      <c r="AF105" s="290" t="str">
        <f>IFERROR(IF(OR(AND(AB105="Muy Baja",AD105="Leve"),AND(AB105="Muy Baja",AD105="Menor"),AND(AB105="Baja",AD105="Leve")),"Bajo",IF(OR(AND(AB105="Muy baja",AD105="Moderado"),AND(AB105="Baja",AD105="Menor"),AND(AB105="Baja",AD105="Moderado"),AND(AB105="Media",AD105="Leve"),AND(AB105="Media",AD105="Menor"),AND(AB105="Media",AD105="Moderado"),AND(AB105="Alta",AD105="Leve"),AND(AB105="Alta",AD105="Menor")),"Moderado",IF(OR(AND(AB105="Muy Baja",AD105="Mayor"),AND(AB105="Baja",AD105="Mayor"),AND(AB105="Media",AD105="Mayor"),AND(AB105="Alta",AD105="Moderado"),AND(AB105="Alta",AD105="Mayor"),AND(AB105="Muy Alta",AD105="Leve"),AND(AB105="Muy Alta",AD105="Menor"),AND(AB105="Muy Alta",AD105="Moderado"),AND(AB105="Muy Alta",AD105="Mayor")),"Alto",IF(OR(AND(AB105="Muy Baja",AD105="Catastrófico"),AND(AB105="Baja",AD105="Catastrófico"),AND(AB105="Media",AD105="Catastrófico"),AND(AB105="Alta",AD105="Catastrófico"),AND(AB105="Muy Alta",AD105="Catastrófico")),"Extremo","")))),"")</f>
        <v>Alto</v>
      </c>
      <c r="AG105" s="773" t="s">
        <v>205</v>
      </c>
      <c r="AH105" s="760" t="s">
        <v>394</v>
      </c>
      <c r="AI105" s="761" t="s">
        <v>383</v>
      </c>
      <c r="AJ105" s="769">
        <v>45292</v>
      </c>
      <c r="AK105" s="769">
        <v>45657</v>
      </c>
      <c r="AL105" s="770" t="s">
        <v>206</v>
      </c>
      <c r="AM105" s="311"/>
    </row>
    <row r="106" spans="1:39" s="523" customFormat="1" ht="124.8" x14ac:dyDescent="0.25">
      <c r="A106" s="2113"/>
      <c r="B106" s="2156"/>
      <c r="C106" s="2156"/>
      <c r="D106" s="2816"/>
      <c r="E106" s="775" t="s">
        <v>747</v>
      </c>
      <c r="F106" s="2125"/>
      <c r="G106" s="1980"/>
      <c r="H106" s="2818"/>
      <c r="I106" s="2127"/>
      <c r="J106" s="2091"/>
      <c r="K106" s="2094"/>
      <c r="L106" s="2088"/>
      <c r="M106" s="2097"/>
      <c r="N106" s="2088">
        <f>IF(NOT(ISERROR(MATCH(M106,_xlfn.ANCHORARRAY(F113),0))),L115&amp;"Por favor no seleccionar los criterios de impacto",M106)</f>
        <v>0</v>
      </c>
      <c r="O106" s="2094"/>
      <c r="P106" s="2088"/>
      <c r="Q106" s="2019"/>
      <c r="R106" s="283">
        <v>2</v>
      </c>
      <c r="S106" s="759" t="s">
        <v>748</v>
      </c>
      <c r="T106" s="285" t="str">
        <f>IF(OR(U106="Preventivo",U106="Detectivo"),"Probabilidad",IF(U106="Correctivo","Impacto",""))</f>
        <v>Impacto</v>
      </c>
      <c r="U106" s="286" t="s">
        <v>308</v>
      </c>
      <c r="V106" s="286" t="s">
        <v>201</v>
      </c>
      <c r="W106" s="287" t="str">
        <f t="shared" si="50"/>
        <v>25%</v>
      </c>
      <c r="X106" s="286" t="s">
        <v>208</v>
      </c>
      <c r="Y106" s="286" t="s">
        <v>203</v>
      </c>
      <c r="Z106" s="286" t="s">
        <v>204</v>
      </c>
      <c r="AA106" s="744">
        <f>IFERROR(IF(AND(T105="Probabilidad",T106="Probabilidad"),(AC105-(+AC105*W106)),IF(AND(T105="Impacto",T106="Probabilidad"),(#REF!-(+#REF!*W106)),IF(T106="Impacto",AC105,""))),"")</f>
        <v>1</v>
      </c>
      <c r="AB106" s="288" t="str">
        <f t="shared" ref="AB106" si="55">IFERROR(IF(AA106="","",IF(AA106&lt;=0.2,"Muy Baja",IF(AA106&lt;=0.4,"Baja",IF(AA106&lt;=0.6,"Media",IF(AA106&lt;=0.8,"Alta","Muy Alta"))))),"")</f>
        <v>Muy Alta</v>
      </c>
      <c r="AC106" s="289">
        <f t="shared" ref="AC106" si="56">+AA106</f>
        <v>1</v>
      </c>
      <c r="AD106" s="288" t="str">
        <f t="shared" ref="AD106" si="57">IFERROR(IF(AE106="","",IF(AE106&lt;=0.2,"Leve",IF(AE106&lt;=0.4,"Menor",IF(AE106&lt;=0.6,"Moderado",IF(AE106&lt;=0.8,"Mayor","Catastrófico"))))),"")</f>
        <v>Menor</v>
      </c>
      <c r="AE106" s="289">
        <f>IFERROR(IF(AND(T105="Impacto",T106="Impacto"),(AE105-(+AE105*W106)),IF(AND(T105="Probabilidad",T106="Impacto"),(#REF!-(+#REF!*W106)),IF(T106="Probabilidad",AE105,""))),"")</f>
        <v>0.22500000000000003</v>
      </c>
      <c r="AF106" s="290" t="str">
        <f t="shared" ref="AF106" si="58">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Alto</v>
      </c>
      <c r="AG106" s="773" t="s">
        <v>205</v>
      </c>
      <c r="AH106" s="760" t="s">
        <v>749</v>
      </c>
      <c r="AI106" s="761" t="s">
        <v>383</v>
      </c>
      <c r="AJ106" s="769">
        <v>45292</v>
      </c>
      <c r="AK106" s="769">
        <v>45657</v>
      </c>
      <c r="AL106" s="770" t="s">
        <v>206</v>
      </c>
      <c r="AM106" s="311"/>
    </row>
    <row r="107" spans="1:39" s="523" customFormat="1" ht="13.8" customHeight="1" x14ac:dyDescent="0.25">
      <c r="A107" s="2970" t="s">
        <v>156</v>
      </c>
      <c r="B107" s="3371"/>
      <c r="C107" s="3371"/>
      <c r="D107" s="3371"/>
      <c r="E107" s="3371"/>
      <c r="F107" s="3371"/>
      <c r="G107" s="3371"/>
      <c r="H107" s="3371"/>
      <c r="I107" s="3371"/>
      <c r="J107" s="3371"/>
      <c r="K107" s="3371"/>
      <c r="L107" s="3371"/>
      <c r="M107" s="3371"/>
      <c r="N107" s="3371"/>
      <c r="O107" s="3371"/>
      <c r="P107" s="3371"/>
      <c r="Q107" s="3371"/>
      <c r="R107" s="3371"/>
      <c r="S107" s="3371"/>
      <c r="T107" s="3371"/>
      <c r="U107" s="3371"/>
      <c r="V107" s="3371"/>
      <c r="W107" s="3371"/>
      <c r="X107" s="3371"/>
      <c r="Y107" s="3371"/>
      <c r="Z107" s="3371"/>
      <c r="AA107" s="3371"/>
      <c r="AB107" s="3371"/>
      <c r="AC107" s="3371"/>
      <c r="AD107" s="3371"/>
      <c r="AE107" s="3371"/>
      <c r="AF107" s="3371"/>
      <c r="AG107" s="3371"/>
      <c r="AH107" s="3371"/>
      <c r="AI107" s="3371"/>
      <c r="AJ107" s="3371"/>
      <c r="AK107" s="3371"/>
      <c r="AL107" s="3371"/>
      <c r="AM107" s="3372"/>
    </row>
    <row r="108" spans="1:39" s="523" customFormat="1" ht="13.8" customHeight="1" x14ac:dyDescent="0.25">
      <c r="A108" s="3373"/>
      <c r="B108" s="3374"/>
      <c r="C108" s="3374"/>
      <c r="D108" s="3374"/>
      <c r="E108" s="3374"/>
      <c r="F108" s="3374"/>
      <c r="G108" s="3374"/>
      <c r="H108" s="3374"/>
      <c r="I108" s="3374"/>
      <c r="J108" s="3374"/>
      <c r="K108" s="3374"/>
      <c r="L108" s="3374"/>
      <c r="M108" s="3374"/>
      <c r="N108" s="3374"/>
      <c r="O108" s="3374"/>
      <c r="P108" s="3374"/>
      <c r="Q108" s="3374"/>
      <c r="R108" s="3374"/>
      <c r="S108" s="3374"/>
      <c r="T108" s="3374"/>
      <c r="U108" s="3374"/>
      <c r="V108" s="3374"/>
      <c r="W108" s="3374"/>
      <c r="X108" s="3374"/>
      <c r="Y108" s="3374"/>
      <c r="Z108" s="3374"/>
      <c r="AA108" s="3374"/>
      <c r="AB108" s="3374"/>
      <c r="AC108" s="3374"/>
      <c r="AD108" s="3374"/>
      <c r="AE108" s="3374"/>
      <c r="AF108" s="3374"/>
      <c r="AG108" s="3374"/>
      <c r="AH108" s="3374"/>
      <c r="AI108" s="3374"/>
      <c r="AJ108" s="3374"/>
      <c r="AK108" s="3374"/>
      <c r="AL108" s="3374"/>
      <c r="AM108" s="3375"/>
    </row>
    <row r="109" spans="1:39" s="523" customFormat="1" x14ac:dyDescent="0.25">
      <c r="A109" s="694"/>
      <c r="B109" s="695"/>
      <c r="C109" s="694"/>
      <c r="D109" s="694"/>
      <c r="E109" s="694"/>
      <c r="F109" s="311"/>
      <c r="G109" s="311"/>
      <c r="H109" s="311"/>
      <c r="I109" s="696"/>
      <c r="J109" s="311"/>
      <c r="K109" s="311"/>
      <c r="L109" s="311"/>
      <c r="M109" s="311"/>
      <c r="N109" s="311"/>
      <c r="O109" s="311"/>
      <c r="P109" s="311"/>
      <c r="Q109" s="311"/>
      <c r="R109" s="311"/>
      <c r="S109" s="311"/>
      <c r="T109" s="311"/>
      <c r="U109" s="311"/>
      <c r="V109" s="311"/>
      <c r="W109" s="311"/>
      <c r="X109" s="311"/>
      <c r="Y109" s="311"/>
      <c r="Z109" s="311"/>
      <c r="AA109" s="311"/>
      <c r="AB109" s="311"/>
      <c r="AC109" s="311"/>
      <c r="AD109" s="311"/>
      <c r="AE109" s="311"/>
      <c r="AF109" s="311"/>
      <c r="AG109" s="311"/>
      <c r="AH109" s="311"/>
      <c r="AI109" s="311"/>
      <c r="AJ109" s="311"/>
      <c r="AK109" s="311"/>
      <c r="AL109" s="311"/>
      <c r="AM109" s="311"/>
    </row>
    <row r="110" spans="1:39" s="523" customFormat="1" ht="23.4" customHeight="1" x14ac:dyDescent="0.3">
      <c r="A110" s="2340" t="s">
        <v>157</v>
      </c>
      <c r="B110" s="2324"/>
      <c r="C110" s="3376" t="s">
        <v>1054</v>
      </c>
      <c r="D110" s="2324"/>
      <c r="E110" s="2324"/>
      <c r="F110" s="2324"/>
      <c r="G110" s="2324"/>
      <c r="H110" s="2324"/>
      <c r="I110" s="2324"/>
      <c r="J110" s="2324"/>
      <c r="K110" s="2324"/>
      <c r="L110" s="2324"/>
      <c r="M110" s="2324"/>
      <c r="N110" s="2324"/>
      <c r="O110" s="2324"/>
      <c r="P110" s="2324"/>
      <c r="Q110" s="2324"/>
      <c r="R110" s="2324"/>
      <c r="S110" s="2324"/>
      <c r="T110" s="2324"/>
      <c r="U110" s="2324"/>
      <c r="V110" s="2324"/>
      <c r="W110" s="2324"/>
      <c r="X110" s="2324"/>
      <c r="Y110" s="2324"/>
      <c r="Z110" s="2324"/>
      <c r="AA110" s="2324"/>
      <c r="AB110" s="2324"/>
      <c r="AC110" s="2324"/>
      <c r="AD110" s="2324"/>
      <c r="AE110" s="2324"/>
      <c r="AF110" s="2324"/>
      <c r="AG110" s="2324"/>
      <c r="AH110" s="2324"/>
      <c r="AI110" s="2324"/>
      <c r="AJ110" s="2324"/>
      <c r="AK110" s="2324"/>
      <c r="AL110" s="2324"/>
      <c r="AM110" s="2325"/>
    </row>
    <row r="111" spans="1:39" s="523" customFormat="1" ht="23.4" customHeight="1" x14ac:dyDescent="0.3">
      <c r="A111" s="2340" t="s">
        <v>158</v>
      </c>
      <c r="B111" s="2324"/>
      <c r="C111" s="3377" t="s">
        <v>1055</v>
      </c>
      <c r="D111" s="2324"/>
      <c r="E111" s="2324"/>
      <c r="F111" s="2324"/>
      <c r="G111" s="2324"/>
      <c r="H111" s="2324"/>
      <c r="I111" s="2324"/>
      <c r="J111" s="2324"/>
      <c r="K111" s="2324"/>
      <c r="L111" s="2324"/>
      <c r="M111" s="2324"/>
      <c r="N111" s="2324"/>
      <c r="O111" s="2324"/>
      <c r="P111" s="2324"/>
      <c r="Q111" s="2324"/>
      <c r="R111" s="2324"/>
      <c r="S111" s="2324"/>
      <c r="T111" s="2324"/>
      <c r="U111" s="2324"/>
      <c r="V111" s="2324"/>
      <c r="W111" s="2324"/>
      <c r="X111" s="2324"/>
      <c r="Y111" s="2324"/>
      <c r="Z111" s="2324"/>
      <c r="AA111" s="2324"/>
      <c r="AB111" s="2324"/>
      <c r="AC111" s="2324"/>
      <c r="AD111" s="2324"/>
      <c r="AE111" s="2324"/>
      <c r="AF111" s="2324"/>
      <c r="AG111" s="2324"/>
      <c r="AH111" s="2324"/>
      <c r="AI111" s="2324"/>
      <c r="AJ111" s="2324"/>
      <c r="AK111" s="2324"/>
      <c r="AL111" s="2324"/>
      <c r="AM111" s="2325"/>
    </row>
    <row r="112" spans="1:39" s="523" customFormat="1" ht="23.4" customHeight="1" x14ac:dyDescent="0.3">
      <c r="A112" s="2340" t="s">
        <v>159</v>
      </c>
      <c r="B112" s="2324"/>
      <c r="C112" s="3376" t="s">
        <v>1056</v>
      </c>
      <c r="D112" s="2324"/>
      <c r="E112" s="2324"/>
      <c r="F112" s="2324"/>
      <c r="G112" s="2324"/>
      <c r="H112" s="2324"/>
      <c r="I112" s="2324"/>
      <c r="J112" s="2324"/>
      <c r="K112" s="2324"/>
      <c r="L112" s="2324"/>
      <c r="M112" s="2324"/>
      <c r="N112" s="2324"/>
      <c r="O112" s="2324"/>
      <c r="P112" s="2324"/>
      <c r="Q112" s="2324"/>
      <c r="R112" s="2324"/>
      <c r="S112" s="2324"/>
      <c r="T112" s="2324"/>
      <c r="U112" s="2324"/>
      <c r="V112" s="2324"/>
      <c r="W112" s="2324"/>
      <c r="X112" s="2324"/>
      <c r="Y112" s="2324"/>
      <c r="Z112" s="2324"/>
      <c r="AA112" s="2324"/>
      <c r="AB112" s="2324"/>
      <c r="AC112" s="2324"/>
      <c r="AD112" s="2324"/>
      <c r="AE112" s="2324"/>
      <c r="AF112" s="2324"/>
      <c r="AG112" s="2324"/>
      <c r="AH112" s="2324"/>
      <c r="AI112" s="2324"/>
      <c r="AJ112" s="2324"/>
      <c r="AK112" s="2324"/>
      <c r="AL112" s="2324"/>
      <c r="AM112" s="2325"/>
    </row>
    <row r="113" spans="1:39" s="523" customFormat="1" ht="14.4" x14ac:dyDescent="0.3">
      <c r="A113" s="2323" t="s">
        <v>160</v>
      </c>
      <c r="B113" s="2324"/>
      <c r="C113" s="2324"/>
      <c r="D113" s="2324"/>
      <c r="E113" s="2324"/>
      <c r="F113" s="2324"/>
      <c r="G113" s="2324"/>
      <c r="H113" s="2324"/>
      <c r="I113" s="2324"/>
      <c r="J113" s="2325"/>
      <c r="K113" s="2326" t="s">
        <v>161</v>
      </c>
      <c r="L113" s="2327"/>
      <c r="M113" s="2327"/>
      <c r="N113" s="2327"/>
      <c r="O113" s="2327"/>
      <c r="P113" s="2327"/>
      <c r="Q113" s="2318"/>
      <c r="R113" s="2326" t="s">
        <v>162</v>
      </c>
      <c r="S113" s="2327"/>
      <c r="T113" s="2327"/>
      <c r="U113" s="2327"/>
      <c r="V113" s="2327"/>
      <c r="W113" s="2327"/>
      <c r="X113" s="2327"/>
      <c r="Y113" s="2327"/>
      <c r="Z113" s="2318"/>
      <c r="AA113" s="2326" t="s">
        <v>163</v>
      </c>
      <c r="AB113" s="2327"/>
      <c r="AC113" s="2327"/>
      <c r="AD113" s="2327"/>
      <c r="AE113" s="2327"/>
      <c r="AF113" s="2327"/>
      <c r="AG113" s="2318"/>
      <c r="AH113" s="2326" t="s">
        <v>164</v>
      </c>
      <c r="AI113" s="2327"/>
      <c r="AJ113" s="2327"/>
      <c r="AK113" s="2327"/>
      <c r="AL113" s="2327"/>
      <c r="AM113" s="2318"/>
    </row>
    <row r="114" spans="1:39" s="523" customFormat="1" ht="14.4" customHeight="1" x14ac:dyDescent="0.3">
      <c r="A114" s="2328" t="s">
        <v>165</v>
      </c>
      <c r="B114" s="2329" t="s">
        <v>142</v>
      </c>
      <c r="C114" s="2330" t="s">
        <v>166</v>
      </c>
      <c r="D114" s="2330" t="s">
        <v>167</v>
      </c>
      <c r="E114" s="2305" t="s">
        <v>168</v>
      </c>
      <c r="F114" s="2331" t="s">
        <v>60</v>
      </c>
      <c r="G114" s="2329" t="s">
        <v>511</v>
      </c>
      <c r="H114" s="2329" t="s">
        <v>190</v>
      </c>
      <c r="I114" s="2305" t="s">
        <v>169</v>
      </c>
      <c r="J114" s="2330" t="s">
        <v>170</v>
      </c>
      <c r="K114" s="2330" t="s">
        <v>171</v>
      </c>
      <c r="L114" s="2332" t="s">
        <v>172</v>
      </c>
      <c r="M114" s="2305" t="s">
        <v>173</v>
      </c>
      <c r="N114" s="2305" t="s">
        <v>174</v>
      </c>
      <c r="O114" s="2334" t="s">
        <v>175</v>
      </c>
      <c r="P114" s="2332" t="s">
        <v>172</v>
      </c>
      <c r="Q114" s="2330" t="s">
        <v>176</v>
      </c>
      <c r="R114" s="2335" t="s">
        <v>177</v>
      </c>
      <c r="S114" s="2305" t="s">
        <v>178</v>
      </c>
      <c r="T114" s="2305" t="s">
        <v>179</v>
      </c>
      <c r="U114" s="2336" t="s">
        <v>180</v>
      </c>
      <c r="V114" s="2324"/>
      <c r="W114" s="2324"/>
      <c r="X114" s="2324"/>
      <c r="Y114" s="2324"/>
      <c r="Z114" s="2325"/>
      <c r="AA114" s="2335" t="s">
        <v>181</v>
      </c>
      <c r="AB114" s="2335" t="s">
        <v>182</v>
      </c>
      <c r="AC114" s="2335" t="s">
        <v>172</v>
      </c>
      <c r="AD114" s="2335" t="s">
        <v>183</v>
      </c>
      <c r="AE114" s="2335" t="s">
        <v>172</v>
      </c>
      <c r="AF114" s="2335" t="s">
        <v>184</v>
      </c>
      <c r="AG114" s="2335" t="s">
        <v>185</v>
      </c>
      <c r="AH114" s="2305" t="s">
        <v>164</v>
      </c>
      <c r="AI114" s="2305" t="s">
        <v>143</v>
      </c>
      <c r="AJ114" s="2305" t="s">
        <v>186</v>
      </c>
      <c r="AK114" s="2305" t="s">
        <v>187</v>
      </c>
      <c r="AL114" s="2305" t="s">
        <v>1448</v>
      </c>
      <c r="AM114" s="2305" t="s">
        <v>189</v>
      </c>
    </row>
    <row r="115" spans="1:39" s="523" customFormat="1" ht="72.599999999999994" customHeight="1" x14ac:dyDescent="0.25">
      <c r="A115" s="2306"/>
      <c r="B115" s="2306"/>
      <c r="C115" s="2306"/>
      <c r="D115" s="2306"/>
      <c r="E115" s="2308"/>
      <c r="F115" s="2308"/>
      <c r="G115" s="2306"/>
      <c r="H115" s="2306"/>
      <c r="I115" s="2306"/>
      <c r="J115" s="2306"/>
      <c r="K115" s="2306"/>
      <c r="L115" s="2333"/>
      <c r="M115" s="2306"/>
      <c r="N115" s="2306"/>
      <c r="O115" s="2333"/>
      <c r="P115" s="2333"/>
      <c r="Q115" s="2306"/>
      <c r="R115" s="2306"/>
      <c r="S115" s="2306"/>
      <c r="T115" s="2306"/>
      <c r="U115" s="698" t="s">
        <v>191</v>
      </c>
      <c r="V115" s="698" t="s">
        <v>192</v>
      </c>
      <c r="W115" s="698" t="s">
        <v>193</v>
      </c>
      <c r="X115" s="698" t="s">
        <v>194</v>
      </c>
      <c r="Y115" s="698" t="s">
        <v>195</v>
      </c>
      <c r="Z115" s="698" t="s">
        <v>196</v>
      </c>
      <c r="AA115" s="2306"/>
      <c r="AB115" s="2306"/>
      <c r="AC115" s="2306"/>
      <c r="AD115" s="2306"/>
      <c r="AE115" s="2306"/>
      <c r="AF115" s="2306"/>
      <c r="AG115" s="2306"/>
      <c r="AH115" s="2306"/>
      <c r="AI115" s="2306"/>
      <c r="AJ115" s="2306"/>
      <c r="AK115" s="2306"/>
      <c r="AL115" s="2306"/>
      <c r="AM115" s="2306"/>
    </row>
    <row r="116" spans="1:39" s="523" customFormat="1" ht="172.8" customHeight="1" x14ac:dyDescent="0.25">
      <c r="A116" s="2981">
        <v>1</v>
      </c>
      <c r="B116" s="2981" t="s">
        <v>209</v>
      </c>
      <c r="C116" s="2981" t="s">
        <v>1058</v>
      </c>
      <c r="D116" s="2981" t="s">
        <v>1059</v>
      </c>
      <c r="E116" s="952" t="s">
        <v>557</v>
      </c>
      <c r="F116" s="2981" t="s">
        <v>1060</v>
      </c>
      <c r="G116" s="3370" t="s">
        <v>512</v>
      </c>
      <c r="H116" s="3370" t="s">
        <v>1061</v>
      </c>
      <c r="I116" s="2981" t="s">
        <v>359</v>
      </c>
      <c r="J116" s="2981">
        <v>1852</v>
      </c>
      <c r="K116" s="2981" t="str">
        <f>IF(J116&lt;=0,"",IF(J116&lt;=2,"Muy Baja",IF(J116&lt;=24,"Baja",IF(J116&lt;=500,"Media",IF(J116&lt;=5000,"Alta","Muy Alta")))))</f>
        <v>Alta</v>
      </c>
      <c r="L116" s="3170">
        <f>IF(K116="","",IF(K116="Muy Baja",0.2,IF(K116="Baja",0.4,IF(K116="Media",0.6,IF(K116="Alta",0.8,IF(K116="Muy Alta",1,))))))</f>
        <v>0.8</v>
      </c>
      <c r="M116" s="3170" t="s">
        <v>303</v>
      </c>
      <c r="N116" s="3170" t="str">
        <f>IF(NOT(ISERROR(MATCH(M116,'[66]Tabla Impacto'!$B$221:$B$223,0))),'[66]Tabla Impacto'!$F$223&amp;"Por favor no seleccionar los criterios de impacto(Afectación Económica o presupuestal y Pérdida Reputacional)",M116)</f>
        <v xml:space="preserve">     El riesgo afecta la imagen de la entidad a nivel nacional, con efecto publicitarios sostenible a nivel país</v>
      </c>
      <c r="O116" s="2981" t="e">
        <f>IF(OR(N116='[66]Tabla Impacto'!$C$11,N116='[66]Tabla Impacto'!$D$11),"Leve",IF(OR(N116='[66]Tabla Impacto'!$C$12,N116='[66]Tabla Impacto'!$D$12),"Menor",IF(OR(N116='[66]Tabla Impacto'!$C$13,N116='[66]Tabla Impacto'!$D$13),"Moderado",IF(OR(N116='[66]Tabla Impacto'!$C$14,N116='[66]Tabla Impacto'!$D$14),"Mayor",IF(OR(N116='[66]Tabla Impacto'!$C$15,N116='[66]Tabla Impacto'!$D$15),"Catastrófico","")))))</f>
        <v>#REF!</v>
      </c>
      <c r="P116" s="3170" t="e">
        <f>IF(O116="","",IF(O116="Leve",0.2,IF(O116="Menor",0.4,IF(O116="Moderado",0.6,IF(O116="Mayor",0.8,IF(O116="Catastrófico",1,))))))</f>
        <v>#REF!</v>
      </c>
      <c r="Q116" s="2981" t="e">
        <f>IF(OR(AND(K116="Muy Baja",O116="Leve"),AND(K116="Muy Baja",O116="Menor"),AND(K116="Baja",O116="Leve")),"Bajo",IF(OR(AND(K116="Muy baja",O116="Moderado"),AND(K116="Baja",O116="Menor"),AND(K116="Baja",O116="Moderado"),AND(K116="Media",O116="Leve"),AND(K116="Media",O116="Menor"),AND(K116="Media",O116="Moderado"),AND(K116="Alta",O116="Leve"),AND(K116="Alta",O116="Menor")),"Moderado",IF(OR(AND(K116="Muy Baja",O116="Mayor"),AND(K116="Baja",O116="Mayor"),AND(K116="Media",O116="Mayor"),AND(K116="Alta",O116="Moderado"),AND(K116="Alta",O116="Mayor"),AND(K116="Muy Alta",O116="Leve"),AND(K116="Muy Alta",O116="Menor"),AND(K116="Muy Alta",O116="Moderado"),AND(K116="Muy Alta",O116="Mayor")),"Alto",IF(OR(AND(K116="Muy Baja",O116="Catastrófico"),AND(K116="Baja",O116="Catastrófico"),AND(K116="Media",O116="Catastrófico"),AND(K116="Alta",O116="Catastrófico"),AND(K116="Muy Alta",O116="Catastrófico")),"Extremo",""))))</f>
        <v>#REF!</v>
      </c>
      <c r="R116" s="892">
        <v>1</v>
      </c>
      <c r="S116" s="952" t="s">
        <v>560</v>
      </c>
      <c r="T116" s="892" t="str">
        <f t="shared" ref="T116:T118" si="59">IF(OR(U116="Preventivo",U116="Detectivo"),"Probabilidad",IF(U116="Correctivo","Impacto",""))</f>
        <v>Impacto</v>
      </c>
      <c r="U116" s="1212" t="s">
        <v>308</v>
      </c>
      <c r="V116" s="1212" t="s">
        <v>201</v>
      </c>
      <c r="W116" s="1213" t="str">
        <f t="shared" ref="W116:W119" si="60">IF(AND(U116="Preventivo",V116="Automático"),"50%",IF(AND(U116="Preventivo",V116="Manual"),"40%",IF(AND(U116="Detectivo",V116="Automático"),"40%",IF(AND(U116="Detectivo",V116="Manual"),"30%",IF(AND(U116="Correctivo",V116="Automático"),"35%",IF(AND(U116="Correctivo",V116="Manual"),"25%",""))))))</f>
        <v>25%</v>
      </c>
      <c r="X116" s="1212" t="s">
        <v>202</v>
      </c>
      <c r="Y116" s="1212" t="s">
        <v>203</v>
      </c>
      <c r="Z116" s="1212" t="s">
        <v>204</v>
      </c>
      <c r="AA116" s="1214">
        <f>IFERROR(IF(T116="Probabilidad",(L116-(+L116*W116)),IF(T116="Impacto",L116,"")),"")</f>
        <v>0.8</v>
      </c>
      <c r="AB116" s="3361" t="str">
        <f>IFERROR(IF(AA116="","",IF(AA116&lt;=0.2,"Muy Baja",IF(AA116&lt;=0.4,"Baja",IF(AA116&lt;=0.6,"Media",IF(AA116&lt;=0.8,"Alta","Muy Alta"))))),"")</f>
        <v>Alta</v>
      </c>
      <c r="AC116" s="3170">
        <f>+AA116</f>
        <v>0.8</v>
      </c>
      <c r="AD116" s="3361" t="str">
        <f>IFERROR(IF(AE116="","",IF(AE116&lt;=0.2,"Leve",IF(AE116&lt;=0.4,"Menor",IF(AE116&lt;=0.6,"Moderado",IF(AE116&lt;=0.8,"Mayor","Catastrófico"))))),"")</f>
        <v/>
      </c>
      <c r="AE116" s="3170" t="str">
        <f>IFERROR(IF(T116="Impacto",(P116-(+P116*W116)),IF(T116="Probabilidad",P116,"")),"")</f>
        <v/>
      </c>
      <c r="AF116" s="3361" t="str">
        <f>IFERROR(IF(OR(AND(AB116="Muy Baja",AD116="Leve"),AND(AB116="Muy Baja",AD116="Menor"),AND(AB116="Baja",AD116="Leve")),"Bajo",IF(OR(AND(AB116="Muy baja",AD116="Moderado"),AND(AB116="Baja",AD116="Menor"),AND(AB116="Baja",AD116="Moderado"),AND(AB116="Media",AD116="Leve"),AND(AB116="Media",AD116="Menor"),AND(AB116="Media",AD116="Moderado"),AND(AB116="Alta",AD116="Leve"),AND(AB116="Alta",AD116="Menor")),"Moderado",IF(OR(AND(AB116="Muy Baja",AD116="Mayor"),AND(AB116="Baja",AD116="Mayor"),AND(AB116="Media",AD116="Mayor"),AND(AB116="Alta",AD116="Moderado"),AND(AB116="Alta",AD116="Mayor"),AND(AB116="Muy Alta",AD116="Leve"),AND(AB116="Muy Alta",AD116="Menor"),AND(AB116="Muy Alta",AD116="Moderado"),AND(AB116="Muy Alta",AD116="Mayor")),"Alto",IF(OR(AND(AB116="Muy Baja",AD116="Catastrófico"),AND(AB116="Baja",AD116="Catastrófico"),AND(AB116="Media",AD116="Catastrófico"),AND(AB116="Alta",AD116="Catastrófico"),AND(AB116="Muy Alta",AD116="Catastrófico")),"Extremo","")))),"")</f>
        <v/>
      </c>
      <c r="AG116" s="3361" t="s">
        <v>205</v>
      </c>
      <c r="AH116" s="952" t="s">
        <v>561</v>
      </c>
      <c r="AI116" s="2981" t="s">
        <v>367</v>
      </c>
      <c r="AJ116" s="3367">
        <v>45657</v>
      </c>
      <c r="AK116" s="3368" t="s">
        <v>147</v>
      </c>
      <c r="AL116" s="952" t="s">
        <v>562</v>
      </c>
      <c r="AM116" s="1093" t="s">
        <v>206</v>
      </c>
    </row>
    <row r="117" spans="1:39" s="523" customFormat="1" ht="277.2" customHeight="1" x14ac:dyDescent="0.25">
      <c r="A117" s="2308"/>
      <c r="B117" s="2308"/>
      <c r="C117" s="2308"/>
      <c r="D117" s="2308"/>
      <c r="E117" s="2981" t="s">
        <v>368</v>
      </c>
      <c r="F117" s="2308"/>
      <c r="G117" s="2308"/>
      <c r="H117" s="2308"/>
      <c r="I117" s="2308"/>
      <c r="J117" s="2308"/>
      <c r="K117" s="2308"/>
      <c r="L117" s="2308"/>
      <c r="M117" s="2308"/>
      <c r="N117" s="2308"/>
      <c r="O117" s="2308"/>
      <c r="P117" s="2308"/>
      <c r="Q117" s="2308"/>
      <c r="R117" s="892">
        <v>2</v>
      </c>
      <c r="S117" s="1095" t="s">
        <v>1449</v>
      </c>
      <c r="T117" s="892" t="str">
        <f t="shared" si="59"/>
        <v/>
      </c>
      <c r="U117" s="1212" t="s">
        <v>564</v>
      </c>
      <c r="V117" s="1212" t="s">
        <v>201</v>
      </c>
      <c r="W117" s="1213" t="str">
        <f t="shared" si="60"/>
        <v/>
      </c>
      <c r="X117" s="1212" t="s">
        <v>208</v>
      </c>
      <c r="Y117" s="1212" t="s">
        <v>203</v>
      </c>
      <c r="Z117" s="1212" t="s">
        <v>204</v>
      </c>
      <c r="AA117" s="1214" t="str">
        <f>IFERROR(IF(AND(#REF!="Probabilidad",T117="Probabilidad"),(#REF!-(+#REF!*W117)),IF(AND(#REF!="Impacto",T117="Probabilidad"),(AC116-(+AC116*W117)),IF(T117="Impacto",#REF!,""))),"")</f>
        <v/>
      </c>
      <c r="AB117" s="2308"/>
      <c r="AC117" s="2308"/>
      <c r="AD117" s="2308"/>
      <c r="AE117" s="2308"/>
      <c r="AF117" s="2308"/>
      <c r="AG117" s="2308"/>
      <c r="AH117" s="952" t="s">
        <v>565</v>
      </c>
      <c r="AI117" s="2308"/>
      <c r="AJ117" s="2308"/>
      <c r="AK117" s="2381"/>
      <c r="AL117" s="892" t="s">
        <v>566</v>
      </c>
      <c r="AM117" s="1093" t="s">
        <v>206</v>
      </c>
    </row>
    <row r="118" spans="1:39" s="523" customFormat="1" ht="87.6" customHeight="1" x14ac:dyDescent="0.25">
      <c r="A118" s="2306"/>
      <c r="B118" s="2306"/>
      <c r="C118" s="2308"/>
      <c r="D118" s="2306"/>
      <c r="E118" s="2306"/>
      <c r="F118" s="2306"/>
      <c r="G118" s="2306"/>
      <c r="H118" s="2306"/>
      <c r="I118" s="2306"/>
      <c r="J118" s="2306"/>
      <c r="K118" s="2306"/>
      <c r="L118" s="2306"/>
      <c r="M118" s="2306"/>
      <c r="N118" s="2306"/>
      <c r="O118" s="2306"/>
      <c r="P118" s="2306"/>
      <c r="Q118" s="2306"/>
      <c r="R118" s="892">
        <v>3</v>
      </c>
      <c r="S118" s="892" t="s">
        <v>567</v>
      </c>
      <c r="T118" s="892" t="str">
        <f t="shared" si="59"/>
        <v>Probabilidad</v>
      </c>
      <c r="U118" s="1212" t="s">
        <v>207</v>
      </c>
      <c r="V118" s="1212" t="s">
        <v>201</v>
      </c>
      <c r="W118" s="1213" t="str">
        <f t="shared" si="60"/>
        <v>40%</v>
      </c>
      <c r="X118" s="1212" t="s">
        <v>208</v>
      </c>
      <c r="Y118" s="1212" t="s">
        <v>210</v>
      </c>
      <c r="Z118" s="1212" t="s">
        <v>204</v>
      </c>
      <c r="AA118" s="1214" t="str">
        <f>IFERROR(IF(AND(T117="Probabilidad",T118="Probabilidad"),(AC117-(+AC117*W118)),IF(AND(T117="Impacto",T118="Probabilidad"),(#REF!-(+#REF!*W118)),IF(T118="Impacto",AC117,""))),"")</f>
        <v/>
      </c>
      <c r="AB118" s="2306"/>
      <c r="AC118" s="2306"/>
      <c r="AD118" s="2306"/>
      <c r="AE118" s="2306"/>
      <c r="AF118" s="2306"/>
      <c r="AG118" s="2306"/>
      <c r="AH118" s="952" t="s">
        <v>369</v>
      </c>
      <c r="AI118" s="2306"/>
      <c r="AJ118" s="2306"/>
      <c r="AK118" s="2333"/>
      <c r="AL118" s="892" t="s">
        <v>568</v>
      </c>
      <c r="AM118" s="1093" t="s">
        <v>206</v>
      </c>
    </row>
    <row r="119" spans="1:39" s="523" customFormat="1" ht="64.2" customHeight="1" x14ac:dyDescent="0.25">
      <c r="A119" s="2981">
        <v>2</v>
      </c>
      <c r="B119" s="2981" t="s">
        <v>209</v>
      </c>
      <c r="C119" s="2982" t="s">
        <v>1058</v>
      </c>
      <c r="D119" s="2981" t="s">
        <v>370</v>
      </c>
      <c r="E119" s="892" t="s">
        <v>569</v>
      </c>
      <c r="F119" s="2981" t="s">
        <v>1062</v>
      </c>
      <c r="G119" s="2386" t="s">
        <v>512</v>
      </c>
      <c r="H119" s="2386" t="s">
        <v>372</v>
      </c>
      <c r="I119" s="2981" t="s">
        <v>359</v>
      </c>
      <c r="J119" s="2981">
        <v>4</v>
      </c>
      <c r="K119" s="2981" t="str">
        <f>IF(J119&lt;=0,"",IF(J119&lt;=2,"Muy Baja",IF(J119&lt;=24,"Baja",IF(J119&lt;=500,"Media",IF(J119&lt;=5000,"Alta","Muy Alta")))))</f>
        <v>Baja</v>
      </c>
      <c r="L119" s="3170">
        <f>IF(K119="","",IF(K119="Muy Baja",0.2,IF(K119="Baja",0.4,IF(K119="Media",0.6,IF(K119="Alta",0.8,IF(K119="Muy Alta",1,))))))</f>
        <v>0.4</v>
      </c>
      <c r="M119" s="3170" t="s">
        <v>570</v>
      </c>
      <c r="N119" s="3170" t="str">
        <f>IF(NOT(ISERROR(MATCH(M119,'[66]Tabla Impacto'!$B$221:$B$223,0))),'[66]Tabla Impacto'!$F$223&amp;"Por favor no seleccionar los criterios de impacto(Afectación Económica o presupuestal y Pérdida Reputacional)",M119)</f>
        <v xml:space="preserve">     El riesgo afecta la imagen de  la entidad con efecto publicitario sostenido a nivel de sector administrativo, nivel departamental o municipal</v>
      </c>
      <c r="O119" s="2981" t="e">
        <f>IF(OR(N116='[66]Tabla Impacto'!$C$11,N116='[66]Tabla Impacto'!$D$11),"Leve",IF(OR(N116='[66]Tabla Impacto'!$C$12,N116='[66]Tabla Impacto'!$D$12),"Menor",IF(OR(N116='[66]Tabla Impacto'!$C$13,N116='[66]Tabla Impacto'!$D$13),"Moderado",IF(OR(N116='[66]Tabla Impacto'!$C$14,N116='[66]Tabla Impacto'!$D$14),"Mayor",IF(OR(N116='[66]Tabla Impacto'!$C$15,N116='[66]Tabla Impacto'!$D$15),"Catastrófico","")))))</f>
        <v>#REF!</v>
      </c>
      <c r="P119" s="3170" t="e">
        <f>IF(O119="","",IF(O119="Leve",0.2,IF(O119="Menor",0.4,IF(O119="Moderado",0.6,IF(O119="Mayor",0.8,IF(O119="Catastrófico",1,))))))</f>
        <v>#REF!</v>
      </c>
      <c r="Q119" s="2981" t="e">
        <f>IF(OR(AND(K116="Muy Baja",O116="Leve"),AND(K116="Muy Baja",O116="Menor"),AND(K116="Baja",O116="Leve")),"Bajo",IF(OR(AND(K116="Muy baja",O116="Moderado"),AND(K116="Baja",O116="Menor"),AND(K116="Baja",O116="Moderado"),AND(K116="Media",O116="Leve"),AND(K116="Media",O116="Menor"),AND(K116="Media",O116="Moderado"),AND(K116="Alta",O116="Leve"),AND(K116="Alta",O116="Menor")),"Moderado",IF(OR(AND(K116="Muy Baja",O116="Mayor"),AND(K116="Baja",O116="Mayor"),AND(K116="Media",O116="Mayor"),AND(K116="Alta",O116="Moderado"),AND(K116="Alta",O116="Mayor"),AND(K116="Muy Alta",O116="Leve"),AND(K116="Muy Alta",O116="Menor"),AND(K116="Muy Alta",O116="Moderado"),AND(K116="Muy Alta",O116="Mayor")),"Alto",IF(OR(AND(K116="Muy Baja",O116="Catastrófico"),AND(K116="Baja",O116="Catastrófico"),AND(K116="Media",O116="Catastrófico"),AND(K116="Alta",O116="Catastrófico"),AND(K116="Muy Alta",O116="Catastrófico")),"Extremo",""))))</f>
        <v>#REF!</v>
      </c>
      <c r="R119" s="892">
        <v>1</v>
      </c>
      <c r="S119" s="2981" t="s">
        <v>571</v>
      </c>
      <c r="T119" s="2981" t="str">
        <f>IF(OR(U119="Preventivo",U119="Detectivo"),"Probabilidad",IF(U119="Correctivo","Impacto",""))</f>
        <v>Probabilidad</v>
      </c>
      <c r="U119" s="3361" t="s">
        <v>207</v>
      </c>
      <c r="V119" s="3361" t="s">
        <v>201</v>
      </c>
      <c r="W119" s="3361" t="str">
        <f t="shared" si="60"/>
        <v>40%</v>
      </c>
      <c r="X119" s="3361" t="s">
        <v>202</v>
      </c>
      <c r="Y119" s="3361" t="s">
        <v>203</v>
      </c>
      <c r="Z119" s="3361" t="s">
        <v>204</v>
      </c>
      <c r="AA119" s="3369">
        <f>IFERROR(IF(T119="Probabilidad",(L119-(+L119*W119)),IF(T119="Impacto",L119,"")),"")</f>
        <v>0.24</v>
      </c>
      <c r="AB119" s="3361" t="str">
        <f>IFERROR(IF(AA119="","",IF(AA119&lt;=0.2,"Muy Baja",IF(AA119&lt;=0.4,"Baja",IF(AA119&lt;=0.6,"Media",IF(AA119&lt;=0.8,"Alta","Muy Alta"))))),"")</f>
        <v>Baja</v>
      </c>
      <c r="AC119" s="3170">
        <f>AA119</f>
        <v>0.24</v>
      </c>
      <c r="AD119" s="3361" t="str">
        <f>IFERROR(IF(AE119="","",IF(AE119&lt;=0.2,"Leve",IF(AE119&lt;=0.4,"Menor",IF(AE119&lt;=0.6,"Moderado",IF(AE119&lt;=0.8,"Mayor","Catastrófico"))))),"")</f>
        <v/>
      </c>
      <c r="AE119" s="3170" t="str">
        <f>IFERROR(IF(T119="Impacto",(P119-(+P119*W119)),IF(T119="Probabilidad",P119,"")),"")</f>
        <v/>
      </c>
      <c r="AF119" s="3361" t="str">
        <f>IFERROR(IF(OR(AND(AB116="Muy Baja",AD116="Leve"),AND(AB116="Muy Baja",AD116="Menor"),AND(AB116="Baja",AD116="Leve")),"Bajo",IF(OR(AND(AB116="Muy baja",AD116="Moderado"),AND(AB116="Baja",AD116="Menor"),AND(AB116="Baja",AD116="Moderado"),AND(AB116="Media",AD116="Leve"),AND(AB116="Media",AD116="Menor"),AND(AB116="Media",AD116="Moderado"),AND(AB116="Alta",AD116="Leve"),AND(AB116="Alta",AD116="Menor")),"Moderado",IF(OR(AND(AB116="Muy Baja",AD116="Mayor"),AND(AB116="Baja",AD116="Mayor"),AND(AB116="Media",AD116="Mayor"),AND(AB116="Alta",AD116="Moderado"),AND(AB116="Alta",AD116="Mayor"),AND(AB116="Muy Alta",AD116="Leve"),AND(AB116="Muy Alta",AD116="Menor"),AND(AB116="Muy Alta",AD116="Moderado"),AND(AB116="Muy Alta",AD116="Mayor")),"Alto",IF(OR(AND(AB116="Muy Baja",AD116="Catastrófico"),AND(AB116="Baja",AD116="Catastrófico"),AND(AB116="Media",AD116="Catastrófico"),AND(AB116="Alta",AD116="Catastrófico"),AND(AB116="Muy Alta",AD116="Catastrófico")),"Extremo","")))),"")</f>
        <v/>
      </c>
      <c r="AG119" s="3361" t="s">
        <v>205</v>
      </c>
      <c r="AH119" s="892" t="s">
        <v>572</v>
      </c>
      <c r="AI119" s="892" t="s">
        <v>373</v>
      </c>
      <c r="AJ119" s="1187">
        <v>45657</v>
      </c>
      <c r="AK119" s="1215" t="s">
        <v>145</v>
      </c>
      <c r="AL119" s="892" t="s">
        <v>1063</v>
      </c>
      <c r="AM119" s="1093" t="s">
        <v>206</v>
      </c>
    </row>
    <row r="120" spans="1:39" s="523" customFormat="1" ht="67.8" customHeight="1" x14ac:dyDescent="0.25">
      <c r="A120" s="2306"/>
      <c r="B120" s="2306"/>
      <c r="C120" s="2306"/>
      <c r="D120" s="2306"/>
      <c r="E120" s="892" t="s">
        <v>574</v>
      </c>
      <c r="F120" s="2306"/>
      <c r="G120" s="2306"/>
      <c r="H120" s="2306"/>
      <c r="I120" s="2306"/>
      <c r="J120" s="2306"/>
      <c r="K120" s="2306"/>
      <c r="L120" s="2306"/>
      <c r="M120" s="2306"/>
      <c r="N120" s="2306"/>
      <c r="O120" s="2306"/>
      <c r="P120" s="2306"/>
      <c r="Q120" s="2306"/>
      <c r="R120" s="892">
        <v>2</v>
      </c>
      <c r="S120" s="2306"/>
      <c r="T120" s="2306"/>
      <c r="U120" s="2306"/>
      <c r="V120" s="2306"/>
      <c r="W120" s="2306"/>
      <c r="X120" s="2306"/>
      <c r="Y120" s="2306"/>
      <c r="Z120" s="2306"/>
      <c r="AA120" s="2306"/>
      <c r="AB120" s="2306"/>
      <c r="AC120" s="2306"/>
      <c r="AD120" s="2306"/>
      <c r="AE120" s="2306"/>
      <c r="AF120" s="2306"/>
      <c r="AG120" s="2306"/>
      <c r="AH120" s="892" t="s">
        <v>575</v>
      </c>
      <c r="AI120" s="892" t="s">
        <v>373</v>
      </c>
      <c r="AJ120" s="1187">
        <v>45657</v>
      </c>
      <c r="AK120" s="1216" t="s">
        <v>153</v>
      </c>
      <c r="AL120" s="892" t="s">
        <v>1064</v>
      </c>
      <c r="AM120" s="1093" t="s">
        <v>206</v>
      </c>
    </row>
    <row r="121" spans="1:39" s="523" customFormat="1" ht="133.80000000000001" customHeight="1" x14ac:dyDescent="0.3">
      <c r="A121" s="3362"/>
      <c r="B121" s="2981" t="s">
        <v>209</v>
      </c>
      <c r="C121" s="2981" t="s">
        <v>1450</v>
      </c>
      <c r="D121" s="2981" t="s">
        <v>1458</v>
      </c>
      <c r="E121" s="2981" t="s">
        <v>1451</v>
      </c>
      <c r="F121" s="2981" t="s">
        <v>1452</v>
      </c>
      <c r="G121" s="2386" t="s">
        <v>597</v>
      </c>
      <c r="H121" s="2386" t="s">
        <v>1453</v>
      </c>
      <c r="I121" s="2981" t="s">
        <v>198</v>
      </c>
      <c r="J121" s="2981">
        <v>10</v>
      </c>
      <c r="K121" s="3364" t="s">
        <v>1454</v>
      </c>
      <c r="L121" s="3170">
        <v>0.4</v>
      </c>
      <c r="M121" s="3170" t="s">
        <v>216</v>
      </c>
      <c r="N121" s="1135"/>
      <c r="O121" s="3362"/>
      <c r="P121" s="3362"/>
      <c r="Q121" s="3362"/>
      <c r="R121" s="2981">
        <v>2</v>
      </c>
      <c r="S121" s="1217" t="s">
        <v>1455</v>
      </c>
      <c r="T121" s="1218" t="str">
        <f>IF(OR(U121="Preventivo",U121="Detectivo"),"Probabilidad",IF(U121="Correctivo","Impacto",""))</f>
        <v>Probabilidad</v>
      </c>
      <c r="U121" s="1219" t="s">
        <v>207</v>
      </c>
      <c r="V121" s="1219" t="s">
        <v>201</v>
      </c>
      <c r="W121" s="1219" t="str">
        <f t="shared" ref="W121:W122" si="61">IF(AND(U121="Preventivo",V121="Automático"),"50%",IF(AND(U121="Preventivo",V121="Manual"),"40%",IF(AND(U121="Detectivo",V121="Automático"),"40%",IF(AND(U121="Detectivo",V121="Manual"),"30%",IF(AND(U121="Correctivo",V121="Automático"),"35%",IF(AND(U121="Correctivo",V121="Manual"),"25%",""))))))</f>
        <v>40%</v>
      </c>
      <c r="X121" s="1219" t="s">
        <v>202</v>
      </c>
      <c r="Y121" s="1219" t="s">
        <v>203</v>
      </c>
      <c r="Z121" s="1219" t="s">
        <v>204</v>
      </c>
      <c r="AA121" s="1220">
        <f>IFERROR(IF(T121="Probabilidad",(L121-(+L121*W121)),IF(T121="Impacto",L121,"")),"")</f>
        <v>0.24</v>
      </c>
      <c r="AB121" s="1219" t="str">
        <f>IFERROR(IF(AA121="","",IF(AA121&lt;=0.2,"Muy Baja",IF(AA121&lt;=0.4,"Baja",IF(AA121&lt;=0.6,"Media",IF(AA121&lt;=0.8,"Alta","Muy Alta"))))),"")</f>
        <v>Baja</v>
      </c>
      <c r="AC121" s="1221">
        <f>AA121</f>
        <v>0.24</v>
      </c>
      <c r="AD121" s="1219" t="str">
        <f>IFERROR(IF(AE121="","",IF(AE121&lt;=0.2,"Leve",IF(AE121&lt;=0.4,"Menor",IF(AE121&lt;=0.6,"Moderado",IF(AE121&lt;=0.8,"Mayor","Catastrófico"))))),"")</f>
        <v>Leve</v>
      </c>
      <c r="AE121" s="1221">
        <f>IFERROR(IF(T121="Impacto",(P121-(+P121*W121)),IF(T121="Probabilidad",P121,"")),"")</f>
        <v>0</v>
      </c>
      <c r="AF121" s="1219" t="str">
        <f>IFERROR(IF(OR(AND(AB118="Muy Baja",AD118="Leve"),AND(AB118="Muy Baja",AD118="Menor"),AND(AB118="Baja",AD118="Leve")),"Bajo",IF(OR(AND(AB118="Muy baja",AD118="Moderado"),AND(AB118="Baja",AD118="Menor"),AND(AB118="Baja",AD118="Moderado"),AND(AB118="Media",AD118="Leve"),AND(AB118="Media",AD118="Menor"),AND(AB118="Media",AD118="Moderado"),AND(AB118="Alta",AD118="Leve"),AND(AB118="Alta",AD118="Menor")),"Moderado",IF(OR(AND(AB118="Muy Baja",AD118="Mayor"),AND(AB118="Baja",AD118="Mayor"),AND(AB118="Media",AD118="Mayor"),AND(AB118="Alta",AD118="Moderado"),AND(AB118="Alta",AD118="Mayor"),AND(AB118="Muy Alta",AD118="Leve"),AND(AB118="Muy Alta",AD118="Menor"),AND(AB118="Muy Alta",AD118="Moderado"),AND(AB118="Muy Alta",AD118="Mayor")),"Alto",IF(OR(AND(AB118="Muy Baja",AD118="Catastrófico"),AND(AB118="Baja",AD118="Catastrófico"),AND(AB118="Media",AD118="Catastrófico"),AND(AB118="Alta",AD118="Catastrófico"),AND(AB118="Muy Alta",AD118="Catastrófico")),"Extremo","")))),"")</f>
        <v/>
      </c>
      <c r="AG121" s="1219" t="s">
        <v>205</v>
      </c>
      <c r="AH121" s="953" t="s">
        <v>1456</v>
      </c>
      <c r="AI121" s="953" t="s">
        <v>367</v>
      </c>
      <c r="AJ121" s="1222">
        <v>45961</v>
      </c>
      <c r="AK121" s="1223" t="s">
        <v>153</v>
      </c>
      <c r="AL121" s="953"/>
      <c r="AM121" s="1224"/>
    </row>
    <row r="122" spans="1:39" s="523" customFormat="1" ht="100.8" x14ac:dyDescent="0.25">
      <c r="A122" s="3363"/>
      <c r="B122" s="2983"/>
      <c r="C122" s="2983"/>
      <c r="D122" s="2983"/>
      <c r="E122" s="2983"/>
      <c r="F122" s="2983"/>
      <c r="G122" s="2980"/>
      <c r="H122" s="2980"/>
      <c r="I122" s="2983"/>
      <c r="J122" s="2983"/>
      <c r="K122" s="3365"/>
      <c r="L122" s="3366"/>
      <c r="M122" s="3366"/>
      <c r="N122" s="1225"/>
      <c r="O122" s="3363"/>
      <c r="P122" s="3363"/>
      <c r="Q122" s="3363"/>
      <c r="R122" s="2983"/>
      <c r="S122" s="1226" t="s">
        <v>1457</v>
      </c>
      <c r="T122" s="1218" t="str">
        <f>IF(OR(U122="Preventivo",U122="Detectivo"),"Probabilidad",IF(U122="Correctivo","Impacto",""))</f>
        <v>Probabilidad</v>
      </c>
      <c r="U122" s="1219" t="s">
        <v>200</v>
      </c>
      <c r="V122" s="1219" t="s">
        <v>201</v>
      </c>
      <c r="W122" s="1219" t="str">
        <f t="shared" si="61"/>
        <v>30%</v>
      </c>
      <c r="X122" s="1219" t="s">
        <v>202</v>
      </c>
      <c r="Y122" s="1219" t="s">
        <v>203</v>
      </c>
      <c r="Z122" s="1219" t="s">
        <v>204</v>
      </c>
      <c r="AA122" s="1220">
        <f>IFERROR(IF(T122="Probabilidad",(L122-(+L122*W122)),IF(T122="Impacto",L122,"")),"")</f>
        <v>0</v>
      </c>
      <c r="AB122" s="1219" t="str">
        <f>IFERROR(IF(AA122="","",IF(AA122&lt;=0.2,"Muy Baja",IF(AA122&lt;=0.4,"Baja",IF(AA122&lt;=0.6,"Media",IF(AA122&lt;=0.8,"Alta","Muy Alta"))))),"")</f>
        <v>Muy Baja</v>
      </c>
      <c r="AC122" s="1221">
        <f>AA122</f>
        <v>0</v>
      </c>
      <c r="AD122" s="1219" t="str">
        <f>IFERROR(IF(AE122="","",IF(AE122&lt;=0.2,"Leve",IF(AE122&lt;=0.4,"Menor",IF(AE122&lt;=0.6,"Moderado",IF(AE122&lt;=0.8,"Mayor","Catastrófico"))))),"")</f>
        <v>Leve</v>
      </c>
      <c r="AE122" s="1221">
        <f>IFERROR(IF(T122="Impacto",(P122-(+P122*W122)),IF(T122="Probabilidad",P122,"")),"")</f>
        <v>0</v>
      </c>
      <c r="AF122" s="1219" t="str">
        <f>IFERROR(IF(OR(AND(AB119="Muy Baja",AD119="Leve"),AND(AB119="Muy Baja",AD119="Menor"),AND(AB119="Baja",AD119="Leve")),"Bajo",IF(OR(AND(AB119="Muy baja",AD119="Moderado"),AND(AB119="Baja",AD119="Menor"),AND(AB119="Baja",AD119="Moderado"),AND(AB119="Media",AD119="Leve"),AND(AB119="Media",AD119="Menor"),AND(AB119="Media",AD119="Moderado"),AND(AB119="Alta",AD119="Leve"),AND(AB119="Alta",AD119="Menor")),"Moderado",IF(OR(AND(AB119="Muy Baja",AD119="Mayor"),AND(AB119="Baja",AD119="Mayor"),AND(AB119="Media",AD119="Mayor"),AND(AB119="Alta",AD119="Moderado"),AND(AB119="Alta",AD119="Mayor"),AND(AB119="Muy Alta",AD119="Leve"),AND(AB119="Muy Alta",AD119="Menor"),AND(AB119="Muy Alta",AD119="Moderado"),AND(AB119="Muy Alta",AD119="Mayor")),"Alto",IF(OR(AND(AB119="Muy Baja",AD119="Catastrófico"),AND(AB119="Baja",AD119="Catastrófico"),AND(AB119="Media",AD119="Catastrófico"),AND(AB119="Alta",AD119="Catastrófico"),AND(AB119="Muy Alta",AD119="Catastrófico")),"Extremo","")))),"")</f>
        <v/>
      </c>
      <c r="AG122" s="1219" t="s">
        <v>205</v>
      </c>
      <c r="AH122" s="953" t="s">
        <v>1456</v>
      </c>
      <c r="AI122" s="953" t="s">
        <v>367</v>
      </c>
      <c r="AJ122" s="1222">
        <v>46022</v>
      </c>
      <c r="AK122" s="1223" t="s">
        <v>153</v>
      </c>
      <c r="AL122" s="953"/>
      <c r="AM122" s="1224"/>
    </row>
    <row r="123" spans="1:39" s="523" customFormat="1" x14ac:dyDescent="0.25">
      <c r="A123" s="2343" t="s">
        <v>156</v>
      </c>
      <c r="B123" s="2344"/>
      <c r="C123" s="2344"/>
      <c r="D123" s="2344"/>
      <c r="E123" s="2344"/>
      <c r="F123" s="2344"/>
      <c r="G123" s="2344"/>
      <c r="H123" s="2344"/>
      <c r="I123" s="2344"/>
      <c r="J123" s="2344"/>
      <c r="K123" s="2344"/>
      <c r="L123" s="2344"/>
      <c r="M123" s="2344"/>
      <c r="N123" s="2344"/>
      <c r="O123" s="2344"/>
      <c r="P123" s="2344"/>
      <c r="Q123" s="2344"/>
      <c r="R123" s="2344"/>
      <c r="S123" s="2344"/>
      <c r="T123" s="2344"/>
      <c r="U123" s="2344"/>
      <c r="V123" s="2344"/>
      <c r="W123" s="2344"/>
      <c r="X123" s="2344"/>
      <c r="Y123" s="2344"/>
      <c r="Z123" s="2344"/>
      <c r="AA123" s="2344"/>
      <c r="AB123" s="2344"/>
      <c r="AC123" s="2344"/>
      <c r="AD123" s="2344"/>
      <c r="AE123" s="2344"/>
      <c r="AF123" s="2344"/>
      <c r="AG123" s="2344"/>
      <c r="AH123" s="2344"/>
      <c r="AI123" s="2344"/>
      <c r="AJ123" s="2344"/>
      <c r="AK123" s="2344"/>
      <c r="AL123" s="2344"/>
      <c r="AM123" s="2345"/>
    </row>
    <row r="124" spans="1:39" s="523" customFormat="1" x14ac:dyDescent="0.25">
      <c r="A124" s="2346"/>
      <c r="B124" s="2347"/>
      <c r="C124" s="2347"/>
      <c r="D124" s="2347"/>
      <c r="E124" s="2347"/>
      <c r="F124" s="2347"/>
      <c r="G124" s="2347"/>
      <c r="H124" s="2347"/>
      <c r="I124" s="2347"/>
      <c r="J124" s="2347"/>
      <c r="K124" s="2347"/>
      <c r="L124" s="2347"/>
      <c r="M124" s="2347"/>
      <c r="N124" s="2347"/>
      <c r="O124" s="2347"/>
      <c r="P124" s="2347"/>
      <c r="Q124" s="2347"/>
      <c r="R124" s="2347"/>
      <c r="S124" s="2347"/>
      <c r="T124" s="2347"/>
      <c r="U124" s="2347"/>
      <c r="V124" s="2347"/>
      <c r="W124" s="2347"/>
      <c r="X124" s="2347"/>
      <c r="Y124" s="2347"/>
      <c r="Z124" s="2347"/>
      <c r="AA124" s="2347"/>
      <c r="AB124" s="2347"/>
      <c r="AC124" s="2347"/>
      <c r="AD124" s="2347"/>
      <c r="AE124" s="2347"/>
      <c r="AF124" s="2347"/>
      <c r="AG124" s="2347"/>
      <c r="AH124" s="2347"/>
      <c r="AI124" s="2347"/>
      <c r="AJ124" s="2347"/>
      <c r="AK124" s="2347"/>
      <c r="AL124" s="2347"/>
      <c r="AM124" s="2348"/>
    </row>
    <row r="125" spans="1:39" s="523" customFormat="1" x14ac:dyDescent="0.25">
      <c r="A125" s="703"/>
      <c r="B125" s="704"/>
      <c r="C125" s="704"/>
      <c r="D125" s="704"/>
      <c r="E125" s="1043"/>
      <c r="F125" s="1044"/>
      <c r="G125" s="1045"/>
      <c r="H125" s="700"/>
      <c r="I125" s="705"/>
      <c r="J125" s="700"/>
      <c r="K125" s="1045"/>
      <c r="L125" s="700"/>
      <c r="M125" s="700"/>
      <c r="N125" s="700"/>
      <c r="O125" s="1045"/>
      <c r="P125" s="700"/>
      <c r="Q125" s="1045"/>
      <c r="R125" s="700"/>
      <c r="S125" s="700"/>
      <c r="T125" s="700"/>
      <c r="U125" s="700"/>
      <c r="V125" s="700"/>
      <c r="W125" s="700"/>
      <c r="X125" s="700"/>
      <c r="Y125" s="700"/>
      <c r="Z125" s="700"/>
      <c r="AA125" s="700"/>
      <c r="AB125" s="700"/>
      <c r="AC125" s="700"/>
      <c r="AD125" s="700"/>
      <c r="AE125" s="700"/>
      <c r="AF125" s="700"/>
      <c r="AG125" s="700"/>
      <c r="AH125" s="700"/>
      <c r="AI125" s="700"/>
      <c r="AJ125" s="1045"/>
      <c r="AK125" s="700"/>
      <c r="AL125" s="700"/>
      <c r="AM125" s="700"/>
    </row>
    <row r="126" spans="1:39" s="523" customFormat="1" ht="23.4" x14ac:dyDescent="0.25">
      <c r="A126" s="2349" t="s">
        <v>157</v>
      </c>
      <c r="B126" s="2350"/>
      <c r="C126" s="2040" t="s">
        <v>246</v>
      </c>
      <c r="D126" s="2040"/>
      <c r="E126" s="2040"/>
      <c r="F126" s="2040"/>
      <c r="G126" s="2040"/>
      <c r="H126" s="2040"/>
      <c r="I126" s="2040"/>
      <c r="J126" s="2040"/>
      <c r="K126" s="2040"/>
      <c r="L126" s="2040"/>
      <c r="M126" s="2040"/>
      <c r="N126" s="2040"/>
      <c r="O126" s="2040"/>
      <c r="P126" s="2040"/>
      <c r="Q126" s="2040"/>
      <c r="R126" s="2040"/>
      <c r="S126" s="2040"/>
      <c r="T126" s="2040"/>
      <c r="U126" s="2040"/>
      <c r="V126" s="2040"/>
      <c r="W126" s="2040"/>
      <c r="X126" s="2040"/>
      <c r="Y126" s="2040"/>
      <c r="Z126" s="2040"/>
      <c r="AA126" s="2040"/>
      <c r="AB126" s="2040"/>
      <c r="AC126" s="2040"/>
      <c r="AD126" s="2040"/>
      <c r="AE126" s="2040"/>
      <c r="AF126" s="2040"/>
      <c r="AG126" s="2040"/>
      <c r="AH126" s="2040"/>
      <c r="AI126" s="2040"/>
      <c r="AJ126" s="2040"/>
      <c r="AK126" s="2040"/>
      <c r="AL126" s="2040"/>
      <c r="AM126" s="2040"/>
    </row>
    <row r="127" spans="1:39" s="523" customFormat="1" ht="23.4" x14ac:dyDescent="0.25">
      <c r="A127" s="2349" t="s">
        <v>158</v>
      </c>
      <c r="B127" s="2350"/>
      <c r="C127" s="2039" t="s">
        <v>247</v>
      </c>
      <c r="D127" s="2039"/>
      <c r="E127" s="2039"/>
      <c r="F127" s="2039"/>
      <c r="G127" s="2039"/>
      <c r="H127" s="2039"/>
      <c r="I127" s="2039"/>
      <c r="J127" s="2039"/>
      <c r="K127" s="2039"/>
      <c r="L127" s="2039"/>
      <c r="M127" s="2039"/>
      <c r="N127" s="2039"/>
      <c r="O127" s="2039"/>
      <c r="P127" s="2039"/>
      <c r="Q127" s="2039"/>
      <c r="R127" s="2039"/>
      <c r="S127" s="2039"/>
      <c r="T127" s="2039"/>
      <c r="U127" s="2039"/>
      <c r="V127" s="2039"/>
      <c r="W127" s="2039"/>
      <c r="X127" s="2039"/>
      <c r="Y127" s="2039"/>
      <c r="Z127" s="2039"/>
      <c r="AA127" s="2039"/>
      <c r="AB127" s="2039"/>
      <c r="AC127" s="2039"/>
      <c r="AD127" s="2039"/>
      <c r="AE127" s="2039"/>
      <c r="AF127" s="2039"/>
      <c r="AG127" s="2039"/>
      <c r="AH127" s="2039"/>
      <c r="AI127" s="2039"/>
      <c r="AJ127" s="2039"/>
      <c r="AK127" s="2039"/>
      <c r="AL127" s="2039"/>
      <c r="AM127" s="2039"/>
    </row>
    <row r="128" spans="1:39" s="523" customFormat="1" ht="23.4" x14ac:dyDescent="0.25">
      <c r="A128" s="2349" t="s">
        <v>159</v>
      </c>
      <c r="B128" s="2350"/>
      <c r="C128" s="2040" t="s">
        <v>248</v>
      </c>
      <c r="D128" s="2040"/>
      <c r="E128" s="2040"/>
      <c r="F128" s="2040"/>
      <c r="G128" s="2040"/>
      <c r="H128" s="2040"/>
      <c r="I128" s="2040"/>
      <c r="J128" s="2040"/>
      <c r="K128" s="2040"/>
      <c r="L128" s="2040"/>
      <c r="M128" s="2040"/>
      <c r="N128" s="2040"/>
      <c r="O128" s="2040"/>
      <c r="P128" s="2040"/>
      <c r="Q128" s="2040"/>
      <c r="R128" s="2040"/>
      <c r="S128" s="2040"/>
      <c r="T128" s="2040"/>
      <c r="U128" s="2040"/>
      <c r="V128" s="2040"/>
      <c r="W128" s="2040"/>
      <c r="X128" s="2040"/>
      <c r="Y128" s="2040"/>
      <c r="Z128" s="2040"/>
      <c r="AA128" s="2040"/>
      <c r="AB128" s="2040"/>
      <c r="AC128" s="2040"/>
      <c r="AD128" s="2040"/>
      <c r="AE128" s="2040"/>
      <c r="AF128" s="2040"/>
      <c r="AG128" s="2040"/>
      <c r="AH128" s="2040"/>
      <c r="AI128" s="2040"/>
      <c r="AJ128" s="2040"/>
      <c r="AK128" s="2040"/>
      <c r="AL128" s="2040"/>
      <c r="AM128" s="2040"/>
    </row>
    <row r="129" spans="1:41" s="523" customFormat="1" x14ac:dyDescent="0.25">
      <c r="A129" s="2351" t="s">
        <v>160</v>
      </c>
      <c r="B129" s="2352"/>
      <c r="C129" s="2353"/>
      <c r="D129" s="2353"/>
      <c r="E129" s="2353"/>
      <c r="F129" s="2353"/>
      <c r="G129" s="2353"/>
      <c r="H129" s="2353"/>
      <c r="I129" s="2353"/>
      <c r="J129" s="2354"/>
      <c r="K129" s="2101" t="s">
        <v>161</v>
      </c>
      <c r="L129" s="2353"/>
      <c r="M129" s="2353"/>
      <c r="N129" s="2353"/>
      <c r="O129" s="2353"/>
      <c r="P129" s="2353"/>
      <c r="Q129" s="2354"/>
      <c r="R129" s="2101" t="s">
        <v>162</v>
      </c>
      <c r="S129" s="2353"/>
      <c r="T129" s="2353"/>
      <c r="U129" s="2353"/>
      <c r="V129" s="2353"/>
      <c r="W129" s="2353"/>
      <c r="X129" s="2353"/>
      <c r="Y129" s="2353"/>
      <c r="Z129" s="2354"/>
      <c r="AA129" s="2101" t="s">
        <v>163</v>
      </c>
      <c r="AB129" s="2353"/>
      <c r="AC129" s="2353"/>
      <c r="AD129" s="2353"/>
      <c r="AE129" s="2353"/>
      <c r="AF129" s="2353"/>
      <c r="AG129" s="2354"/>
      <c r="AH129" s="2101" t="s">
        <v>164</v>
      </c>
      <c r="AI129" s="2353"/>
      <c r="AJ129" s="2353"/>
      <c r="AK129" s="2353"/>
      <c r="AL129" s="2353"/>
      <c r="AM129" s="2354"/>
    </row>
    <row r="130" spans="1:41" s="523" customFormat="1" ht="13.8" customHeight="1" x14ac:dyDescent="0.25">
      <c r="A130" s="2140" t="s">
        <v>165</v>
      </c>
      <c r="B130" s="2142" t="s">
        <v>142</v>
      </c>
      <c r="C130" s="3355" t="s">
        <v>166</v>
      </c>
      <c r="D130" s="3355" t="s">
        <v>167</v>
      </c>
      <c r="E130" s="3357" t="s">
        <v>168</v>
      </c>
      <c r="F130" s="3359" t="s">
        <v>60</v>
      </c>
      <c r="G130" s="1046"/>
      <c r="H130" s="280"/>
      <c r="I130" s="2041" t="s">
        <v>169</v>
      </c>
      <c r="J130" s="2042" t="s">
        <v>170</v>
      </c>
      <c r="K130" s="3205" t="s">
        <v>171</v>
      </c>
      <c r="L130" s="2100" t="s">
        <v>172</v>
      </c>
      <c r="M130" s="2041" t="s">
        <v>173</v>
      </c>
      <c r="N130" s="2041" t="s">
        <v>174</v>
      </c>
      <c r="O130" s="3179" t="s">
        <v>175</v>
      </c>
      <c r="P130" s="2100" t="s">
        <v>172</v>
      </c>
      <c r="Q130" s="3181" t="s">
        <v>176</v>
      </c>
      <c r="R130" s="2161" t="s">
        <v>177</v>
      </c>
      <c r="S130" s="2043" t="s">
        <v>178</v>
      </c>
      <c r="T130" s="2041" t="s">
        <v>179</v>
      </c>
      <c r="U130" s="2043" t="s">
        <v>180</v>
      </c>
      <c r="V130" s="2043"/>
      <c r="W130" s="2043"/>
      <c r="X130" s="2043"/>
      <c r="Y130" s="2043"/>
      <c r="Z130" s="2043"/>
      <c r="AA130" s="2099" t="s">
        <v>181</v>
      </c>
      <c r="AB130" s="2099" t="s">
        <v>182</v>
      </c>
      <c r="AC130" s="2099" t="s">
        <v>172</v>
      </c>
      <c r="AD130" s="2099" t="s">
        <v>183</v>
      </c>
      <c r="AE130" s="2099" t="s">
        <v>172</v>
      </c>
      <c r="AF130" s="2099" t="s">
        <v>184</v>
      </c>
      <c r="AG130" s="2161" t="s">
        <v>185</v>
      </c>
      <c r="AH130" s="2043" t="s">
        <v>164</v>
      </c>
      <c r="AI130" s="2043" t="s">
        <v>143</v>
      </c>
      <c r="AJ130" s="2043" t="s">
        <v>186</v>
      </c>
      <c r="AK130" s="2043" t="s">
        <v>187</v>
      </c>
      <c r="AL130" s="2043" t="s">
        <v>188</v>
      </c>
      <c r="AM130" s="2843" t="s">
        <v>189</v>
      </c>
      <c r="AN130" s="3341" t="s">
        <v>1459</v>
      </c>
    </row>
    <row r="131" spans="1:41" s="523" customFormat="1" ht="71.400000000000006" x14ac:dyDescent="0.25">
      <c r="A131" s="2141"/>
      <c r="B131" s="2142"/>
      <c r="C131" s="3356"/>
      <c r="D131" s="3356"/>
      <c r="E131" s="3358"/>
      <c r="F131" s="3360"/>
      <c r="G131" s="280" t="s">
        <v>511</v>
      </c>
      <c r="H131" s="280" t="s">
        <v>190</v>
      </c>
      <c r="I131" s="2042"/>
      <c r="J131" s="2043"/>
      <c r="K131" s="3181"/>
      <c r="L131" s="2101"/>
      <c r="M131" s="2042"/>
      <c r="N131" s="2042"/>
      <c r="O131" s="3180"/>
      <c r="P131" s="2101"/>
      <c r="Q131" s="3182"/>
      <c r="R131" s="2162"/>
      <c r="S131" s="2043"/>
      <c r="T131" s="2042"/>
      <c r="U131" s="281" t="s">
        <v>191</v>
      </c>
      <c r="V131" s="281" t="s">
        <v>192</v>
      </c>
      <c r="W131" s="281" t="s">
        <v>193</v>
      </c>
      <c r="X131" s="281" t="s">
        <v>194</v>
      </c>
      <c r="Y131" s="281" t="s">
        <v>195</v>
      </c>
      <c r="Z131" s="281" t="s">
        <v>196</v>
      </c>
      <c r="AA131" s="2099"/>
      <c r="AB131" s="2099"/>
      <c r="AC131" s="2099"/>
      <c r="AD131" s="2099"/>
      <c r="AE131" s="2099"/>
      <c r="AF131" s="2099"/>
      <c r="AG131" s="2162"/>
      <c r="AH131" s="2043"/>
      <c r="AI131" s="2043"/>
      <c r="AJ131" s="2043"/>
      <c r="AK131" s="2043"/>
      <c r="AL131" s="2043"/>
      <c r="AM131" s="2843"/>
      <c r="AN131" s="3341"/>
    </row>
    <row r="132" spans="1:41" s="523" customFormat="1" ht="153" customHeight="1" x14ac:dyDescent="0.25">
      <c r="A132" s="1047">
        <v>1</v>
      </c>
      <c r="B132" s="1137" t="s">
        <v>209</v>
      </c>
      <c r="C132" s="1345" t="s">
        <v>1338</v>
      </c>
      <c r="D132" s="1346" t="s">
        <v>1339</v>
      </c>
      <c r="E132" s="1347" t="s">
        <v>1372</v>
      </c>
      <c r="F132" s="1319" t="s">
        <v>1340</v>
      </c>
      <c r="G132" s="1348" t="s">
        <v>512</v>
      </c>
      <c r="H132" s="1349" t="s">
        <v>255</v>
      </c>
      <c r="I132" s="1350" t="s">
        <v>198</v>
      </c>
      <c r="J132" s="1351">
        <f>11+3</f>
        <v>14</v>
      </c>
      <c r="K132" s="1283" t="str">
        <f t="shared" ref="K132:K138" si="62">IF(J132&lt;=0,"",IF(J132&lt;=2,"Muy Baja",IF(J132&lt;=24,"Baja",IF(J132&lt;=500,"Media",IF(J132&lt;=5000,"Alta","Muy Alta")))))</f>
        <v>Baja</v>
      </c>
      <c r="L132" s="1352">
        <f t="shared" ref="L132:L138" si="63">IF(K132="","",IF(K132="Muy Baja",0.2,IF(K132="Baja",0.4,IF(K132="Media",0.6,IF(K132="Alta",0.8,IF(K132="Muy Alta",1,))))))</f>
        <v>0.4</v>
      </c>
      <c r="M132" s="1353" t="s">
        <v>256</v>
      </c>
      <c r="N132" s="1228" t="str">
        <f>IF(NOT(ISERROR(MATCH(M132,'[67]Tabla Impacto'!$B$221:$B$223,0))),'[67]Tabla Impacto'!$F$223&amp;"Por favor no seleccionar los criterios de impacto(Afectación Económica o presupuestal y Pérdida Reputacional)",M132)</f>
        <v xml:space="preserve">     Mayor a 10000 SMLMV</v>
      </c>
      <c r="O132" s="1283" t="str">
        <f>IF(OR(N132='[67]Tabla Impacto'!$C$11,N132='[67]Tabla Impacto'!$D$11),"Leve",IF(OR(N132='[67]Tabla Impacto'!$C$12,N132='[67]Tabla Impacto'!$D$12),"Menor",IF(OR(N132='[67]Tabla Impacto'!$C$13,N132='[67]Tabla Impacto'!$D$13),"Moderado",IF(OR(N132='[67]Tabla Impacto'!$C$14,N132='[67]Tabla Impacto'!$D$14),"Mayor",IF(OR(N132='[67]Tabla Impacto'!$C$15,N132='[67]Tabla Impacto'!$D$15),"Catastrófico","")))))</f>
        <v>Catastrófico</v>
      </c>
      <c r="P132" s="1352">
        <f t="shared" ref="P132:P138" si="64">IF(O132="","",IF(O132="Leve",0.2,IF(O132="Menor",0.4,IF(O132="Moderado",0.6,IF(O132="Mayor",0.8,IF(O132="Catastrófico",1,))))))</f>
        <v>1</v>
      </c>
      <c r="Q132" s="1286" t="str">
        <f t="shared" ref="Q132:Q138" si="65">IF(OR(AND(K132="Muy Baja",O132="Leve"),AND(K132="Muy Baja",O132="Menor"),AND(K132="Baja",O132="Leve")),"Bajo",IF(OR(AND(K132="Muy baja",O132="Moderado"),AND(K132="Baja",O132="Menor"),AND(K132="Baja",O132="Moderado"),AND(K132="Media",O132="Leve"),AND(K132="Media",O132="Menor"),AND(K132="Media",O132="Moderado"),AND(K132="Alta",O132="Leve"),AND(K132="Alta",O132="Menor")),"Moderado",IF(OR(AND(K132="Muy Baja",O132="Mayor"),AND(K132="Baja",O132="Mayor"),AND(K132="Media",O132="Mayor"),AND(K132="Alta",O132="Moderado"),AND(K132="Alta",O132="Mayor"),AND(K132="Muy Alta",O132="Leve"),AND(K132="Muy Alta",O132="Menor"),AND(K132="Muy Alta",O132="Moderado"),AND(K132="Muy Alta",O132="Mayor")),"Alto",IF(OR(AND(K132="Muy Baja",O132="Catastrófico"),AND(K132="Baja",O132="Catastrófico"),AND(K132="Media",O132="Catastrófico"),AND(K132="Alta",O132="Catastrófico"),AND(K132="Muy Alta",O132="Catastrófico")),"Extremo",""))))</f>
        <v>Extremo</v>
      </c>
      <c r="R132" s="1229">
        <v>1</v>
      </c>
      <c r="S132" s="1354" t="s">
        <v>1373</v>
      </c>
      <c r="T132" s="1231" t="str">
        <f t="shared" ref="T132:T138" si="66">IF(OR(U132="Preventivo",U132="Detectivo"),"Probabilidad",IF(U132="Correctivo","Impacto",""))</f>
        <v>Probabilidad</v>
      </c>
      <c r="U132" s="1232" t="s">
        <v>207</v>
      </c>
      <c r="V132" s="1232" t="s">
        <v>201</v>
      </c>
      <c r="W132" s="1233" t="str">
        <f t="shared" ref="W132:W138" si="67">IF(AND(U132="Preventivo",V132="Automático"),"50%",IF(AND(U132="Preventivo",V132="Manual"),"40%",IF(AND(U132="Detectivo",V132="Automático"),"40%",IF(AND(U132="Detectivo",V132="Manual"),"30%",IF(AND(U132="Correctivo",V132="Automático"),"35%",IF(AND(U132="Correctivo",V132="Manual"),"25%",""))))))</f>
        <v>40%</v>
      </c>
      <c r="X132" s="1232" t="s">
        <v>208</v>
      </c>
      <c r="Y132" s="1232" t="s">
        <v>203</v>
      </c>
      <c r="Z132" s="1232" t="s">
        <v>204</v>
      </c>
      <c r="AA132" s="1234">
        <f>IFERROR(IF(T132="Probabilidad",(L132-(+L132*W132)),IF(T132="Impacto",L132,"")),"")</f>
        <v>0.24</v>
      </c>
      <c r="AB132" s="1235" t="str">
        <f t="shared" ref="AB132:AB138" si="68">IFERROR(IF(AA132="","",IF(AA132&lt;=0.2,"Muy Baja",IF(AA132&lt;=0.4,"Baja",IF(AA132&lt;=0.6,"Media",IF(AA132&lt;=0.8,"Alta","Muy Alta"))))),"")</f>
        <v>Baja</v>
      </c>
      <c r="AC132" s="1236">
        <f t="shared" ref="AC132:AC138" si="69">+AA132</f>
        <v>0.24</v>
      </c>
      <c r="AD132" s="1235" t="str">
        <f t="shared" ref="AD132:AD138" si="70">IFERROR(IF(AE132="","",IF(AE132&lt;=0.2,"Leve",IF(AE132&lt;=0.4,"Menor",IF(AE132&lt;=0.6,"Moderado",IF(AE132&lt;=0.8,"Mayor","Catastrófico"))))),"")</f>
        <v>Catastrófico</v>
      </c>
      <c r="AE132" s="1236">
        <f>IFERROR(IF(T132="Impacto",(P132-(+P132*W132)),IF(T132="Probabilidad",P132,"")),"")</f>
        <v>1</v>
      </c>
      <c r="AF132" s="1237" t="str">
        <f t="shared" ref="AF132:AF138" si="71">IFERROR(IF(OR(AND(AB132="Muy Baja",AD132="Leve"),AND(AB132="Muy Baja",AD132="Menor"),AND(AB132="Baja",AD132="Leve")),"Bajo",IF(OR(AND(AB132="Muy baja",AD132="Moderado"),AND(AB132="Baja",AD132="Menor"),AND(AB132="Baja",AD132="Moderado"),AND(AB132="Media",AD132="Leve"),AND(AB132="Media",AD132="Menor"),AND(AB132="Media",AD132="Moderado"),AND(AB132="Alta",AD132="Leve"),AND(AB132="Alta",AD132="Menor")),"Moderado",IF(OR(AND(AB132="Muy Baja",AD132="Mayor"),AND(AB132="Baja",AD132="Mayor"),AND(AB132="Media",AD132="Mayor"),AND(AB132="Alta",AD132="Moderado"),AND(AB132="Alta",AD132="Mayor"),AND(AB132="Muy Alta",AD132="Leve"),AND(AB132="Muy Alta",AD132="Menor"),AND(AB132="Muy Alta",AD132="Moderado"),AND(AB132="Muy Alta",AD132="Mayor")),"Alto",IF(OR(AND(AB132="Muy Baja",AD132="Catastrófico"),AND(AB132="Baja",AD132="Catastrófico"),AND(AB132="Media",AD132="Catastrófico"),AND(AB132="Alta",AD132="Catastrófico"),AND(AB132="Muy Alta",AD132="Catastrófico")),"Extremo","")))),"")</f>
        <v>Extremo</v>
      </c>
      <c r="AG132" s="1238" t="s">
        <v>205</v>
      </c>
      <c r="AH132" s="1230" t="s">
        <v>1341</v>
      </c>
      <c r="AI132" s="1230" t="s">
        <v>1342</v>
      </c>
      <c r="AJ132" s="1239">
        <v>45352</v>
      </c>
      <c r="AK132" s="1240"/>
      <c r="AL132" s="1230"/>
      <c r="AM132" s="1357" t="s">
        <v>206</v>
      </c>
      <c r="AN132" s="1363" t="s">
        <v>1463</v>
      </c>
      <c r="AO132" s="3341" t="s">
        <v>1462</v>
      </c>
    </row>
    <row r="133" spans="1:41" s="523" customFormat="1" ht="96.6" x14ac:dyDescent="0.25">
      <c r="A133" s="1047">
        <v>2</v>
      </c>
      <c r="B133" s="1324" t="s">
        <v>209</v>
      </c>
      <c r="C133" s="1325" t="s">
        <v>1343</v>
      </c>
      <c r="D133" s="1326" t="s">
        <v>1344</v>
      </c>
      <c r="E133" s="1241" t="s">
        <v>261</v>
      </c>
      <c r="F133" s="1327" t="s">
        <v>1345</v>
      </c>
      <c r="G133" s="1343" t="s">
        <v>512</v>
      </c>
      <c r="H133" s="1242" t="s">
        <v>1346</v>
      </c>
      <c r="I133" s="1328" t="s">
        <v>198</v>
      </c>
      <c r="J133" s="1329">
        <v>120000</v>
      </c>
      <c r="K133" s="1283" t="str">
        <f t="shared" si="62"/>
        <v>Muy Alta</v>
      </c>
      <c r="L133" s="1330">
        <f t="shared" si="63"/>
        <v>1</v>
      </c>
      <c r="M133" s="1331" t="s">
        <v>225</v>
      </c>
      <c r="N133" s="1228" t="str">
        <f>IF(NOT(ISERROR(MATCH(M133,'[67]Tabla Impacto'!$B$221:$B$223,0))),'[67]Tabla Impacto'!$F$223&amp;"Por favor no seleccionar los criterios de impacto(Afectación Económica o presupuestal y Pérdida Reputacional)",M133)</f>
        <v xml:space="preserve">     El riesgo afecta la imagen de la entidad con algunos usuarios de relevancia frente al logro de los objetivos</v>
      </c>
      <c r="O133" s="1283" t="str">
        <f>IF(OR(N133='[67]Tabla Impacto'!$C$11,N133='[67]Tabla Impacto'!$D$11),"Leve",IF(OR(N133='[67]Tabla Impacto'!$C$12,N133='[67]Tabla Impacto'!$D$12),"Menor",IF(OR(N133='[67]Tabla Impacto'!$C$13,N133='[67]Tabla Impacto'!$D$13),"Moderado",IF(OR(N133='[67]Tabla Impacto'!$C$14,N133='[67]Tabla Impacto'!$D$14),"Mayor",IF(OR(N133='[67]Tabla Impacto'!$C$15,N133='[67]Tabla Impacto'!$D$15),"Catastrófico","")))))</f>
        <v>Moderado</v>
      </c>
      <c r="P133" s="1330">
        <f t="shared" si="64"/>
        <v>0.6</v>
      </c>
      <c r="Q133" s="1286" t="str">
        <f t="shared" si="65"/>
        <v>Alto</v>
      </c>
      <c r="R133" s="1243">
        <v>1</v>
      </c>
      <c r="S133" s="1355" t="s">
        <v>1374</v>
      </c>
      <c r="T133" s="1245" t="str">
        <f t="shared" si="66"/>
        <v>Probabilidad</v>
      </c>
      <c r="U133" s="1246" t="s">
        <v>207</v>
      </c>
      <c r="V133" s="1246" t="s">
        <v>201</v>
      </c>
      <c r="W133" s="1247" t="str">
        <f t="shared" si="67"/>
        <v>40%</v>
      </c>
      <c r="X133" s="1246" t="s">
        <v>208</v>
      </c>
      <c r="Y133" s="1246" t="s">
        <v>203</v>
      </c>
      <c r="Z133" s="1246" t="s">
        <v>204</v>
      </c>
      <c r="AA133" s="1248">
        <f>IFERROR(IF(T133="Probabilidad",(L133-(+L133*W133)),IF(T133="Impacto",L133,"")),"")</f>
        <v>0.6</v>
      </c>
      <c r="AB133" s="1235" t="str">
        <f t="shared" si="68"/>
        <v>Media</v>
      </c>
      <c r="AC133" s="1249">
        <f t="shared" si="69"/>
        <v>0.6</v>
      </c>
      <c r="AD133" s="1235" t="str">
        <f t="shared" si="70"/>
        <v>Moderado</v>
      </c>
      <c r="AE133" s="1249">
        <f>IFERROR(IF(T133="Impacto",(P133-(+P133*W133)),IF(T133="Probabilidad",P133,"")),"")</f>
        <v>0.6</v>
      </c>
      <c r="AF133" s="1237" t="str">
        <f t="shared" si="71"/>
        <v>Moderado</v>
      </c>
      <c r="AG133" s="1250" t="s">
        <v>205</v>
      </c>
      <c r="AH133" s="1244" t="s">
        <v>1347</v>
      </c>
      <c r="AI133" s="1244" t="s">
        <v>277</v>
      </c>
      <c r="AJ133" s="1251">
        <v>45352</v>
      </c>
      <c r="AK133" s="1252"/>
      <c r="AL133" s="1244"/>
      <c r="AM133" s="1358" t="s">
        <v>206</v>
      </c>
      <c r="AN133" s="1364" t="s">
        <v>1460</v>
      </c>
      <c r="AO133" s="3342"/>
    </row>
    <row r="134" spans="1:41" s="523" customFormat="1" ht="409.6" x14ac:dyDescent="0.25">
      <c r="A134" s="1047">
        <v>3</v>
      </c>
      <c r="B134" s="1227" t="s">
        <v>197</v>
      </c>
      <c r="C134" s="1253" t="s">
        <v>265</v>
      </c>
      <c r="D134" s="1254" t="s">
        <v>1348</v>
      </c>
      <c r="E134" s="1255" t="s">
        <v>1349</v>
      </c>
      <c r="F134" s="1256" t="s">
        <v>1350</v>
      </c>
      <c r="G134" s="1344" t="s">
        <v>512</v>
      </c>
      <c r="H134" s="1257" t="s">
        <v>269</v>
      </c>
      <c r="I134" s="1320" t="s">
        <v>198</v>
      </c>
      <c r="J134" s="1321">
        <v>5</v>
      </c>
      <c r="K134" s="1283" t="str">
        <f t="shared" si="62"/>
        <v>Baja</v>
      </c>
      <c r="L134" s="1322">
        <f t="shared" si="63"/>
        <v>0.4</v>
      </c>
      <c r="M134" s="1323" t="s">
        <v>225</v>
      </c>
      <c r="N134" s="1228" t="str">
        <f>IF(NOT(ISERROR(MATCH(M134,'[67]Tabla Impacto'!$B$221:$B$223,0))),'[67]Tabla Impacto'!$F$223&amp;"Por favor no seleccionar los criterios de impacto(Afectación Económica o presupuestal y Pérdida Reputacional)",M134)</f>
        <v xml:space="preserve">     El riesgo afecta la imagen de la entidad con algunos usuarios de relevancia frente al logro de los objetivos</v>
      </c>
      <c r="O134" s="1283" t="str">
        <f>IF(OR(N134='[67]Tabla Impacto'!$C$11,N134='[67]Tabla Impacto'!$D$11),"Leve",IF(OR(N134='[67]Tabla Impacto'!$C$12,N134='[67]Tabla Impacto'!$D$12),"Menor",IF(OR(N134='[67]Tabla Impacto'!$C$13,N134='[67]Tabla Impacto'!$D$13),"Moderado",IF(OR(N134='[67]Tabla Impacto'!$C$14,N134='[67]Tabla Impacto'!$D$14),"Mayor",IF(OR(N134='[67]Tabla Impacto'!$C$15,N134='[67]Tabla Impacto'!$D$15),"Catastrófico","")))))</f>
        <v>Moderado</v>
      </c>
      <c r="P134" s="1322">
        <f t="shared" si="64"/>
        <v>0.6</v>
      </c>
      <c r="Q134" s="1286" t="str">
        <f t="shared" si="65"/>
        <v>Moderado</v>
      </c>
      <c r="R134" s="1258">
        <v>1</v>
      </c>
      <c r="S134" s="1356" t="s">
        <v>1375</v>
      </c>
      <c r="T134" s="1260" t="str">
        <f t="shared" si="66"/>
        <v>Probabilidad</v>
      </c>
      <c r="U134" s="1261" t="s">
        <v>207</v>
      </c>
      <c r="V134" s="1261" t="s">
        <v>201</v>
      </c>
      <c r="W134" s="1262" t="str">
        <f t="shared" si="67"/>
        <v>40%</v>
      </c>
      <c r="X134" s="1261" t="s">
        <v>208</v>
      </c>
      <c r="Y134" s="1261" t="s">
        <v>203</v>
      </c>
      <c r="Z134" s="1261" t="s">
        <v>204</v>
      </c>
      <c r="AA134" s="1263">
        <f>IFERROR(IF(T134="Probabilidad",(L134-(+L134*W134)),IF(T134="Impacto",L134,"")),"")</f>
        <v>0.24</v>
      </c>
      <c r="AB134" s="1235" t="str">
        <f t="shared" si="68"/>
        <v>Baja</v>
      </c>
      <c r="AC134" s="1264">
        <f t="shared" si="69"/>
        <v>0.24</v>
      </c>
      <c r="AD134" s="1235" t="str">
        <f t="shared" si="70"/>
        <v>Moderado</v>
      </c>
      <c r="AE134" s="1264">
        <f>IFERROR(IF(T134="Impacto",(P134-(+P134*W134)),IF(T134="Probabilidad",P134,"")),"")</f>
        <v>0.6</v>
      </c>
      <c r="AF134" s="1237" t="str">
        <f t="shared" si="71"/>
        <v>Moderado</v>
      </c>
      <c r="AG134" s="1265" t="s">
        <v>205</v>
      </c>
      <c r="AH134" s="1259" t="s">
        <v>1351</v>
      </c>
      <c r="AI134" s="1259" t="s">
        <v>1352</v>
      </c>
      <c r="AJ134" s="1266">
        <v>45352</v>
      </c>
      <c r="AK134" s="1267"/>
      <c r="AL134" s="1259"/>
      <c r="AM134" s="1359" t="s">
        <v>206</v>
      </c>
      <c r="AN134" s="1363" t="s">
        <v>1464</v>
      </c>
      <c r="AO134" s="3342"/>
    </row>
    <row r="135" spans="1:41" s="523" customFormat="1" ht="55.2" x14ac:dyDescent="0.25">
      <c r="A135" s="1047">
        <v>4</v>
      </c>
      <c r="B135" s="1268" t="s">
        <v>197</v>
      </c>
      <c r="C135" s="1269" t="s">
        <v>272</v>
      </c>
      <c r="D135" s="1270" t="s">
        <v>1353</v>
      </c>
      <c r="E135" s="1241" t="s">
        <v>1354</v>
      </c>
      <c r="F135" s="1271" t="s">
        <v>1355</v>
      </c>
      <c r="G135" s="1343" t="s">
        <v>512</v>
      </c>
      <c r="H135" s="1242" t="s">
        <v>276</v>
      </c>
      <c r="I135" s="1272" t="s">
        <v>198</v>
      </c>
      <c r="J135" s="1273">
        <v>1</v>
      </c>
      <c r="K135" s="1274" t="str">
        <f t="shared" si="62"/>
        <v>Muy Baja</v>
      </c>
      <c r="L135" s="1275">
        <f t="shared" si="63"/>
        <v>0.2</v>
      </c>
      <c r="M135" s="1276" t="s">
        <v>216</v>
      </c>
      <c r="N135" s="1277" t="str">
        <f>IF(NOT(ISERROR(MATCH(M135,'[67]Tabla Impacto'!$B$221:$B$223,0))),'[67]Tabla Impacto'!$F$223&amp;"Por favor no seleccionar los criterios de impacto(Afectación Económica o presupuestal y Pérdida Reputacional)",M135)</f>
        <v xml:space="preserve">     El riesgo afecta la imagen de alguna área de la organización</v>
      </c>
      <c r="O135" s="1274" t="str">
        <f>IF(OR(N135='[67]Tabla Impacto'!$C$11,N135='[67]Tabla Impacto'!$D$11),"Leve",IF(OR(N135='[67]Tabla Impacto'!$C$12,N135='[67]Tabla Impacto'!$D$12),"Menor",IF(OR(N135='[67]Tabla Impacto'!$C$13,N135='[67]Tabla Impacto'!$D$13),"Moderado",IF(OR(N135='[67]Tabla Impacto'!$C$14,N135='[67]Tabla Impacto'!$D$14),"Mayor",IF(OR(N135='[67]Tabla Impacto'!$C$15,N135='[67]Tabla Impacto'!$D$15),"Catastrófico","")))))</f>
        <v>Leve</v>
      </c>
      <c r="P135" s="1275">
        <f t="shared" si="64"/>
        <v>0.2</v>
      </c>
      <c r="Q135" s="1278" t="str">
        <f t="shared" si="65"/>
        <v>Bajo</v>
      </c>
      <c r="R135" s="1243">
        <v>1</v>
      </c>
      <c r="S135" s="1355" t="s">
        <v>1376</v>
      </c>
      <c r="T135" s="1245" t="str">
        <f t="shared" si="66"/>
        <v>Probabilidad</v>
      </c>
      <c r="U135" s="1246" t="s">
        <v>207</v>
      </c>
      <c r="V135" s="1246" t="s">
        <v>201</v>
      </c>
      <c r="W135" s="1247" t="str">
        <f t="shared" si="67"/>
        <v>40%</v>
      </c>
      <c r="X135" s="1246" t="s">
        <v>202</v>
      </c>
      <c r="Y135" s="1246" t="s">
        <v>203</v>
      </c>
      <c r="Z135" s="1246" t="s">
        <v>204</v>
      </c>
      <c r="AA135" s="1248">
        <f>IFERROR(IF(T135="Probabilidad",(L135-(+L135*W135)),IF(T135="Impacto",L135,"")),"")</f>
        <v>0.12</v>
      </c>
      <c r="AB135" s="1235" t="str">
        <f t="shared" si="68"/>
        <v>Muy Baja</v>
      </c>
      <c r="AC135" s="1249">
        <f t="shared" si="69"/>
        <v>0.12</v>
      </c>
      <c r="AD135" s="1235" t="str">
        <f t="shared" si="70"/>
        <v>Leve</v>
      </c>
      <c r="AE135" s="1249">
        <f>IFERROR(IF(T135="Impacto",(P135-(+P135*W135)),IF(T135="Probabilidad",P135,"")),"")</f>
        <v>0.2</v>
      </c>
      <c r="AF135" s="1237" t="str">
        <f t="shared" si="71"/>
        <v>Bajo</v>
      </c>
      <c r="AG135" s="1250" t="s">
        <v>205</v>
      </c>
      <c r="AH135" s="1244" t="s">
        <v>1356</v>
      </c>
      <c r="AI135" s="1279" t="s">
        <v>277</v>
      </c>
      <c r="AJ135" s="1251">
        <v>45352</v>
      </c>
      <c r="AK135" s="1252"/>
      <c r="AL135" s="1244"/>
      <c r="AM135" s="1358" t="s">
        <v>206</v>
      </c>
      <c r="AN135" s="991" t="s">
        <v>1461</v>
      </c>
      <c r="AO135" s="3342"/>
    </row>
    <row r="136" spans="1:41" s="523" customFormat="1" ht="199.8" customHeight="1" x14ac:dyDescent="0.25">
      <c r="A136" s="1047">
        <v>5</v>
      </c>
      <c r="B136" s="3343" t="s">
        <v>209</v>
      </c>
      <c r="C136" s="3345" t="s">
        <v>1357</v>
      </c>
      <c r="D136" s="3346" t="s">
        <v>1358</v>
      </c>
      <c r="E136" s="1280" t="s">
        <v>1359</v>
      </c>
      <c r="F136" s="3348" t="s">
        <v>1360</v>
      </c>
      <c r="G136" s="3349" t="s">
        <v>597</v>
      </c>
      <c r="H136" s="1281" t="s">
        <v>1361</v>
      </c>
      <c r="I136" s="3351" t="s">
        <v>198</v>
      </c>
      <c r="J136" s="1282">
        <v>100</v>
      </c>
      <c r="K136" s="1283" t="str">
        <f t="shared" si="62"/>
        <v>Media</v>
      </c>
      <c r="L136" s="1284">
        <f t="shared" si="63"/>
        <v>0.6</v>
      </c>
      <c r="M136" s="1285" t="s">
        <v>393</v>
      </c>
      <c r="N136" s="3353" t="str">
        <f>IF(NOT(ISERROR(MATCH(M136,'[67]Tabla Impacto'!$B$221:$B$223,0))),'[67]Tabla Impacto'!$F$223&amp;"Por favor no seleccionar los criterios de impacto(Afectación Económica o presupuestal y Pérdida Reputacional)",M136)</f>
        <v xml:space="preserve">     Entre 200 y 1000 SMLMV</v>
      </c>
      <c r="O136" s="1283" t="str">
        <f>IF(OR(N136='[67]Tabla Impacto'!$C$11,N136='[67]Tabla Impacto'!$D$11),"Leve",IF(OR(N136='[67]Tabla Impacto'!$C$12,N136='[67]Tabla Impacto'!$D$12),"Menor",IF(OR(N136='[67]Tabla Impacto'!$C$13,N136='[67]Tabla Impacto'!$D$13),"Moderado",IF(OR(N136='[67]Tabla Impacto'!$C$14,N136='[67]Tabla Impacto'!$D$14),"Mayor",IF(OR(N136='[67]Tabla Impacto'!$C$15,N136='[67]Tabla Impacto'!$D$15),"Catastrófico","")))))</f>
        <v>Menor</v>
      </c>
      <c r="P136" s="1284">
        <f t="shared" si="64"/>
        <v>0.4</v>
      </c>
      <c r="Q136" s="1286" t="str">
        <f t="shared" si="65"/>
        <v>Moderado</v>
      </c>
      <c r="R136" s="1287">
        <v>1</v>
      </c>
      <c r="S136" s="1288" t="s">
        <v>1377</v>
      </c>
      <c r="T136" s="1289" t="str">
        <f>IF(OR(U136="Preventivo",U136="Detectivo"),"Probabilidad",IF(U136="Correctivo","Impacto",""))</f>
        <v>Probabilidad</v>
      </c>
      <c r="U136" s="1290" t="s">
        <v>207</v>
      </c>
      <c r="V136" s="1290" t="s">
        <v>201</v>
      </c>
      <c r="W136" s="1291" t="str">
        <f t="shared" si="67"/>
        <v>40%</v>
      </c>
      <c r="X136" s="1290" t="s">
        <v>208</v>
      </c>
      <c r="Y136" s="1290" t="s">
        <v>203</v>
      </c>
      <c r="Z136" s="1290" t="s">
        <v>204</v>
      </c>
      <c r="AA136" s="1292">
        <f>IFERROR(IF(T136="Probabilidad",(L136-(+L136*W136)),IF(T136="Impacto",L136,"")),"")</f>
        <v>0.36</v>
      </c>
      <c r="AB136" s="1235" t="str">
        <f t="shared" si="68"/>
        <v>Baja</v>
      </c>
      <c r="AC136" s="1293">
        <f t="shared" si="69"/>
        <v>0.36</v>
      </c>
      <c r="AD136" s="1235" t="str">
        <f t="shared" si="70"/>
        <v>Menor</v>
      </c>
      <c r="AE136" s="1293">
        <f>IFERROR(IF(T136="Impacto",(P136-(+P136*W136)),IF(T136="Probabilidad",P136,"")),"")</f>
        <v>0.4</v>
      </c>
      <c r="AF136" s="1237" t="str">
        <f t="shared" si="71"/>
        <v>Moderado</v>
      </c>
      <c r="AG136" s="1294" t="s">
        <v>205</v>
      </c>
      <c r="AH136" s="1288" t="s">
        <v>284</v>
      </c>
      <c r="AI136" s="1295" t="s">
        <v>1362</v>
      </c>
      <c r="AJ136" s="1296">
        <v>45352</v>
      </c>
      <c r="AK136" s="1297"/>
      <c r="AL136" s="1288"/>
      <c r="AM136" s="1360" t="s">
        <v>206</v>
      </c>
      <c r="AN136" s="1365" t="s">
        <v>1465</v>
      </c>
      <c r="AO136" s="3342"/>
    </row>
    <row r="137" spans="1:41" s="523" customFormat="1" ht="159.6" customHeight="1" x14ac:dyDescent="0.25">
      <c r="A137" s="1136">
        <v>6</v>
      </c>
      <c r="B137" s="3344"/>
      <c r="C137" s="3344"/>
      <c r="D137" s="3347"/>
      <c r="E137" s="1298" t="s">
        <v>1363</v>
      </c>
      <c r="F137" s="3348"/>
      <c r="G137" s="3350"/>
      <c r="H137" s="1299" t="s">
        <v>1364</v>
      </c>
      <c r="I137" s="3352"/>
      <c r="J137" s="1300">
        <v>300000000</v>
      </c>
      <c r="K137" s="1283" t="str">
        <f t="shared" si="62"/>
        <v>Muy Alta</v>
      </c>
      <c r="L137" s="1301">
        <f t="shared" si="63"/>
        <v>1</v>
      </c>
      <c r="M137" s="1302" t="s">
        <v>1365</v>
      </c>
      <c r="N137" s="3354" t="str">
        <f>IF(NOT(ISERROR(MATCH(M137,_xlfn.ANCHORARRAY(F139),0))),L141&amp;"Por favor no seleccionar los criterios de impacto",M137)</f>
        <v xml:space="preserve">     Entre 5000 y 10000 SMLMV</v>
      </c>
      <c r="O137" s="1283" t="str">
        <f>IF(OR(N137='[67]Tabla Impacto'!$C$11,N137='[67]Tabla Impacto'!$D$11),"Leve",IF(OR(N137='[67]Tabla Impacto'!$C$12,N137='[67]Tabla Impacto'!$D$12),"Menor",IF(OR(N137='[67]Tabla Impacto'!$C$13,N137='[67]Tabla Impacto'!$D$13),"Moderado",IF(OR(N137='[67]Tabla Impacto'!$C$14,N137='[67]Tabla Impacto'!$D$14),"Mayor",IF(OR(N137='[67]Tabla Impacto'!$C$15,N137='[67]Tabla Impacto'!$D$15),"Catastrófico","")))))</f>
        <v>Mayor</v>
      </c>
      <c r="P137" s="1301">
        <f t="shared" si="64"/>
        <v>0.8</v>
      </c>
      <c r="Q137" s="1286" t="str">
        <f t="shared" si="65"/>
        <v>Alto</v>
      </c>
      <c r="R137" s="1303">
        <v>2</v>
      </c>
      <c r="S137" s="1304" t="s">
        <v>1378</v>
      </c>
      <c r="T137" s="1305" t="str">
        <f>IF(OR(U137="Preventivo",U137="Detectivo"),"Probabilidad",IF(U137="Correctivo","Impacto",""))</f>
        <v>Probabilidad</v>
      </c>
      <c r="U137" s="1306" t="s">
        <v>207</v>
      </c>
      <c r="V137" s="1306" t="s">
        <v>201</v>
      </c>
      <c r="W137" s="1307" t="str">
        <f t="shared" si="67"/>
        <v>40%</v>
      </c>
      <c r="X137" s="1306" t="s">
        <v>208</v>
      </c>
      <c r="Y137" s="1306" t="s">
        <v>203</v>
      </c>
      <c r="Z137" s="1306" t="s">
        <v>204</v>
      </c>
      <c r="AA137" s="1308">
        <f>IFERROR(IF(AND(T136="Probabilidad",T137="Probabilidad"),(AC136-(+AC136*W137)),IF(AND(T136="Impacto",T137="Probabilidad"),(L136-(+L136*W137)),IF(T137="Impacto",AC136,""))),"")</f>
        <v>0.216</v>
      </c>
      <c r="AB137" s="1235" t="str">
        <f t="shared" si="68"/>
        <v>Baja</v>
      </c>
      <c r="AC137" s="1309">
        <f t="shared" si="69"/>
        <v>0.216</v>
      </c>
      <c r="AD137" s="1310" t="str">
        <f t="shared" si="70"/>
        <v>Menor</v>
      </c>
      <c r="AE137" s="1309">
        <f>IFERROR(IF(AND(T136="Impacto",T137="Impacto"),(AE136-(+AE136*W137)),IF(AND(T136="Probabilidad",T137="Impacto"),(P136-(+P136*W137)),IF(T137="Probabilidad",AE136,""))),"")</f>
        <v>0.4</v>
      </c>
      <c r="AF137" s="1237" t="str">
        <f t="shared" si="71"/>
        <v>Moderado</v>
      </c>
      <c r="AG137" s="1311" t="s">
        <v>205</v>
      </c>
      <c r="AH137" s="1312" t="s">
        <v>1366</v>
      </c>
      <c r="AI137" s="1312" t="s">
        <v>277</v>
      </c>
      <c r="AJ137" s="1313">
        <v>45597</v>
      </c>
      <c r="AK137" s="1314"/>
      <c r="AL137" s="1304"/>
      <c r="AM137" s="1361" t="s">
        <v>206</v>
      </c>
      <c r="AN137" s="1364" t="s">
        <v>1466</v>
      </c>
      <c r="AO137" s="3342"/>
    </row>
    <row r="138" spans="1:41" s="523" customFormat="1" ht="166.2" customHeight="1" x14ac:dyDescent="0.25">
      <c r="A138" s="690">
        <v>7</v>
      </c>
      <c r="B138" s="1332" t="s">
        <v>209</v>
      </c>
      <c r="C138" s="1333" t="s">
        <v>1367</v>
      </c>
      <c r="D138" s="1334" t="s">
        <v>1368</v>
      </c>
      <c r="E138" s="1315" t="s">
        <v>1380</v>
      </c>
      <c r="F138" s="1335" t="s">
        <v>1369</v>
      </c>
      <c r="G138" s="1342" t="s">
        <v>597</v>
      </c>
      <c r="H138" s="1316" t="s">
        <v>1370</v>
      </c>
      <c r="I138" s="1336" t="s">
        <v>198</v>
      </c>
      <c r="J138" s="1337">
        <v>6000</v>
      </c>
      <c r="K138" s="1338" t="str">
        <f t="shared" si="62"/>
        <v>Muy Alta</v>
      </c>
      <c r="L138" s="1339">
        <f t="shared" si="63"/>
        <v>1</v>
      </c>
      <c r="M138" s="1340" t="s">
        <v>1365</v>
      </c>
      <c r="N138" s="1129" t="str">
        <f>IF(NOT(ISERROR(MATCH(M138,'[67]Tabla Impacto'!$B$221:$B$223,0))),'[67]Tabla Impacto'!$F$223&amp;"Por favor no seleccionar los criterios de impacto(Afectación Económica o presupuestal y Pérdida Reputacional)",M138)</f>
        <v xml:space="preserve">     Entre 5000 y 10000 SMLMV</v>
      </c>
      <c r="O138" s="1338" t="str">
        <f>IF(OR(N138='[67]Tabla Impacto'!$C$11,N138='[67]Tabla Impacto'!$D$11),"Leve",IF(OR(N138='[67]Tabla Impacto'!$C$12,N138='[67]Tabla Impacto'!$D$12),"Menor",IF(OR(N138='[67]Tabla Impacto'!$C$13,N138='[67]Tabla Impacto'!$D$13),"Moderado",IF(OR(N138='[67]Tabla Impacto'!$C$14,N138='[67]Tabla Impacto'!$D$14),"Mayor",IF(OR(N138='[67]Tabla Impacto'!$C$15,N138='[67]Tabla Impacto'!$D$15),"Catastrófico","")))))</f>
        <v>Mayor</v>
      </c>
      <c r="P138" s="1339">
        <f t="shared" si="64"/>
        <v>0.8</v>
      </c>
      <c r="Q138" s="1341" t="str">
        <f t="shared" si="65"/>
        <v>Alto</v>
      </c>
      <c r="R138" s="1317">
        <v>1</v>
      </c>
      <c r="S138" s="1230" t="s">
        <v>1379</v>
      </c>
      <c r="T138" s="1231" t="str">
        <f t="shared" si="66"/>
        <v>Probabilidad</v>
      </c>
      <c r="U138" s="1232" t="s">
        <v>207</v>
      </c>
      <c r="V138" s="1232" t="s">
        <v>201</v>
      </c>
      <c r="W138" s="1233" t="str">
        <f t="shared" si="67"/>
        <v>40%</v>
      </c>
      <c r="X138" s="1232" t="s">
        <v>208</v>
      </c>
      <c r="Y138" s="1232" t="s">
        <v>203</v>
      </c>
      <c r="Z138" s="1232" t="s">
        <v>204</v>
      </c>
      <c r="AA138" s="1234">
        <f>IFERROR(IF(T138="Probabilidad",(L138-(+L138*W138)),IF(T138="Impacto",L138,"")),"")</f>
        <v>0.6</v>
      </c>
      <c r="AB138" s="1235" t="str">
        <f t="shared" si="68"/>
        <v>Media</v>
      </c>
      <c r="AC138" s="1236">
        <f t="shared" si="69"/>
        <v>0.6</v>
      </c>
      <c r="AD138" s="1235" t="str">
        <f t="shared" si="70"/>
        <v>Mayor</v>
      </c>
      <c r="AE138" s="1236">
        <f>IFERROR(IF(T138="Impacto",(P138-(+P138*W138)),IF(T138="Probabilidad",P138,"")),"")</f>
        <v>0.8</v>
      </c>
      <c r="AF138" s="1237" t="str">
        <f t="shared" si="71"/>
        <v>Alto</v>
      </c>
      <c r="AG138" s="1238" t="s">
        <v>205</v>
      </c>
      <c r="AH138" s="1230" t="s">
        <v>1371</v>
      </c>
      <c r="AI138" s="1318" t="s">
        <v>1342</v>
      </c>
      <c r="AJ138" s="1239">
        <v>45597</v>
      </c>
      <c r="AK138" s="1240"/>
      <c r="AL138" s="1230"/>
      <c r="AM138" s="1362" t="s">
        <v>206</v>
      </c>
      <c r="AN138" s="1364" t="s">
        <v>1467</v>
      </c>
      <c r="AO138" s="3342"/>
    </row>
    <row r="139" spans="1:41" s="523" customFormat="1" x14ac:dyDescent="0.25">
      <c r="A139" s="694"/>
      <c r="B139" s="695"/>
      <c r="C139" s="694"/>
      <c r="D139" s="694"/>
      <c r="E139" s="694"/>
      <c r="F139" s="311"/>
      <c r="G139" s="311"/>
      <c r="H139" s="311"/>
      <c r="I139" s="696"/>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E139" s="311"/>
      <c r="AF139" s="311"/>
      <c r="AG139" s="311"/>
      <c r="AH139" s="311"/>
      <c r="AI139" s="311"/>
      <c r="AJ139" s="311"/>
      <c r="AK139" s="311"/>
      <c r="AL139" s="311"/>
      <c r="AM139" s="311"/>
    </row>
    <row r="140" spans="1:41" s="523" customFormat="1" x14ac:dyDescent="0.25">
      <c r="A140" s="2343" t="s">
        <v>156</v>
      </c>
      <c r="B140" s="2344"/>
      <c r="C140" s="2344"/>
      <c r="D140" s="2344"/>
      <c r="E140" s="2344"/>
      <c r="F140" s="2344"/>
      <c r="G140" s="2344"/>
      <c r="H140" s="2344"/>
      <c r="I140" s="2344"/>
      <c r="J140" s="2344"/>
      <c r="K140" s="2344"/>
      <c r="L140" s="2344"/>
      <c r="M140" s="2344"/>
      <c r="N140" s="2344"/>
      <c r="O140" s="2344"/>
      <c r="P140" s="2344"/>
      <c r="Q140" s="2344"/>
      <c r="R140" s="2344"/>
      <c r="S140" s="2344"/>
      <c r="T140" s="2344"/>
      <c r="U140" s="2344"/>
      <c r="V140" s="2344"/>
      <c r="W140" s="2344"/>
      <c r="X140" s="2344"/>
      <c r="Y140" s="2344"/>
      <c r="Z140" s="2344"/>
      <c r="AA140" s="2344"/>
      <c r="AB140" s="2344"/>
      <c r="AC140" s="2344"/>
      <c r="AD140" s="2344"/>
      <c r="AE140" s="2344"/>
      <c r="AF140" s="2344"/>
      <c r="AG140" s="2344"/>
      <c r="AH140" s="2344"/>
      <c r="AI140" s="2344"/>
      <c r="AJ140" s="2344"/>
      <c r="AK140" s="2344"/>
      <c r="AL140" s="2344"/>
      <c r="AM140" s="2345"/>
    </row>
    <row r="141" spans="1:41" s="523" customFormat="1" x14ac:dyDescent="0.25">
      <c r="A141" s="2346"/>
      <c r="B141" s="2347"/>
      <c r="C141" s="2347"/>
      <c r="D141" s="2347"/>
      <c r="E141" s="2347"/>
      <c r="F141" s="2347"/>
      <c r="G141" s="2347"/>
      <c r="H141" s="2347"/>
      <c r="I141" s="2347"/>
      <c r="J141" s="2347"/>
      <c r="K141" s="2347"/>
      <c r="L141" s="2347"/>
      <c r="M141" s="2347"/>
      <c r="N141" s="2347"/>
      <c r="O141" s="2347"/>
      <c r="P141" s="2347"/>
      <c r="Q141" s="2347"/>
      <c r="R141" s="2347"/>
      <c r="S141" s="2347"/>
      <c r="T141" s="2347"/>
      <c r="U141" s="2347"/>
      <c r="V141" s="2347"/>
      <c r="W141" s="2347"/>
      <c r="X141" s="2347"/>
      <c r="Y141" s="2347"/>
      <c r="Z141" s="2347"/>
      <c r="AA141" s="2347"/>
      <c r="AB141" s="2347"/>
      <c r="AC141" s="2347"/>
      <c r="AD141" s="2347"/>
      <c r="AE141" s="2347"/>
      <c r="AF141" s="2347"/>
      <c r="AG141" s="2347"/>
      <c r="AH141" s="2347"/>
      <c r="AI141" s="2347"/>
      <c r="AJ141" s="2347"/>
      <c r="AK141" s="2347"/>
      <c r="AL141" s="2347"/>
      <c r="AM141" s="2348"/>
    </row>
    <row r="142" spans="1:41" s="523" customFormat="1" x14ac:dyDescent="0.25">
      <c r="A142" s="703"/>
      <c r="B142" s="704"/>
      <c r="C142" s="703"/>
      <c r="D142" s="703"/>
      <c r="E142" s="703"/>
      <c r="F142" s="700"/>
      <c r="G142" s="700"/>
      <c r="H142" s="700"/>
      <c r="I142" s="705"/>
      <c r="J142" s="700"/>
      <c r="K142" s="700"/>
      <c r="L142" s="700"/>
      <c r="M142" s="700"/>
      <c r="N142" s="700"/>
      <c r="O142" s="700"/>
      <c r="P142" s="700"/>
      <c r="Q142" s="700"/>
      <c r="R142" s="700"/>
      <c r="S142" s="700"/>
      <c r="T142" s="700"/>
      <c r="U142" s="700"/>
      <c r="V142" s="700"/>
      <c r="W142" s="700"/>
      <c r="X142" s="700"/>
      <c r="Y142" s="700"/>
      <c r="Z142" s="700"/>
      <c r="AA142" s="700"/>
      <c r="AB142" s="700"/>
      <c r="AC142" s="700"/>
      <c r="AD142" s="700"/>
      <c r="AE142" s="700"/>
      <c r="AF142" s="700"/>
      <c r="AG142" s="700"/>
      <c r="AH142" s="700"/>
      <c r="AI142" s="700"/>
      <c r="AJ142" s="700"/>
      <c r="AK142" s="700"/>
      <c r="AL142" s="700"/>
      <c r="AM142" s="700"/>
    </row>
    <row r="143" spans="1:41" s="523" customFormat="1" ht="23.4" x14ac:dyDescent="0.25">
      <c r="A143" s="2349" t="s">
        <v>157</v>
      </c>
      <c r="B143" s="2350"/>
      <c r="C143" s="2039" t="s">
        <v>286</v>
      </c>
      <c r="D143" s="2039"/>
      <c r="E143" s="2039"/>
      <c r="F143" s="2039"/>
      <c r="G143" s="2039"/>
      <c r="H143" s="2039"/>
      <c r="I143" s="2039"/>
      <c r="J143" s="2039"/>
      <c r="K143" s="2039"/>
      <c r="L143" s="2039"/>
      <c r="M143" s="2039"/>
      <c r="N143" s="2039"/>
      <c r="O143" s="2039"/>
      <c r="P143" s="2039"/>
      <c r="Q143" s="2039"/>
      <c r="R143" s="2039"/>
      <c r="S143" s="2039"/>
      <c r="T143" s="2039"/>
      <c r="U143" s="2039"/>
      <c r="V143" s="2039"/>
      <c r="W143" s="2039"/>
      <c r="X143" s="2039"/>
      <c r="Y143" s="2039"/>
      <c r="Z143" s="2039"/>
      <c r="AA143" s="2039"/>
      <c r="AB143" s="2039"/>
      <c r="AC143" s="2039"/>
      <c r="AD143" s="2039"/>
      <c r="AE143" s="2039"/>
      <c r="AF143" s="2039"/>
      <c r="AG143" s="2039"/>
      <c r="AH143" s="2039"/>
      <c r="AI143" s="2039"/>
      <c r="AJ143" s="2039"/>
      <c r="AK143" s="2039"/>
      <c r="AL143" s="2039"/>
      <c r="AM143" s="2039"/>
    </row>
    <row r="144" spans="1:41" s="523" customFormat="1" ht="23.4" x14ac:dyDescent="0.25">
      <c r="A144" s="2349" t="s">
        <v>158</v>
      </c>
      <c r="B144" s="2350"/>
      <c r="C144" s="2039" t="s">
        <v>287</v>
      </c>
      <c r="D144" s="2039"/>
      <c r="E144" s="2039"/>
      <c r="F144" s="2039"/>
      <c r="G144" s="2039"/>
      <c r="H144" s="2039"/>
      <c r="I144" s="2039"/>
      <c r="J144" s="2039"/>
      <c r="K144" s="2039"/>
      <c r="L144" s="2039"/>
      <c r="M144" s="2039"/>
      <c r="N144" s="2039"/>
      <c r="O144" s="2039"/>
      <c r="P144" s="2039"/>
      <c r="Q144" s="2039"/>
      <c r="R144" s="2039"/>
      <c r="S144" s="2039"/>
      <c r="T144" s="2039"/>
      <c r="U144" s="2039"/>
      <c r="V144" s="2039"/>
      <c r="W144" s="2039"/>
      <c r="X144" s="2039"/>
      <c r="Y144" s="2039"/>
      <c r="Z144" s="2039"/>
      <c r="AA144" s="2039"/>
      <c r="AB144" s="2039"/>
      <c r="AC144" s="2039"/>
      <c r="AD144" s="2039"/>
      <c r="AE144" s="2039"/>
      <c r="AF144" s="2039"/>
      <c r="AG144" s="2039"/>
      <c r="AH144" s="2039"/>
      <c r="AI144" s="2039"/>
      <c r="AJ144" s="2039"/>
      <c r="AK144" s="2039"/>
      <c r="AL144" s="2039"/>
      <c r="AM144" s="2039"/>
    </row>
    <row r="145" spans="1:39" s="523" customFormat="1" ht="23.4" x14ac:dyDescent="0.25">
      <c r="A145" s="2349" t="s">
        <v>159</v>
      </c>
      <c r="B145" s="2350"/>
      <c r="C145" s="2040" t="s">
        <v>288</v>
      </c>
      <c r="D145" s="2040"/>
      <c r="E145" s="2040"/>
      <c r="F145" s="2040"/>
      <c r="G145" s="2040"/>
      <c r="H145" s="2040"/>
      <c r="I145" s="2040"/>
      <c r="J145" s="2040"/>
      <c r="K145" s="2040"/>
      <c r="L145" s="2040"/>
      <c r="M145" s="2040"/>
      <c r="N145" s="2040"/>
      <c r="O145" s="2040"/>
      <c r="P145" s="2040"/>
      <c r="Q145" s="2040"/>
      <c r="R145" s="2040"/>
      <c r="S145" s="2040"/>
      <c r="T145" s="2040"/>
      <c r="U145" s="2040"/>
      <c r="V145" s="2040"/>
      <c r="W145" s="2040"/>
      <c r="X145" s="2040"/>
      <c r="Y145" s="2040"/>
      <c r="Z145" s="2040"/>
      <c r="AA145" s="2040"/>
      <c r="AB145" s="2040"/>
      <c r="AC145" s="2040"/>
      <c r="AD145" s="2040"/>
      <c r="AE145" s="2040"/>
      <c r="AF145" s="2040"/>
      <c r="AG145" s="2040"/>
      <c r="AH145" s="2040"/>
      <c r="AI145" s="2040"/>
      <c r="AJ145" s="2040"/>
      <c r="AK145" s="2040"/>
      <c r="AL145" s="2040"/>
      <c r="AM145" s="2040"/>
    </row>
    <row r="146" spans="1:39" s="523" customFormat="1" x14ac:dyDescent="0.25">
      <c r="A146" s="2351" t="s">
        <v>160</v>
      </c>
      <c r="B146" s="2352"/>
      <c r="C146" s="2353"/>
      <c r="D146" s="2353"/>
      <c r="E146" s="2353"/>
      <c r="F146" s="2353"/>
      <c r="G146" s="2353"/>
      <c r="H146" s="2353"/>
      <c r="I146" s="2353"/>
      <c r="J146" s="2354"/>
      <c r="K146" s="2101" t="s">
        <v>161</v>
      </c>
      <c r="L146" s="2353"/>
      <c r="M146" s="2353"/>
      <c r="N146" s="2353"/>
      <c r="O146" s="2353"/>
      <c r="P146" s="2353"/>
      <c r="Q146" s="2354"/>
      <c r="R146" s="2101" t="s">
        <v>162</v>
      </c>
      <c r="S146" s="2353"/>
      <c r="T146" s="2353"/>
      <c r="U146" s="2353"/>
      <c r="V146" s="2353"/>
      <c r="W146" s="2353"/>
      <c r="X146" s="2353"/>
      <c r="Y146" s="2353"/>
      <c r="Z146" s="2354"/>
      <c r="AA146" s="2101" t="s">
        <v>163</v>
      </c>
      <c r="AB146" s="2353"/>
      <c r="AC146" s="2353"/>
      <c r="AD146" s="2353"/>
      <c r="AE146" s="2353"/>
      <c r="AF146" s="2353"/>
      <c r="AG146" s="2354"/>
      <c r="AH146" s="2101" t="s">
        <v>164</v>
      </c>
      <c r="AI146" s="2353"/>
      <c r="AJ146" s="2353"/>
      <c r="AK146" s="2353"/>
      <c r="AL146" s="2353"/>
      <c r="AM146" s="2354"/>
    </row>
    <row r="147" spans="1:39" s="523" customFormat="1" x14ac:dyDescent="0.25">
      <c r="A147" s="2140" t="s">
        <v>165</v>
      </c>
      <c r="B147" s="2142" t="s">
        <v>142</v>
      </c>
      <c r="C147" s="2042" t="s">
        <v>166</v>
      </c>
      <c r="D147" s="2042" t="s">
        <v>167</v>
      </c>
      <c r="E147" s="2041" t="s">
        <v>168</v>
      </c>
      <c r="F147" s="2103" t="s">
        <v>60</v>
      </c>
      <c r="G147" s="280"/>
      <c r="H147" s="280"/>
      <c r="I147" s="2041" t="s">
        <v>169</v>
      </c>
      <c r="J147" s="2042" t="s">
        <v>170</v>
      </c>
      <c r="K147" s="2105" t="s">
        <v>171</v>
      </c>
      <c r="L147" s="2100" t="s">
        <v>172</v>
      </c>
      <c r="M147" s="2041" t="s">
        <v>173</v>
      </c>
      <c r="N147" s="2041" t="s">
        <v>174</v>
      </c>
      <c r="O147" s="2102" t="s">
        <v>175</v>
      </c>
      <c r="P147" s="2100" t="s">
        <v>172</v>
      </c>
      <c r="Q147" s="2042" t="s">
        <v>176</v>
      </c>
      <c r="R147" s="2161" t="s">
        <v>177</v>
      </c>
      <c r="S147" s="2043" t="s">
        <v>178</v>
      </c>
      <c r="T147" s="2041" t="s">
        <v>179</v>
      </c>
      <c r="U147" s="2043" t="s">
        <v>180</v>
      </c>
      <c r="V147" s="2043"/>
      <c r="W147" s="2043"/>
      <c r="X147" s="2043"/>
      <c r="Y147" s="2043"/>
      <c r="Z147" s="2043"/>
      <c r="AA147" s="2099" t="s">
        <v>181</v>
      </c>
      <c r="AB147" s="2099" t="s">
        <v>182</v>
      </c>
      <c r="AC147" s="2099" t="s">
        <v>172</v>
      </c>
      <c r="AD147" s="2099" t="s">
        <v>183</v>
      </c>
      <c r="AE147" s="2099" t="s">
        <v>172</v>
      </c>
      <c r="AF147" s="2099" t="s">
        <v>184</v>
      </c>
      <c r="AG147" s="2161" t="s">
        <v>185</v>
      </c>
      <c r="AH147" s="2043" t="s">
        <v>164</v>
      </c>
      <c r="AI147" s="2043" t="s">
        <v>143</v>
      </c>
      <c r="AJ147" s="2043" t="s">
        <v>186</v>
      </c>
      <c r="AK147" s="2043" t="s">
        <v>187</v>
      </c>
      <c r="AL147" s="2043" t="s">
        <v>1468</v>
      </c>
      <c r="AM147" s="2043" t="s">
        <v>189</v>
      </c>
    </row>
    <row r="148" spans="1:39" s="523" customFormat="1" ht="71.400000000000006" x14ac:dyDescent="0.25">
      <c r="A148" s="2141"/>
      <c r="B148" s="2142"/>
      <c r="C148" s="2043"/>
      <c r="D148" s="2043"/>
      <c r="E148" s="2105"/>
      <c r="F148" s="2104"/>
      <c r="G148" s="280" t="s">
        <v>511</v>
      </c>
      <c r="H148" s="280" t="s">
        <v>190</v>
      </c>
      <c r="I148" s="2042"/>
      <c r="J148" s="2043"/>
      <c r="K148" s="2042"/>
      <c r="L148" s="2101"/>
      <c r="M148" s="2042"/>
      <c r="N148" s="2042"/>
      <c r="O148" s="2101"/>
      <c r="P148" s="2101"/>
      <c r="Q148" s="2043"/>
      <c r="R148" s="2162"/>
      <c r="S148" s="2043"/>
      <c r="T148" s="2042"/>
      <c r="U148" s="281" t="s">
        <v>191</v>
      </c>
      <c r="V148" s="281" t="s">
        <v>192</v>
      </c>
      <c r="W148" s="281" t="s">
        <v>193</v>
      </c>
      <c r="X148" s="281" t="s">
        <v>194</v>
      </c>
      <c r="Y148" s="281" t="s">
        <v>195</v>
      </c>
      <c r="Z148" s="281" t="s">
        <v>196</v>
      </c>
      <c r="AA148" s="2099"/>
      <c r="AB148" s="2099"/>
      <c r="AC148" s="2099"/>
      <c r="AD148" s="2099"/>
      <c r="AE148" s="2099"/>
      <c r="AF148" s="2099"/>
      <c r="AG148" s="2162"/>
      <c r="AH148" s="2043"/>
      <c r="AI148" s="2043"/>
      <c r="AJ148" s="2043"/>
      <c r="AK148" s="2043"/>
      <c r="AL148" s="2043"/>
      <c r="AM148" s="2043"/>
    </row>
    <row r="149" spans="1:39" s="523" customFormat="1" ht="110.4" x14ac:dyDescent="0.25">
      <c r="A149" s="2112">
        <v>1</v>
      </c>
      <c r="B149" s="2155" t="s">
        <v>209</v>
      </c>
      <c r="C149" s="2155" t="s">
        <v>289</v>
      </c>
      <c r="D149" s="3337" t="s">
        <v>290</v>
      </c>
      <c r="E149" s="776" t="s">
        <v>910</v>
      </c>
      <c r="F149" s="1979" t="s">
        <v>911</v>
      </c>
      <c r="G149" s="1979" t="s">
        <v>512</v>
      </c>
      <c r="H149" s="1979" t="s">
        <v>291</v>
      </c>
      <c r="I149" s="3339" t="s">
        <v>292</v>
      </c>
      <c r="J149" s="2129">
        <v>8760</v>
      </c>
      <c r="K149" s="2109" t="str">
        <f>IF(J149&lt;=0,"",IF(J149&lt;=2,"Muy Baja",IF(J149&lt;=24,"Baja",IF(J149&lt;=500,"Media",IF(J149&lt;=5000,"Alta","Muy Alta")))))</f>
        <v>Muy Alta</v>
      </c>
      <c r="L149" s="2106">
        <f>IF(K149="","",IF(K149="Muy Baja",0.2,IF(K149="Baja",0.4,IF(K149="Media",0.6,IF(K149="Alta",0.8,IF(K149="Muy Alta",1,))))))</f>
        <v>1</v>
      </c>
      <c r="M149" s="2132" t="s">
        <v>225</v>
      </c>
      <c r="N149" s="2106" t="str">
        <f>IF(NOT(ISERROR(MATCH(M149,'[44]Tabla Impacto'!$B$221:$B$223,0))),'[44]Tabla Impacto'!$F$223&amp;"Por favor no seleccionar los criterios de impacto(Afectación Económica o presupuestal y Pérdida Reputacional)",M149)</f>
        <v xml:space="preserve">     El riesgo afecta la imagen de la entidad con algunos usuarios de relevancia frente al logro de los objetivos</v>
      </c>
      <c r="O149" s="2109" t="str">
        <f>IF(OR(N149='[44]Tabla Impacto'!$C$11,N149='[44]Tabla Impacto'!$D$11),"Leve",IF(OR(N149='[44]Tabla Impacto'!$C$12,N149='[44]Tabla Impacto'!$D$12),"Menor",IF(OR(N149='[44]Tabla Impacto'!$C$13,N149='[44]Tabla Impacto'!$D$13),"Moderado",IF(OR(N149='[44]Tabla Impacto'!$C$14,N149='[44]Tabla Impacto'!$D$14),"Mayor",IF(OR(N149='[44]Tabla Impacto'!$C$15,N149='[44]Tabla Impacto'!$D$15),"Catastrófico","")))))</f>
        <v>Moderado</v>
      </c>
      <c r="P149" s="2106">
        <f>IF(O149="","",IF(O149="Leve",0.2,IF(O149="Menor",0.4,IF(O149="Moderado",0.6,IF(O149="Mayor",0.8,IF(O149="Catastrófico",1,))))))</f>
        <v>0.6</v>
      </c>
      <c r="Q149" s="2014" t="str">
        <f>IF(OR(AND(K149="Muy Baja",O149="Leve"),AND(K149="Muy Baja",O149="Menor"),AND(K149="Baja",O149="Leve")),"Bajo",IF(OR(AND(K149="Muy baja",O149="Moderado"),AND(K149="Baja",O149="Menor"),AND(K149="Baja",O149="Moderado"),AND(K149="Media",O149="Leve"),AND(K149="Media",O149="Menor"),AND(K149="Media",O149="Moderado"),AND(K149="Alta",O149="Leve"),AND(K149="Alta",O149="Menor")),"Moderado",IF(OR(AND(K149="Muy Baja",O149="Mayor"),AND(K149="Baja",O149="Mayor"),AND(K149="Media",O149="Mayor"),AND(K149="Alta",O149="Moderado"),AND(K149="Alta",O149="Mayor"),AND(K149="Muy Alta",O149="Leve"),AND(K149="Muy Alta",O149="Menor"),AND(K149="Muy Alta",O149="Moderado"),AND(K149="Muy Alta",O149="Mayor")),"Alto",IF(OR(AND(K149="Muy Baja",O149="Catastrófico"),AND(K149="Baja",O149="Catastrófico"),AND(K149="Media",O149="Catastrófico"),AND(K149="Alta",O149="Catastrófico"),AND(K149="Muy Alta",O149="Catastrófico")),"Extremo",""))))</f>
        <v>Alto</v>
      </c>
      <c r="R149" s="283">
        <v>1</v>
      </c>
      <c r="S149" s="284" t="s">
        <v>912</v>
      </c>
      <c r="T149" s="285" t="str">
        <f t="shared" ref="T149:T151" si="72">IF(OR(U149="Preventivo",U149="Detectivo"),"Probabilidad",IF(U149="Correctivo","Impacto",""))</f>
        <v>Probabilidad</v>
      </c>
      <c r="U149" s="286" t="s">
        <v>207</v>
      </c>
      <c r="V149" s="286" t="s">
        <v>201</v>
      </c>
      <c r="W149" s="287" t="str">
        <f>IF(AND(U149="Preventivo",V149="Automático"),"50%",IF(AND(U149="Preventivo",V149="Manual"),"40%",IF(AND(U149="Detectivo",V149="Automático"),"40%",IF(AND(U149="Detectivo",V149="Manual"),"30%",IF(AND(U149="Correctivo",V149="Automático"),"35%",IF(AND(U149="Correctivo",V149="Manual"),"25%",""))))))</f>
        <v>40%</v>
      </c>
      <c r="X149" s="286" t="s">
        <v>208</v>
      </c>
      <c r="Y149" s="286" t="s">
        <v>210</v>
      </c>
      <c r="Z149" s="286" t="s">
        <v>204</v>
      </c>
      <c r="AA149" s="744">
        <f>IFERROR(IF(T149="Probabilidad",(L149-(+L149*W149)),IF(T149="Impacto",L149,"")),"")</f>
        <v>0.6</v>
      </c>
      <c r="AB149" s="288" t="str">
        <f>IFERROR(IF(AA149="","",IF(AA149&lt;=0.2,"Muy Baja",IF(AA149&lt;=0.4,"Baja",IF(AA149&lt;=0.6,"Media",IF(AA149&lt;=0.8,"Alta","Muy Alta"))))),"")</f>
        <v>Media</v>
      </c>
      <c r="AC149" s="289">
        <f>+AA149</f>
        <v>0.6</v>
      </c>
      <c r="AD149" s="288" t="str">
        <f>IFERROR(IF(AE149="","",IF(AE149&lt;=0.2,"Leve",IF(AE149&lt;=0.4,"Menor",IF(AE149&lt;=0.6,"Moderado",IF(AE149&lt;=0.8,"Mayor","Catastrófico"))))),"")</f>
        <v>Moderado</v>
      </c>
      <c r="AE149" s="289">
        <f>IFERROR(IF(T149="Impacto",(P149-(+P149*W149)),IF(T149="Probabilidad",P149,"")),"")</f>
        <v>0.6</v>
      </c>
      <c r="AF149" s="290" t="str">
        <f>IFERROR(IF(OR(AND(AB149="Muy Baja",AD149="Leve"),AND(AB149="Muy Baja",AD149="Menor"),AND(AB149="Baja",AD149="Leve")),"Bajo",IF(OR(AND(AB149="Muy baja",AD149="Moderado"),AND(AB149="Baja",AD149="Menor"),AND(AB149="Baja",AD149="Moderado"),AND(AB149="Media",AD149="Leve"),AND(AB149="Media",AD149="Menor"),AND(AB149="Media",AD149="Moderado"),AND(AB149="Alta",AD149="Leve"),AND(AB149="Alta",AD149="Menor")),"Moderado",IF(OR(AND(AB149="Muy Baja",AD149="Mayor"),AND(AB149="Baja",AD149="Mayor"),AND(AB149="Media",AD149="Mayor"),AND(AB149="Alta",AD149="Moderado"),AND(AB149="Alta",AD149="Mayor"),AND(AB149="Muy Alta",AD149="Leve"),AND(AB149="Muy Alta",AD149="Menor"),AND(AB149="Muy Alta",AD149="Moderado"),AND(AB149="Muy Alta",AD149="Mayor")),"Alto",IF(OR(AND(AB149="Muy Baja",AD149="Catastrófico"),AND(AB149="Baja",AD149="Catastrófico"),AND(AB149="Media",AD149="Catastrófico"),AND(AB149="Alta",AD149="Catastrófico"),AND(AB149="Muy Alta",AD149="Catastrófico")),"Extremo","")))),"")</f>
        <v>Moderado</v>
      </c>
      <c r="AG149" s="291" t="s">
        <v>205</v>
      </c>
      <c r="AH149" s="940">
        <f>+'[68]DOFA '!E170</f>
        <v>0</v>
      </c>
      <c r="AI149" s="294" t="s">
        <v>293</v>
      </c>
      <c r="AJ149" s="746" t="s">
        <v>913</v>
      </c>
      <c r="AK149" s="293">
        <v>45534</v>
      </c>
      <c r="AL149" s="940" t="s">
        <v>1391</v>
      </c>
      <c r="AM149" s="294" t="s">
        <v>295</v>
      </c>
    </row>
    <row r="150" spans="1:39" s="523" customFormat="1" ht="96.6" x14ac:dyDescent="0.25">
      <c r="A150" s="2113"/>
      <c r="B150" s="2156"/>
      <c r="C150" s="2156"/>
      <c r="D150" s="3338"/>
      <c r="E150" s="758" t="s">
        <v>915</v>
      </c>
      <c r="F150" s="1980"/>
      <c r="G150" s="1980"/>
      <c r="H150" s="1980"/>
      <c r="I150" s="3340"/>
      <c r="J150" s="2130"/>
      <c r="K150" s="2110"/>
      <c r="L150" s="2107"/>
      <c r="M150" s="2133"/>
      <c r="N150" s="2107">
        <f>IF(NOT(ISERROR(MATCH(M150,_xlfn.ANCHORARRAY(F157),0))),L159&amp;"Por favor no seleccionar los criterios de impacto",M150)</f>
        <v>0</v>
      </c>
      <c r="O150" s="2110"/>
      <c r="P150" s="2107"/>
      <c r="Q150" s="2015"/>
      <c r="R150" s="283">
        <v>2</v>
      </c>
      <c r="S150" s="284" t="s">
        <v>916</v>
      </c>
      <c r="T150" s="285" t="str">
        <f t="shared" si="72"/>
        <v>Probabilidad</v>
      </c>
      <c r="U150" s="286" t="s">
        <v>207</v>
      </c>
      <c r="V150" s="286" t="s">
        <v>201</v>
      </c>
      <c r="W150" s="287" t="str">
        <f t="shared" ref="W150:W152" si="73">IF(AND(U150="Preventivo",V150="Automático"),"50%",IF(AND(U150="Preventivo",V150="Manual"),"40%",IF(AND(U150="Detectivo",V150="Automático"),"40%",IF(AND(U150="Detectivo",V150="Manual"),"30%",IF(AND(U150="Correctivo",V150="Automático"),"35%",IF(AND(U150="Correctivo",V150="Manual"),"25%",""))))))</f>
        <v>40%</v>
      </c>
      <c r="X150" s="286" t="s">
        <v>208</v>
      </c>
      <c r="Y150" s="286" t="s">
        <v>210</v>
      </c>
      <c r="Z150" s="286" t="s">
        <v>204</v>
      </c>
      <c r="AA150" s="744">
        <f>IFERROR(IF(AND(T149="Probabilidad",T150="Probabilidad"),(AC149-(+AC149*W150)),IF(AND(T149="Impacto",T150="Probabilidad"),(AC148-(+AC148*W150)),IF(T150="Impacto",AC149,""))),"")</f>
        <v>0.36</v>
      </c>
      <c r="AB150" s="288" t="str">
        <f t="shared" ref="AB150:AB152" si="74">IFERROR(IF(AA150="","",IF(AA150&lt;=0.2,"Muy Baja",IF(AA150&lt;=0.4,"Baja",IF(AA150&lt;=0.6,"Media",IF(AA150&lt;=0.8,"Alta","Muy Alta"))))),"")</f>
        <v>Baja</v>
      </c>
      <c r="AC150" s="289">
        <f t="shared" ref="AC150:AC152" si="75">+AA150</f>
        <v>0.36</v>
      </c>
      <c r="AD150" s="288" t="str">
        <f t="shared" ref="AD150:AD152" si="76">IFERROR(IF(AE150="","",IF(AE150&lt;=0.2,"Leve",IF(AE150&lt;=0.4,"Menor",IF(AE150&lt;=0.6,"Moderado",IF(AE150&lt;=0.8,"Mayor","Catastrófico"))))),"")</f>
        <v>Moderado</v>
      </c>
      <c r="AE150" s="289">
        <f>IFERROR(IF(AND(T149="Impacto",T150="Impacto"),(AE149-(+AE149*W150)),IF(AND(T149="Probabilidad",T150="Impacto"),(AE148-(+AE148*W150)),IF(T150="Probabilidad",AE149,""))),"")</f>
        <v>0.6</v>
      </c>
      <c r="AF150" s="290" t="str">
        <f t="shared" ref="AF150:AF152" si="77">IFERROR(IF(OR(AND(AB150="Muy Baja",AD150="Leve"),AND(AB150="Muy Baja",AD150="Menor"),AND(AB150="Baja",AD150="Leve")),"Bajo",IF(OR(AND(AB150="Muy baja",AD150="Moderado"),AND(AB150="Baja",AD150="Menor"),AND(AB150="Baja",AD150="Moderado"),AND(AB150="Media",AD150="Leve"),AND(AB150="Media",AD150="Menor"),AND(AB150="Media",AD150="Moderado"),AND(AB150="Alta",AD150="Leve"),AND(AB150="Alta",AD150="Menor")),"Moderado",IF(OR(AND(AB150="Muy Baja",AD150="Mayor"),AND(AB150="Baja",AD150="Mayor"),AND(AB150="Media",AD150="Mayor"),AND(AB150="Alta",AD150="Moderado"),AND(AB150="Alta",AD150="Mayor"),AND(AB150="Muy Alta",AD150="Leve"),AND(AB150="Muy Alta",AD150="Menor"),AND(AB150="Muy Alta",AD150="Moderado"),AND(AB150="Muy Alta",AD150="Mayor")),"Alto",IF(OR(AND(AB150="Muy Baja",AD150="Catastrófico"),AND(AB150="Baja",AD150="Catastrófico"),AND(AB150="Media",AD150="Catastrófico"),AND(AB150="Alta",AD150="Catastrófico"),AND(AB150="Muy Alta",AD150="Catastrófico")),"Extremo","")))),"")</f>
        <v>Moderado</v>
      </c>
      <c r="AG150" s="291" t="s">
        <v>205</v>
      </c>
      <c r="AH150" s="747" t="s">
        <v>294</v>
      </c>
      <c r="AI150" s="294" t="s">
        <v>293</v>
      </c>
      <c r="AJ150" s="748" t="s">
        <v>917</v>
      </c>
      <c r="AK150" s="293">
        <v>45534</v>
      </c>
      <c r="AL150" s="747" t="s">
        <v>1211</v>
      </c>
      <c r="AM150" s="294" t="s">
        <v>295</v>
      </c>
    </row>
    <row r="151" spans="1:39" s="523" customFormat="1" ht="96.6" x14ac:dyDescent="0.25">
      <c r="A151" s="2113"/>
      <c r="B151" s="2156"/>
      <c r="C151" s="2156"/>
      <c r="D151" s="3338"/>
      <c r="E151" s="298" t="s">
        <v>919</v>
      </c>
      <c r="F151" s="1980"/>
      <c r="G151" s="1980"/>
      <c r="H151" s="1980"/>
      <c r="I151" s="3340"/>
      <c r="J151" s="2130"/>
      <c r="K151" s="2110"/>
      <c r="L151" s="2107"/>
      <c r="M151" s="2133"/>
      <c r="N151" s="2107">
        <f>IF(NOT(ISERROR(MATCH(M151,_xlfn.ANCHORARRAY(F158),0))),L160&amp;"Por favor no seleccionar los criterios de impacto",M151)</f>
        <v>0</v>
      </c>
      <c r="O151" s="2110"/>
      <c r="P151" s="2107"/>
      <c r="Q151" s="2015"/>
      <c r="R151" s="283">
        <v>3</v>
      </c>
      <c r="S151" s="302" t="s">
        <v>296</v>
      </c>
      <c r="T151" s="285" t="str">
        <f t="shared" si="72"/>
        <v>Probabilidad</v>
      </c>
      <c r="U151" s="286" t="s">
        <v>207</v>
      </c>
      <c r="V151" s="286" t="s">
        <v>201</v>
      </c>
      <c r="W151" s="287" t="str">
        <f t="shared" si="73"/>
        <v>40%</v>
      </c>
      <c r="X151" s="286" t="s">
        <v>208</v>
      </c>
      <c r="Y151" s="286" t="s">
        <v>210</v>
      </c>
      <c r="Z151" s="286" t="s">
        <v>204</v>
      </c>
      <c r="AA151" s="744">
        <f t="shared" ref="AA151:AA152" si="78">IFERROR(IF(AND(T150="Probabilidad",T151="Probabilidad"),(AC150-(+AC150*W151)),IF(AND(T150="Impacto",T151="Probabilidad"),(AC149-(+AC149*W151)),IF(T151="Impacto",AC150,""))),"")</f>
        <v>0.216</v>
      </c>
      <c r="AB151" s="288" t="str">
        <f t="shared" si="74"/>
        <v>Baja</v>
      </c>
      <c r="AC151" s="289">
        <f t="shared" si="75"/>
        <v>0.216</v>
      </c>
      <c r="AD151" s="288" t="str">
        <f t="shared" si="76"/>
        <v>Moderado</v>
      </c>
      <c r="AE151" s="289">
        <f t="shared" ref="AE151:AE152" si="79">IFERROR(IF(AND(T150="Impacto",T151="Impacto"),(AE150-(+AE150*W151)),IF(AND(T150="Probabilidad",T151="Impacto"),(AE149-(+AE149*W151)),IF(T151="Probabilidad",AE150,""))),"")</f>
        <v>0.6</v>
      </c>
      <c r="AF151" s="290" t="str">
        <f t="shared" si="77"/>
        <v>Moderado</v>
      </c>
      <c r="AG151" s="291" t="s">
        <v>205</v>
      </c>
      <c r="AH151" s="296">
        <f>+'[68]DOFA '!E172</f>
        <v>0</v>
      </c>
      <c r="AI151" s="296" t="s">
        <v>297</v>
      </c>
      <c r="AJ151" s="748" t="s">
        <v>920</v>
      </c>
      <c r="AK151" s="293">
        <v>45534</v>
      </c>
      <c r="AL151" s="747" t="s">
        <v>1469</v>
      </c>
      <c r="AM151" s="294" t="s">
        <v>206</v>
      </c>
    </row>
    <row r="152" spans="1:39" s="523" customFormat="1" ht="96.6" x14ac:dyDescent="0.25">
      <c r="A152" s="1131"/>
      <c r="B152" s="1133"/>
      <c r="C152" s="1133"/>
      <c r="D152" s="1134"/>
      <c r="E152" s="298" t="s">
        <v>922</v>
      </c>
      <c r="F152" s="1980"/>
      <c r="G152" s="2017"/>
      <c r="H152" s="2017"/>
      <c r="I152" s="1132"/>
      <c r="J152" s="2131"/>
      <c r="K152" s="2111"/>
      <c r="L152" s="2108"/>
      <c r="M152" s="2134"/>
      <c r="N152" s="1130"/>
      <c r="O152" s="2111"/>
      <c r="P152" s="1130"/>
      <c r="Q152" s="2016"/>
      <c r="R152" s="283">
        <v>4</v>
      </c>
      <c r="S152" s="302" t="s">
        <v>923</v>
      </c>
      <c r="T152" s="285" t="s">
        <v>141</v>
      </c>
      <c r="U152" s="286" t="s">
        <v>207</v>
      </c>
      <c r="V152" s="286" t="s">
        <v>201</v>
      </c>
      <c r="W152" s="287" t="str">
        <f t="shared" si="73"/>
        <v>40%</v>
      </c>
      <c r="X152" s="286" t="s">
        <v>202</v>
      </c>
      <c r="Y152" s="286" t="s">
        <v>210</v>
      </c>
      <c r="Z152" s="286" t="s">
        <v>298</v>
      </c>
      <c r="AA152" s="744">
        <f t="shared" si="78"/>
        <v>0.12959999999999999</v>
      </c>
      <c r="AB152" s="288" t="str">
        <f t="shared" si="74"/>
        <v>Muy Baja</v>
      </c>
      <c r="AC152" s="289">
        <f t="shared" si="75"/>
        <v>0.12959999999999999</v>
      </c>
      <c r="AD152" s="288" t="str">
        <f t="shared" si="76"/>
        <v>Moderado</v>
      </c>
      <c r="AE152" s="289">
        <f t="shared" si="79"/>
        <v>0.6</v>
      </c>
      <c r="AF152" s="290" t="str">
        <f t="shared" si="77"/>
        <v>Moderado</v>
      </c>
      <c r="AG152" s="291" t="s">
        <v>205</v>
      </c>
      <c r="AH152" s="296">
        <f>+'[68]DOFA '!E186</f>
        <v>0</v>
      </c>
      <c r="AI152" s="296" t="s">
        <v>297</v>
      </c>
      <c r="AJ152" s="748" t="s">
        <v>924</v>
      </c>
      <c r="AK152" s="293">
        <v>45473</v>
      </c>
      <c r="AL152" s="747" t="s">
        <v>1212</v>
      </c>
      <c r="AM152" s="294" t="s">
        <v>295</v>
      </c>
    </row>
    <row r="153" spans="1:39" s="523" customFormat="1" x14ac:dyDescent="0.25">
      <c r="A153" s="694"/>
      <c r="B153" s="695"/>
      <c r="C153" s="694"/>
      <c r="D153" s="694"/>
      <c r="E153" s="694"/>
      <c r="F153" s="311"/>
      <c r="G153" s="311"/>
      <c r="H153" s="311"/>
      <c r="I153" s="696"/>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row>
    <row r="154" spans="1:39" s="523" customFormat="1" x14ac:dyDescent="0.25">
      <c r="A154" s="2343" t="s">
        <v>156</v>
      </c>
      <c r="B154" s="2344"/>
      <c r="C154" s="2344"/>
      <c r="D154" s="2344"/>
      <c r="E154" s="2344"/>
      <c r="F154" s="2344"/>
      <c r="G154" s="2344"/>
      <c r="H154" s="2344"/>
      <c r="I154" s="2344"/>
      <c r="J154" s="2344"/>
      <c r="K154" s="2344"/>
      <c r="L154" s="2344"/>
      <c r="M154" s="2344"/>
      <c r="N154" s="2344"/>
      <c r="O154" s="2344"/>
      <c r="P154" s="2344"/>
      <c r="Q154" s="2344"/>
      <c r="R154" s="2344"/>
      <c r="S154" s="2344"/>
      <c r="T154" s="2344"/>
      <c r="U154" s="2344"/>
      <c r="V154" s="2344"/>
      <c r="W154" s="2344"/>
      <c r="X154" s="2344"/>
      <c r="Y154" s="2344"/>
      <c r="Z154" s="2344"/>
      <c r="AA154" s="2344"/>
      <c r="AB154" s="2344"/>
      <c r="AC154" s="2344"/>
      <c r="AD154" s="2344"/>
      <c r="AE154" s="2344"/>
      <c r="AF154" s="2344"/>
      <c r="AG154" s="2344"/>
      <c r="AH154" s="2344"/>
      <c r="AI154" s="2344"/>
      <c r="AJ154" s="2344"/>
      <c r="AK154" s="2344"/>
      <c r="AL154" s="2344"/>
      <c r="AM154" s="2345"/>
    </row>
    <row r="155" spans="1:39" s="523" customFormat="1" x14ac:dyDescent="0.25">
      <c r="A155" s="2346"/>
      <c r="B155" s="2347"/>
      <c r="C155" s="2347"/>
      <c r="D155" s="2347"/>
      <c r="E155" s="2347"/>
      <c r="F155" s="2347"/>
      <c r="G155" s="2347"/>
      <c r="H155" s="2347"/>
      <c r="I155" s="2347"/>
      <c r="J155" s="2347"/>
      <c r="K155" s="2347"/>
      <c r="L155" s="2347"/>
      <c r="M155" s="2347"/>
      <c r="N155" s="2347"/>
      <c r="O155" s="2347"/>
      <c r="P155" s="2347"/>
      <c r="Q155" s="2347"/>
      <c r="R155" s="2347"/>
      <c r="S155" s="2347"/>
      <c r="T155" s="2347"/>
      <c r="U155" s="2347"/>
      <c r="V155" s="2347"/>
      <c r="W155" s="2347"/>
      <c r="X155" s="2347"/>
      <c r="Y155" s="2347"/>
      <c r="Z155" s="2347"/>
      <c r="AA155" s="2347"/>
      <c r="AB155" s="2347"/>
      <c r="AC155" s="2347"/>
      <c r="AD155" s="2347"/>
      <c r="AE155" s="2347"/>
      <c r="AF155" s="2347"/>
      <c r="AG155" s="2347"/>
      <c r="AH155" s="2347"/>
      <c r="AI155" s="2347"/>
      <c r="AJ155" s="2347"/>
      <c r="AK155" s="2347"/>
      <c r="AL155" s="2347"/>
      <c r="AM155" s="2348"/>
    </row>
    <row r="156" spans="1:39" s="523" customFormat="1" x14ac:dyDescent="0.25">
      <c r="A156" s="703"/>
      <c r="B156" s="704"/>
      <c r="C156" s="703"/>
      <c r="D156" s="703"/>
      <c r="E156" s="703"/>
      <c r="F156" s="700"/>
      <c r="G156" s="700"/>
      <c r="H156" s="700"/>
      <c r="I156" s="705"/>
      <c r="J156" s="700"/>
      <c r="K156" s="700"/>
      <c r="L156" s="700"/>
      <c r="M156" s="700"/>
      <c r="N156" s="700"/>
      <c r="O156" s="700"/>
      <c r="P156" s="700"/>
      <c r="Q156" s="700"/>
      <c r="R156" s="700"/>
      <c r="S156" s="700"/>
      <c r="T156" s="700"/>
      <c r="U156" s="700"/>
      <c r="V156" s="700"/>
      <c r="W156" s="700"/>
      <c r="X156" s="700"/>
      <c r="Y156" s="700"/>
      <c r="Z156" s="700"/>
      <c r="AA156" s="700"/>
      <c r="AB156" s="700"/>
      <c r="AC156" s="700"/>
      <c r="AD156" s="700"/>
      <c r="AE156" s="700"/>
      <c r="AF156" s="700"/>
      <c r="AG156" s="700"/>
      <c r="AH156" s="700"/>
      <c r="AI156" s="743"/>
      <c r="AJ156" s="743"/>
      <c r="AK156" s="743"/>
      <c r="AL156" s="700"/>
      <c r="AM156" s="700"/>
    </row>
    <row r="157" spans="1:39" s="523" customFormat="1" ht="23.4" x14ac:dyDescent="0.25">
      <c r="A157" s="2349" t="s">
        <v>157</v>
      </c>
      <c r="B157" s="2350"/>
      <c r="C157" s="2039" t="s">
        <v>299</v>
      </c>
      <c r="D157" s="2039"/>
      <c r="E157" s="2039"/>
      <c r="F157" s="2039"/>
      <c r="G157" s="2039"/>
      <c r="H157" s="2039"/>
      <c r="I157" s="2039"/>
      <c r="J157" s="2039"/>
      <c r="K157" s="2039"/>
      <c r="L157" s="2039"/>
      <c r="M157" s="2039"/>
      <c r="N157" s="2039"/>
      <c r="O157" s="2039"/>
      <c r="P157" s="2039"/>
      <c r="Q157" s="2039"/>
      <c r="R157" s="2039"/>
      <c r="S157" s="2039"/>
      <c r="T157" s="2039"/>
      <c r="U157" s="2039"/>
      <c r="V157" s="2039"/>
      <c r="W157" s="2039"/>
      <c r="X157" s="2039"/>
      <c r="Y157" s="2039"/>
      <c r="Z157" s="2039"/>
      <c r="AA157" s="2039"/>
      <c r="AB157" s="2039"/>
      <c r="AC157" s="2039"/>
      <c r="AD157" s="2039"/>
      <c r="AE157" s="2039"/>
      <c r="AF157" s="2039"/>
      <c r="AG157" s="2039"/>
      <c r="AH157" s="2039"/>
      <c r="AI157" s="2039"/>
      <c r="AJ157" s="2039"/>
      <c r="AK157" s="2039"/>
      <c r="AL157" s="2039"/>
      <c r="AM157" s="2039"/>
    </row>
    <row r="158" spans="1:39" s="523" customFormat="1" ht="23.4" x14ac:dyDescent="0.25">
      <c r="A158" s="2349" t="s">
        <v>158</v>
      </c>
      <c r="B158" s="2350"/>
      <c r="C158" s="2040" t="s">
        <v>1121</v>
      </c>
      <c r="D158" s="2040"/>
      <c r="E158" s="2040"/>
      <c r="F158" s="2040"/>
      <c r="G158" s="2040"/>
      <c r="H158" s="2040"/>
      <c r="I158" s="2040"/>
      <c r="J158" s="2040"/>
      <c r="K158" s="2040"/>
      <c r="L158" s="2040"/>
      <c r="M158" s="2040"/>
      <c r="N158" s="2040"/>
      <c r="O158" s="2040"/>
      <c r="P158" s="2040"/>
      <c r="Q158" s="2040"/>
      <c r="R158" s="2040"/>
      <c r="S158" s="2040"/>
      <c r="T158" s="2040"/>
      <c r="U158" s="2040"/>
      <c r="V158" s="2040"/>
      <c r="W158" s="2040"/>
      <c r="X158" s="2040"/>
      <c r="Y158" s="2040"/>
      <c r="Z158" s="2040"/>
      <c r="AA158" s="2040"/>
      <c r="AB158" s="2040"/>
      <c r="AC158" s="2040"/>
      <c r="AD158" s="2040"/>
      <c r="AE158" s="2040"/>
      <c r="AF158" s="2040"/>
      <c r="AG158" s="2040"/>
      <c r="AH158" s="2040"/>
      <c r="AI158" s="2040"/>
      <c r="AJ158" s="2040"/>
      <c r="AK158" s="2040"/>
      <c r="AL158" s="2040"/>
      <c r="AM158" s="2040"/>
    </row>
    <row r="159" spans="1:39" s="523" customFormat="1" ht="23.4" x14ac:dyDescent="0.25">
      <c r="A159" s="2349" t="s">
        <v>159</v>
      </c>
      <c r="B159" s="2350"/>
      <c r="C159" s="2040" t="s">
        <v>1122</v>
      </c>
      <c r="D159" s="2040"/>
      <c r="E159" s="2040"/>
      <c r="F159" s="2040"/>
      <c r="G159" s="2040"/>
      <c r="H159" s="2040"/>
      <c r="I159" s="2040"/>
      <c r="J159" s="2040"/>
      <c r="K159" s="2040"/>
      <c r="L159" s="2040"/>
      <c r="M159" s="2040"/>
      <c r="N159" s="2040"/>
      <c r="O159" s="2040"/>
      <c r="P159" s="2040"/>
      <c r="Q159" s="2040"/>
      <c r="R159" s="2040"/>
      <c r="S159" s="2040"/>
      <c r="T159" s="2040"/>
      <c r="U159" s="2040"/>
      <c r="V159" s="2040"/>
      <c r="W159" s="2040"/>
      <c r="X159" s="2040"/>
      <c r="Y159" s="2040"/>
      <c r="Z159" s="2040"/>
      <c r="AA159" s="2040"/>
      <c r="AB159" s="2040"/>
      <c r="AC159" s="2040"/>
      <c r="AD159" s="2040"/>
      <c r="AE159" s="2040"/>
      <c r="AF159" s="2040"/>
      <c r="AG159" s="2040"/>
      <c r="AH159" s="2040"/>
      <c r="AI159" s="2040"/>
      <c r="AJ159" s="2040"/>
      <c r="AK159" s="2040"/>
      <c r="AL159" s="2040"/>
      <c r="AM159" s="2040"/>
    </row>
    <row r="160" spans="1:39" s="523" customFormat="1" x14ac:dyDescent="0.25">
      <c r="A160" s="2351" t="s">
        <v>160</v>
      </c>
      <c r="B160" s="2352"/>
      <c r="C160" s="2353"/>
      <c r="D160" s="2353"/>
      <c r="E160" s="2353"/>
      <c r="F160" s="2353"/>
      <c r="G160" s="2353"/>
      <c r="H160" s="2353"/>
      <c r="I160" s="2353"/>
      <c r="J160" s="2354"/>
      <c r="K160" s="2101" t="s">
        <v>161</v>
      </c>
      <c r="L160" s="2353"/>
      <c r="M160" s="2353"/>
      <c r="N160" s="2353"/>
      <c r="O160" s="2353"/>
      <c r="P160" s="2353"/>
      <c r="Q160" s="2354"/>
      <c r="R160" s="2101" t="s">
        <v>162</v>
      </c>
      <c r="S160" s="2353"/>
      <c r="T160" s="2353"/>
      <c r="U160" s="2353"/>
      <c r="V160" s="2353"/>
      <c r="W160" s="2353"/>
      <c r="X160" s="2353"/>
      <c r="Y160" s="2353"/>
      <c r="Z160" s="2354"/>
      <c r="AA160" s="2101" t="s">
        <v>163</v>
      </c>
      <c r="AB160" s="2353"/>
      <c r="AC160" s="2353"/>
      <c r="AD160" s="2353"/>
      <c r="AE160" s="2353"/>
      <c r="AF160" s="2353"/>
      <c r="AG160" s="2354"/>
      <c r="AH160" s="2101" t="s">
        <v>164</v>
      </c>
      <c r="AI160" s="2353"/>
      <c r="AJ160" s="2353"/>
      <c r="AK160" s="2353"/>
      <c r="AL160" s="2353"/>
      <c r="AM160" s="2354"/>
    </row>
    <row r="161" spans="1:54" s="523" customFormat="1" x14ac:dyDescent="0.25">
      <c r="A161" s="2140" t="s">
        <v>165</v>
      </c>
      <c r="B161" s="2142" t="s">
        <v>142</v>
      </c>
      <c r="C161" s="2042" t="s">
        <v>166</v>
      </c>
      <c r="D161" s="2042" t="s">
        <v>167</v>
      </c>
      <c r="E161" s="2041" t="s">
        <v>168</v>
      </c>
      <c r="F161" s="2103" t="s">
        <v>60</v>
      </c>
      <c r="G161" s="280"/>
      <c r="H161" s="280"/>
      <c r="I161" s="2041" t="s">
        <v>169</v>
      </c>
      <c r="J161" s="2042" t="s">
        <v>170</v>
      </c>
      <c r="K161" s="2105" t="s">
        <v>171</v>
      </c>
      <c r="L161" s="2100" t="s">
        <v>172</v>
      </c>
      <c r="M161" s="2041" t="s">
        <v>173</v>
      </c>
      <c r="N161" s="2041" t="s">
        <v>174</v>
      </c>
      <c r="O161" s="2102" t="s">
        <v>175</v>
      </c>
      <c r="P161" s="2100" t="s">
        <v>172</v>
      </c>
      <c r="Q161" s="2042" t="s">
        <v>176</v>
      </c>
      <c r="R161" s="2161" t="s">
        <v>177</v>
      </c>
      <c r="S161" s="2043" t="s">
        <v>178</v>
      </c>
      <c r="T161" s="2041" t="s">
        <v>179</v>
      </c>
      <c r="U161" s="2043" t="s">
        <v>180</v>
      </c>
      <c r="V161" s="2043"/>
      <c r="W161" s="2043"/>
      <c r="X161" s="2043"/>
      <c r="Y161" s="2043"/>
      <c r="Z161" s="2043"/>
      <c r="AA161" s="2099" t="s">
        <v>181</v>
      </c>
      <c r="AB161" s="2099" t="s">
        <v>182</v>
      </c>
      <c r="AC161" s="2099" t="s">
        <v>172</v>
      </c>
      <c r="AD161" s="2099" t="s">
        <v>183</v>
      </c>
      <c r="AE161" s="2099" t="s">
        <v>172</v>
      </c>
      <c r="AF161" s="2099" t="s">
        <v>184</v>
      </c>
      <c r="AG161" s="2161" t="s">
        <v>185</v>
      </c>
      <c r="AH161" s="2043" t="s">
        <v>164</v>
      </c>
      <c r="AI161" s="2043" t="s">
        <v>143</v>
      </c>
      <c r="AJ161" s="2043" t="s">
        <v>186</v>
      </c>
      <c r="AK161" s="2043" t="s">
        <v>187</v>
      </c>
      <c r="AL161" s="2043" t="s">
        <v>1470</v>
      </c>
      <c r="AM161" s="2043" t="s">
        <v>189</v>
      </c>
    </row>
    <row r="162" spans="1:54" s="523" customFormat="1" ht="71.400000000000006" x14ac:dyDescent="0.25">
      <c r="A162" s="2141"/>
      <c r="B162" s="2142"/>
      <c r="C162" s="2043"/>
      <c r="D162" s="2043"/>
      <c r="E162" s="2105"/>
      <c r="F162" s="2104"/>
      <c r="G162" s="280" t="s">
        <v>511</v>
      </c>
      <c r="H162" s="280" t="s">
        <v>190</v>
      </c>
      <c r="I162" s="2042"/>
      <c r="J162" s="2043"/>
      <c r="K162" s="2042"/>
      <c r="L162" s="2101"/>
      <c r="M162" s="2042"/>
      <c r="N162" s="2042"/>
      <c r="O162" s="2101"/>
      <c r="P162" s="2101"/>
      <c r="Q162" s="2043"/>
      <c r="R162" s="2162"/>
      <c r="S162" s="2043"/>
      <c r="T162" s="2042"/>
      <c r="U162" s="281" t="s">
        <v>191</v>
      </c>
      <c r="V162" s="281" t="s">
        <v>192</v>
      </c>
      <c r="W162" s="281" t="s">
        <v>193</v>
      </c>
      <c r="X162" s="281" t="s">
        <v>194</v>
      </c>
      <c r="Y162" s="281" t="s">
        <v>195</v>
      </c>
      <c r="Z162" s="281" t="s">
        <v>196</v>
      </c>
      <c r="AA162" s="2099"/>
      <c r="AB162" s="2099"/>
      <c r="AC162" s="2099"/>
      <c r="AD162" s="2099"/>
      <c r="AE162" s="2099"/>
      <c r="AF162" s="2099"/>
      <c r="AG162" s="2162"/>
      <c r="AH162" s="2043"/>
      <c r="AI162" s="2043"/>
      <c r="AJ162" s="2043"/>
      <c r="AK162" s="2043"/>
      <c r="AL162" s="2043"/>
      <c r="AM162" s="2043"/>
    </row>
    <row r="163" spans="1:54" s="523" customFormat="1" ht="156" x14ac:dyDescent="0.25">
      <c r="A163" s="2112">
        <v>1</v>
      </c>
      <c r="B163" s="2155" t="s">
        <v>209</v>
      </c>
      <c r="C163" s="2155" t="s">
        <v>302</v>
      </c>
      <c r="D163" s="2158" t="s">
        <v>707</v>
      </c>
      <c r="E163" s="1035" t="s">
        <v>1134</v>
      </c>
      <c r="F163" s="2125" t="s">
        <v>1124</v>
      </c>
      <c r="G163" s="1979" t="s">
        <v>512</v>
      </c>
      <c r="H163" s="2125" t="s">
        <v>710</v>
      </c>
      <c r="I163" s="2126" t="s">
        <v>198</v>
      </c>
      <c r="J163" s="2129">
        <v>365</v>
      </c>
      <c r="K163" s="2109" t="str">
        <f>IF(J163&lt;=0,"",IF(J163&lt;=2,"Muy Baja",IF(J163&lt;=24,"Baja",IF(J163&lt;=500,"Media",IF(J163&lt;=5000,"Alta","Muy Alta")))))</f>
        <v>Media</v>
      </c>
      <c r="L163" s="2106">
        <f>IF(K163="","",IF(K163="Muy Baja",0.2,IF(K163="Baja",0.4,IF(K163="Media",0.6,IF(K163="Alta",0.8,IF(K163="Muy Alta",1,))))))</f>
        <v>0.6</v>
      </c>
      <c r="M163" s="2132" t="s">
        <v>303</v>
      </c>
      <c r="N163" s="2106" t="str">
        <f>IF(NOT(ISERROR(MATCH(M163,'[69]Tabla Impacto'!$B$221:$B$223,0))),'[69]Tabla Impacto'!$F$223&amp;"Por favor no seleccionar los criterios de impacto(Afectación Económica o presupuestal y Pérdida Reputacional)",M163)</f>
        <v xml:space="preserve">     El riesgo afecta la imagen de la entidad a nivel nacional, con efecto publicitarios sostenible a nivel país</v>
      </c>
      <c r="O163" s="2109" t="str">
        <f>IF(OR(N163='[69]Tabla Impacto'!$C$11,N163='[69]Tabla Impacto'!$D$11),"Leve",IF(OR(N163='[69]Tabla Impacto'!$C$12,N163='[69]Tabla Impacto'!$D$12),"Menor",IF(OR(N163='[69]Tabla Impacto'!$C$13,N163='[69]Tabla Impacto'!$D$13),"Moderado",IF(OR(N163='[69]Tabla Impacto'!$C$14,N163='[69]Tabla Impacto'!$D$14),"Mayor",IF(OR(N163='[69]Tabla Impacto'!$C$15,N163='[69]Tabla Impacto'!$D$15),"Catastrófico","")))))</f>
        <v>Catastrófico</v>
      </c>
      <c r="P163" s="2106">
        <f>IF(O163="","",IF(O163="Leve",0.2,IF(O163="Menor",0.4,IF(O163="Moderado",0.6,IF(O163="Mayor",0.8,IF(O163="Catastrófico",1,))))))</f>
        <v>1</v>
      </c>
      <c r="Q163" s="2014" t="str">
        <f>IF(OR(AND(K163="Muy Baja",O163="Leve"),AND(K163="Muy Baja",O163="Menor"),AND(K163="Baja",O163="Leve")),"Bajo",IF(OR(AND(K163="Muy baja",O163="Moderado"),AND(K163="Baja",O163="Menor"),AND(K163="Baja",O163="Moderado"),AND(K163="Media",O163="Leve"),AND(K163="Media",O163="Menor"),AND(K163="Media",O163="Moderado"),AND(K163="Alta",O163="Leve"),AND(K163="Alta",O163="Menor")),"Moderado",IF(OR(AND(K163="Muy Baja",O163="Mayor"),AND(K163="Baja",O163="Mayor"),AND(K163="Media",O163="Mayor"),AND(K163="Alta",O163="Moderado"),AND(K163="Alta",O163="Mayor"),AND(K163="Muy Alta",O163="Leve"),AND(K163="Muy Alta",O163="Menor"),AND(K163="Muy Alta",O163="Moderado"),AND(K163="Muy Alta",O163="Mayor")),"Alto",IF(OR(AND(K163="Muy Baja",O163="Catastrófico"),AND(K163="Baja",O163="Catastrófico"),AND(K163="Media",O163="Catastrófico"),AND(K163="Alta",O163="Catastrófico"),AND(K163="Muy Alta",O163="Catastrófico")),"Extremo",""))))</f>
        <v>Extremo</v>
      </c>
      <c r="R163" s="283">
        <v>1</v>
      </c>
      <c r="S163" s="302" t="s">
        <v>304</v>
      </c>
      <c r="T163" s="285" t="str">
        <f>IF(OR(U163="Preventivo",U163="Detectivo"),"Probabilidad",IF(U163="Correctivo","Impacto",""))</f>
        <v>Probabilidad</v>
      </c>
      <c r="U163" s="286" t="s">
        <v>207</v>
      </c>
      <c r="V163" s="286" t="s">
        <v>201</v>
      </c>
      <c r="W163" s="287" t="str">
        <f>IF(AND(U163="Preventivo",V163="Automático"),"50%",IF(AND(U163="Preventivo",V163="Manual"),"40%",IF(AND(U163="Detectivo",V163="Automático"),"40%",IF(AND(U163="Detectivo",V163="Manual"),"30%",IF(AND(U163="Correctivo",V163="Automático"),"35%",IF(AND(U163="Correctivo",V163="Manual"),"25%",""))))))</f>
        <v>40%</v>
      </c>
      <c r="X163" s="286" t="s">
        <v>208</v>
      </c>
      <c r="Y163" s="286" t="s">
        <v>203</v>
      </c>
      <c r="Z163" s="286" t="s">
        <v>204</v>
      </c>
      <c r="AA163" s="744">
        <f>IFERROR(IF(T163="Probabilidad",(L163-(+L163*W163)),IF(T163="Impacto",L163,"")),"")</f>
        <v>0.36</v>
      </c>
      <c r="AB163" s="288" t="str">
        <f>IFERROR(IF(AA163="","",IF(AA163&lt;=0.2,"Muy Baja",IF(AA163&lt;=0.4,"Baja",IF(AA163&lt;=0.6,"Media",IF(AA163&lt;=0.8,"Alta","Muy Alta"))))),"")</f>
        <v>Baja</v>
      </c>
      <c r="AC163" s="289">
        <f>+AA163</f>
        <v>0.36</v>
      </c>
      <c r="AD163" s="288" t="str">
        <f>IFERROR(IF(AE163="","",IF(AE163&lt;=0.2,"Leve",IF(AE163&lt;=0.4,"Menor",IF(AE163&lt;=0.6,"Moderado",IF(AE163&lt;=0.8,"Mayor","Catastrófico"))))),"")</f>
        <v>Catastrófico</v>
      </c>
      <c r="AE163" s="289">
        <f>IFERROR(IF(T163="Impacto",(P163-(+P163*W163)),IF(T163="Probabilidad",P163,"")),"")</f>
        <v>1</v>
      </c>
      <c r="AF163" s="290" t="str">
        <f>IFERROR(IF(OR(AND(AB163="Muy Baja",AD163="Leve"),AND(AB163="Muy Baja",AD163="Menor"),AND(AB163="Baja",AD163="Leve")),"Bajo",IF(OR(AND(AB163="Muy baja",AD163="Moderado"),AND(AB163="Baja",AD163="Menor"),AND(AB163="Baja",AD163="Moderado"),AND(AB163="Media",AD163="Leve"),AND(AB163="Media",AD163="Menor"),AND(AB163="Media",AD163="Moderado"),AND(AB163="Alta",AD163="Leve"),AND(AB163="Alta",AD163="Menor")),"Moderado",IF(OR(AND(AB163="Muy Baja",AD163="Mayor"),AND(AB163="Baja",AD163="Mayor"),AND(AB163="Media",AD163="Mayor"),AND(AB163="Alta",AD163="Moderado"),AND(AB163="Alta",AD163="Mayor"),AND(AB163="Muy Alta",AD163="Leve"),AND(AB163="Muy Alta",AD163="Menor"),AND(AB163="Muy Alta",AD163="Moderado"),AND(AB163="Muy Alta",AD163="Mayor")),"Alto",IF(OR(AND(AB163="Muy Baja",AD163="Catastrófico"),AND(AB163="Baja",AD163="Catastrófico"),AND(AB163="Media",AD163="Catastrófico"),AND(AB163="Alta",AD163="Catastrófico"),AND(AB163="Muy Alta",AD163="Catastrófico")),"Extremo","")))),"")</f>
        <v>Extremo</v>
      </c>
      <c r="AG163" s="291" t="s">
        <v>205</v>
      </c>
      <c r="AH163" s="745" t="s">
        <v>1125</v>
      </c>
      <c r="AI163" s="292" t="s">
        <v>293</v>
      </c>
      <c r="AJ163" s="746" t="s">
        <v>154</v>
      </c>
      <c r="AK163" s="746">
        <v>45660</v>
      </c>
      <c r="AL163" s="292" t="s">
        <v>1280</v>
      </c>
      <c r="AM163" s="294" t="s">
        <v>295</v>
      </c>
    </row>
    <row r="164" spans="1:54" s="523" customFormat="1" ht="196.8" customHeight="1" x14ac:dyDescent="0.25">
      <c r="A164" s="2113"/>
      <c r="B164" s="2156"/>
      <c r="C164" s="2156"/>
      <c r="D164" s="2159"/>
      <c r="E164" s="1035" t="s">
        <v>1127</v>
      </c>
      <c r="F164" s="2125"/>
      <c r="G164" s="1980"/>
      <c r="H164" s="2125"/>
      <c r="I164" s="2127"/>
      <c r="J164" s="2130"/>
      <c r="K164" s="2110"/>
      <c r="L164" s="2107"/>
      <c r="M164" s="2133"/>
      <c r="N164" s="2107">
        <f>IF(NOT(ISERROR(MATCH(M164,_xlfn.ANCHORARRAY(F173),0))),L175&amp;"Por favor no seleccionar los criterios de impacto",M164)</f>
        <v>0</v>
      </c>
      <c r="O164" s="2110"/>
      <c r="P164" s="2107"/>
      <c r="Q164" s="2015"/>
      <c r="R164" s="283">
        <v>2</v>
      </c>
      <c r="S164" s="302" t="s">
        <v>307</v>
      </c>
      <c r="T164" s="285" t="str">
        <f>IF(OR(U164="Preventivo",U164="Detectivo"),"Probabilidad",IF(U164="Correctivo","Impacto",""))</f>
        <v>Impacto</v>
      </c>
      <c r="U164" s="286" t="s">
        <v>308</v>
      </c>
      <c r="V164" s="286" t="s">
        <v>201</v>
      </c>
      <c r="W164" s="287" t="str">
        <f t="shared" ref="W164:W166" si="80">IF(AND(U164="Preventivo",V164="Automático"),"50%",IF(AND(U164="Preventivo",V164="Manual"),"40%",IF(AND(U164="Detectivo",V164="Automático"),"40%",IF(AND(U164="Detectivo",V164="Manual"),"30%",IF(AND(U164="Correctivo",V164="Automático"),"35%",IF(AND(U164="Correctivo",V164="Manual"),"25%",""))))))</f>
        <v>25%</v>
      </c>
      <c r="X164" s="286" t="s">
        <v>202</v>
      </c>
      <c r="Y164" s="286" t="s">
        <v>203</v>
      </c>
      <c r="Z164" s="286" t="s">
        <v>204</v>
      </c>
      <c r="AA164" s="744">
        <f>IFERROR(IF(AND(T163="Probabilidad",T164="Probabilidad"),(AC163-(+AC163*W164)),IF(AND(T163="Impacto",T164="Probabilidad"),(L163-(+L163*W164)),IF(T164="Impacto",AC163,""))),"")</f>
        <v>0.36</v>
      </c>
      <c r="AB164" s="288" t="str">
        <f t="shared" ref="AB164:AB166" si="81">IFERROR(IF(AA164="","",IF(AA164&lt;=0.2,"Muy Baja",IF(AA164&lt;=0.4,"Baja",IF(AA164&lt;=0.6,"Media",IF(AA164&lt;=0.8,"Alta","Muy Alta"))))),"")</f>
        <v>Baja</v>
      </c>
      <c r="AC164" s="289">
        <f>+AA164</f>
        <v>0.36</v>
      </c>
      <c r="AD164" s="288" t="str">
        <f t="shared" ref="AD164:AD166" si="82">IFERROR(IF(AE164="","",IF(AE164&lt;=0.2,"Leve",IF(AE164&lt;=0.4,"Menor",IF(AE164&lt;=0.6,"Moderado",IF(AE164&lt;=0.8,"Mayor","Catastrófico"))))),"")</f>
        <v>Mayor</v>
      </c>
      <c r="AE164" s="289">
        <f>IFERROR(IF(AND(T163="Impacto",T164="Impacto"),(AE163-(+AE163*W164)),IF(AND(T163="Probabilidad",T164="Impacto"),(P163-(+P163*W164)),IF(T164="Probabilidad",AE163,""))),"")</f>
        <v>0.75</v>
      </c>
      <c r="AF164" s="290" t="str">
        <f t="shared" ref="AF164:AF166" si="83">IFERROR(IF(OR(AND(AB164="Muy Baja",AD164="Leve"),AND(AB164="Muy Baja",AD164="Menor"),AND(AB164="Baja",AD164="Leve")),"Bajo",IF(OR(AND(AB164="Muy baja",AD164="Moderado"),AND(AB164="Baja",AD164="Menor"),AND(AB164="Baja",AD164="Moderado"),AND(AB164="Media",AD164="Leve"),AND(AB164="Media",AD164="Menor"),AND(AB164="Media",AD164="Moderado"),AND(AB164="Alta",AD164="Leve"),AND(AB164="Alta",AD164="Menor")),"Moderado",IF(OR(AND(AB164="Muy Baja",AD164="Mayor"),AND(AB164="Baja",AD164="Mayor"),AND(AB164="Media",AD164="Mayor"),AND(AB164="Alta",AD164="Moderado"),AND(AB164="Alta",AD164="Mayor"),AND(AB164="Muy Alta",AD164="Leve"),AND(AB164="Muy Alta",AD164="Menor"),AND(AB164="Muy Alta",AD164="Moderado"),AND(AB164="Muy Alta",AD164="Mayor")),"Alto",IF(OR(AND(AB164="Muy Baja",AD164="Catastrófico"),AND(AB164="Baja",AD164="Catastrófico"),AND(AB164="Media",AD164="Catastrófico"),AND(AB164="Alta",AD164="Catastrófico"),AND(AB164="Muy Alta",AD164="Catastrófico")),"Extremo","")))),"")</f>
        <v>Alto</v>
      </c>
      <c r="AG164" s="291" t="s">
        <v>205</v>
      </c>
      <c r="AH164" s="747" t="s">
        <v>1128</v>
      </c>
      <c r="AI164" s="296" t="s">
        <v>293</v>
      </c>
      <c r="AJ164" s="748" t="s">
        <v>154</v>
      </c>
      <c r="AK164" s="748">
        <v>45660</v>
      </c>
      <c r="AL164" s="296" t="s">
        <v>1471</v>
      </c>
      <c r="AM164" s="297" t="s">
        <v>206</v>
      </c>
    </row>
    <row r="165" spans="1:54" s="523" customFormat="1" ht="138" x14ac:dyDescent="0.25">
      <c r="A165" s="2113"/>
      <c r="B165" s="2156"/>
      <c r="C165" s="2156"/>
      <c r="D165" s="2159"/>
      <c r="E165" s="298" t="s">
        <v>1135</v>
      </c>
      <c r="F165" s="2125"/>
      <c r="G165" s="1980"/>
      <c r="H165" s="2125"/>
      <c r="I165" s="2127"/>
      <c r="J165" s="2130"/>
      <c r="K165" s="2110"/>
      <c r="L165" s="2107"/>
      <c r="M165" s="2133"/>
      <c r="N165" s="2107">
        <f>IF(NOT(ISERROR(MATCH(M165,_xlfn.ANCHORARRAY(F174),0))),L176&amp;"Por favor no seleccionar los criterios de impacto",M165)</f>
        <v>0</v>
      </c>
      <c r="O165" s="2110"/>
      <c r="P165" s="2107"/>
      <c r="Q165" s="2015"/>
      <c r="R165" s="283">
        <v>3</v>
      </c>
      <c r="S165" s="750" t="s">
        <v>311</v>
      </c>
      <c r="T165" s="285" t="str">
        <f t="shared" ref="T165:T166" si="84">IF(OR(U165="Preventivo",U165="Detectivo"),"Probabilidad",IF(U165="Correctivo","Impacto",""))</f>
        <v>Impacto</v>
      </c>
      <c r="U165" s="286" t="s">
        <v>308</v>
      </c>
      <c r="V165" s="286" t="s">
        <v>201</v>
      </c>
      <c r="W165" s="287" t="str">
        <f t="shared" si="80"/>
        <v>25%</v>
      </c>
      <c r="X165" s="286" t="s">
        <v>202</v>
      </c>
      <c r="Y165" s="286" t="s">
        <v>203</v>
      </c>
      <c r="Z165" s="286" t="s">
        <v>204</v>
      </c>
      <c r="AA165" s="744">
        <f>IFERROR(IF(AND(T164="Probabilidad",T165="Probabilidad"),(AC164-(+AC164*W165)),IF(AND(T164="Impacto",T165="Probabilidad"),(AC163-(+AC163*W165)),IF(T165="Impacto",AC164,""))),"")</f>
        <v>0.36</v>
      </c>
      <c r="AB165" s="288" t="str">
        <f t="shared" si="81"/>
        <v>Baja</v>
      </c>
      <c r="AC165" s="289">
        <f t="shared" ref="AC165:AC166" si="85">+AA165</f>
        <v>0.36</v>
      </c>
      <c r="AD165" s="288" t="str">
        <f t="shared" si="82"/>
        <v>Moderado</v>
      </c>
      <c r="AE165" s="289">
        <f t="shared" ref="AE165:AE166" si="86">IFERROR(IF(AND(T164="Impacto",T165="Impacto"),(AE164-(+AE164*W165)),IF(AND(T164="Probabilidad",T165="Impacto"),(AE163-(+AE163*W165)),IF(T165="Probabilidad",AE164,""))),"")</f>
        <v>0.5625</v>
      </c>
      <c r="AF165" s="290" t="str">
        <f t="shared" si="83"/>
        <v>Moderado</v>
      </c>
      <c r="AG165" s="291" t="s">
        <v>205</v>
      </c>
      <c r="AH165" s="747" t="s">
        <v>1130</v>
      </c>
      <c r="AI165" s="296" t="s">
        <v>293</v>
      </c>
      <c r="AJ165" s="748" t="s">
        <v>154</v>
      </c>
      <c r="AK165" s="748">
        <v>45660</v>
      </c>
      <c r="AL165" s="296" t="s">
        <v>1472</v>
      </c>
      <c r="AM165" s="297" t="s">
        <v>206</v>
      </c>
    </row>
    <row r="166" spans="1:54" s="523" customFormat="1" ht="184.2" customHeight="1" x14ac:dyDescent="0.25">
      <c r="A166" s="2113"/>
      <c r="B166" s="2156"/>
      <c r="C166" s="2156"/>
      <c r="D166" s="2159"/>
      <c r="E166" s="298" t="s">
        <v>714</v>
      </c>
      <c r="F166" s="2125"/>
      <c r="G166" s="1980"/>
      <c r="H166" s="2125"/>
      <c r="I166" s="2127"/>
      <c r="J166" s="2130"/>
      <c r="K166" s="2110"/>
      <c r="L166" s="2107"/>
      <c r="M166" s="2133"/>
      <c r="N166" s="2107">
        <f>IF(NOT(ISERROR(MATCH(M166,_xlfn.ANCHORARRAY(F175),0))),L177&amp;"Por favor no seleccionar los criterios de impacto",M166)</f>
        <v>0</v>
      </c>
      <c r="O166" s="2110"/>
      <c r="P166" s="2107"/>
      <c r="Q166" s="2015"/>
      <c r="R166" s="283">
        <v>4</v>
      </c>
      <c r="S166" s="302" t="s">
        <v>314</v>
      </c>
      <c r="T166" s="285" t="str">
        <f t="shared" si="84"/>
        <v>Probabilidad</v>
      </c>
      <c r="U166" s="286" t="s">
        <v>200</v>
      </c>
      <c r="V166" s="286" t="s">
        <v>201</v>
      </c>
      <c r="W166" s="287" t="str">
        <f t="shared" si="80"/>
        <v>30%</v>
      </c>
      <c r="X166" s="286" t="s">
        <v>202</v>
      </c>
      <c r="Y166" s="286" t="s">
        <v>203</v>
      </c>
      <c r="Z166" s="286" t="s">
        <v>204</v>
      </c>
      <c r="AA166" s="744">
        <f t="shared" ref="AA166" si="87">IFERROR(IF(AND(T165="Probabilidad",T166="Probabilidad"),(AC165-(+AC165*W166)),IF(AND(T165="Impacto",T166="Probabilidad"),(AC164-(+AC164*W166)),IF(T166="Impacto",AC165,""))),"")</f>
        <v>0.252</v>
      </c>
      <c r="AB166" s="288" t="str">
        <f t="shared" si="81"/>
        <v>Baja</v>
      </c>
      <c r="AC166" s="289">
        <f t="shared" si="85"/>
        <v>0.252</v>
      </c>
      <c r="AD166" s="288" t="str">
        <f t="shared" si="82"/>
        <v>Moderado</v>
      </c>
      <c r="AE166" s="289">
        <f t="shared" si="86"/>
        <v>0.5625</v>
      </c>
      <c r="AF166" s="290" t="str">
        <f t="shared" si="83"/>
        <v>Moderado</v>
      </c>
      <c r="AG166" s="291" t="s">
        <v>312</v>
      </c>
      <c r="AH166" s="747" t="s">
        <v>1132</v>
      </c>
      <c r="AI166" s="296" t="s">
        <v>293</v>
      </c>
      <c r="AJ166" s="748" t="s">
        <v>154</v>
      </c>
      <c r="AK166" s="748">
        <v>45660</v>
      </c>
      <c r="AL166" s="751" t="s">
        <v>1473</v>
      </c>
      <c r="AM166" s="297" t="s">
        <v>295</v>
      </c>
    </row>
    <row r="167" spans="1:54" s="523" customFormat="1" x14ac:dyDescent="0.25">
      <c r="A167" s="694"/>
      <c r="B167" s="695"/>
      <c r="C167" s="694"/>
      <c r="D167" s="694"/>
      <c r="E167" s="694"/>
      <c r="F167" s="311"/>
      <c r="G167" s="311"/>
      <c r="H167" s="311"/>
      <c r="I167" s="696"/>
      <c r="J167" s="311"/>
      <c r="K167" s="311"/>
      <c r="L167" s="311"/>
      <c r="M167" s="311"/>
      <c r="N167" s="311"/>
      <c r="O167" s="311"/>
      <c r="P167" s="311"/>
      <c r="Q167" s="311"/>
      <c r="R167" s="311"/>
      <c r="S167" s="311"/>
      <c r="T167" s="311"/>
      <c r="U167" s="311"/>
      <c r="V167" s="311"/>
      <c r="W167" s="311"/>
      <c r="X167" s="311"/>
      <c r="Y167" s="311"/>
      <c r="Z167" s="311"/>
      <c r="AA167" s="311"/>
      <c r="AB167" s="311"/>
      <c r="AC167" s="311"/>
      <c r="AD167" s="311"/>
      <c r="AE167" s="311"/>
      <c r="AF167" s="311"/>
      <c r="AG167" s="311"/>
      <c r="AH167" s="311"/>
      <c r="AI167" s="311"/>
      <c r="AJ167" s="311"/>
      <c r="AK167" s="311"/>
      <c r="AL167" s="311"/>
      <c r="AM167" s="311"/>
    </row>
    <row r="168" spans="1:54" s="523" customFormat="1" ht="28.2" x14ac:dyDescent="0.25">
      <c r="A168" s="2343" t="s">
        <v>156</v>
      </c>
      <c r="B168" s="2344"/>
      <c r="C168" s="2344"/>
      <c r="D168" s="2344"/>
      <c r="E168" s="2344"/>
      <c r="F168" s="2344"/>
      <c r="G168" s="2344"/>
      <c r="H168" s="2344"/>
      <c r="I168" s="2344"/>
      <c r="J168" s="2344"/>
      <c r="K168" s="2344"/>
      <c r="L168" s="2344"/>
      <c r="M168" s="2344"/>
      <c r="N168" s="2344"/>
      <c r="O168" s="2344"/>
      <c r="P168" s="2344"/>
      <c r="Q168" s="2344"/>
      <c r="R168" s="2344"/>
      <c r="S168" s="2344"/>
      <c r="T168" s="2344"/>
      <c r="U168" s="2344"/>
      <c r="V168" s="2344"/>
      <c r="W168" s="2344"/>
      <c r="X168" s="2344"/>
      <c r="Y168" s="2344"/>
      <c r="Z168" s="2344"/>
      <c r="AA168" s="2344"/>
      <c r="AB168" s="2344"/>
      <c r="AC168" s="2344"/>
      <c r="AD168" s="2344"/>
      <c r="AE168" s="2344"/>
      <c r="AF168" s="2344"/>
      <c r="AG168" s="2344"/>
      <c r="AH168" s="2344"/>
      <c r="AI168" s="2344"/>
      <c r="AJ168" s="2344"/>
      <c r="AK168" s="2344"/>
      <c r="AL168" s="2344"/>
      <c r="AM168" s="2345"/>
      <c r="AN168" s="699"/>
      <c r="AO168" s="700"/>
      <c r="AP168" s="700"/>
      <c r="AQ168" s="700"/>
      <c r="AR168" s="701"/>
      <c r="AS168" s="700"/>
      <c r="AT168" s="700"/>
      <c r="AU168" s="700"/>
      <c r="AV168" s="700"/>
      <c r="AW168" s="700"/>
      <c r="AX168" s="700"/>
      <c r="AY168" s="700"/>
      <c r="AZ168" s="700"/>
      <c r="BA168" s="700"/>
      <c r="BB168" s="700"/>
    </row>
    <row r="169" spans="1:54" s="523" customFormat="1" ht="28.2" x14ac:dyDescent="0.25">
      <c r="A169" s="2346"/>
      <c r="B169" s="2347"/>
      <c r="C169" s="2347"/>
      <c r="D169" s="2347"/>
      <c r="E169" s="2347"/>
      <c r="F169" s="2347"/>
      <c r="G169" s="2347"/>
      <c r="H169" s="2347"/>
      <c r="I169" s="2347"/>
      <c r="J169" s="2347"/>
      <c r="K169" s="2347"/>
      <c r="L169" s="2347"/>
      <c r="M169" s="2347"/>
      <c r="N169" s="2347"/>
      <c r="O169" s="2347"/>
      <c r="P169" s="2347"/>
      <c r="Q169" s="2347"/>
      <c r="R169" s="2347"/>
      <c r="S169" s="2347"/>
      <c r="T169" s="2347"/>
      <c r="U169" s="2347"/>
      <c r="V169" s="2347"/>
      <c r="W169" s="2347"/>
      <c r="X169" s="2347"/>
      <c r="Y169" s="2347"/>
      <c r="Z169" s="2347"/>
      <c r="AA169" s="2347"/>
      <c r="AB169" s="2347"/>
      <c r="AC169" s="2347"/>
      <c r="AD169" s="2347"/>
      <c r="AE169" s="2347"/>
      <c r="AF169" s="2347"/>
      <c r="AG169" s="2347"/>
      <c r="AH169" s="2347"/>
      <c r="AI169" s="2347"/>
      <c r="AJ169" s="2347"/>
      <c r="AK169" s="2347"/>
      <c r="AL169" s="2347"/>
      <c r="AM169" s="2348"/>
      <c r="AN169" s="699"/>
      <c r="AO169" s="702"/>
      <c r="AP169" s="700"/>
      <c r="AQ169" s="700"/>
      <c r="AR169" s="701"/>
      <c r="AS169" s="700"/>
      <c r="AT169" s="700"/>
      <c r="AU169" s="700"/>
      <c r="AV169" s="700"/>
      <c r="AW169" s="700"/>
      <c r="AX169" s="700"/>
      <c r="AY169" s="700"/>
      <c r="AZ169" s="700"/>
      <c r="BA169" s="700"/>
      <c r="BB169" s="700"/>
    </row>
    <row r="170" spans="1:54" s="523" customFormat="1" x14ac:dyDescent="0.25">
      <c r="A170" s="703"/>
      <c r="B170" s="704"/>
      <c r="C170" s="703"/>
      <c r="D170" s="703"/>
      <c r="E170" s="703"/>
      <c r="F170" s="700"/>
      <c r="G170" s="700"/>
      <c r="H170" s="700"/>
      <c r="I170" s="705"/>
      <c r="J170" s="700"/>
      <c r="K170" s="700"/>
      <c r="L170" s="700"/>
      <c r="M170" s="700"/>
      <c r="N170" s="700"/>
      <c r="O170" s="700"/>
      <c r="P170" s="700"/>
      <c r="Q170" s="700"/>
      <c r="R170" s="700"/>
      <c r="S170" s="700"/>
      <c r="T170" s="700"/>
      <c r="U170" s="700"/>
      <c r="V170" s="700"/>
      <c r="W170" s="700"/>
      <c r="X170" s="700"/>
      <c r="Y170" s="700"/>
      <c r="Z170" s="700"/>
      <c r="AA170" s="700"/>
      <c r="AB170" s="700"/>
      <c r="AC170" s="700"/>
      <c r="AD170" s="700"/>
      <c r="AE170" s="700"/>
      <c r="AF170" s="700"/>
      <c r="AG170" s="700"/>
      <c r="AH170" s="700"/>
      <c r="AI170" s="700"/>
      <c r="AJ170" s="700"/>
      <c r="AK170" s="700"/>
      <c r="AL170" s="700"/>
      <c r="AM170" s="700"/>
      <c r="AN170" s="700"/>
      <c r="AO170" s="706"/>
      <c r="AP170" s="700"/>
      <c r="AQ170" s="700"/>
      <c r="AR170" s="701"/>
      <c r="AS170" s="700"/>
      <c r="AT170" s="700"/>
      <c r="AU170" s="700"/>
      <c r="AV170" s="700"/>
      <c r="AW170" s="700"/>
      <c r="AX170" s="700"/>
      <c r="AY170" s="700"/>
      <c r="AZ170" s="700"/>
      <c r="BA170" s="700"/>
      <c r="BB170" s="700"/>
    </row>
    <row r="171" spans="1:54" s="523" customFormat="1" ht="23.4" x14ac:dyDescent="0.25">
      <c r="A171" s="2349" t="s">
        <v>157</v>
      </c>
      <c r="B171" s="2350"/>
      <c r="C171" s="2039" t="s">
        <v>705</v>
      </c>
      <c r="D171" s="2039"/>
      <c r="E171" s="2039"/>
      <c r="F171" s="2039"/>
      <c r="G171" s="2039"/>
      <c r="H171" s="2039"/>
      <c r="I171" s="2039"/>
      <c r="J171" s="2039"/>
      <c r="K171" s="2039"/>
      <c r="L171" s="2039"/>
      <c r="M171" s="2039"/>
      <c r="N171" s="2039"/>
      <c r="O171" s="2039"/>
      <c r="P171" s="2039"/>
      <c r="Q171" s="2039"/>
      <c r="R171" s="2039"/>
      <c r="S171" s="2039"/>
      <c r="T171" s="2039"/>
      <c r="U171" s="2039"/>
      <c r="V171" s="2039"/>
      <c r="W171" s="2039"/>
      <c r="X171" s="2039"/>
      <c r="Y171" s="2039"/>
      <c r="Z171" s="2039"/>
      <c r="AA171" s="2039"/>
      <c r="AB171" s="2039"/>
      <c r="AC171" s="2039"/>
      <c r="AD171" s="2039"/>
      <c r="AE171" s="2039"/>
      <c r="AF171" s="2039"/>
      <c r="AG171" s="2039"/>
      <c r="AH171" s="2039"/>
      <c r="AI171" s="2039"/>
      <c r="AJ171" s="2039"/>
      <c r="AK171" s="2039"/>
      <c r="AL171" s="2039"/>
      <c r="AM171" s="2039"/>
      <c r="AN171" s="707"/>
      <c r="AO171" s="700"/>
      <c r="AP171" s="700"/>
      <c r="AQ171" s="700"/>
      <c r="AR171" s="701"/>
      <c r="AS171" s="700"/>
      <c r="AT171" s="700"/>
      <c r="AU171" s="700"/>
      <c r="AV171" s="700"/>
      <c r="AW171" s="700"/>
      <c r="AX171" s="700"/>
      <c r="AY171" s="700"/>
      <c r="AZ171" s="700"/>
      <c r="BA171" s="700"/>
      <c r="BB171" s="700"/>
    </row>
    <row r="172" spans="1:54" s="523" customFormat="1" ht="23.4" x14ac:dyDescent="0.25">
      <c r="A172" s="2349" t="s">
        <v>158</v>
      </c>
      <c r="B172" s="2350"/>
      <c r="C172" s="2040" t="s">
        <v>706</v>
      </c>
      <c r="D172" s="2040"/>
      <c r="E172" s="2040"/>
      <c r="F172" s="2040"/>
      <c r="G172" s="2040"/>
      <c r="H172" s="2040"/>
      <c r="I172" s="2040"/>
      <c r="J172" s="2040"/>
      <c r="K172" s="2040"/>
      <c r="L172" s="2040"/>
      <c r="M172" s="2040"/>
      <c r="N172" s="2040"/>
      <c r="O172" s="2040"/>
      <c r="P172" s="2040"/>
      <c r="Q172" s="2040"/>
      <c r="R172" s="2040"/>
      <c r="S172" s="2040"/>
      <c r="T172" s="2040"/>
      <c r="U172" s="2040"/>
      <c r="V172" s="2040"/>
      <c r="W172" s="2040"/>
      <c r="X172" s="2040"/>
      <c r="Y172" s="2040"/>
      <c r="Z172" s="2040"/>
      <c r="AA172" s="2040"/>
      <c r="AB172" s="2040"/>
      <c r="AC172" s="2040"/>
      <c r="AD172" s="2040"/>
      <c r="AE172" s="2040"/>
      <c r="AF172" s="2040"/>
      <c r="AG172" s="2040"/>
      <c r="AH172" s="2040"/>
      <c r="AI172" s="2040"/>
      <c r="AJ172" s="2040"/>
      <c r="AK172" s="2040"/>
      <c r="AL172" s="2040"/>
      <c r="AM172" s="2040"/>
      <c r="AN172" s="708"/>
      <c r="AO172" s="709"/>
      <c r="AP172" s="700"/>
      <c r="AQ172" s="700"/>
      <c r="AR172" s="700"/>
      <c r="AS172" s="700"/>
      <c r="AT172" s="700"/>
      <c r="AU172" s="700"/>
      <c r="AV172" s="700"/>
      <c r="AW172" s="700"/>
      <c r="AX172" s="700"/>
      <c r="AY172" s="700"/>
      <c r="AZ172" s="700"/>
      <c r="BA172" s="700"/>
      <c r="BB172" s="700"/>
    </row>
    <row r="173" spans="1:54" s="523" customFormat="1" ht="23.4" x14ac:dyDescent="0.25">
      <c r="A173" s="2349" t="s">
        <v>159</v>
      </c>
      <c r="B173" s="2350"/>
      <c r="C173" s="2040" t="s">
        <v>687</v>
      </c>
      <c r="D173" s="2040"/>
      <c r="E173" s="2040"/>
      <c r="F173" s="2040"/>
      <c r="G173" s="2040"/>
      <c r="H173" s="2040"/>
      <c r="I173" s="2040"/>
      <c r="J173" s="2040"/>
      <c r="K173" s="2040"/>
      <c r="L173" s="2040"/>
      <c r="M173" s="2040"/>
      <c r="N173" s="2040"/>
      <c r="O173" s="2040"/>
      <c r="P173" s="2040"/>
      <c r="Q173" s="2040"/>
      <c r="R173" s="2040"/>
      <c r="S173" s="2040"/>
      <c r="T173" s="2040"/>
      <c r="U173" s="2040"/>
      <c r="V173" s="2040"/>
      <c r="W173" s="2040"/>
      <c r="X173" s="2040"/>
      <c r="Y173" s="2040"/>
      <c r="Z173" s="2040"/>
      <c r="AA173" s="2040"/>
      <c r="AB173" s="2040"/>
      <c r="AC173" s="2040"/>
      <c r="AD173" s="2040"/>
      <c r="AE173" s="2040"/>
      <c r="AF173" s="2040"/>
      <c r="AG173" s="2040"/>
      <c r="AH173" s="3248"/>
      <c r="AI173" s="3248"/>
      <c r="AJ173" s="3248"/>
      <c r="AK173" s="3248"/>
      <c r="AL173" s="3248"/>
      <c r="AM173" s="3248"/>
      <c r="AN173" s="708"/>
      <c r="AO173" s="709"/>
      <c r="AP173" s="700"/>
      <c r="AQ173" s="700"/>
    </row>
    <row r="174" spans="1:54" s="523" customFormat="1" x14ac:dyDescent="0.25">
      <c r="A174" s="2351" t="s">
        <v>160</v>
      </c>
      <c r="B174" s="2352"/>
      <c r="C174" s="2353"/>
      <c r="D174" s="2353"/>
      <c r="E174" s="2353"/>
      <c r="F174" s="2353"/>
      <c r="G174" s="2353"/>
      <c r="H174" s="2353"/>
      <c r="I174" s="2353"/>
      <c r="J174" s="2354"/>
      <c r="K174" s="2101" t="s">
        <v>161</v>
      </c>
      <c r="L174" s="2353"/>
      <c r="M174" s="2353"/>
      <c r="N174" s="2353"/>
      <c r="O174" s="2353"/>
      <c r="P174" s="2353"/>
      <c r="Q174" s="2354"/>
      <c r="R174" s="2101" t="s">
        <v>162</v>
      </c>
      <c r="S174" s="2353"/>
      <c r="T174" s="2353"/>
      <c r="U174" s="2353"/>
      <c r="V174" s="2353"/>
      <c r="W174" s="2353"/>
      <c r="X174" s="2353"/>
      <c r="Y174" s="2353"/>
      <c r="Z174" s="2354"/>
      <c r="AA174" s="2101" t="s">
        <v>163</v>
      </c>
      <c r="AB174" s="2353"/>
      <c r="AC174" s="2353"/>
      <c r="AD174" s="2353"/>
      <c r="AE174" s="2353"/>
      <c r="AF174" s="2353"/>
      <c r="AG174" s="2353"/>
      <c r="AH174" s="3487" t="s">
        <v>164</v>
      </c>
      <c r="AI174" s="3488"/>
      <c r="AJ174" s="3488"/>
      <c r="AK174" s="3488"/>
      <c r="AL174" s="3488"/>
      <c r="AM174" s="3488"/>
      <c r="AN174" s="3488"/>
      <c r="AO174" s="3488"/>
      <c r="AP174" s="3488"/>
      <c r="AQ174" s="3489"/>
    </row>
    <row r="175" spans="1:54" s="523" customFormat="1" ht="13.8" customHeight="1" x14ac:dyDescent="0.25">
      <c r="A175" s="2140" t="s">
        <v>165</v>
      </c>
      <c r="B175" s="2142" t="s">
        <v>142</v>
      </c>
      <c r="C175" s="2042" t="s">
        <v>166</v>
      </c>
      <c r="D175" s="2042" t="s">
        <v>167</v>
      </c>
      <c r="E175" s="2041" t="s">
        <v>168</v>
      </c>
      <c r="F175" s="2103" t="s">
        <v>60</v>
      </c>
      <c r="G175" s="280"/>
      <c r="H175" s="280"/>
      <c r="I175" s="2041" t="s">
        <v>169</v>
      </c>
      <c r="J175" s="2042" t="s">
        <v>170</v>
      </c>
      <c r="K175" s="2105" t="s">
        <v>171</v>
      </c>
      <c r="L175" s="2100" t="s">
        <v>172</v>
      </c>
      <c r="M175" s="2041" t="s">
        <v>173</v>
      </c>
      <c r="N175" s="2041" t="s">
        <v>174</v>
      </c>
      <c r="O175" s="2102" t="s">
        <v>175</v>
      </c>
      <c r="P175" s="2100" t="s">
        <v>172</v>
      </c>
      <c r="Q175" s="2042" t="s">
        <v>176</v>
      </c>
      <c r="R175" s="2161" t="s">
        <v>177</v>
      </c>
      <c r="S175" s="2043" t="s">
        <v>178</v>
      </c>
      <c r="T175" s="2041" t="s">
        <v>179</v>
      </c>
      <c r="U175" s="2043" t="s">
        <v>180</v>
      </c>
      <c r="V175" s="2043"/>
      <c r="W175" s="2043"/>
      <c r="X175" s="2043"/>
      <c r="Y175" s="2043"/>
      <c r="Z175" s="2043"/>
      <c r="AA175" s="2099" t="s">
        <v>181</v>
      </c>
      <c r="AB175" s="2099" t="s">
        <v>182</v>
      </c>
      <c r="AC175" s="2099" t="s">
        <v>172</v>
      </c>
      <c r="AD175" s="2099" t="s">
        <v>183</v>
      </c>
      <c r="AE175" s="2099" t="s">
        <v>172</v>
      </c>
      <c r="AF175" s="2099" t="s">
        <v>184</v>
      </c>
      <c r="AG175" s="3485" t="s">
        <v>185</v>
      </c>
      <c r="AH175" s="3484" t="s">
        <v>164</v>
      </c>
      <c r="AI175" s="3484" t="s">
        <v>143</v>
      </c>
      <c r="AJ175" s="3484" t="s">
        <v>186</v>
      </c>
      <c r="AK175" s="3483" t="s">
        <v>187</v>
      </c>
      <c r="AL175" s="3483" t="s">
        <v>688</v>
      </c>
      <c r="AM175" s="3483" t="s">
        <v>189</v>
      </c>
      <c r="AN175" s="3483" t="s">
        <v>189</v>
      </c>
      <c r="AO175" s="3484" t="s">
        <v>187</v>
      </c>
      <c r="AP175" s="3484" t="s">
        <v>1474</v>
      </c>
      <c r="AQ175" s="3484" t="s">
        <v>189</v>
      </c>
    </row>
    <row r="176" spans="1:54" s="523" customFormat="1" ht="71.400000000000006" x14ac:dyDescent="0.25">
      <c r="A176" s="2141"/>
      <c r="B176" s="2104"/>
      <c r="C176" s="2041"/>
      <c r="D176" s="2041"/>
      <c r="E176" s="2105"/>
      <c r="F176" s="2104"/>
      <c r="G176" s="280" t="s">
        <v>511</v>
      </c>
      <c r="H176" s="280" t="s">
        <v>190</v>
      </c>
      <c r="I176" s="2105"/>
      <c r="J176" s="2041"/>
      <c r="K176" s="2105"/>
      <c r="L176" s="2100"/>
      <c r="M176" s="2105"/>
      <c r="N176" s="2042"/>
      <c r="O176" s="2101"/>
      <c r="P176" s="2100"/>
      <c r="Q176" s="2041"/>
      <c r="R176" s="2162"/>
      <c r="S176" s="2043"/>
      <c r="T176" s="2042"/>
      <c r="U176" s="281" t="s">
        <v>191</v>
      </c>
      <c r="V176" s="281" t="s">
        <v>192</v>
      </c>
      <c r="W176" s="281" t="s">
        <v>193</v>
      </c>
      <c r="X176" s="281" t="s">
        <v>194</v>
      </c>
      <c r="Y176" s="281" t="s">
        <v>195</v>
      </c>
      <c r="Z176" s="281" t="s">
        <v>196</v>
      </c>
      <c r="AA176" s="2099"/>
      <c r="AB176" s="2099"/>
      <c r="AC176" s="2099"/>
      <c r="AD176" s="2099"/>
      <c r="AE176" s="2099"/>
      <c r="AF176" s="2099"/>
      <c r="AG176" s="3486"/>
      <c r="AH176" s="3484"/>
      <c r="AI176" s="3484"/>
      <c r="AJ176" s="3484"/>
      <c r="AK176" s="3483"/>
      <c r="AL176" s="3483"/>
      <c r="AM176" s="3483"/>
      <c r="AN176" s="3483"/>
      <c r="AO176" s="3484"/>
      <c r="AP176" s="3484"/>
      <c r="AQ176" s="3484"/>
    </row>
    <row r="177" spans="1:43" s="523" customFormat="1" ht="207" x14ac:dyDescent="0.25">
      <c r="A177" s="3234">
        <v>1</v>
      </c>
      <c r="B177" s="3236" t="s">
        <v>209</v>
      </c>
      <c r="C177" s="3237" t="s">
        <v>691</v>
      </c>
      <c r="D177" s="3237" t="s">
        <v>1271</v>
      </c>
      <c r="E177" s="811" t="s">
        <v>1272</v>
      </c>
      <c r="F177" s="3238" t="s">
        <v>1273</v>
      </c>
      <c r="G177" s="3238" t="s">
        <v>512</v>
      </c>
      <c r="H177" s="3238" t="s">
        <v>1274</v>
      </c>
      <c r="I177" s="3236" t="s">
        <v>198</v>
      </c>
      <c r="J177" s="3239">
        <v>240</v>
      </c>
      <c r="K177" s="3240" t="str">
        <f>IF(J177&lt;=0,"",IF(J177&lt;=2,"Muy Baja",IF(J177&lt;=24,"Baja",IF(J177&lt;=500,"Media",IF(J177&lt;=5000,"Alta","Muy Alta")))))</f>
        <v>Media</v>
      </c>
      <c r="L177" s="3241">
        <f>IF(K177="","",IF(K177="Muy Baja",0.2,IF(K177="Baja",0.4,IF(K177="Media",0.6,IF(K177="Alta",0.8,IF(K177="Muy Alta",1,))))))</f>
        <v>0.6</v>
      </c>
      <c r="M177" s="3242" t="s">
        <v>199</v>
      </c>
      <c r="N177" s="3242" t="str">
        <f>IF(NOT(ISERROR(MATCH(M177,'[70]Tabla Impacto'!$B$221:$B$223,0))),'[70]Tabla Impacto'!$F$223&amp;"Por favor no seleccionar los criterios de impacto(Afectación Económica o presupuestal y Pérdida Reputacional)",M177)</f>
        <v xml:space="preserve">     El riesgo afecta la imagen de de la entidad con efecto publicitario sostenido a nivel de sector administrativo, nivel departamental o municipal</v>
      </c>
      <c r="O177" s="3245" t="str">
        <f>IF(OR(N177='[70]Tabla Impacto'!$C$11,N177='[70]Tabla Impacto'!$D$11),"Leve",IF(OR(N177='[70]Tabla Impacto'!$C$12,N177='[70]Tabla Impacto'!$D$12),"Menor",IF(OR(N177='[70]Tabla Impacto'!$C$13,N177='[70]Tabla Impacto'!$D$13),"Moderado",IF(OR(N177='[70]Tabla Impacto'!$C$14,N177='[70]Tabla Impacto'!$D$14),"Mayor",IF(OR(N177='[70]Tabla Impacto'!$C$15,N177='[70]Tabla Impacto'!$D$15),"Catastrófico","")))))</f>
        <v>Mayor</v>
      </c>
      <c r="P177" s="3241">
        <f>IF(O177="","",IF(O177="Leve",0.2,IF(O177="Menor",0.4,IF(O177="Moderado",0.6,IF(O177="Mayor",0.8,IF(O177="Catastrófico",1,))))))</f>
        <v>0.8</v>
      </c>
      <c r="Q177" s="3247" t="str">
        <f>IF(OR(AND(K177="Muy Baja",O177="Leve"),AND(K177="Muy Baja",O177="Menor"),AND(K177="Baja",O177="Leve")),"Bajo",IF(OR(AND(K177="Muy baja",O177="Moderado"),AND(K177="Baja",O177="Menor"),AND(K177="Baja",O177="Moderado"),AND(K177="Media",O177="Leve"),AND(K177="Media",O177="Menor"),AND(K177="Media",O177="Moderado"),AND(K177="Alta",O177="Leve"),AND(K177="Alta",O177="Menor")),"Moderado",IF(OR(AND(K177="Muy Baja",O177="Mayor"),AND(K177="Baja",O177="Mayor"),AND(K177="Media",O177="Mayor"),AND(K177="Alta",O177="Moderado"),AND(K177="Alta",O177="Mayor"),AND(K177="Muy Alta",O177="Leve"),AND(K177="Muy Alta",O177="Menor"),AND(K177="Muy Alta",O177="Moderado"),AND(K177="Muy Alta",O177="Mayor")),"Alto",IF(OR(AND(K177="Muy Baja",O177="Catastrófico"),AND(K177="Baja",O177="Catastrófico"),AND(K177="Media",O177="Catastrófico"),AND(K177="Alta",O177="Catastrófico"),AND(K177="Muy Alta",O177="Catastrófico")),"Extremo",""))))</f>
        <v>Alto</v>
      </c>
      <c r="R177" s="1034">
        <v>1</v>
      </c>
      <c r="S177" s="717" t="s">
        <v>1275</v>
      </c>
      <c r="T177" s="718" t="str">
        <f>IF(OR(U177="Preventivo",U177="Detectivo"),"Probabilidad",IF(U177="Correctivo","Impacto",""))</f>
        <v>Probabilidad</v>
      </c>
      <c r="U177" s="719" t="s">
        <v>207</v>
      </c>
      <c r="V177" s="719" t="s">
        <v>201</v>
      </c>
      <c r="W177" s="720" t="str">
        <f>IF(AND(U177="Preventivo",V177="Automático"),"50%",IF(AND(U177="Preventivo",V177="Manual"),"40%",IF(AND(U177="Detectivo",V177="Automático"),"40%",IF(AND(U177="Detectivo",V177="Manual"),"30%",IF(AND(U177="Correctivo",V177="Automático"),"35%",IF(AND(U177="Correctivo",V177="Manual"),"25%",""))))))</f>
        <v>40%</v>
      </c>
      <c r="X177" s="719" t="s">
        <v>208</v>
      </c>
      <c r="Y177" s="719" t="s">
        <v>203</v>
      </c>
      <c r="Z177" s="719" t="s">
        <v>204</v>
      </c>
      <c r="AA177" s="721">
        <f>IFERROR(IF(T177="Probabilidad",(L177-(+L177*W177)),IF(T177="Impacto",L177,"")),"")</f>
        <v>0.36</v>
      </c>
      <c r="AB177" s="722" t="str">
        <f>IFERROR(IF(AA177="","",IF(AA177&lt;=0.2,"Muy Baja",IF(AA177&lt;=0.4,"Baja",IF(AA177&lt;=0.6,"Media",IF(AA177&lt;=0.8,"Alta","Muy Alta"))))),"")</f>
        <v>Baja</v>
      </c>
      <c r="AC177" s="723">
        <f>+AA177</f>
        <v>0.36</v>
      </c>
      <c r="AD177" s="722" t="str">
        <f>IFERROR(IF(AE177="","",IF(AE177&lt;=0.2,"Leve",IF(AE177&lt;=0.4,"Menor",IF(AE177&lt;=0.6,"Moderado",IF(AE177&lt;=0.8,"Mayor","Catastrófico"))))),"")</f>
        <v>Mayor</v>
      </c>
      <c r="AE177" s="723">
        <f>IFERROR(IF(T177="Impacto",(P177-(+P177*W177)),IF(T177="Probabilidad",P177,"")),"")</f>
        <v>0.8</v>
      </c>
      <c r="AF177" s="724" t="str">
        <f>IFERROR(IF(OR(AND(AB177="Muy Baja",AD177="Leve"),AND(AB177="Muy Baja",AD177="Menor"),AND(AB177="Baja",AD177="Leve")),"Bajo",IF(OR(AND(AB177="Muy baja",AD177="Moderado"),AND(AB177="Baja",AD177="Menor"),AND(AB177="Baja",AD177="Moderado"),AND(AB177="Media",AD177="Leve"),AND(AB177="Media",AD177="Menor"),AND(AB177="Media",AD177="Moderado"),AND(AB177="Alta",AD177="Leve"),AND(AB177="Alta",AD177="Menor")),"Moderado",IF(OR(AND(AB177="Muy Baja",AD177="Mayor"),AND(AB177="Baja",AD177="Mayor"),AND(AB177="Media",AD177="Mayor"),AND(AB177="Alta",AD177="Moderado"),AND(AB177="Alta",AD177="Mayor"),AND(AB177="Muy Alta",AD177="Leve"),AND(AB177="Muy Alta",AD177="Menor"),AND(AB177="Muy Alta",AD177="Moderado"),AND(AB177="Muy Alta",AD177="Mayor")),"Alto",IF(OR(AND(AB177="Muy Baja",AD177="Catastrófico"),AND(AB177="Baja",AD177="Catastrófico"),AND(AB177="Media",AD177="Catastrófico"),AND(AB177="Alta",AD177="Catastrófico"),AND(AB177="Muy Alta",AD177="Catastrófico")),"Extremo","")))),"")</f>
        <v>Alto</v>
      </c>
      <c r="AG177" s="2282" t="s">
        <v>205</v>
      </c>
      <c r="AH177" s="1366" t="s">
        <v>1113</v>
      </c>
      <c r="AI177" s="1367" t="s">
        <v>697</v>
      </c>
      <c r="AJ177" s="1368">
        <v>45168</v>
      </c>
      <c r="AK177" s="1369">
        <v>45338</v>
      </c>
      <c r="AL177" s="1211" t="s">
        <v>698</v>
      </c>
      <c r="AM177" s="1209" t="s">
        <v>206</v>
      </c>
      <c r="AN177" s="1209" t="s">
        <v>206</v>
      </c>
      <c r="AO177" s="1369">
        <v>45656</v>
      </c>
      <c r="AP177" s="731" t="s">
        <v>1475</v>
      </c>
      <c r="AQ177" s="1209" t="s">
        <v>295</v>
      </c>
    </row>
    <row r="178" spans="1:43" s="523" customFormat="1" ht="100.8" customHeight="1" x14ac:dyDescent="0.25">
      <c r="A178" s="3235"/>
      <c r="B178" s="3236"/>
      <c r="C178" s="3237"/>
      <c r="D178" s="3237"/>
      <c r="E178" s="811" t="s">
        <v>701</v>
      </c>
      <c r="F178" s="3238"/>
      <c r="G178" s="3238"/>
      <c r="H178" s="3238"/>
      <c r="I178" s="3236"/>
      <c r="J178" s="3239"/>
      <c r="K178" s="3240"/>
      <c r="L178" s="3241"/>
      <c r="M178" s="3242"/>
      <c r="N178" s="3242">
        <f>IF(NOT(ISERROR(MATCH(M178,_xlfn.ANCHORARRAY(F186),0))),L188&amp;"Por favor no seleccionar los criterios de impacto",M178)</f>
        <v>0</v>
      </c>
      <c r="O178" s="3246"/>
      <c r="P178" s="3241"/>
      <c r="Q178" s="3247"/>
      <c r="R178" s="1034">
        <v>2</v>
      </c>
      <c r="S178" s="717" t="s">
        <v>1115</v>
      </c>
      <c r="T178" s="718" t="str">
        <f>IF(OR(U178="Preventivo",U178="Detectivo"),"Probabilidad",IF(U178="Correctivo","Impacto",""))</f>
        <v>Probabilidad</v>
      </c>
      <c r="U178" s="719" t="s">
        <v>207</v>
      </c>
      <c r="V178" s="719" t="s">
        <v>201</v>
      </c>
      <c r="W178" s="720" t="str">
        <f>IF(AND(U178="Preventivo",V178="Automático"),"50%",IF(AND(U178="Preventivo",V178="Manual"),"40%",IF(AND(U178="Detectivo",V178="Automático"),"40%",IF(AND(U178="Detectivo",V178="Manual"),"30%",IF(AND(U178="Correctivo",V178="Automático"),"35%",IF(AND(U178="Correctivo",V178="Manual"),"25%",""))))))</f>
        <v>40%</v>
      </c>
      <c r="X178" s="719" t="s">
        <v>202</v>
      </c>
      <c r="Y178" s="719" t="s">
        <v>203</v>
      </c>
      <c r="Z178" s="719" t="s">
        <v>204</v>
      </c>
      <c r="AA178" s="721">
        <f>IFERROR(IF(AND(T177="Probabilidad",T178="Probabilidad"),(AC177-(+AC177*W178)),IF(AND(T177="Impacto",T178="Probabilidad"),(L177-(+L177*W178)),IF(T178="Impacto",AC177,""))),"")</f>
        <v>0.216</v>
      </c>
      <c r="AB178" s="722" t="str">
        <f t="shared" ref="AB178:AB179" si="88">IFERROR(IF(AA178="","",IF(AA178&lt;=0.2,"Muy Baja",IF(AA178&lt;=0.4,"Baja",IF(AA178&lt;=0.6,"Media",IF(AA178&lt;=0.8,"Alta","Muy Alta"))))),"")</f>
        <v>Baja</v>
      </c>
      <c r="AC178" s="723">
        <f>+AA178</f>
        <v>0.216</v>
      </c>
      <c r="AD178" s="722" t="str">
        <f t="shared" ref="AD178:AD179" si="89">IFERROR(IF(AE178="","",IF(AE178&lt;=0.2,"Leve",IF(AE178&lt;=0.4,"Menor",IF(AE178&lt;=0.6,"Moderado",IF(AE178&lt;=0.8,"Mayor","Catastrófico"))))),"")</f>
        <v>Mayor</v>
      </c>
      <c r="AE178" s="723">
        <f>IFERROR(IF(AND(T177="Impacto",T178="Impacto"),(AE177-(+AE177*W178)),IF(AND(T177="Probabilidad",T178="Impacto"),(P177-(+P177*W178)),IF(T178="Probabilidad",AE177,""))),"")</f>
        <v>0.8</v>
      </c>
      <c r="AF178" s="724" t="str">
        <f t="shared" ref="AF178:AF179" si="90">IFERROR(IF(OR(AND(AB178="Muy Baja",AD178="Leve"),AND(AB178="Muy Baja",AD178="Menor"),AND(AB178="Baja",AD178="Leve")),"Bajo",IF(OR(AND(AB178="Muy baja",AD178="Moderado"),AND(AB178="Baja",AD178="Menor"),AND(AB178="Baja",AD178="Moderado"),AND(AB178="Media",AD178="Leve"),AND(AB178="Media",AD178="Menor"),AND(AB178="Media",AD178="Moderado"),AND(AB178="Alta",AD178="Leve"),AND(AB178="Alta",AD178="Menor")),"Moderado",IF(OR(AND(AB178="Muy Baja",AD178="Mayor"),AND(AB178="Baja",AD178="Mayor"),AND(AB178="Media",AD178="Mayor"),AND(AB178="Alta",AD178="Moderado"),AND(AB178="Alta",AD178="Mayor"),AND(AB178="Muy Alta",AD178="Leve"),AND(AB178="Muy Alta",AD178="Menor"),AND(AB178="Muy Alta",AD178="Moderado"),AND(AB178="Muy Alta",AD178="Mayor")),"Alto",IF(OR(AND(AB178="Muy Baja",AD178="Catastrófico"),AND(AB178="Baja",AD178="Catastrófico"),AND(AB178="Media",AD178="Catastrófico"),AND(AB178="Alta",AD178="Catastrófico"),AND(AB178="Muy Alta",AD178="Catastrófico")),"Extremo","")))),"")</f>
        <v>Alto</v>
      </c>
      <c r="AG178" s="2283"/>
      <c r="AH178" s="725" t="s">
        <v>1116</v>
      </c>
      <c r="AI178" s="726" t="s">
        <v>697</v>
      </c>
      <c r="AJ178" s="727">
        <v>45168</v>
      </c>
      <c r="AK178" s="728">
        <v>45338</v>
      </c>
      <c r="AL178" s="733" t="s">
        <v>702</v>
      </c>
      <c r="AM178" s="730" t="s">
        <v>206</v>
      </c>
      <c r="AN178" s="730" t="s">
        <v>206</v>
      </c>
      <c r="AO178" s="728">
        <v>45656</v>
      </c>
      <c r="AP178" s="731" t="s">
        <v>1476</v>
      </c>
      <c r="AQ178" s="730" t="s">
        <v>295</v>
      </c>
    </row>
    <row r="179" spans="1:43" s="523" customFormat="1" ht="106.8" customHeight="1" x14ac:dyDescent="0.25">
      <c r="A179" s="3235"/>
      <c r="B179" s="3236"/>
      <c r="C179" s="3237"/>
      <c r="D179" s="3237"/>
      <c r="E179" s="811" t="s">
        <v>1278</v>
      </c>
      <c r="F179" s="3238"/>
      <c r="G179" s="3238"/>
      <c r="H179" s="3238"/>
      <c r="I179" s="3236"/>
      <c r="J179" s="3239"/>
      <c r="K179" s="3240"/>
      <c r="L179" s="3241"/>
      <c r="M179" s="3242"/>
      <c r="N179" s="3242">
        <f>IF(NOT(ISERROR(MATCH(M179,_xlfn.ANCHORARRAY(F187),0))),L189&amp;"Por favor no seleccionar los criterios de impacto",M179)</f>
        <v>0</v>
      </c>
      <c r="O179" s="3246"/>
      <c r="P179" s="3241"/>
      <c r="Q179" s="3247"/>
      <c r="R179" s="1034">
        <v>3</v>
      </c>
      <c r="S179" s="717" t="s">
        <v>1118</v>
      </c>
      <c r="T179" s="718" t="str">
        <f>IF(OR(U179="Preventivo",U179="Detectivo"),"Probabilidad",IF(U179="Correctivo","Impacto",""))</f>
        <v>Probabilidad</v>
      </c>
      <c r="U179" s="719" t="s">
        <v>207</v>
      </c>
      <c r="V179" s="719" t="s">
        <v>201</v>
      </c>
      <c r="W179" s="720" t="str">
        <f>IF(AND(U179="Preventivo",V179="Automático"),"50%",IF(AND(U179="Preventivo",V179="Manual"),"40%",IF(AND(U179="Detectivo",V179="Automático"),"40%",IF(AND(U179="Detectivo",V179="Manual"),"30%",IF(AND(U179="Correctivo",V179="Automático"),"35%",IF(AND(U179="Correctivo",V179="Manual"),"25%",""))))))</f>
        <v>40%</v>
      </c>
      <c r="X179" s="719" t="s">
        <v>202</v>
      </c>
      <c r="Y179" s="719" t="s">
        <v>203</v>
      </c>
      <c r="Z179" s="719" t="s">
        <v>204</v>
      </c>
      <c r="AA179" s="721">
        <f>IFERROR(IF(AND(T178="Probabilidad",T179="Probabilidad"),(AC178-(+AC178*W179)),IF(AND(T178="Impacto",T179="Probabilidad"),(AC177-(+AC177*W179)),IF(T179="Impacto",AC178,""))),"")</f>
        <v>0.12959999999999999</v>
      </c>
      <c r="AB179" s="722" t="str">
        <f t="shared" si="88"/>
        <v>Muy Baja</v>
      </c>
      <c r="AC179" s="723">
        <f t="shared" ref="AC179" si="91">+AA179</f>
        <v>0.12959999999999999</v>
      </c>
      <c r="AD179" s="722" t="str">
        <f t="shared" si="89"/>
        <v>Mayor</v>
      </c>
      <c r="AE179" s="723">
        <f t="shared" ref="AE179" si="92">IFERROR(IF(AND(T178="Impacto",T179="Impacto"),(AE178-(+AE178*W179)),IF(AND(T178="Probabilidad",T179="Impacto"),(AE177-(+AE177*W179)),IF(T179="Probabilidad",AE178,""))),"")</f>
        <v>0.8</v>
      </c>
      <c r="AF179" s="724" t="str">
        <f t="shared" si="90"/>
        <v>Alto</v>
      </c>
      <c r="AG179" s="2284"/>
      <c r="AH179" s="725" t="s">
        <v>1119</v>
      </c>
      <c r="AI179" s="726" t="s">
        <v>697</v>
      </c>
      <c r="AJ179" s="727">
        <v>45168</v>
      </c>
      <c r="AK179" s="727">
        <v>45345</v>
      </c>
      <c r="AL179" s="731" t="s">
        <v>703</v>
      </c>
      <c r="AM179" s="730" t="s">
        <v>206</v>
      </c>
      <c r="AN179" s="730" t="s">
        <v>206</v>
      </c>
      <c r="AO179" s="728">
        <v>45656</v>
      </c>
      <c r="AP179" s="731" t="s">
        <v>1477</v>
      </c>
      <c r="AQ179" s="730" t="s">
        <v>295</v>
      </c>
    </row>
    <row r="180" spans="1:43" s="523" customFormat="1" x14ac:dyDescent="0.25">
      <c r="A180" s="2970" t="s">
        <v>926</v>
      </c>
      <c r="B180" s="2338"/>
      <c r="C180" s="2338"/>
      <c r="D180" s="2338"/>
      <c r="E180" s="2338"/>
      <c r="F180" s="2338"/>
      <c r="G180" s="2338"/>
      <c r="H180" s="2338"/>
      <c r="I180" s="2338"/>
      <c r="J180" s="2338"/>
      <c r="K180" s="2338"/>
      <c r="L180" s="2338"/>
      <c r="M180" s="2338"/>
      <c r="N180" s="2338"/>
      <c r="O180" s="2338"/>
      <c r="P180" s="2338"/>
      <c r="Q180" s="2338"/>
      <c r="R180" s="2338"/>
      <c r="S180" s="2338"/>
      <c r="T180" s="2338"/>
      <c r="U180" s="2338"/>
      <c r="V180" s="2338"/>
      <c r="W180" s="2338"/>
      <c r="X180" s="2338"/>
      <c r="Y180" s="2338"/>
      <c r="Z180" s="2338"/>
      <c r="AA180" s="2338"/>
      <c r="AB180" s="2338"/>
      <c r="AC180" s="2338"/>
      <c r="AD180" s="2338"/>
      <c r="AE180" s="2338"/>
      <c r="AF180" s="2338"/>
      <c r="AG180" s="2338"/>
      <c r="AH180" s="2338"/>
      <c r="AI180" s="2338"/>
      <c r="AJ180" s="2338"/>
      <c r="AK180" s="2338"/>
      <c r="AL180" s="2338"/>
      <c r="AM180" s="2339"/>
    </row>
    <row r="181" spans="1:43" s="523" customFormat="1" x14ac:dyDescent="0.25">
      <c r="A181" s="2333"/>
      <c r="B181" s="2327"/>
      <c r="C181" s="2327"/>
      <c r="D181" s="2327"/>
      <c r="E181" s="2327"/>
      <c r="F181" s="2327"/>
      <c r="G181" s="2327"/>
      <c r="H181" s="2327"/>
      <c r="I181" s="2327"/>
      <c r="J181" s="2327"/>
      <c r="K181" s="2327"/>
      <c r="L181" s="2327"/>
      <c r="M181" s="2327"/>
      <c r="N181" s="2327"/>
      <c r="O181" s="2327"/>
      <c r="P181" s="2327"/>
      <c r="Q181" s="2327"/>
      <c r="R181" s="2327"/>
      <c r="S181" s="2327"/>
      <c r="T181" s="2327"/>
      <c r="U181" s="2327"/>
      <c r="V181" s="2327"/>
      <c r="W181" s="2327"/>
      <c r="X181" s="2327"/>
      <c r="Y181" s="2327"/>
      <c r="Z181" s="2327"/>
      <c r="AA181" s="2327"/>
      <c r="AB181" s="2327"/>
      <c r="AC181" s="2327"/>
      <c r="AD181" s="2327"/>
      <c r="AE181" s="2327"/>
      <c r="AF181" s="2327"/>
      <c r="AG181" s="2327"/>
      <c r="AH181" s="2327"/>
      <c r="AI181" s="2327"/>
      <c r="AJ181" s="2327"/>
      <c r="AK181" s="2327"/>
      <c r="AL181" s="2327"/>
      <c r="AM181" s="2318"/>
    </row>
    <row r="182" spans="1:43" s="523" customFormat="1" x14ac:dyDescent="0.25">
      <c r="A182" s="694"/>
      <c r="B182" s="695"/>
      <c r="C182" s="694"/>
      <c r="D182" s="694"/>
      <c r="E182" s="694"/>
      <c r="F182" s="311"/>
      <c r="G182" s="311"/>
      <c r="H182" s="311"/>
      <c r="I182" s="696"/>
      <c r="J182" s="311"/>
      <c r="K182" s="311"/>
      <c r="L182" s="311"/>
      <c r="M182" s="311"/>
      <c r="N182" s="311"/>
      <c r="O182" s="311"/>
      <c r="P182" s="311"/>
      <c r="Q182" s="311"/>
      <c r="R182" s="311"/>
      <c r="S182" s="311"/>
      <c r="T182" s="311"/>
      <c r="U182" s="311"/>
      <c r="V182" s="311"/>
      <c r="W182" s="311"/>
      <c r="X182" s="311"/>
      <c r="Y182" s="311"/>
      <c r="Z182" s="311"/>
      <c r="AA182" s="311"/>
      <c r="AB182" s="311"/>
      <c r="AC182" s="311"/>
      <c r="AD182" s="311"/>
      <c r="AE182" s="311"/>
      <c r="AF182" s="311"/>
      <c r="AG182" s="311"/>
      <c r="AH182" s="311"/>
      <c r="AI182" s="311"/>
      <c r="AJ182" s="311"/>
      <c r="AK182" s="311"/>
      <c r="AL182" s="311"/>
      <c r="AM182" s="311"/>
    </row>
    <row r="183" spans="1:43" s="523" customFormat="1" ht="23.4" x14ac:dyDescent="0.3">
      <c r="A183" s="2340" t="s">
        <v>157</v>
      </c>
      <c r="B183" s="2324"/>
      <c r="C183" s="2341" t="s">
        <v>927</v>
      </c>
      <c r="D183" s="2324"/>
      <c r="E183" s="2324"/>
      <c r="F183" s="2324"/>
      <c r="G183" s="2324"/>
      <c r="H183" s="2324"/>
      <c r="I183" s="2324"/>
      <c r="J183" s="2324"/>
      <c r="K183" s="2324"/>
      <c r="L183" s="2324"/>
      <c r="M183" s="2324"/>
      <c r="N183" s="2324"/>
      <c r="O183" s="2324"/>
      <c r="P183" s="2324"/>
      <c r="Q183" s="2324"/>
      <c r="R183" s="2324"/>
      <c r="S183" s="2324"/>
      <c r="T183" s="2324"/>
      <c r="U183" s="2324"/>
      <c r="V183" s="2324"/>
      <c r="W183" s="2324"/>
      <c r="X183" s="2324"/>
      <c r="Y183" s="2324"/>
      <c r="Z183" s="2324"/>
      <c r="AA183" s="2324"/>
      <c r="AB183" s="2324"/>
      <c r="AC183" s="2324"/>
      <c r="AD183" s="2324"/>
      <c r="AE183" s="2324"/>
      <c r="AF183" s="2324"/>
      <c r="AG183" s="2324"/>
      <c r="AH183" s="2324"/>
      <c r="AI183" s="2324"/>
      <c r="AJ183" s="2324"/>
      <c r="AK183" s="2324"/>
      <c r="AL183" s="2324"/>
      <c r="AM183" s="2325"/>
    </row>
    <row r="184" spans="1:43" s="523" customFormat="1" ht="23.4" x14ac:dyDescent="0.3">
      <c r="A184" s="2340" t="s">
        <v>158</v>
      </c>
      <c r="B184" s="2324"/>
      <c r="C184" s="2342" t="s">
        <v>928</v>
      </c>
      <c r="D184" s="2324"/>
      <c r="E184" s="2324"/>
      <c r="F184" s="2324"/>
      <c r="G184" s="2324"/>
      <c r="H184" s="2324"/>
      <c r="I184" s="2324"/>
      <c r="J184" s="2324"/>
      <c r="K184" s="2324"/>
      <c r="L184" s="2324"/>
      <c r="M184" s="2324"/>
      <c r="N184" s="2324"/>
      <c r="O184" s="2324"/>
      <c r="P184" s="2324"/>
      <c r="Q184" s="2324"/>
      <c r="R184" s="2324"/>
      <c r="S184" s="2324"/>
      <c r="T184" s="2324"/>
      <c r="U184" s="2324"/>
      <c r="V184" s="2324"/>
      <c r="W184" s="2324"/>
      <c r="X184" s="2324"/>
      <c r="Y184" s="2324"/>
      <c r="Z184" s="2324"/>
      <c r="AA184" s="2324"/>
      <c r="AB184" s="2324"/>
      <c r="AC184" s="2324"/>
      <c r="AD184" s="2324"/>
      <c r="AE184" s="2324"/>
      <c r="AF184" s="2324"/>
      <c r="AG184" s="2324"/>
      <c r="AH184" s="2324"/>
      <c r="AI184" s="2324"/>
      <c r="AJ184" s="2324"/>
      <c r="AK184" s="2324"/>
      <c r="AL184" s="2324"/>
      <c r="AM184" s="2325"/>
    </row>
    <row r="185" spans="1:43" s="523" customFormat="1" ht="23.4" x14ac:dyDescent="0.3">
      <c r="A185" s="2340" t="s">
        <v>159</v>
      </c>
      <c r="B185" s="2324"/>
      <c r="C185" s="2342" t="s">
        <v>316</v>
      </c>
      <c r="D185" s="2324"/>
      <c r="E185" s="2324"/>
      <c r="F185" s="2324"/>
      <c r="G185" s="2324"/>
      <c r="H185" s="2324"/>
      <c r="I185" s="2324"/>
      <c r="J185" s="2324"/>
      <c r="K185" s="2324"/>
      <c r="L185" s="2324"/>
      <c r="M185" s="2324"/>
      <c r="N185" s="2324"/>
      <c r="O185" s="2324"/>
      <c r="P185" s="2324"/>
      <c r="Q185" s="2324"/>
      <c r="R185" s="2324"/>
      <c r="S185" s="2324"/>
      <c r="T185" s="2324"/>
      <c r="U185" s="2324"/>
      <c r="V185" s="2324"/>
      <c r="W185" s="2324"/>
      <c r="X185" s="2324"/>
      <c r="Y185" s="2324"/>
      <c r="Z185" s="2324"/>
      <c r="AA185" s="2324"/>
      <c r="AB185" s="2324"/>
      <c r="AC185" s="2324"/>
      <c r="AD185" s="2324"/>
      <c r="AE185" s="2324"/>
      <c r="AF185" s="2324"/>
      <c r="AG185" s="2324"/>
      <c r="AH185" s="2324"/>
      <c r="AI185" s="2324"/>
      <c r="AJ185" s="2324"/>
      <c r="AK185" s="2324"/>
      <c r="AL185" s="2324"/>
      <c r="AM185" s="2325"/>
    </row>
    <row r="186" spans="1:43" s="523" customFormat="1" ht="13.8" customHeight="1" x14ac:dyDescent="0.3">
      <c r="A186" s="2323" t="s">
        <v>160</v>
      </c>
      <c r="B186" s="2324"/>
      <c r="C186" s="2324"/>
      <c r="D186" s="2324"/>
      <c r="E186" s="2324"/>
      <c r="F186" s="2324"/>
      <c r="G186" s="2324"/>
      <c r="H186" s="2324"/>
      <c r="I186" s="2324"/>
      <c r="J186" s="2325"/>
      <c r="K186" s="2326" t="s">
        <v>161</v>
      </c>
      <c r="L186" s="2327"/>
      <c r="M186" s="2327"/>
      <c r="N186" s="2327"/>
      <c r="O186" s="2327"/>
      <c r="P186" s="2327"/>
      <c r="Q186" s="2318"/>
      <c r="R186" s="2326" t="s">
        <v>162</v>
      </c>
      <c r="S186" s="2327"/>
      <c r="T186" s="2327"/>
      <c r="U186" s="2327"/>
      <c r="V186" s="2327"/>
      <c r="W186" s="2327"/>
      <c r="X186" s="2327"/>
      <c r="Y186" s="2327"/>
      <c r="Z186" s="2318"/>
      <c r="AA186" s="2326" t="s">
        <v>163</v>
      </c>
      <c r="AB186" s="2327"/>
      <c r="AC186" s="2327"/>
      <c r="AD186" s="2327"/>
      <c r="AE186" s="2327"/>
      <c r="AF186" s="2327"/>
      <c r="AG186" s="2318"/>
      <c r="AH186" s="2326" t="s">
        <v>164</v>
      </c>
      <c r="AI186" s="2327"/>
      <c r="AJ186" s="2327"/>
      <c r="AK186" s="2327"/>
      <c r="AL186" s="2327"/>
      <c r="AM186" s="2318"/>
    </row>
    <row r="187" spans="1:43" s="523" customFormat="1" ht="14.4" x14ac:dyDescent="0.3">
      <c r="A187" s="2328" t="s">
        <v>165</v>
      </c>
      <c r="B187" s="2329" t="s">
        <v>142</v>
      </c>
      <c r="C187" s="2330" t="s">
        <v>166</v>
      </c>
      <c r="D187" s="2330" t="s">
        <v>167</v>
      </c>
      <c r="E187" s="2305" t="s">
        <v>168</v>
      </c>
      <c r="F187" s="2331" t="s">
        <v>60</v>
      </c>
      <c r="G187" s="697"/>
      <c r="H187" s="697"/>
      <c r="I187" s="2305" t="s">
        <v>169</v>
      </c>
      <c r="J187" s="2330" t="s">
        <v>170</v>
      </c>
      <c r="K187" s="2330" t="s">
        <v>171</v>
      </c>
      <c r="L187" s="2332" t="s">
        <v>172</v>
      </c>
      <c r="M187" s="2305" t="s">
        <v>173</v>
      </c>
      <c r="N187" s="2305" t="s">
        <v>174</v>
      </c>
      <c r="O187" s="2334" t="s">
        <v>175</v>
      </c>
      <c r="P187" s="2332" t="s">
        <v>172</v>
      </c>
      <c r="Q187" s="2330" t="s">
        <v>176</v>
      </c>
      <c r="R187" s="2335" t="s">
        <v>177</v>
      </c>
      <c r="S187" s="2305" t="s">
        <v>178</v>
      </c>
      <c r="T187" s="2305" t="s">
        <v>179</v>
      </c>
      <c r="U187" s="2336" t="s">
        <v>180</v>
      </c>
      <c r="V187" s="2324"/>
      <c r="W187" s="2324"/>
      <c r="X187" s="2324"/>
      <c r="Y187" s="2324"/>
      <c r="Z187" s="2325"/>
      <c r="AA187" s="2335" t="s">
        <v>181</v>
      </c>
      <c r="AB187" s="2335" t="s">
        <v>182</v>
      </c>
      <c r="AC187" s="2335" t="s">
        <v>172</v>
      </c>
      <c r="AD187" s="2335" t="s">
        <v>183</v>
      </c>
      <c r="AE187" s="2335" t="s">
        <v>172</v>
      </c>
      <c r="AF187" s="2335" t="s">
        <v>184</v>
      </c>
      <c r="AG187" s="2335" t="s">
        <v>185</v>
      </c>
      <c r="AH187" s="2305" t="s">
        <v>164</v>
      </c>
      <c r="AI187" s="2305" t="s">
        <v>143</v>
      </c>
      <c r="AJ187" s="2305" t="s">
        <v>186</v>
      </c>
      <c r="AK187" s="2305" t="s">
        <v>187</v>
      </c>
      <c r="AL187" s="2305" t="s">
        <v>1478</v>
      </c>
      <c r="AM187" s="2305" t="s">
        <v>189</v>
      </c>
    </row>
    <row r="188" spans="1:43" s="523" customFormat="1" ht="71.400000000000006" x14ac:dyDescent="0.25">
      <c r="A188" s="2306"/>
      <c r="B188" s="2306"/>
      <c r="C188" s="2306"/>
      <c r="D188" s="2306"/>
      <c r="E188" s="2308"/>
      <c r="F188" s="2308"/>
      <c r="G188" s="697" t="s">
        <v>511</v>
      </c>
      <c r="H188" s="697" t="s">
        <v>190</v>
      </c>
      <c r="I188" s="2306"/>
      <c r="J188" s="2306"/>
      <c r="K188" s="2306"/>
      <c r="L188" s="2333"/>
      <c r="M188" s="2306"/>
      <c r="N188" s="2306"/>
      <c r="O188" s="2333"/>
      <c r="P188" s="2333"/>
      <c r="Q188" s="2306"/>
      <c r="R188" s="2306"/>
      <c r="S188" s="2306"/>
      <c r="T188" s="2306"/>
      <c r="U188" s="698" t="s">
        <v>191</v>
      </c>
      <c r="V188" s="698" t="s">
        <v>192</v>
      </c>
      <c r="W188" s="698" t="s">
        <v>193</v>
      </c>
      <c r="X188" s="698" t="s">
        <v>194</v>
      </c>
      <c r="Y188" s="698" t="s">
        <v>195</v>
      </c>
      <c r="Z188" s="698" t="s">
        <v>196</v>
      </c>
      <c r="AA188" s="2306"/>
      <c r="AB188" s="2306"/>
      <c r="AC188" s="2306"/>
      <c r="AD188" s="2306"/>
      <c r="AE188" s="2306"/>
      <c r="AF188" s="2306"/>
      <c r="AG188" s="2306"/>
      <c r="AH188" s="2306"/>
      <c r="AI188" s="2306"/>
      <c r="AJ188" s="2306"/>
      <c r="AK188" s="2306"/>
      <c r="AL188" s="2306"/>
      <c r="AM188" s="2306"/>
    </row>
    <row r="189" spans="1:43" s="523" customFormat="1" ht="409.6" customHeight="1" x14ac:dyDescent="0.25">
      <c r="A189" s="2307">
        <v>1</v>
      </c>
      <c r="B189" s="2309" t="s">
        <v>209</v>
      </c>
      <c r="C189" s="2309" t="s">
        <v>317</v>
      </c>
      <c r="D189" s="2312" t="s">
        <v>318</v>
      </c>
      <c r="E189" s="1095" t="s">
        <v>1402</v>
      </c>
      <c r="F189" s="2309" t="s">
        <v>929</v>
      </c>
      <c r="G189" s="2309" t="s">
        <v>512</v>
      </c>
      <c r="H189" s="2309" t="s">
        <v>930</v>
      </c>
      <c r="I189" s="2974" t="s">
        <v>198</v>
      </c>
      <c r="J189" s="2975">
        <v>360</v>
      </c>
      <c r="K189" s="2976" t="str">
        <f>IF(J189&lt;=0,"",IF(J189&lt;=2,"Muy Baja",IF(J189&lt;=24,"Baja",IF(J189&lt;=500,"Media",IF(J189&lt;=5000,"Alta","Muy Alta")))))</f>
        <v>Media</v>
      </c>
      <c r="L189" s="2977">
        <f>IF(K189="","",IF(K189="Muy Baja",0.2,IF(K189="Baja",0.4,IF(K189="Media",0.6,IF(K189="Alta",0.8,IF(K189="Muy Alta",1,))))))</f>
        <v>0.6</v>
      </c>
      <c r="M189" s="2977" t="s">
        <v>225</v>
      </c>
      <c r="N189" s="2977" t="str">
        <f>IF(NOT(ISERROR(MATCH(M189,'[71]Tabla Impacto'!$B$221:$B$223,0))),'[71]Tabla Impacto'!$F$223&amp;"Por favor no seleccionar los criterios de impacto(Afectación Económica o presupuestal y Pérdida Reputacional)",M189)</f>
        <v xml:space="preserve">     El riesgo afecta la imagen de la entidad con algunos usuarios de relevancia frente al logro de los objetivos</v>
      </c>
      <c r="O189" s="2976" t="str">
        <f>IF(OR(N189='[71]Tabla Impacto'!$C$11,N189='[71]Tabla Impacto'!$D$11),"Leve",IF(OR(N189='[71]Tabla Impacto'!$C$12,N189='[71]Tabla Impacto'!$D$12),"Menor",IF(OR(N189='[71]Tabla Impacto'!$C$13,N189='[71]Tabla Impacto'!$D$13),"Moderado",IF(OR(N189='[71]Tabla Impacto'!$C$14,N189='[71]Tabla Impacto'!$D$14),"Mayor",IF(OR(N189='[71]Tabla Impacto'!$C$15,N189='[71]Tabla Impacto'!$D$15),"Catastrófico","")))))</f>
        <v>Moderado</v>
      </c>
      <c r="P189" s="2977">
        <f>IF(O189="","",IF(O189="Leve",0.2,IF(O189="Menor",0.4,IF(O189="Moderado",0.6,IF(O189="Mayor",0.8,IF(O189="Catastrófico",1,))))))</f>
        <v>0.6</v>
      </c>
      <c r="Q189" s="2978" t="str">
        <f>IF(OR(AND(K189="Muy Baja",O189="Leve"),AND(K189="Muy Baja",O189="Menor"),AND(K189="Baja",O189="Leve")),"Bajo",IF(OR(AND(K189="Muy baja",O189="Moderado"),AND(K189="Baja",O189="Menor"),AND(K189="Baja",O189="Moderado"),AND(K189="Media",O189="Leve"),AND(K189="Media",O189="Menor"),AND(K189="Media",O189="Moderado"),AND(K189="Alta",O189="Leve"),AND(K189="Alta",O189="Menor")),"Moderado",IF(OR(AND(K189="Muy Baja",O189="Mayor"),AND(K189="Baja",O189="Mayor"),AND(K189="Media",O189="Mayor"),AND(K189="Alta",O189="Moderado"),AND(K189="Alta",O189="Mayor"),AND(K189="Muy Alta",O189="Leve"),AND(K189="Muy Alta",O189="Menor"),AND(K189="Muy Alta",O189="Moderado"),AND(K189="Muy Alta",O189="Mayor")),"Alto",IF(OR(AND(K189="Muy Baja",O189="Catastrófico"),AND(K189="Baja",O189="Catastrófico"),AND(K189="Media",O189="Catastrófico"),AND(K189="Alta",O189="Catastrófico"),AND(K189="Muy Alta",O189="Catastrófico")),"Extremo",""))))</f>
        <v>Moderado</v>
      </c>
      <c r="R189" s="894">
        <v>1</v>
      </c>
      <c r="S189" s="943" t="s">
        <v>1393</v>
      </c>
      <c r="T189" s="894" t="str">
        <f>IF(OR(U190="preventivo",U190="detectivo"),"probabilidad",IF(U190="Correctivo","impacto",""))</f>
        <v>probabilidad</v>
      </c>
      <c r="U189" s="944" t="s">
        <v>207</v>
      </c>
      <c r="V189" s="944" t="s">
        <v>201</v>
      </c>
      <c r="W189" s="945" t="str">
        <f t="shared" ref="W189:W194" si="93">IF(AND(U189="Preventivo",V189="Automático"),"50%",IF(AND(U189="Preventivo",V189="Manual"),"40%",IF(AND(U189="Detectivo",V189="Automático"),"40%",IF(AND(U189="Detectivo",V189="Manual"),"30%",IF(AND(U189="Correctivo",V189="Automático"),"35%",IF(AND(U189="Correctivo",V189="Manual"),"25%",""))))))</f>
        <v>40%</v>
      </c>
      <c r="X189" s="944" t="s">
        <v>208</v>
      </c>
      <c r="Y189" s="944" t="s">
        <v>203</v>
      </c>
      <c r="Z189" s="944" t="s">
        <v>204</v>
      </c>
      <c r="AA189" s="946">
        <f>IFERROR(IF(T189="Probabilidad",(L189-(+L189*W189)),IF(T189="Impacto",L189,"")),"")</f>
        <v>0.36</v>
      </c>
      <c r="AB189" s="947" t="str">
        <f t="shared" ref="AB189:AB194" si="94">IFERROR(IF(AA189="","",IF(AA189&lt;=0.2,"Muy Baja",IF(AA189&lt;=0.4,"Baja",IF(AA189&lt;=0.6,"Media",IF(AA189&lt;=0.8,"Alta","Muy Alta"))))),"")</f>
        <v>Baja</v>
      </c>
      <c r="AC189" s="948">
        <f t="shared" ref="AC189:AC194" si="95">+AA189</f>
        <v>0.36</v>
      </c>
      <c r="AD189" s="947" t="str">
        <f t="shared" ref="AD189:AD194" si="96">IFERROR(IF(AE189="","",IF(AE189&lt;=0.2,"Leve",IF(AE189&lt;=0.4,"Menor",IF(AE189&lt;=0.6,"Moderado",IF(AE189&lt;=0.8,"Mayor","Catastrófico"))))),"")</f>
        <v>Moderado</v>
      </c>
      <c r="AE189" s="948">
        <f>IFERROR(IF(T189="Impacto",(P189-(+P189*W189)),IF(T189="Probabilidad",P189,"")),"")</f>
        <v>0.6</v>
      </c>
      <c r="AF189" s="949" t="str">
        <f t="shared" ref="AF189:AF194" si="97">IFERROR(IF(OR(AND(AB189="Muy Baja",AD189="Leve"),AND(AB189="Muy Baja",AD189="Menor"),AND(AB189="Baja",AD189="Leve")),"Bajo",IF(OR(AND(AB189="Muy baja",AD189="Moderado"),AND(AB189="Baja",AD189="Menor"),AND(AB189="Baja",AD189="Moderado"),AND(AB189="Media",AD189="Leve"),AND(AB189="Media",AD189="Menor"),AND(AB189="Media",AD189="Moderado"),AND(AB189="Alta",AD189="Leve"),AND(AB189="Alta",AD189="Menor")),"Moderado",IF(OR(AND(AB189="Muy Baja",AD189="Mayor"),AND(AB189="Baja",AD189="Mayor"),AND(AB189="Media",AD189="Mayor"),AND(AB189="Alta",AD189="Moderado"),AND(AB189="Alta",AD189="Mayor"),AND(AB189="Muy Alta",AD189="Leve"),AND(AB189="Muy Alta",AD189="Menor"),AND(AB189="Muy Alta",AD189="Moderado"),AND(AB189="Muy Alta",AD189="Mayor")),"Alto",IF(OR(AND(AB189="Muy Baja",AD189="Catastrófico"),AND(AB189="Baja",AD189="Catastrófico"),AND(AB189="Media",AD189="Catastrófico"),AND(AB189="Alta",AD189="Catastrófico"),AND(AB189="Muy Alta",AD189="Catastrófico")),"Extremo","")))),"")</f>
        <v>Moderado</v>
      </c>
      <c r="AG189" s="950" t="s">
        <v>205</v>
      </c>
      <c r="AH189" s="891" t="s">
        <v>1221</v>
      </c>
      <c r="AI189" s="891" t="s">
        <v>932</v>
      </c>
      <c r="AJ189" s="951">
        <v>45293</v>
      </c>
      <c r="AK189" s="951">
        <v>45656</v>
      </c>
      <c r="AL189" s="3466" t="s">
        <v>1479</v>
      </c>
      <c r="AM189" s="885" t="s">
        <v>206</v>
      </c>
    </row>
    <row r="190" spans="1:43" s="523" customFormat="1" ht="132.6" customHeight="1" x14ac:dyDescent="0.25">
      <c r="A190" s="2308"/>
      <c r="B190" s="2308"/>
      <c r="C190" s="2308"/>
      <c r="D190" s="2381"/>
      <c r="E190" s="1095" t="s">
        <v>1220</v>
      </c>
      <c r="F190" s="2308"/>
      <c r="G190" s="2308"/>
      <c r="H190" s="2308"/>
      <c r="I190" s="2317"/>
      <c r="J190" s="2308"/>
      <c r="K190" s="2308"/>
      <c r="L190" s="2308"/>
      <c r="M190" s="2308"/>
      <c r="N190" s="2308"/>
      <c r="O190" s="2308"/>
      <c r="P190" s="2308"/>
      <c r="Q190" s="2308"/>
      <c r="R190" s="894">
        <v>2</v>
      </c>
      <c r="S190" s="943" t="s">
        <v>1394</v>
      </c>
      <c r="T190" s="894" t="str">
        <f t="shared" ref="T190:T193" si="98">IF(OR(U190="Preventivo",U190="Detectivo"),"Probabilidad",IF(U190="Correctivo","Impacto",""))</f>
        <v>Probabilidad</v>
      </c>
      <c r="U190" s="944" t="s">
        <v>207</v>
      </c>
      <c r="V190" s="944" t="s">
        <v>201</v>
      </c>
      <c r="W190" s="945" t="str">
        <f t="shared" si="93"/>
        <v>40%</v>
      </c>
      <c r="X190" s="944" t="s">
        <v>208</v>
      </c>
      <c r="Y190" s="944" t="s">
        <v>203</v>
      </c>
      <c r="Z190" s="944" t="s">
        <v>204</v>
      </c>
      <c r="AA190" s="946">
        <f>IFERROR(IF(AND(T189="Probabilidad",T190="Probabilidad"),(AC189-(+AC189*W190)),IF(AND(T189="Impacto",T190="Probabilidad"),(L189-(+L189*W190)),IF(T190="Impacto",AC189,""))),"")</f>
        <v>0.216</v>
      </c>
      <c r="AB190" s="947" t="str">
        <f t="shared" si="94"/>
        <v>Baja</v>
      </c>
      <c r="AC190" s="948">
        <f t="shared" si="95"/>
        <v>0.216</v>
      </c>
      <c r="AD190" s="947" t="str">
        <f t="shared" si="96"/>
        <v>Moderado</v>
      </c>
      <c r="AE190" s="948">
        <f>IFERROR(IF(AND(T189="Impacto",T190="Impacto"),(AE189-(+AE189*W190)),IF(AND(T189="Probabilidad",T190="Impacto"),(P189-(+P189*W190)),IF(T190="Probabilidad",AE189,""))),"")</f>
        <v>0.6</v>
      </c>
      <c r="AF190" s="949" t="str">
        <f t="shared" si="97"/>
        <v>Moderado</v>
      </c>
      <c r="AG190" s="950" t="s">
        <v>205</v>
      </c>
      <c r="AH190" s="892" t="s">
        <v>1408</v>
      </c>
      <c r="AI190" s="891" t="s">
        <v>932</v>
      </c>
      <c r="AJ190" s="951">
        <v>45293</v>
      </c>
      <c r="AK190" s="951">
        <v>45656</v>
      </c>
      <c r="AL190" s="2306"/>
      <c r="AM190" s="877" t="s">
        <v>206</v>
      </c>
    </row>
    <row r="191" spans="1:43" s="523" customFormat="1" ht="220.8" x14ac:dyDescent="0.25">
      <c r="A191" s="2307">
        <v>2</v>
      </c>
      <c r="B191" s="2362" t="s">
        <v>395</v>
      </c>
      <c r="C191" s="2362" t="s">
        <v>935</v>
      </c>
      <c r="D191" s="2994" t="s">
        <v>936</v>
      </c>
      <c r="E191" s="892" t="s">
        <v>1403</v>
      </c>
      <c r="F191" s="2981" t="s">
        <v>938</v>
      </c>
      <c r="G191" s="2309" t="s">
        <v>597</v>
      </c>
      <c r="H191" s="2981" t="s">
        <v>1395</v>
      </c>
      <c r="I191" s="2989" t="s">
        <v>198</v>
      </c>
      <c r="J191" s="2307">
        <v>360</v>
      </c>
      <c r="K191" s="2383" t="str">
        <f>IF(J191&lt;=0,"",IF(J191&lt;=2,"Muy Baja",IF(J191&lt;=24,"Baja",IF(J191&lt;=500,"Media",IF(J191&lt;=5000,"Alta","Muy Alta")))))</f>
        <v>Media</v>
      </c>
      <c r="L191" s="2384">
        <f>IF(K191="","",IF(K191="Muy Baja",0.2,IF(K191="Baja",0.4,IF(K191="Media",0.6,IF(K191="Alta",0.8,IF(K191="Muy Alta",1,))))))</f>
        <v>0.6</v>
      </c>
      <c r="M191" s="2384" t="s">
        <v>393</v>
      </c>
      <c r="N191" s="2384" t="str">
        <f>IF(NOT(ISERROR(MATCH(M191,'[71]Tabla Impacto'!$B$221:$B$223,0))),'[71]Tabla Impacto'!$F$223&amp;"Por favor no seleccionar los criterios de impacto(Afectación Económica o presupuestal y Pérdida Reputacional)",M191)</f>
        <v xml:space="preserve">     Entre 200 y 1000 SMLMV</v>
      </c>
      <c r="O191" s="2383" t="str">
        <f>IF(OR(N191='[71]Tabla Impacto'!$C$11,N191='[71]Tabla Impacto'!$D$11),"Leve",IF(OR(N191='[71]Tabla Impacto'!$C$12,N191='[71]Tabla Impacto'!$D$12),"Menor",IF(OR(N191='[71]Tabla Impacto'!$C$13,N191='[71]Tabla Impacto'!$D$13),"Moderado",IF(OR(N191='[71]Tabla Impacto'!$C$14,N191='[71]Tabla Impacto'!$D$14),"Mayor",IF(OR(N191='[71]Tabla Impacto'!$C$15,N191='[71]Tabla Impacto'!$D$15),"Catastrófico","")))))</f>
        <v>Menor</v>
      </c>
      <c r="P191" s="2384">
        <f>IF(O191="","",IF(O191="Leve",0.2,IF(O191="Menor",0.4,IF(O191="Moderado",0.6,IF(O191="Mayor",0.8,IF(O191="Catastrófico",1,))))))</f>
        <v>0.4</v>
      </c>
      <c r="Q191" s="2374" t="str">
        <f>IF(OR(AND(K191="Muy Baja",O191="Leve"),AND(K191="Muy Baja",O191="Menor"),AND(K191="Baja",O191="Leve")),"Bajo",IF(OR(AND(K191="Muy baja",O191="Moderado"),AND(K191="Baja",O191="Menor"),AND(K191="Baja",O191="Moderado"),AND(K191="Media",O191="Leve"),AND(K191="Media",O191="Menor"),AND(K191="Media",O191="Moderado"),AND(K191="Alta",O191="Leve"),AND(K191="Alta",O191="Menor")),"Moderado",IF(OR(AND(K191="Muy Baja",O191="Mayor"),AND(K191="Baja",O191="Mayor"),AND(K191="Media",O191="Mayor"),AND(K191="Alta",O191="Moderado"),AND(K191="Alta",O191="Mayor"),AND(K191="Muy Alta",O191="Leve"),AND(K191="Muy Alta",O191="Menor"),AND(K191="Muy Alta",O191="Moderado"),AND(K191="Muy Alta",O191="Mayor")),"Alto",IF(OR(AND(K191="Muy Baja",O191="Catastrófico"),AND(K191="Baja",O191="Catastrófico"),AND(K191="Media",O191="Catastrófico"),AND(K191="Alta",O191="Catastrófico"),AND(K191="Muy Alta",O191="Catastrófico")),"Extremo",""))))</f>
        <v>Moderado</v>
      </c>
      <c r="R191" s="877">
        <v>1</v>
      </c>
      <c r="S191" s="735" t="s">
        <v>1396</v>
      </c>
      <c r="T191" s="877" t="str">
        <f t="shared" si="98"/>
        <v>Probabilidad</v>
      </c>
      <c r="U191" s="879" t="s">
        <v>207</v>
      </c>
      <c r="V191" s="879" t="s">
        <v>201</v>
      </c>
      <c r="W191" s="880" t="str">
        <f t="shared" si="93"/>
        <v>40%</v>
      </c>
      <c r="X191" s="879" t="s">
        <v>208</v>
      </c>
      <c r="Y191" s="879" t="s">
        <v>203</v>
      </c>
      <c r="Z191" s="879" t="s">
        <v>204</v>
      </c>
      <c r="AA191" s="881">
        <f>IFERROR(IF(T191="Probabilidad",(L191-(+L191*W191)),IF(T191="Impacto",L191,"")),"")</f>
        <v>0.36</v>
      </c>
      <c r="AB191" s="882" t="str">
        <f t="shared" si="94"/>
        <v>Baja</v>
      </c>
      <c r="AC191" s="871">
        <f t="shared" si="95"/>
        <v>0.36</v>
      </c>
      <c r="AD191" s="882" t="str">
        <f t="shared" si="96"/>
        <v>Menor</v>
      </c>
      <c r="AE191" s="871">
        <f>IFERROR(IF(T191="Impacto",(P191-(+P191*W191)),IF(T191="Probabilidad",P191,"")),"")</f>
        <v>0.4</v>
      </c>
      <c r="AF191" s="883" t="str">
        <f t="shared" si="97"/>
        <v>Moderado</v>
      </c>
      <c r="AG191" s="870" t="s">
        <v>205</v>
      </c>
      <c r="AH191" s="1097" t="s">
        <v>1409</v>
      </c>
      <c r="AI191" s="891" t="s">
        <v>941</v>
      </c>
      <c r="AJ191" s="951">
        <v>45293</v>
      </c>
      <c r="AK191" s="951">
        <v>45656</v>
      </c>
      <c r="AL191" s="1370" t="s">
        <v>1480</v>
      </c>
      <c r="AM191" s="877" t="s">
        <v>206</v>
      </c>
    </row>
    <row r="192" spans="1:43" s="523" customFormat="1" ht="138" x14ac:dyDescent="0.25">
      <c r="A192" s="2308"/>
      <c r="B192" s="2308"/>
      <c r="C192" s="2308"/>
      <c r="D192" s="2381"/>
      <c r="E192" s="892" t="s">
        <v>943</v>
      </c>
      <c r="F192" s="2308"/>
      <c r="G192" s="2308"/>
      <c r="H192" s="2308"/>
      <c r="I192" s="2317"/>
      <c r="J192" s="2310"/>
      <c r="K192" s="2308"/>
      <c r="L192" s="2308"/>
      <c r="M192" s="2308"/>
      <c r="N192" s="2308"/>
      <c r="O192" s="2308"/>
      <c r="P192" s="2308"/>
      <c r="Q192" s="2308"/>
      <c r="R192" s="877">
        <v>2</v>
      </c>
      <c r="S192" s="1371" t="s">
        <v>1397</v>
      </c>
      <c r="T192" s="877" t="str">
        <f t="shared" si="98"/>
        <v>Probabilidad</v>
      </c>
      <c r="U192" s="879" t="s">
        <v>207</v>
      </c>
      <c r="V192" s="879" t="s">
        <v>201</v>
      </c>
      <c r="W192" s="880" t="str">
        <f t="shared" si="93"/>
        <v>40%</v>
      </c>
      <c r="X192" s="879" t="s">
        <v>208</v>
      </c>
      <c r="Y192" s="879" t="s">
        <v>203</v>
      </c>
      <c r="Z192" s="879" t="s">
        <v>204</v>
      </c>
      <c r="AA192" s="881">
        <f t="shared" ref="AA192:AA194" si="99">IFERROR(IF(AND(T191="Probabilidad",T192="Probabilidad"),(AC191-(+AC191*W192)),IF(AND(T191="Impacto",T192="Probabilidad"),(L191-(+L191*W192)),IF(T192="Impacto",AC191,""))),"")</f>
        <v>0.216</v>
      </c>
      <c r="AB192" s="882" t="str">
        <f t="shared" si="94"/>
        <v>Baja</v>
      </c>
      <c r="AC192" s="871">
        <f t="shared" si="95"/>
        <v>0.216</v>
      </c>
      <c r="AD192" s="882" t="str">
        <f t="shared" si="96"/>
        <v>Menor</v>
      </c>
      <c r="AE192" s="871">
        <f t="shared" ref="AE192:AE194" si="100">IFERROR(IF(AND(T191="Impacto",T192="Impacto"),(AE191-(+AE191*W192)),IF(AND(T191="Probabilidad",T192="Impacto"),(P191-(+P191*W192)),IF(T192="Probabilidad",AE191,""))),"")</f>
        <v>0.4</v>
      </c>
      <c r="AF192" s="883" t="str">
        <f t="shared" si="97"/>
        <v>Moderado</v>
      </c>
      <c r="AG192" s="870" t="s">
        <v>205</v>
      </c>
      <c r="AH192" s="953" t="s">
        <v>1224</v>
      </c>
      <c r="AI192" s="891" t="s">
        <v>941</v>
      </c>
      <c r="AJ192" s="951">
        <v>45293</v>
      </c>
      <c r="AK192" s="951">
        <v>45656</v>
      </c>
      <c r="AL192" s="1372" t="s">
        <v>1481</v>
      </c>
      <c r="AM192" s="877" t="s">
        <v>206</v>
      </c>
    </row>
    <row r="193" spans="1:39" s="523" customFormat="1" ht="193.2" x14ac:dyDescent="0.25">
      <c r="A193" s="2308"/>
      <c r="B193" s="2308"/>
      <c r="C193" s="2308"/>
      <c r="D193" s="2381"/>
      <c r="E193" s="892" t="s">
        <v>1404</v>
      </c>
      <c r="F193" s="2306"/>
      <c r="G193" s="2308"/>
      <c r="H193" s="2306"/>
      <c r="I193" s="2317"/>
      <c r="J193" s="2310"/>
      <c r="K193" s="2308"/>
      <c r="L193" s="2308"/>
      <c r="M193" s="2308"/>
      <c r="N193" s="2308"/>
      <c r="O193" s="2308"/>
      <c r="P193" s="2308"/>
      <c r="Q193" s="2308"/>
      <c r="R193" s="877">
        <v>3</v>
      </c>
      <c r="S193" s="1373" t="s">
        <v>1398</v>
      </c>
      <c r="T193" s="877" t="str">
        <f t="shared" si="98"/>
        <v>Probabilidad</v>
      </c>
      <c r="U193" s="879" t="s">
        <v>207</v>
      </c>
      <c r="V193" s="879" t="s">
        <v>201</v>
      </c>
      <c r="W193" s="880" t="str">
        <f t="shared" si="93"/>
        <v>40%</v>
      </c>
      <c r="X193" s="879" t="s">
        <v>208</v>
      </c>
      <c r="Y193" s="879" t="s">
        <v>203</v>
      </c>
      <c r="Z193" s="881" t="str">
        <f>IFERROR(IF(AND(S192="Probabilidad",S193="Probabilidad"),(AB192-(+AB192*V193)),IF(AND(S192="Impacto",S193="Probabilidad"),(AB191-(+AB191*V193)),IF(S193="Impacto",AB192,""))),"")</f>
        <v/>
      </c>
      <c r="AA193" s="881">
        <f t="shared" si="99"/>
        <v>0.12959999999999999</v>
      </c>
      <c r="AB193" s="882" t="str">
        <f t="shared" si="94"/>
        <v>Muy Baja</v>
      </c>
      <c r="AC193" s="871">
        <f t="shared" si="95"/>
        <v>0.12959999999999999</v>
      </c>
      <c r="AD193" s="882" t="str">
        <f t="shared" si="96"/>
        <v>Menor</v>
      </c>
      <c r="AE193" s="871">
        <f t="shared" si="100"/>
        <v>0.4</v>
      </c>
      <c r="AF193" s="883" t="str">
        <f t="shared" si="97"/>
        <v>Bajo</v>
      </c>
      <c r="AG193" s="870" t="s">
        <v>205</v>
      </c>
      <c r="AH193" s="892" t="s">
        <v>1410</v>
      </c>
      <c r="AI193" s="894" t="s">
        <v>941</v>
      </c>
      <c r="AJ193" s="1094">
        <v>45293</v>
      </c>
      <c r="AK193" s="951">
        <v>45656</v>
      </c>
      <c r="AL193" s="1374" t="s">
        <v>1482</v>
      </c>
      <c r="AM193" s="877" t="s">
        <v>206</v>
      </c>
    </row>
    <row r="194" spans="1:39" s="523" customFormat="1" ht="141" customHeight="1" x14ac:dyDescent="0.25">
      <c r="A194" s="2307">
        <v>3</v>
      </c>
      <c r="B194" s="2362" t="s">
        <v>395</v>
      </c>
      <c r="C194" s="2362" t="s">
        <v>935</v>
      </c>
      <c r="D194" s="2380" t="s">
        <v>944</v>
      </c>
      <c r="E194" s="892" t="s">
        <v>1405</v>
      </c>
      <c r="F194" s="2981" t="s">
        <v>946</v>
      </c>
      <c r="G194" s="2309" t="s">
        <v>597</v>
      </c>
      <c r="H194" s="2994" t="s">
        <v>1399</v>
      </c>
      <c r="I194" s="2989" t="s">
        <v>198</v>
      </c>
      <c r="J194" s="2307">
        <v>360</v>
      </c>
      <c r="K194" s="3169" t="str">
        <f>IF(J194&lt;=0,"",IF(J194&lt;=2,"Muy Baja",IF(J194&lt;=24,"Baja",IF(J194&lt;=500,"Media",IF(J194&lt;=5000,"Alta","Muy Alta")))))</f>
        <v>Media</v>
      </c>
      <c r="L194" s="3170">
        <f>IF(K194="","",IF(K194="Muy Baja",0.2,IF(K194="Baja",0.4,IF(K194="Media",0.6,IF(K194="Alta",0.8,IF(K194="Muy Alta",1,))))))</f>
        <v>0.6</v>
      </c>
      <c r="M194" s="3170" t="s">
        <v>393</v>
      </c>
      <c r="N194" s="3170" t="str">
        <f>IF(NOT(ISERROR(MATCH(M194,'[71]Tabla Impacto'!$B$221:$B$223,0))),'[71]Tabla Impacto'!$F$223&amp;"Por favor no seleccionar los criterios de impacto(Afectación Económica o presupuestal y Pérdida Reputacional)",M194)</f>
        <v xml:space="preserve">     Entre 200 y 1000 SMLMV</v>
      </c>
      <c r="O194" s="3169" t="str">
        <f>IF(OR(N194='[71]Tabla Impacto'!$C$11,N194='[71]Tabla Impacto'!$D$11),"Leve",IF(OR(N194='[71]Tabla Impacto'!$C$12,N194='[71]Tabla Impacto'!$D$12),"Menor",IF(OR(N194='[71]Tabla Impacto'!$C$13,N194='[71]Tabla Impacto'!$D$13),"Moderado",IF(OR(N194='[71]Tabla Impacto'!$C$14,N194='[71]Tabla Impacto'!$D$14),"Mayor",IF(OR(N194='[71]Tabla Impacto'!$C$15,N194='[71]Tabla Impacto'!$D$15),"Catastrófico","")))))</f>
        <v>Menor</v>
      </c>
      <c r="P194" s="3170">
        <f>IF(O194="","",IF(O194="Leve",0.2,IF(O194="Menor",0.4,IF(O194="Moderado",0.6,IF(O194="Mayor",0.8,IF(O194="Catastrófico",1,))))))</f>
        <v>0.4</v>
      </c>
      <c r="Q194" s="3171" t="str">
        <f>IF(OR(AND(K194="Muy Baja",O194="Leve"),AND(K194="Muy Baja",O194="Menor"),AND(K194="Baja",O194="Leve")),"Bajo",IF(OR(AND(K194="Muy baja",O194="Moderado"),AND(K194="Baja",O194="Menor"),AND(K194="Baja",O194="Moderado"),AND(K194="Media",O194="Leve"),AND(K194="Media",O194="Menor"),AND(K194="Media",O194="Moderado"),AND(K194="Alta",O194="Leve"),AND(K194="Alta",O194="Menor")),"Moderado",IF(OR(AND(K194="Muy Baja",O194="Mayor"),AND(K194="Baja",O194="Mayor"),AND(K194="Media",O194="Mayor"),AND(K194="Alta",O194="Moderado"),AND(K194="Alta",O194="Mayor"),AND(K194="Muy Alta",O194="Leve"),AND(K194="Muy Alta",O194="Menor"),AND(K194="Muy Alta",O194="Moderado"),AND(K194="Muy Alta",O194="Mayor")),"Alto",IF(OR(AND(K194="Muy Baja",O194="Catastrófico"),AND(K194="Baja",O194="Catastrófico"),AND(K194="Media",O194="Catastrófico"),AND(K194="Alta",O194="Catastrófico"),AND(K194="Muy Alta",O194="Catastrófico")),"Extremo",""))))</f>
        <v>Moderado</v>
      </c>
      <c r="R194" s="2307">
        <v>1</v>
      </c>
      <c r="S194" s="2981" t="s">
        <v>1400</v>
      </c>
      <c r="T194" s="2307" t="s">
        <v>141</v>
      </c>
      <c r="U194" s="2986" t="s">
        <v>207</v>
      </c>
      <c r="V194" s="2986" t="s">
        <v>201</v>
      </c>
      <c r="W194" s="2999" t="str">
        <f t="shared" si="93"/>
        <v>40%</v>
      </c>
      <c r="X194" s="2986" t="s">
        <v>208</v>
      </c>
      <c r="Y194" s="2986" t="s">
        <v>203</v>
      </c>
      <c r="Z194" s="2986" t="s">
        <v>204</v>
      </c>
      <c r="AA194" s="3016">
        <f t="shared" si="99"/>
        <v>7.7759999999999996E-2</v>
      </c>
      <c r="AB194" s="3021" t="str">
        <f t="shared" si="94"/>
        <v>Muy Baja</v>
      </c>
      <c r="AC194" s="2999">
        <f t="shared" si="95"/>
        <v>7.7759999999999996E-2</v>
      </c>
      <c r="AD194" s="3021" t="str">
        <f t="shared" si="96"/>
        <v>Menor</v>
      </c>
      <c r="AE194" s="2999">
        <f t="shared" si="100"/>
        <v>0.4</v>
      </c>
      <c r="AF194" s="3051" t="str">
        <f t="shared" si="97"/>
        <v>Bajo</v>
      </c>
      <c r="AG194" s="2986" t="s">
        <v>205</v>
      </c>
      <c r="AH194" s="952" t="s">
        <v>1225</v>
      </c>
      <c r="AI194" s="892" t="s">
        <v>932</v>
      </c>
      <c r="AJ194" s="951">
        <v>45293</v>
      </c>
      <c r="AK194" s="951">
        <v>45656</v>
      </c>
      <c r="AL194" s="3466" t="s">
        <v>1483</v>
      </c>
      <c r="AM194" s="877" t="s">
        <v>206</v>
      </c>
    </row>
    <row r="195" spans="1:39" s="523" customFormat="1" ht="409.2" customHeight="1" x14ac:dyDescent="0.25">
      <c r="A195" s="2308"/>
      <c r="B195" s="2308"/>
      <c r="C195" s="2308"/>
      <c r="D195" s="2381"/>
      <c r="E195" s="892" t="s">
        <v>1406</v>
      </c>
      <c r="F195" s="2308"/>
      <c r="G195" s="2308"/>
      <c r="H195" s="2381"/>
      <c r="I195" s="2317"/>
      <c r="J195" s="2310"/>
      <c r="K195" s="2308"/>
      <c r="L195" s="2308"/>
      <c r="M195" s="2308"/>
      <c r="N195" s="2308"/>
      <c r="O195" s="2308"/>
      <c r="P195" s="2308"/>
      <c r="Q195" s="2308"/>
      <c r="R195" s="2306"/>
      <c r="S195" s="2306"/>
      <c r="T195" s="2306"/>
      <c r="U195" s="2306"/>
      <c r="V195" s="2306"/>
      <c r="W195" s="2306"/>
      <c r="X195" s="2306"/>
      <c r="Y195" s="2306"/>
      <c r="Z195" s="2306"/>
      <c r="AA195" s="2306"/>
      <c r="AB195" s="2306"/>
      <c r="AC195" s="2306"/>
      <c r="AD195" s="2306"/>
      <c r="AE195" s="2306"/>
      <c r="AF195" s="2306"/>
      <c r="AG195" s="2306"/>
      <c r="AH195" s="953" t="s">
        <v>1226</v>
      </c>
      <c r="AI195" s="892" t="s">
        <v>932</v>
      </c>
      <c r="AJ195" s="951">
        <v>45383</v>
      </c>
      <c r="AK195" s="951">
        <v>45656</v>
      </c>
      <c r="AL195" s="2308"/>
      <c r="AM195" s="877" t="s">
        <v>206</v>
      </c>
    </row>
    <row r="196" spans="1:39" s="523" customFormat="1" ht="219" customHeight="1" x14ac:dyDescent="0.25">
      <c r="A196" s="2308"/>
      <c r="B196" s="2308"/>
      <c r="C196" s="2308"/>
      <c r="D196" s="2381"/>
      <c r="E196" s="306" t="s">
        <v>1407</v>
      </c>
      <c r="F196" s="2306"/>
      <c r="G196" s="2308"/>
      <c r="H196" s="2333"/>
      <c r="I196" s="2317"/>
      <c r="J196" s="2310"/>
      <c r="K196" s="2308"/>
      <c r="L196" s="2308"/>
      <c r="M196" s="2308"/>
      <c r="N196" s="2308"/>
      <c r="O196" s="2308"/>
      <c r="P196" s="2308"/>
      <c r="Q196" s="2308"/>
      <c r="R196" s="877">
        <v>2</v>
      </c>
      <c r="S196" s="892" t="s">
        <v>1401</v>
      </c>
      <c r="T196" s="877" t="str">
        <f t="shared" ref="T196" si="101">IF(OR(U196="Preventivo",U196="Detectivo"),"Probabilidad",IF(U196="Correctivo","Impacto",""))</f>
        <v>Probabilidad</v>
      </c>
      <c r="U196" s="879" t="s">
        <v>207</v>
      </c>
      <c r="V196" s="879" t="s">
        <v>201</v>
      </c>
      <c r="W196" s="880" t="str">
        <f t="shared" ref="W196" si="102">IF(AND(U196="Preventivo",V196="Automático"),"50%",IF(AND(U196="Preventivo",V196="Manual"),"40%",IF(AND(U196="Detectivo",V196="Automático"),"40%",IF(AND(U196="Detectivo",V196="Manual"),"30%",IF(AND(U196="Correctivo",V196="Automático"),"35%",IF(AND(U196="Correctivo",V196="Manual"),"25%",""))))))</f>
        <v>40%</v>
      </c>
      <c r="X196" s="879" t="s">
        <v>208</v>
      </c>
      <c r="Y196" s="879" t="s">
        <v>203</v>
      </c>
      <c r="Z196" s="879" t="s">
        <v>204</v>
      </c>
      <c r="AA196" s="881">
        <f>AA194</f>
        <v>7.7759999999999996E-2</v>
      </c>
      <c r="AB196" s="882" t="str">
        <f t="shared" ref="AB196" si="103">IFERROR(IF(AA196="","",IF(AA196&lt;=0.2,"Muy Baja",IF(AA196&lt;=0.4,"Baja",IF(AA196&lt;=0.6,"Media",IF(AA196&lt;=0.8,"Alta","Muy Alta"))))),"")</f>
        <v>Muy Baja</v>
      </c>
      <c r="AC196" s="871">
        <f t="shared" ref="AC196" si="104">+AA196</f>
        <v>7.7759999999999996E-2</v>
      </c>
      <c r="AD196" s="882" t="str">
        <f t="shared" ref="AD196" si="105">IFERROR(IF(AE196="","",IF(AE196&lt;=0.2,"Leve",IF(AE196&lt;=0.4,"Menor",IF(AE196&lt;=0.6,"Moderado",IF(AE196&lt;=0.8,"Mayor","Catastrófico"))))),"")</f>
        <v>Leve</v>
      </c>
      <c r="AE196" s="871">
        <f>IFERROR(IF(AND(T195="Impacto",T196="Impacto"),(AE195-(+AE195*W196)),IF(AND(T195="Probabilidad",T196="Impacto"),(P195-(+P195*W196)),IF(T196="Probabilidad",AE195,""))),"")</f>
        <v>0</v>
      </c>
      <c r="AF196" s="883" t="str">
        <f t="shared" ref="AF196" si="106">IFERROR(IF(OR(AND(AB196="Muy Baja",AD196="Leve"),AND(AB196="Muy Baja",AD196="Menor"),AND(AB196="Baja",AD196="Leve")),"Bajo",IF(OR(AND(AB196="Muy baja",AD196="Moderado"),AND(AB196="Baja",AD196="Menor"),AND(AB196="Baja",AD196="Moderado"),AND(AB196="Media",AD196="Leve"),AND(AB196="Media",AD196="Menor"),AND(AB196="Media",AD196="Moderado"),AND(AB196="Alta",AD196="Leve"),AND(AB196="Alta",AD196="Menor")),"Moderado",IF(OR(AND(AB196="Muy Baja",AD196="Mayor"),AND(AB196="Baja",AD196="Mayor"),AND(AB196="Media",AD196="Mayor"),AND(AB196="Alta",AD196="Moderado"),AND(AB196="Alta",AD196="Mayor"),AND(AB196="Muy Alta",AD196="Leve"),AND(AB196="Muy Alta",AD196="Menor"),AND(AB196="Muy Alta",AD196="Moderado"),AND(AB196="Muy Alta",AD196="Mayor")),"Alto",IF(OR(AND(AB196="Muy Baja",AD196="Catastrófico"),AND(AB196="Baja",AD196="Catastrófico"),AND(AB196="Media",AD196="Catastrófico"),AND(AB196="Alta",AD196="Catastrófico"),AND(AB196="Muy Alta",AD196="Catastrófico")),"Extremo","")))),"")</f>
        <v>Bajo</v>
      </c>
      <c r="AG196" s="870" t="s">
        <v>205</v>
      </c>
      <c r="AH196" s="1097" t="s">
        <v>1223</v>
      </c>
      <c r="AI196" s="892" t="s">
        <v>932</v>
      </c>
      <c r="AJ196" s="1094">
        <v>45352</v>
      </c>
      <c r="AK196" s="951">
        <v>45656</v>
      </c>
      <c r="AL196" s="1375" t="s">
        <v>1484</v>
      </c>
      <c r="AM196" s="877" t="s">
        <v>206</v>
      </c>
    </row>
    <row r="197" spans="1:39" s="523" customFormat="1" x14ac:dyDescent="0.25">
      <c r="A197" s="2337" t="s">
        <v>156</v>
      </c>
      <c r="B197" s="2338"/>
      <c r="C197" s="2338"/>
      <c r="D197" s="2338"/>
      <c r="E197" s="2338"/>
      <c r="F197" s="2338"/>
      <c r="G197" s="2338"/>
      <c r="H197" s="2338"/>
      <c r="I197" s="2338"/>
      <c r="J197" s="2338"/>
      <c r="K197" s="2338"/>
      <c r="L197" s="2338"/>
      <c r="M197" s="2338"/>
      <c r="N197" s="2338"/>
      <c r="O197" s="2338"/>
      <c r="P197" s="2338"/>
      <c r="Q197" s="2338"/>
      <c r="R197" s="2338"/>
      <c r="S197" s="2338"/>
      <c r="T197" s="2338"/>
      <c r="U197" s="2338"/>
      <c r="V197" s="2338"/>
      <c r="W197" s="2338"/>
      <c r="X197" s="2338"/>
      <c r="Y197" s="2338"/>
      <c r="Z197" s="2338"/>
      <c r="AA197" s="2338"/>
      <c r="AB197" s="2338"/>
      <c r="AC197" s="2338"/>
      <c r="AD197" s="2338"/>
      <c r="AE197" s="2338"/>
      <c r="AF197" s="2338"/>
      <c r="AG197" s="2338"/>
      <c r="AH197" s="2338"/>
      <c r="AI197" s="2338"/>
      <c r="AJ197" s="2338"/>
      <c r="AK197" s="2338"/>
      <c r="AL197" s="2338"/>
      <c r="AM197" s="2339"/>
    </row>
    <row r="198" spans="1:39" s="523" customFormat="1" x14ac:dyDescent="0.25">
      <c r="A198" s="2333"/>
      <c r="B198" s="2327"/>
      <c r="C198" s="2327"/>
      <c r="D198" s="2327"/>
      <c r="E198" s="2327"/>
      <c r="F198" s="2327"/>
      <c r="G198" s="2327"/>
      <c r="H198" s="2327"/>
      <c r="I198" s="2327"/>
      <c r="J198" s="2327"/>
      <c r="K198" s="2327"/>
      <c r="L198" s="2327"/>
      <c r="M198" s="2327"/>
      <c r="N198" s="2327"/>
      <c r="O198" s="2327"/>
      <c r="P198" s="2327"/>
      <c r="Q198" s="2327"/>
      <c r="R198" s="2327"/>
      <c r="S198" s="2327"/>
      <c r="T198" s="2327"/>
      <c r="U198" s="2327"/>
      <c r="V198" s="2327"/>
      <c r="W198" s="2327"/>
      <c r="X198" s="2327"/>
      <c r="Y198" s="2327"/>
      <c r="Z198" s="2327"/>
      <c r="AA198" s="2327"/>
      <c r="AB198" s="2327"/>
      <c r="AC198" s="2327"/>
      <c r="AD198" s="2327"/>
      <c r="AE198" s="2327"/>
      <c r="AF198" s="2327"/>
      <c r="AG198" s="2327"/>
      <c r="AH198" s="2327"/>
      <c r="AI198" s="2327"/>
      <c r="AJ198" s="2327"/>
      <c r="AK198" s="2327"/>
      <c r="AL198" s="2327"/>
      <c r="AM198" s="2318"/>
    </row>
    <row r="199" spans="1:39" s="523" customFormat="1" x14ac:dyDescent="0.25">
      <c r="A199" s="694"/>
      <c r="B199" s="695"/>
      <c r="C199" s="694"/>
      <c r="D199" s="694"/>
      <c r="E199" s="694"/>
      <c r="F199" s="311"/>
      <c r="G199" s="311"/>
      <c r="H199" s="311"/>
      <c r="I199" s="696"/>
      <c r="J199" s="311"/>
      <c r="K199" s="311"/>
      <c r="L199" s="311"/>
      <c r="M199" s="311"/>
      <c r="N199" s="311"/>
      <c r="O199" s="311"/>
      <c r="P199" s="311"/>
      <c r="Q199" s="311"/>
      <c r="R199" s="311"/>
      <c r="S199" s="311"/>
      <c r="T199" s="311"/>
      <c r="U199" s="311"/>
      <c r="V199" s="311"/>
      <c r="W199" s="311"/>
      <c r="X199" s="311"/>
      <c r="Y199" s="311"/>
      <c r="Z199" s="311"/>
      <c r="AA199" s="311"/>
      <c r="AB199" s="311"/>
      <c r="AC199" s="311"/>
      <c r="AD199" s="311"/>
      <c r="AE199" s="311"/>
      <c r="AF199" s="311"/>
      <c r="AG199" s="311"/>
      <c r="AH199" s="311"/>
      <c r="AI199" s="311"/>
      <c r="AJ199" s="311"/>
      <c r="AK199" s="311"/>
      <c r="AL199" s="311"/>
      <c r="AM199" s="311"/>
    </row>
    <row r="200" spans="1:39" s="523" customFormat="1" ht="23.4" x14ac:dyDescent="0.3">
      <c r="A200" s="2340" t="s">
        <v>157</v>
      </c>
      <c r="B200" s="2324"/>
      <c r="C200" s="2341" t="s">
        <v>844</v>
      </c>
      <c r="D200" s="2324"/>
      <c r="E200" s="2324"/>
      <c r="F200" s="2324"/>
      <c r="G200" s="2324"/>
      <c r="H200" s="2324"/>
      <c r="I200" s="2324"/>
      <c r="J200" s="2324"/>
      <c r="K200" s="2324"/>
      <c r="L200" s="2324"/>
      <c r="M200" s="2324"/>
      <c r="N200" s="2324"/>
      <c r="O200" s="2324"/>
      <c r="P200" s="2324"/>
      <c r="Q200" s="2324"/>
      <c r="R200" s="2324"/>
      <c r="S200" s="2324"/>
      <c r="T200" s="2324"/>
      <c r="U200" s="2324"/>
      <c r="V200" s="2324"/>
      <c r="W200" s="2324"/>
      <c r="X200" s="2324"/>
      <c r="Y200" s="2324"/>
      <c r="Z200" s="2324"/>
      <c r="AA200" s="2324"/>
      <c r="AB200" s="2324"/>
      <c r="AC200" s="2324"/>
      <c r="AD200" s="2324"/>
      <c r="AE200" s="2324"/>
      <c r="AF200" s="2324"/>
      <c r="AG200" s="2324"/>
      <c r="AH200" s="2324"/>
      <c r="AI200" s="2324"/>
      <c r="AJ200" s="2324"/>
      <c r="AK200" s="2324"/>
      <c r="AL200" s="2324"/>
      <c r="AM200" s="2325"/>
    </row>
    <row r="201" spans="1:39" s="523" customFormat="1" ht="23.4" x14ac:dyDescent="0.3">
      <c r="A201" s="2340" t="s">
        <v>158</v>
      </c>
      <c r="B201" s="2324"/>
      <c r="C201" s="2342" t="s">
        <v>1161</v>
      </c>
      <c r="D201" s="2324"/>
      <c r="E201" s="2324"/>
      <c r="F201" s="2324"/>
      <c r="G201" s="2324"/>
      <c r="H201" s="2324"/>
      <c r="I201" s="2324"/>
      <c r="J201" s="2324"/>
      <c r="K201" s="2324"/>
      <c r="L201" s="2324"/>
      <c r="M201" s="2324"/>
      <c r="N201" s="2324"/>
      <c r="O201" s="2324"/>
      <c r="P201" s="2324"/>
      <c r="Q201" s="2324"/>
      <c r="R201" s="2324"/>
      <c r="S201" s="2324"/>
      <c r="T201" s="2324"/>
      <c r="U201" s="2324"/>
      <c r="V201" s="2324"/>
      <c r="W201" s="2324"/>
      <c r="X201" s="2324"/>
      <c r="Y201" s="2324"/>
      <c r="Z201" s="2324"/>
      <c r="AA201" s="2324"/>
      <c r="AB201" s="2324"/>
      <c r="AC201" s="2324"/>
      <c r="AD201" s="2324"/>
      <c r="AE201" s="2324"/>
      <c r="AF201" s="2324"/>
      <c r="AG201" s="2324"/>
      <c r="AH201" s="2324"/>
      <c r="AI201" s="2324"/>
      <c r="AJ201" s="2324"/>
      <c r="AK201" s="2324"/>
      <c r="AL201" s="2324"/>
      <c r="AM201" s="2325"/>
    </row>
    <row r="202" spans="1:39" s="523" customFormat="1" ht="23.4" x14ac:dyDescent="0.3">
      <c r="A202" s="2340" t="s">
        <v>159</v>
      </c>
      <c r="B202" s="2324"/>
      <c r="C202" s="2342" t="s">
        <v>866</v>
      </c>
      <c r="D202" s="2324"/>
      <c r="E202" s="2324"/>
      <c r="F202" s="2324"/>
      <c r="G202" s="2324"/>
      <c r="H202" s="2324"/>
      <c r="I202" s="2324"/>
      <c r="J202" s="2324"/>
      <c r="K202" s="2324"/>
      <c r="L202" s="2324"/>
      <c r="M202" s="2324"/>
      <c r="N202" s="2324"/>
      <c r="O202" s="2324"/>
      <c r="P202" s="2324"/>
      <c r="Q202" s="2324"/>
      <c r="R202" s="2324"/>
      <c r="S202" s="2324"/>
      <c r="T202" s="2324"/>
      <c r="U202" s="2324"/>
      <c r="V202" s="2324"/>
      <c r="W202" s="2324"/>
      <c r="X202" s="2324"/>
      <c r="Y202" s="2324"/>
      <c r="Z202" s="2324"/>
      <c r="AA202" s="2324"/>
      <c r="AB202" s="2324"/>
      <c r="AC202" s="2324"/>
      <c r="AD202" s="2324"/>
      <c r="AE202" s="2324"/>
      <c r="AF202" s="2324"/>
      <c r="AG202" s="2324"/>
      <c r="AH202" s="2324"/>
      <c r="AI202" s="2324"/>
      <c r="AJ202" s="2324"/>
      <c r="AK202" s="2324"/>
      <c r="AL202" s="2324"/>
      <c r="AM202" s="2325"/>
    </row>
    <row r="203" spans="1:39" s="523" customFormat="1" ht="14.4" x14ac:dyDescent="0.3">
      <c r="A203" s="2323" t="s">
        <v>160</v>
      </c>
      <c r="B203" s="2324"/>
      <c r="C203" s="2324"/>
      <c r="D203" s="2324"/>
      <c r="E203" s="2324"/>
      <c r="F203" s="2324"/>
      <c r="G203" s="2324"/>
      <c r="H203" s="2324"/>
      <c r="I203" s="2324"/>
      <c r="J203" s="2325"/>
      <c r="K203" s="2326" t="s">
        <v>161</v>
      </c>
      <c r="L203" s="2327"/>
      <c r="M203" s="2327"/>
      <c r="N203" s="2327"/>
      <c r="O203" s="2327"/>
      <c r="P203" s="2327"/>
      <c r="Q203" s="2318"/>
      <c r="R203" s="2326" t="s">
        <v>162</v>
      </c>
      <c r="S203" s="2327"/>
      <c r="T203" s="2327"/>
      <c r="U203" s="2327"/>
      <c r="V203" s="2327"/>
      <c r="W203" s="2327"/>
      <c r="X203" s="2327"/>
      <c r="Y203" s="2327"/>
      <c r="Z203" s="2318"/>
      <c r="AA203" s="2326" t="s">
        <v>163</v>
      </c>
      <c r="AB203" s="2327"/>
      <c r="AC203" s="2327"/>
      <c r="AD203" s="2327"/>
      <c r="AE203" s="2327"/>
      <c r="AF203" s="2327"/>
      <c r="AG203" s="2318"/>
      <c r="AH203" s="2326" t="s">
        <v>164</v>
      </c>
      <c r="AI203" s="2327"/>
      <c r="AJ203" s="2327"/>
      <c r="AK203" s="2327"/>
      <c r="AL203" s="2327"/>
      <c r="AM203" s="2318"/>
    </row>
    <row r="204" spans="1:39" s="523" customFormat="1" ht="14.4" x14ac:dyDescent="0.3">
      <c r="A204" s="2328" t="s">
        <v>165</v>
      </c>
      <c r="B204" s="2329" t="s">
        <v>142</v>
      </c>
      <c r="C204" s="2330" t="s">
        <v>166</v>
      </c>
      <c r="D204" s="2330" t="s">
        <v>167</v>
      </c>
      <c r="E204" s="2305" t="s">
        <v>168</v>
      </c>
      <c r="F204" s="2331" t="s">
        <v>60</v>
      </c>
      <c r="G204" s="697"/>
      <c r="H204" s="697"/>
      <c r="I204" s="2305" t="s">
        <v>169</v>
      </c>
      <c r="J204" s="2330" t="s">
        <v>170</v>
      </c>
      <c r="K204" s="2330" t="s">
        <v>171</v>
      </c>
      <c r="L204" s="2332" t="s">
        <v>172</v>
      </c>
      <c r="M204" s="2305" t="s">
        <v>173</v>
      </c>
      <c r="N204" s="2305" t="s">
        <v>174</v>
      </c>
      <c r="O204" s="2334" t="s">
        <v>175</v>
      </c>
      <c r="P204" s="2332" t="s">
        <v>172</v>
      </c>
      <c r="Q204" s="2330" t="s">
        <v>176</v>
      </c>
      <c r="R204" s="2335" t="s">
        <v>177</v>
      </c>
      <c r="S204" s="2305" t="s">
        <v>178</v>
      </c>
      <c r="T204" s="2305" t="s">
        <v>179</v>
      </c>
      <c r="U204" s="2336" t="s">
        <v>180</v>
      </c>
      <c r="V204" s="2324"/>
      <c r="W204" s="2324"/>
      <c r="X204" s="2324"/>
      <c r="Y204" s="2324"/>
      <c r="Z204" s="2325"/>
      <c r="AA204" s="2335" t="s">
        <v>181</v>
      </c>
      <c r="AB204" s="2335" t="s">
        <v>182</v>
      </c>
      <c r="AC204" s="2335" t="s">
        <v>172</v>
      </c>
      <c r="AD204" s="2335" t="s">
        <v>183</v>
      </c>
      <c r="AE204" s="2335" t="s">
        <v>172</v>
      </c>
      <c r="AF204" s="2335" t="s">
        <v>184</v>
      </c>
      <c r="AG204" s="2335" t="s">
        <v>185</v>
      </c>
      <c r="AH204" s="2305" t="s">
        <v>164</v>
      </c>
      <c r="AI204" s="2305" t="s">
        <v>143</v>
      </c>
      <c r="AJ204" s="2305" t="s">
        <v>186</v>
      </c>
      <c r="AK204" s="2305" t="s">
        <v>187</v>
      </c>
      <c r="AL204" s="2305" t="s">
        <v>188</v>
      </c>
      <c r="AM204" s="2305" t="s">
        <v>189</v>
      </c>
    </row>
    <row r="205" spans="1:39" s="523" customFormat="1" ht="71.400000000000006" x14ac:dyDescent="0.25">
      <c r="A205" s="2306"/>
      <c r="B205" s="2306"/>
      <c r="C205" s="2306"/>
      <c r="D205" s="2306"/>
      <c r="E205" s="2308"/>
      <c r="F205" s="2308"/>
      <c r="G205" s="697" t="s">
        <v>511</v>
      </c>
      <c r="H205" s="697" t="s">
        <v>190</v>
      </c>
      <c r="I205" s="2306"/>
      <c r="J205" s="2306"/>
      <c r="K205" s="2306"/>
      <c r="L205" s="2333"/>
      <c r="M205" s="2306"/>
      <c r="N205" s="2306"/>
      <c r="O205" s="2333"/>
      <c r="P205" s="2333"/>
      <c r="Q205" s="2306"/>
      <c r="R205" s="2306"/>
      <c r="S205" s="2306"/>
      <c r="T205" s="2306"/>
      <c r="U205" s="698" t="s">
        <v>191</v>
      </c>
      <c r="V205" s="698" t="s">
        <v>192</v>
      </c>
      <c r="W205" s="698" t="s">
        <v>193</v>
      </c>
      <c r="X205" s="698" t="s">
        <v>194</v>
      </c>
      <c r="Y205" s="698" t="s">
        <v>195</v>
      </c>
      <c r="Z205" s="698" t="s">
        <v>196</v>
      </c>
      <c r="AA205" s="2306"/>
      <c r="AB205" s="2306"/>
      <c r="AC205" s="2306"/>
      <c r="AD205" s="2306"/>
      <c r="AE205" s="2306"/>
      <c r="AF205" s="2306"/>
      <c r="AG205" s="2306"/>
      <c r="AH205" s="2306"/>
      <c r="AI205" s="2306"/>
      <c r="AJ205" s="2306"/>
      <c r="AK205" s="2306"/>
      <c r="AL205" s="2306"/>
      <c r="AM205" s="2306"/>
    </row>
    <row r="206" spans="1:39" s="523" customFormat="1" ht="409.6" x14ac:dyDescent="0.25">
      <c r="A206" s="2307">
        <v>1</v>
      </c>
      <c r="B206" s="2309" t="s">
        <v>197</v>
      </c>
      <c r="C206" s="2309" t="s">
        <v>374</v>
      </c>
      <c r="D206" s="2312" t="s">
        <v>845</v>
      </c>
      <c r="E206" s="888" t="s">
        <v>846</v>
      </c>
      <c r="F206" s="2309" t="s">
        <v>1381</v>
      </c>
      <c r="G206" s="2309" t="s">
        <v>512</v>
      </c>
      <c r="H206" s="909" t="s">
        <v>1382</v>
      </c>
      <c r="I206" s="2974" t="s">
        <v>198</v>
      </c>
      <c r="J206" s="2975">
        <f>246*412</f>
        <v>101352</v>
      </c>
      <c r="K206" s="2320" t="str">
        <f>IF(J206&lt;=0,"",IF(J206&lt;=2,"Muy Baja",IF(J206&lt;=24,"Baja",IF(J206&lt;=500,"Media",IF(J206&lt;=5000,"Alta","Muy Alta")))))</f>
        <v>Muy Alta</v>
      </c>
      <c r="L206" s="2321">
        <f>IF(K206="","",IF(K206="Muy Baja",0.2,IF(K206="Baja",0.4,IF(K206="Media",0.6,IF(K206="Alta",0.8,IF(K206="Muy Alta",1,))))))</f>
        <v>1</v>
      </c>
      <c r="M206" s="2321" t="s">
        <v>199</v>
      </c>
      <c r="N206" s="2321" t="str">
        <f>IF(NOT(ISERROR(MATCH(M206,'[72]Tabla Impacto'!$B$221:$B$223,0))),'[72]Tabla Impacto'!$F$223&amp;"Por favor no seleccionar los criterios de impacto(Afectación Económica o presupuestal y Pérdida Reputacional)",M206)</f>
        <v xml:space="preserve">     El riesgo afecta la imagen de de la entidad con efecto publicitario sostenido a nivel de sector administrativo, nivel departamental o municipal</v>
      </c>
      <c r="O206" s="2320" t="str">
        <f>IF(OR(N206='[72]Tabla Impacto'!$C$11,N206='[72]Tabla Impacto'!$D$11),"Leve",IF(OR(N206='[72]Tabla Impacto'!$C$12,N206='[72]Tabla Impacto'!$D$12),"Menor",IF(OR(N206='[72]Tabla Impacto'!$C$13,N206='[72]Tabla Impacto'!$D$13),"Moderado",IF(OR(N206='[72]Tabla Impacto'!$C$14,N206='[72]Tabla Impacto'!$D$14),"Mayor",IF(OR(N206='[72]Tabla Impacto'!$C$15,N206='[72]Tabla Impacto'!$D$15),"Catastrófico","")))))</f>
        <v>Mayor</v>
      </c>
      <c r="P206" s="2321">
        <f>IF(O206="","",IF(O206="Leve",0.2,IF(O206="Menor",0.4,IF(O206="Moderado",0.6,IF(O206="Mayor",0.8,IF(O206="Catastrófico",1,))))))</f>
        <v>0.8</v>
      </c>
      <c r="Q206" s="2322" t="str">
        <f>IF(OR(AND(K206="Muy Baja",O206="Leve"),AND(K206="Muy Baja",O206="Menor"),AND(K206="Baja",O206="Leve")),"Bajo",IF(OR(AND(K206="Muy baja",O206="Moderado"),AND(K206="Baja",O206="Menor"),AND(K206="Baja",O206="Moderado"),AND(K206="Media",O206="Leve"),AND(K206="Media",O206="Menor"),AND(K206="Media",O206="Moderado"),AND(K206="Alta",O206="Leve"),AND(K206="Alta",O206="Menor")),"Moderado",IF(OR(AND(K206="Muy Baja",O206="Mayor"),AND(K206="Baja",O206="Mayor"),AND(K206="Media",O206="Mayor"),AND(K206="Alta",O206="Moderado"),AND(K206="Alta",O206="Mayor"),AND(K206="Muy Alta",O206="Leve"),AND(K206="Muy Alta",O206="Menor"),AND(K206="Muy Alta",O206="Moderado"),AND(K206="Muy Alta",O206="Mayor")),"Alto",IF(OR(AND(K206="Muy Baja",O206="Catastrófico"),AND(K206="Baja",O206="Catastrófico"),AND(K206="Media",O206="Catastrófico"),AND(K206="Alta",O206="Catastrófico"),AND(K206="Muy Alta",O206="Catastrófico")),"Extremo",""))))</f>
        <v>Alto</v>
      </c>
      <c r="R206" s="877">
        <v>1</v>
      </c>
      <c r="S206" s="878" t="s">
        <v>849</v>
      </c>
      <c r="T206" s="877" t="str">
        <f t="shared" ref="T206:T209" si="107">IF(OR(U206="Preventivo",U206="Detectivo"),"Probabilidad",IF(U206="Correctivo","Impacto",""))</f>
        <v>Probabilidad</v>
      </c>
      <c r="U206" s="879" t="s">
        <v>200</v>
      </c>
      <c r="V206" s="879" t="s">
        <v>201</v>
      </c>
      <c r="W206" s="880" t="str">
        <f t="shared" ref="W206:W209" si="108">IF(AND(U206="Preventivo",V206="Automático"),"50%",IF(AND(U206="Preventivo",V206="Manual"),"40%",IF(AND(U206="Detectivo",V206="Automático"),"40%",IF(AND(U206="Detectivo",V206="Manual"),"30%",IF(AND(U206="Correctivo",V206="Automático"),"35%",IF(AND(U206="Correctivo",V206="Manual"),"25%",""))))))</f>
        <v>30%</v>
      </c>
      <c r="X206" s="879" t="s">
        <v>202</v>
      </c>
      <c r="Y206" s="879" t="s">
        <v>203</v>
      </c>
      <c r="Z206" s="879" t="s">
        <v>204</v>
      </c>
      <c r="AA206" s="881">
        <f>IFERROR(IF(T206="Probabilidad",(L206-(+L206*W206)),IF(T206="Impacto",L206,"")),"")</f>
        <v>0.7</v>
      </c>
      <c r="AB206" s="882" t="str">
        <f t="shared" ref="AB206:AB209" si="109">IFERROR(IF(AA206="","",IF(AA206&lt;=0.2,"Muy Baja",IF(AA206&lt;=0.4,"Baja",IF(AA206&lt;=0.6,"Media",IF(AA206&lt;=0.8,"Alta","Muy Alta"))))),"")</f>
        <v>Alta</v>
      </c>
      <c r="AC206" s="871">
        <f t="shared" ref="AC206:AC209" si="110">+AA206</f>
        <v>0.7</v>
      </c>
      <c r="AD206" s="882" t="str">
        <f t="shared" ref="AD206:AD209" si="111">IFERROR(IF(AE206="","",IF(AE206&lt;=0.2,"Leve",IF(AE206&lt;=0.4,"Menor",IF(AE206&lt;=0.6,"Moderado",IF(AE206&lt;=0.8,"Mayor","Catastrófico"))))),"")</f>
        <v>Mayor</v>
      </c>
      <c r="AE206" s="871">
        <f>IFERROR(IF(T206="Impacto",(P206-(+P206*W206)),IF(T206="Probabilidad",P206,"")),"")</f>
        <v>0.8</v>
      </c>
      <c r="AF206" s="883" t="str">
        <f t="shared" ref="AF206:AF209" si="112">IFERROR(IF(OR(AND(AB206="Muy Baja",AD206="Leve"),AND(AB206="Muy Baja",AD206="Menor"),AND(AB206="Baja",AD206="Leve")),"Bajo",IF(OR(AND(AB206="Muy baja",AD206="Moderado"),AND(AB206="Baja",AD206="Menor"),AND(AB206="Baja",AD206="Moderado"),AND(AB206="Media",AD206="Leve"),AND(AB206="Media",AD206="Menor"),AND(AB206="Media",AD206="Moderado"),AND(AB206="Alta",AD206="Leve"),AND(AB206="Alta",AD206="Menor")),"Moderado",IF(OR(AND(AB206="Muy Baja",AD206="Mayor"),AND(AB206="Baja",AD206="Mayor"),AND(AB206="Media",AD206="Mayor"),AND(AB206="Alta",AD206="Moderado"),AND(AB206="Alta",AD206="Mayor"),AND(AB206="Muy Alta",AD206="Leve"),AND(AB206="Muy Alta",AD206="Menor"),AND(AB206="Muy Alta",AD206="Moderado"),AND(AB206="Muy Alta",AD206="Mayor")),"Alto",IF(OR(AND(AB206="Muy Baja",AD206="Catastrófico"),AND(AB206="Baja",AD206="Catastrófico"),AND(AB206="Media",AD206="Catastrófico"),AND(AB206="Alta",AD206="Catastrófico"),AND(AB206="Muy Alta",AD206="Catastrófico")),"Extremo","")))),"")</f>
        <v>Alto</v>
      </c>
      <c r="AG206" s="870" t="s">
        <v>205</v>
      </c>
      <c r="AH206" s="884" t="s">
        <v>850</v>
      </c>
      <c r="AI206" s="884" t="s">
        <v>375</v>
      </c>
      <c r="AJ206" s="1376" t="s">
        <v>851</v>
      </c>
      <c r="AK206" s="1377" t="s">
        <v>852</v>
      </c>
      <c r="AL206" s="884" t="s">
        <v>1485</v>
      </c>
      <c r="AM206" s="885" t="s">
        <v>206</v>
      </c>
    </row>
    <row r="207" spans="1:39" s="523" customFormat="1" ht="409.6" x14ac:dyDescent="0.25">
      <c r="A207" s="3164"/>
      <c r="B207" s="3164"/>
      <c r="C207" s="3164"/>
      <c r="D207" s="3172"/>
      <c r="E207" s="889" t="s">
        <v>854</v>
      </c>
      <c r="F207" s="3164"/>
      <c r="G207" s="3164"/>
      <c r="H207" s="1128" t="s">
        <v>1384</v>
      </c>
      <c r="I207" s="3168"/>
      <c r="J207" s="3164"/>
      <c r="K207" s="2308"/>
      <c r="L207" s="2308"/>
      <c r="M207" s="2308"/>
      <c r="N207" s="2308"/>
      <c r="O207" s="2308"/>
      <c r="P207" s="2308"/>
      <c r="Q207" s="2308"/>
      <c r="R207" s="877">
        <v>2</v>
      </c>
      <c r="S207" s="886" t="s">
        <v>855</v>
      </c>
      <c r="T207" s="877" t="str">
        <f t="shared" si="107"/>
        <v>Probabilidad</v>
      </c>
      <c r="U207" s="879" t="s">
        <v>207</v>
      </c>
      <c r="V207" s="879" t="s">
        <v>201</v>
      </c>
      <c r="W207" s="880" t="str">
        <f t="shared" si="108"/>
        <v>40%</v>
      </c>
      <c r="X207" s="879" t="s">
        <v>202</v>
      </c>
      <c r="Y207" s="879" t="s">
        <v>210</v>
      </c>
      <c r="Z207" s="879" t="s">
        <v>204</v>
      </c>
      <c r="AA207" s="881">
        <f>IFERROR(IF(AND(T206="Probabilidad",T207="Probabilidad"),(AC206-(+AC206*W207)),IF(AND(T206="Impacto",T207="Probabilidad"),(L206-(+L206*W207)),IF(T207="Impacto",AC206,""))),"")</f>
        <v>0.42</v>
      </c>
      <c r="AB207" s="882" t="str">
        <f t="shared" si="109"/>
        <v>Media</v>
      </c>
      <c r="AC207" s="871">
        <f t="shared" si="110"/>
        <v>0.42</v>
      </c>
      <c r="AD207" s="882" t="str">
        <f t="shared" si="111"/>
        <v>Mayor</v>
      </c>
      <c r="AE207" s="871">
        <f>IFERROR(IF(AND(T206="Impacto",T207="Impacto"),(AE206-(+AE206*W207)),IF(AND(T206="Probabilidad",T207="Impacto"),(P206-(+P206*W207)),IF(T207="Probabilidad",AE206,""))),"")</f>
        <v>0.8</v>
      </c>
      <c r="AF207" s="883" t="str">
        <f t="shared" si="112"/>
        <v>Alto</v>
      </c>
      <c r="AG207" s="870"/>
      <c r="AH207" s="306" t="s">
        <v>856</v>
      </c>
      <c r="AI207" s="306" t="s">
        <v>857</v>
      </c>
      <c r="AJ207" s="1376" t="s">
        <v>851</v>
      </c>
      <c r="AK207" s="1377" t="s">
        <v>852</v>
      </c>
      <c r="AL207" s="306" t="s">
        <v>1486</v>
      </c>
      <c r="AM207" s="877"/>
    </row>
    <row r="208" spans="1:39" s="523" customFormat="1" ht="303.60000000000002" x14ac:dyDescent="0.25">
      <c r="A208" s="3164"/>
      <c r="B208" s="3164"/>
      <c r="C208" s="3164"/>
      <c r="D208" s="3172"/>
      <c r="E208" s="891" t="s">
        <v>376</v>
      </c>
      <c r="F208" s="3164"/>
      <c r="G208" s="3164"/>
      <c r="H208" s="1128" t="s">
        <v>1487</v>
      </c>
      <c r="I208" s="3168"/>
      <c r="J208" s="3164"/>
      <c r="K208" s="2308"/>
      <c r="L208" s="2308"/>
      <c r="M208" s="2308"/>
      <c r="N208" s="2308"/>
      <c r="O208" s="2308"/>
      <c r="P208" s="2308"/>
      <c r="Q208" s="2308"/>
      <c r="R208" s="877">
        <v>3</v>
      </c>
      <c r="S208" s="878" t="s">
        <v>859</v>
      </c>
      <c r="T208" s="877" t="str">
        <f t="shared" si="107"/>
        <v>Probabilidad</v>
      </c>
      <c r="U208" s="879" t="s">
        <v>200</v>
      </c>
      <c r="V208" s="879" t="s">
        <v>201</v>
      </c>
      <c r="W208" s="880" t="str">
        <f t="shared" si="108"/>
        <v>30%</v>
      </c>
      <c r="X208" s="879" t="s">
        <v>202</v>
      </c>
      <c r="Y208" s="879" t="s">
        <v>203</v>
      </c>
      <c r="Z208" s="879" t="s">
        <v>204</v>
      </c>
      <c r="AA208" s="881">
        <f t="shared" ref="AA208:AA209" si="113">IFERROR(IF(AND(T207="Probabilidad",T208="Probabilidad"),(AC207-(+AC207*W208)),IF(AND(T207="Impacto",T208="Probabilidad"),(AC206-(+AC206*W208)),IF(T208="Impacto",AC207,""))),"")</f>
        <v>0.29399999999999998</v>
      </c>
      <c r="AB208" s="882" t="str">
        <f t="shared" si="109"/>
        <v>Baja</v>
      </c>
      <c r="AC208" s="871">
        <f t="shared" si="110"/>
        <v>0.29399999999999998</v>
      </c>
      <c r="AD208" s="882" t="str">
        <f t="shared" si="111"/>
        <v>Mayor</v>
      </c>
      <c r="AE208" s="871">
        <f t="shared" ref="AE208:AE209" si="114">IFERROR(IF(AND(T207="Impacto",T208="Impacto"),(AE207-(+AE207*W208)),IF(AND(T207="Probabilidad",T208="Impacto"),(AE206-(+AE206*W208)),IF(T208="Probabilidad",AE207,""))),"")</f>
        <v>0.8</v>
      </c>
      <c r="AF208" s="883" t="str">
        <f t="shared" si="112"/>
        <v>Alto</v>
      </c>
      <c r="AG208" s="870" t="s">
        <v>205</v>
      </c>
      <c r="AH208" s="306" t="s">
        <v>377</v>
      </c>
      <c r="AI208" s="306" t="s">
        <v>378</v>
      </c>
      <c r="AJ208" s="1376" t="s">
        <v>851</v>
      </c>
      <c r="AK208" s="1377" t="s">
        <v>852</v>
      </c>
      <c r="AL208" s="306" t="s">
        <v>1488</v>
      </c>
      <c r="AM208" s="877"/>
    </row>
    <row r="209" spans="1:39" s="523" customFormat="1" ht="409.6" x14ac:dyDescent="0.25">
      <c r="A209" s="3164"/>
      <c r="B209" s="3164"/>
      <c r="C209" s="3164"/>
      <c r="D209" s="3172"/>
      <c r="E209" s="891" t="s">
        <v>1489</v>
      </c>
      <c r="F209" s="3164"/>
      <c r="G209" s="3164"/>
      <c r="H209" s="1128" t="s">
        <v>1384</v>
      </c>
      <c r="I209" s="3168"/>
      <c r="J209" s="3164"/>
      <c r="K209" s="2308"/>
      <c r="L209" s="2308"/>
      <c r="M209" s="2308"/>
      <c r="N209" s="2308"/>
      <c r="O209" s="2308"/>
      <c r="P209" s="2308"/>
      <c r="Q209" s="2308"/>
      <c r="R209" s="877">
        <v>4</v>
      </c>
      <c r="S209" s="886" t="s">
        <v>862</v>
      </c>
      <c r="T209" s="877" t="str">
        <f t="shared" si="107"/>
        <v>Probabilidad</v>
      </c>
      <c r="U209" s="879" t="s">
        <v>200</v>
      </c>
      <c r="V209" s="879" t="s">
        <v>201</v>
      </c>
      <c r="W209" s="880" t="str">
        <f t="shared" si="108"/>
        <v>30%</v>
      </c>
      <c r="X209" s="879" t="s">
        <v>202</v>
      </c>
      <c r="Y209" s="879" t="s">
        <v>203</v>
      </c>
      <c r="Z209" s="879" t="s">
        <v>204</v>
      </c>
      <c r="AA209" s="881">
        <f t="shared" si="113"/>
        <v>0.20579999999999998</v>
      </c>
      <c r="AB209" s="882" t="str">
        <f t="shared" si="109"/>
        <v>Baja</v>
      </c>
      <c r="AC209" s="871">
        <f t="shared" si="110"/>
        <v>0.20579999999999998</v>
      </c>
      <c r="AD209" s="882" t="str">
        <f t="shared" si="111"/>
        <v>Mayor</v>
      </c>
      <c r="AE209" s="871">
        <f t="shared" si="114"/>
        <v>0.8</v>
      </c>
      <c r="AF209" s="883" t="str">
        <f t="shared" si="112"/>
        <v>Alto</v>
      </c>
      <c r="AG209" s="870" t="s">
        <v>205</v>
      </c>
      <c r="AH209" s="1378" t="s">
        <v>863</v>
      </c>
      <c r="AI209" s="306" t="s">
        <v>378</v>
      </c>
      <c r="AJ209" s="1376" t="s">
        <v>851</v>
      </c>
      <c r="AK209" s="1377" t="s">
        <v>852</v>
      </c>
      <c r="AL209" s="306" t="s">
        <v>1490</v>
      </c>
      <c r="AM209" s="877"/>
    </row>
    <row r="210" spans="1:39" s="523" customFormat="1" x14ac:dyDescent="0.25">
      <c r="A210" s="2343" t="s">
        <v>156</v>
      </c>
      <c r="B210" s="2344"/>
      <c r="C210" s="2344"/>
      <c r="D210" s="2344"/>
      <c r="E210" s="2344"/>
      <c r="F210" s="2344"/>
      <c r="G210" s="2344"/>
      <c r="H210" s="2344"/>
      <c r="I210" s="2344"/>
      <c r="J210" s="2344"/>
      <c r="K210" s="2344"/>
      <c r="L210" s="2344"/>
      <c r="M210" s="2344"/>
      <c r="N210" s="2344"/>
      <c r="O210" s="2344"/>
      <c r="P210" s="2344"/>
      <c r="Q210" s="2344"/>
      <c r="R210" s="2344"/>
      <c r="S210" s="2344"/>
      <c r="T210" s="2344"/>
      <c r="U210" s="2344"/>
      <c r="V210" s="2344"/>
      <c r="W210" s="2344"/>
      <c r="X210" s="2344"/>
      <c r="Y210" s="2344"/>
      <c r="Z210" s="2344"/>
      <c r="AA210" s="2344"/>
      <c r="AB210" s="2344"/>
      <c r="AC210" s="2344"/>
      <c r="AD210" s="2344"/>
      <c r="AE210" s="2344"/>
      <c r="AF210" s="2344"/>
      <c r="AG210" s="2344"/>
      <c r="AH210" s="2344"/>
      <c r="AI210" s="2344"/>
      <c r="AJ210" s="2344"/>
      <c r="AK210" s="2344"/>
      <c r="AL210" s="2344"/>
      <c r="AM210" s="2345"/>
    </row>
    <row r="211" spans="1:39" s="523" customFormat="1" x14ac:dyDescent="0.25">
      <c r="A211" s="2346"/>
      <c r="B211" s="2347"/>
      <c r="C211" s="2347"/>
      <c r="D211" s="2347"/>
      <c r="E211" s="2347"/>
      <c r="F211" s="2347"/>
      <c r="G211" s="2347"/>
      <c r="H211" s="2347"/>
      <c r="I211" s="2347"/>
      <c r="J211" s="2347"/>
      <c r="K211" s="2347"/>
      <c r="L211" s="2347"/>
      <c r="M211" s="2347"/>
      <c r="N211" s="2347"/>
      <c r="O211" s="2347"/>
      <c r="P211" s="2347"/>
      <c r="Q211" s="2347"/>
      <c r="R211" s="2347"/>
      <c r="S211" s="2347"/>
      <c r="T211" s="2347"/>
      <c r="U211" s="2347"/>
      <c r="V211" s="2347"/>
      <c r="W211" s="2347"/>
      <c r="X211" s="2347"/>
      <c r="Y211" s="2347"/>
      <c r="Z211" s="2347"/>
      <c r="AA211" s="2347"/>
      <c r="AB211" s="2347"/>
      <c r="AC211" s="2347"/>
      <c r="AD211" s="2347"/>
      <c r="AE211" s="2347"/>
      <c r="AF211" s="2347"/>
      <c r="AG211" s="2347"/>
      <c r="AH211" s="2347"/>
      <c r="AI211" s="2347"/>
      <c r="AJ211" s="2347"/>
      <c r="AK211" s="2347"/>
      <c r="AL211" s="2347"/>
      <c r="AM211" s="2348"/>
    </row>
    <row r="212" spans="1:39" s="523" customFormat="1" x14ac:dyDescent="0.25">
      <c r="A212" s="703"/>
      <c r="B212" s="704"/>
      <c r="C212" s="703"/>
      <c r="D212" s="703"/>
      <c r="E212" s="703"/>
      <c r="F212" s="700"/>
      <c r="G212" s="700"/>
      <c r="H212" s="700"/>
      <c r="I212" s="705"/>
      <c r="J212" s="700"/>
      <c r="K212" s="700"/>
      <c r="L212" s="700"/>
      <c r="M212" s="700"/>
      <c r="N212" s="700"/>
      <c r="O212" s="700"/>
      <c r="P212" s="700"/>
      <c r="Q212" s="700"/>
      <c r="R212" s="700"/>
      <c r="S212" s="700"/>
      <c r="T212" s="700"/>
      <c r="U212" s="700"/>
      <c r="V212" s="700"/>
      <c r="W212" s="700"/>
      <c r="X212" s="700"/>
      <c r="Y212" s="700"/>
      <c r="Z212" s="700"/>
      <c r="AA212" s="700"/>
      <c r="AB212" s="700"/>
      <c r="AC212" s="700"/>
      <c r="AD212" s="700"/>
      <c r="AE212" s="700"/>
      <c r="AF212" s="700"/>
      <c r="AG212" s="700"/>
      <c r="AH212" s="700"/>
      <c r="AI212" s="700"/>
      <c r="AJ212" s="700"/>
      <c r="AK212" s="700"/>
      <c r="AL212" s="700"/>
      <c r="AM212" s="700"/>
    </row>
    <row r="213" spans="1:39" s="523" customFormat="1" ht="23.4" x14ac:dyDescent="0.25">
      <c r="A213" s="2349" t="s">
        <v>157</v>
      </c>
      <c r="B213" s="2350"/>
      <c r="C213" s="3490" t="s">
        <v>1514</v>
      </c>
      <c r="D213" s="3490"/>
      <c r="E213" s="3490"/>
      <c r="F213" s="3490"/>
      <c r="G213" s="3490"/>
      <c r="H213" s="3490"/>
      <c r="I213" s="3490"/>
      <c r="J213" s="3490"/>
      <c r="K213" s="3490"/>
      <c r="L213" s="3490"/>
      <c r="M213" s="3490"/>
      <c r="N213" s="3490"/>
      <c r="O213" s="3490"/>
      <c r="P213" s="3490"/>
      <c r="Q213" s="3490"/>
      <c r="R213" s="3490"/>
      <c r="S213" s="3490"/>
      <c r="T213" s="3490"/>
      <c r="U213" s="3490"/>
      <c r="V213" s="3490"/>
      <c r="W213" s="3490"/>
      <c r="X213" s="3490"/>
      <c r="Y213" s="3490"/>
      <c r="Z213" s="3490"/>
      <c r="AA213" s="3490"/>
      <c r="AB213" s="3490"/>
      <c r="AC213" s="3490"/>
      <c r="AD213" s="3490"/>
      <c r="AE213" s="3490"/>
      <c r="AF213" s="3490"/>
      <c r="AG213" s="3490"/>
      <c r="AH213" s="3490"/>
      <c r="AI213" s="3490"/>
      <c r="AJ213" s="3490"/>
      <c r="AK213" s="3490"/>
      <c r="AL213" s="3490"/>
      <c r="AM213" s="3490"/>
    </row>
    <row r="214" spans="1:39" s="523" customFormat="1" ht="23.4" x14ac:dyDescent="0.25">
      <c r="A214" s="2349" t="s">
        <v>158</v>
      </c>
      <c r="B214" s="2350"/>
      <c r="C214" s="3491" t="s">
        <v>1491</v>
      </c>
      <c r="D214" s="3491"/>
      <c r="E214" s="3491"/>
      <c r="F214" s="3491"/>
      <c r="G214" s="3491"/>
      <c r="H214" s="3491"/>
      <c r="I214" s="3491"/>
      <c r="J214" s="3491"/>
      <c r="K214" s="3491"/>
      <c r="L214" s="3491"/>
      <c r="M214" s="3491"/>
      <c r="N214" s="3491"/>
      <c r="O214" s="3491"/>
      <c r="P214" s="3491"/>
      <c r="Q214" s="3491"/>
      <c r="R214" s="3491"/>
      <c r="S214" s="3491"/>
      <c r="T214" s="3491"/>
      <c r="U214" s="3491"/>
      <c r="V214" s="3491"/>
      <c r="W214" s="3491"/>
      <c r="X214" s="3491"/>
      <c r="Y214" s="3491"/>
      <c r="Z214" s="3491"/>
      <c r="AA214" s="3491"/>
      <c r="AB214" s="3491"/>
      <c r="AC214" s="3491"/>
      <c r="AD214" s="3491"/>
      <c r="AE214" s="3491"/>
      <c r="AF214" s="3491"/>
      <c r="AG214" s="3491"/>
      <c r="AH214" s="3491"/>
      <c r="AI214" s="3491"/>
      <c r="AJ214" s="3491"/>
      <c r="AK214" s="3491"/>
      <c r="AL214" s="3491"/>
      <c r="AM214" s="3491"/>
    </row>
    <row r="215" spans="1:39" s="523" customFormat="1" ht="23.4" x14ac:dyDescent="0.25">
      <c r="A215" s="2349" t="s">
        <v>159</v>
      </c>
      <c r="B215" s="2350"/>
      <c r="C215" s="3491" t="s">
        <v>1492</v>
      </c>
      <c r="D215" s="3491"/>
      <c r="E215" s="3491"/>
      <c r="F215" s="3491"/>
      <c r="G215" s="3491"/>
      <c r="H215" s="3491"/>
      <c r="I215" s="3491"/>
      <c r="J215" s="3491"/>
      <c r="K215" s="3491"/>
      <c r="L215" s="3491"/>
      <c r="M215" s="3491"/>
      <c r="N215" s="3491"/>
      <c r="O215" s="3491"/>
      <c r="P215" s="3491"/>
      <c r="Q215" s="3491"/>
      <c r="R215" s="3491"/>
      <c r="S215" s="3491"/>
      <c r="T215" s="3491"/>
      <c r="U215" s="3491"/>
      <c r="V215" s="3491"/>
      <c r="W215" s="3491"/>
      <c r="X215" s="3491"/>
      <c r="Y215" s="3491"/>
      <c r="Z215" s="3491"/>
      <c r="AA215" s="3491"/>
      <c r="AB215" s="3491"/>
      <c r="AC215" s="3491"/>
      <c r="AD215" s="3491"/>
      <c r="AE215" s="3491"/>
      <c r="AF215" s="3491"/>
      <c r="AG215" s="3491"/>
      <c r="AH215" s="3491"/>
      <c r="AI215" s="3491"/>
      <c r="AJ215" s="3491"/>
      <c r="AK215" s="3491"/>
      <c r="AL215" s="3491"/>
      <c r="AM215" s="3491"/>
    </row>
    <row r="216" spans="1:39" s="523" customFormat="1" x14ac:dyDescent="0.25">
      <c r="A216" s="2351" t="s">
        <v>160</v>
      </c>
      <c r="B216" s="2352"/>
      <c r="C216" s="2353"/>
      <c r="D216" s="2353"/>
      <c r="E216" s="2353"/>
      <c r="F216" s="2353"/>
      <c r="G216" s="2353"/>
      <c r="H216" s="2353"/>
      <c r="I216" s="2353"/>
      <c r="J216" s="2354"/>
      <c r="K216" s="2101" t="s">
        <v>161</v>
      </c>
      <c r="L216" s="2353"/>
      <c r="M216" s="2353"/>
      <c r="N216" s="2353"/>
      <c r="O216" s="2353"/>
      <c r="P216" s="2353"/>
      <c r="Q216" s="2354"/>
      <c r="R216" s="2101" t="s">
        <v>162</v>
      </c>
      <c r="S216" s="2353"/>
      <c r="T216" s="2353"/>
      <c r="U216" s="2353"/>
      <c r="V216" s="2353"/>
      <c r="W216" s="2353"/>
      <c r="X216" s="2353"/>
      <c r="Y216" s="2353"/>
      <c r="Z216" s="2354"/>
      <c r="AA216" s="2101" t="s">
        <v>163</v>
      </c>
      <c r="AB216" s="2353"/>
      <c r="AC216" s="2353"/>
      <c r="AD216" s="2353"/>
      <c r="AE216" s="2353"/>
      <c r="AF216" s="2353"/>
      <c r="AG216" s="2354"/>
      <c r="AH216" s="2101" t="s">
        <v>164</v>
      </c>
      <c r="AI216" s="2353"/>
      <c r="AJ216" s="2353"/>
      <c r="AK216" s="2353"/>
      <c r="AL216" s="2353"/>
      <c r="AM216" s="2354"/>
    </row>
    <row r="217" spans="1:39" s="523" customFormat="1" x14ac:dyDescent="0.25">
      <c r="A217" s="2140" t="s">
        <v>165</v>
      </c>
      <c r="B217" s="2142" t="s">
        <v>142</v>
      </c>
      <c r="C217" s="2042" t="s">
        <v>166</v>
      </c>
      <c r="D217" s="2042" t="s">
        <v>167</v>
      </c>
      <c r="E217" s="2041" t="s">
        <v>168</v>
      </c>
      <c r="F217" s="2103" t="s">
        <v>60</v>
      </c>
      <c r="G217" s="280"/>
      <c r="H217" s="280"/>
      <c r="I217" s="2041" t="s">
        <v>169</v>
      </c>
      <c r="J217" s="2042" t="s">
        <v>170</v>
      </c>
      <c r="K217" s="2105" t="s">
        <v>171</v>
      </c>
      <c r="L217" s="2100" t="s">
        <v>172</v>
      </c>
      <c r="M217" s="2041" t="s">
        <v>173</v>
      </c>
      <c r="N217" s="2041" t="s">
        <v>174</v>
      </c>
      <c r="O217" s="2102" t="s">
        <v>175</v>
      </c>
      <c r="P217" s="2100" t="s">
        <v>172</v>
      </c>
      <c r="Q217" s="2042" t="s">
        <v>176</v>
      </c>
      <c r="R217" s="2161" t="s">
        <v>177</v>
      </c>
      <c r="S217" s="2043" t="s">
        <v>178</v>
      </c>
      <c r="T217" s="2041" t="s">
        <v>179</v>
      </c>
      <c r="U217" s="2043" t="s">
        <v>180</v>
      </c>
      <c r="V217" s="2043"/>
      <c r="W217" s="2043"/>
      <c r="X217" s="2043"/>
      <c r="Y217" s="2043"/>
      <c r="Z217" s="2043"/>
      <c r="AA217" s="2099" t="s">
        <v>181</v>
      </c>
      <c r="AB217" s="2099" t="s">
        <v>182</v>
      </c>
      <c r="AC217" s="2099" t="s">
        <v>172</v>
      </c>
      <c r="AD217" s="2099" t="s">
        <v>183</v>
      </c>
      <c r="AE217" s="2099" t="s">
        <v>172</v>
      </c>
      <c r="AF217" s="2099" t="s">
        <v>184</v>
      </c>
      <c r="AG217" s="2161" t="s">
        <v>185</v>
      </c>
      <c r="AH217" s="2043" t="s">
        <v>164</v>
      </c>
      <c r="AI217" s="2043" t="s">
        <v>143</v>
      </c>
      <c r="AJ217" s="2043" t="s">
        <v>186</v>
      </c>
      <c r="AK217" s="2043" t="s">
        <v>187</v>
      </c>
      <c r="AL217" s="2043" t="s">
        <v>188</v>
      </c>
      <c r="AM217" s="2043" t="s">
        <v>189</v>
      </c>
    </row>
    <row r="218" spans="1:39" s="523" customFormat="1" ht="71.400000000000006" x14ac:dyDescent="0.25">
      <c r="A218" s="2141"/>
      <c r="B218" s="2142"/>
      <c r="C218" s="2043"/>
      <c r="D218" s="2043"/>
      <c r="E218" s="2105"/>
      <c r="F218" s="2104"/>
      <c r="G218" s="280" t="s">
        <v>511</v>
      </c>
      <c r="H218" s="280" t="s">
        <v>190</v>
      </c>
      <c r="I218" s="2105"/>
      <c r="J218" s="2041"/>
      <c r="K218" s="2105"/>
      <c r="L218" s="2100"/>
      <c r="M218" s="2042"/>
      <c r="N218" s="2042"/>
      <c r="O218" s="2101"/>
      <c r="P218" s="2101"/>
      <c r="Q218" s="2043"/>
      <c r="R218" s="2162"/>
      <c r="S218" s="2043"/>
      <c r="T218" s="2042"/>
      <c r="U218" s="281" t="s">
        <v>191</v>
      </c>
      <c r="V218" s="281" t="s">
        <v>192</v>
      </c>
      <c r="W218" s="281" t="s">
        <v>193</v>
      </c>
      <c r="X218" s="281" t="s">
        <v>194</v>
      </c>
      <c r="Y218" s="281" t="s">
        <v>195</v>
      </c>
      <c r="Z218" s="281" t="s">
        <v>196</v>
      </c>
      <c r="AA218" s="2161"/>
      <c r="AB218" s="2099"/>
      <c r="AC218" s="2099"/>
      <c r="AD218" s="2099"/>
      <c r="AE218" s="2099"/>
      <c r="AF218" s="2099"/>
      <c r="AG218" s="2162"/>
      <c r="AH218" s="2043"/>
      <c r="AI218" s="2043"/>
      <c r="AJ218" s="2043"/>
      <c r="AK218" s="2043"/>
      <c r="AL218" s="2043"/>
      <c r="AM218" s="2043"/>
    </row>
    <row r="219" spans="1:39" s="523" customFormat="1" ht="247.2" customHeight="1" x14ac:dyDescent="0.25">
      <c r="A219" s="2112">
        <v>1</v>
      </c>
      <c r="B219" s="3492" t="s">
        <v>197</v>
      </c>
      <c r="C219" s="3492" t="s">
        <v>221</v>
      </c>
      <c r="D219" s="3494" t="s">
        <v>222</v>
      </c>
      <c r="E219" s="1379" t="s">
        <v>1515</v>
      </c>
      <c r="F219" s="3496" t="s">
        <v>1493</v>
      </c>
      <c r="G219" s="3497" t="s">
        <v>512</v>
      </c>
      <c r="H219" s="3499" t="s">
        <v>1494</v>
      </c>
      <c r="I219" s="1381" t="s">
        <v>359</v>
      </c>
      <c r="J219" s="1382">
        <v>25</v>
      </c>
      <c r="K219" s="1383" t="str">
        <f>IF(J219&lt;=0,"",IF(J219&lt;=2,"Muy Baja",IF(J219&lt;=24,"Baja",IF(J219&lt;=500,"Media",IF(J219&lt;=5000,"Alta","Muy Alta")))))</f>
        <v>Media</v>
      </c>
      <c r="L219" s="1384">
        <f>IF(K219="","",IF(K219="Muy Baja",0.2,IF(K219="Baja",0.4,IF(K219="Media",0.6,IF(K219="Alta",0.8,IF(K219="Muy Alta",1,))))))</f>
        <v>0.6</v>
      </c>
      <c r="M219" s="3500" t="s">
        <v>225</v>
      </c>
      <c r="N219" s="2106" t="str">
        <f>IF(NOT(ISERROR(MATCH(M219,'[73]Tabla Impacto'!$B$221:$B$223,0))),'[73]Tabla Impacto'!$F$223&amp;"Por favor no seleccionar los criterios de impacto(Afectación Económica o presupuestal y Pérdida Reputacional)",M219)</f>
        <v xml:space="preserve">     El riesgo afecta la imagen de la entidad con algunos usuarios de relevancia frente al logro de los objetivos</v>
      </c>
      <c r="O219" s="2109" t="str">
        <f>IF(OR(N219='[73]Tabla Impacto'!$C$11,N219='[73]Tabla Impacto'!$D$11),"Leve",IF(OR(N219='[73]Tabla Impacto'!$C$12,N219='[73]Tabla Impacto'!$D$12),"Menor",IF(OR(N219='[73]Tabla Impacto'!$C$13,N219='[73]Tabla Impacto'!$D$13),"Moderado",IF(OR(N219='[73]Tabla Impacto'!$C$14,N219='[73]Tabla Impacto'!$D$14),"Mayor",IF(OR(N219='[73]Tabla Impacto'!$C$15,N219='[73]Tabla Impacto'!$D$15),"Catastrófico","")))))</f>
        <v>Moderado</v>
      </c>
      <c r="P219" s="2106">
        <f>IF(O219="","",IF(O219="Leve",0.2,IF(O219="Menor",0.4,IF(O219="Moderado",0.6,IF(O219="Mayor",0.8,IF(O219="Catastrófico",1,))))))</f>
        <v>0.6</v>
      </c>
      <c r="Q219" s="2014" t="str">
        <f>IF(OR(AND(K219="Muy Baja",O219="Leve"),AND(K219="Muy Baja",O219="Menor"),AND(K219="Baja",O219="Leve")),"Bajo",IF(OR(AND(K219="Muy baja",O219="Moderado"),AND(K219="Baja",O219="Menor"),AND(K219="Baja",O219="Moderado"),AND(K219="Media",O219="Leve"),AND(K219="Media",O219="Menor"),AND(K219="Media",O219="Moderado"),AND(K219="Alta",O219="Leve"),AND(K219="Alta",O219="Menor")),"Moderado",IF(OR(AND(K219="Muy Baja",O219="Mayor"),AND(K219="Baja",O219="Mayor"),AND(K219="Media",O219="Mayor"),AND(K219="Alta",O219="Moderado"),AND(K219="Alta",O219="Mayor"),AND(K219="Muy Alta",O219="Leve"),AND(K219="Muy Alta",O219="Menor"),AND(K219="Muy Alta",O219="Moderado"),AND(K219="Muy Alta",O219="Mayor")),"Alto",IF(OR(AND(K219="Muy Baja",O219="Catastrófico"),AND(K219="Baja",O219="Catastrófico"),AND(K219="Media",O219="Catastrófico"),AND(K219="Alta",O219="Catastrófico"),AND(K219="Muy Alta",O219="Catastrófico")),"Extremo",""))))</f>
        <v>Moderado</v>
      </c>
      <c r="R219" s="283">
        <v>1</v>
      </c>
      <c r="S219" s="284" t="s">
        <v>1495</v>
      </c>
      <c r="T219" s="285" t="str">
        <f>IF(OR(U219="Preventivo",U219="Detectivo"),"Probabilidad",IF(U219="Correctivo","Impacto",""))</f>
        <v>Probabilidad</v>
      </c>
      <c r="U219" s="286" t="s">
        <v>207</v>
      </c>
      <c r="V219" s="286" t="s">
        <v>201</v>
      </c>
      <c r="W219" s="287" t="str">
        <f>IF(AND(U219="Preventivo",V219="Automático"),"50%",IF(AND(U219="Preventivo",V219="Manual"),"40%",IF(AND(U219="Detectivo",V219="Automático"),"40%",IF(AND(U219="Detectivo",V219="Manual"),"30%",IF(AND(U219="Correctivo",V219="Automático"),"35%",IF(AND(U219="Correctivo",V219="Manual"),"25%",""))))))</f>
        <v>40%</v>
      </c>
      <c r="X219" s="286" t="s">
        <v>208</v>
      </c>
      <c r="Y219" s="286" t="s">
        <v>203</v>
      </c>
      <c r="Z219" s="933" t="s">
        <v>204</v>
      </c>
      <c r="AA219" s="1385">
        <f>IFERROR(IF(T219="Probabilidad",(L219-(+L219*W219)),IF(T219="Impacto",L219,"")),"")</f>
        <v>0.36</v>
      </c>
      <c r="AB219" s="1386" t="str">
        <f>IFERROR(IF(AA219="","",IF(AA219&lt;=0.2,"Muy Baja",IF(AA219&lt;=0.4,"Baja",IF(AA219&lt;=0.6,"Media",IF(AA219&lt;=0.8,"Alta","Muy Alta"))))),"")</f>
        <v>Baja</v>
      </c>
      <c r="AC219" s="289">
        <f>+AA219</f>
        <v>0.36</v>
      </c>
      <c r="AD219" s="876" t="str">
        <f>IFERROR(IF(AE219="","",IF(AE219&lt;=0.2,"Leve",IF(AE219&lt;=0.4,"Menor",IF(AE219&lt;=0.6,"Moderado",IF(AE219&lt;=0.8,"Mayor","Catastrófico"))))),"")</f>
        <v>Moderado</v>
      </c>
      <c r="AE219" s="289">
        <f>IFERROR(IF(T219="Impacto",(P219-(+P219*W219)),IF(T219="Probabilidad",P219,"")),"")</f>
        <v>0.6</v>
      </c>
      <c r="AF219" s="2799" t="str">
        <f>IFERROR(IF(OR(AND(AB219="Muy Baja",AD219="Leve"),AND(AB219="Muy Baja",AD219="Menor"),AND(AB219="Baja",AD219="Leve")),"Bajo",IF(OR(AND(AB219="Muy baja",AD219="Moderado"),AND(AB219="Baja",AD219="Menor"),AND(AB219="Baja",AD219="Moderado"),AND(AB219="Media",AD219="Leve"),AND(AB219="Media",AD219="Menor"),AND(AB219="Media",AD219="Moderado"),AND(AB219="Alta",AD219="Leve"),AND(AB219="Alta",AD219="Menor")),"Moderado",IF(OR(AND(AB219="Muy Baja",AD219="Mayor"),AND(AB219="Baja",AD219="Mayor"),AND(AB219="Media",AD219="Mayor"),AND(AB219="Alta",AD219="Moderado"),AND(AB219="Alta",AD219="Mayor"),AND(AB219="Muy Alta",AD219="Leve"),AND(AB219="Muy Alta",AD219="Menor"),AND(AB219="Muy Alta",AD219="Moderado"),AND(AB219="Muy Alta",AD219="Mayor")),"Alto",IF(OR(AND(AB219="Muy Baja",AD219="Catastrófico"),AND(AB219="Baja",AD219="Catastrófico"),AND(AB219="Media",AD219="Catastrófico"),AND(AB219="Alta",AD219="Catastrófico"),AND(AB219="Muy Alta",AD219="Catastrófico")),"Extremo","")))),"")</f>
        <v>Moderado</v>
      </c>
      <c r="AG219" s="291" t="s">
        <v>205</v>
      </c>
      <c r="AH219" s="759" t="s">
        <v>1496</v>
      </c>
      <c r="AI219" s="759" t="s">
        <v>1497</v>
      </c>
      <c r="AJ219" s="1387" t="s">
        <v>1498</v>
      </c>
      <c r="AK219" s="746" t="s">
        <v>1499</v>
      </c>
      <c r="AL219" s="292"/>
      <c r="AM219" s="294"/>
    </row>
    <row r="220" spans="1:39" s="523" customFormat="1" ht="227.4" customHeight="1" x14ac:dyDescent="0.25">
      <c r="A220" s="2113"/>
      <c r="B220" s="3493"/>
      <c r="C220" s="3493"/>
      <c r="D220" s="3495"/>
      <c r="E220" s="1379" t="s">
        <v>959</v>
      </c>
      <c r="F220" s="3496"/>
      <c r="G220" s="3498"/>
      <c r="H220" s="3499"/>
      <c r="I220" s="1388" t="s">
        <v>359</v>
      </c>
      <c r="J220" s="1389">
        <v>25</v>
      </c>
      <c r="K220" s="1390" t="str">
        <f t="shared" ref="K220:K222" si="115">IF(J220&lt;=0,"",IF(J220&lt;=2,"Muy Baja",IF(J220&lt;=24,"Baja",IF(J220&lt;=500,"Media",IF(J220&lt;=5000,"Alta","Muy Alta")))))</f>
        <v>Media</v>
      </c>
      <c r="L220" s="1391">
        <f t="shared" ref="L220:L222" si="116">IF(K220="","",IF(K220="Muy Baja",0.2,IF(K220="Baja",0.4,IF(K220="Media",0.6,IF(K220="Alta",0.8,IF(K220="Muy Alta",1,))))))</f>
        <v>0.6</v>
      </c>
      <c r="M220" s="3501"/>
      <c r="N220" s="2107">
        <f>IF(NOT(ISERROR(MATCH(M220,_xlfn.ANCHORARRAY(F224),0))),L226&amp;"Por favor no seleccionar los criterios de impacto",M220)</f>
        <v>0</v>
      </c>
      <c r="O220" s="2110"/>
      <c r="P220" s="2107"/>
      <c r="Q220" s="2015"/>
      <c r="R220" s="283">
        <v>2</v>
      </c>
      <c r="S220" s="302" t="s">
        <v>1500</v>
      </c>
      <c r="T220" s="285" t="str">
        <f>IF(OR(U220="Preventivo",U220="Detectivo"),"Probabilidad",IF(U220="Correctivo","Impacto",""))</f>
        <v>Probabilidad</v>
      </c>
      <c r="U220" s="286" t="s">
        <v>207</v>
      </c>
      <c r="V220" s="286" t="s">
        <v>201</v>
      </c>
      <c r="W220" s="287" t="str">
        <f t="shared" ref="W220:W222" si="117">IF(AND(U220="Preventivo",V220="Automático"),"50%",IF(AND(U220="Preventivo",V220="Manual"),"40%",IF(AND(U220="Detectivo",V220="Automático"),"40%",IF(AND(U220="Detectivo",V220="Manual"),"30%",IF(AND(U220="Correctivo",V220="Automático"),"35%",IF(AND(U220="Correctivo",V220="Manual"),"25%",""))))))</f>
        <v>40%</v>
      </c>
      <c r="X220" s="286" t="s">
        <v>208</v>
      </c>
      <c r="Y220" s="286" t="s">
        <v>203</v>
      </c>
      <c r="Z220" s="933" t="s">
        <v>298</v>
      </c>
      <c r="AA220" s="744">
        <f>IFERROR(IF(AND(T219="Probabilidad",T220="Probabilidad"),(AC219-(+AC219*W220)),IF(AND(T219="Impacto",T220="Probabilidad"),(L219-(+L219*W220)),IF(T220="Impacto",AC219,""))),"")</f>
        <v>0.216</v>
      </c>
      <c r="AB220" s="1386" t="str">
        <f t="shared" ref="AB220:AB223" si="118">IFERROR(IF(AA220="","",IF(AA220&lt;=0.2,"Muy Baja",IF(AA220&lt;=0.4,"Baja",IF(AA220&lt;=0.6,"Media",IF(AA220&lt;=0.8,"Alta","Muy Alta"))))),"")</f>
        <v>Baja</v>
      </c>
      <c r="AC220" s="289">
        <f>+AA220</f>
        <v>0.216</v>
      </c>
      <c r="AD220" s="876" t="str">
        <f t="shared" ref="AD220:AD222" si="119">IFERROR(IF(AE220="","",IF(AE220&lt;=0.2,"Leve",IF(AE220&lt;=0.4,"Menor",IF(AE220&lt;=0.6,"Moderado",IF(AE220&lt;=0.8,"Mayor","Catastrófico"))))),"")</f>
        <v>Moderado</v>
      </c>
      <c r="AE220" s="289">
        <f>IFERROR(IF(AND(T219="Impacto",T220="Impacto"),(AE219-(+AE219*W220)),IF(AND(T219="Probabilidad",T220="Impacto"),(P219-(+P219*W220)),IF(T220="Probabilidad",AE219,""))),"")</f>
        <v>0.6</v>
      </c>
      <c r="AF220" s="3502"/>
      <c r="AG220" s="291"/>
      <c r="AH220" s="284" t="s">
        <v>1501</v>
      </c>
      <c r="AI220" s="284" t="s">
        <v>1497</v>
      </c>
      <c r="AJ220" s="1387" t="s">
        <v>1498</v>
      </c>
      <c r="AK220" s="748" t="s">
        <v>1499</v>
      </c>
      <c r="AL220" s="296"/>
      <c r="AM220" s="297"/>
    </row>
    <row r="221" spans="1:39" s="523" customFormat="1" ht="387.6" customHeight="1" x14ac:dyDescent="0.25">
      <c r="A221" s="2113"/>
      <c r="B221" s="3493"/>
      <c r="C221" s="3493"/>
      <c r="D221" s="3495"/>
      <c r="E221" s="1392" t="s">
        <v>1516</v>
      </c>
      <c r="F221" s="3496"/>
      <c r="G221" s="3498"/>
      <c r="H221" s="3499"/>
      <c r="I221" s="1393" t="s">
        <v>359</v>
      </c>
      <c r="J221" s="1394">
        <v>25</v>
      </c>
      <c r="K221" s="1395" t="str">
        <f t="shared" si="115"/>
        <v>Media</v>
      </c>
      <c r="L221" s="1396">
        <f t="shared" si="116"/>
        <v>0.6</v>
      </c>
      <c r="M221" s="3501"/>
      <c r="N221" s="2107">
        <f>IF(NOT(ISERROR(MATCH(M221,_xlfn.ANCHORARRAY(F225),0))),L227&amp;"Por favor no seleccionar los criterios de impacto",M221)</f>
        <v>0</v>
      </c>
      <c r="O221" s="2110"/>
      <c r="P221" s="2107"/>
      <c r="Q221" s="2015"/>
      <c r="R221" s="283">
        <v>3</v>
      </c>
      <c r="S221" s="284" t="s">
        <v>1502</v>
      </c>
      <c r="T221" s="285" t="str">
        <f t="shared" ref="T221:T222" si="120">IF(OR(U221="Preventivo",U221="Detectivo"),"Probabilidad",IF(U221="Correctivo","Impacto",""))</f>
        <v>Probabilidad</v>
      </c>
      <c r="U221" s="286" t="s">
        <v>207</v>
      </c>
      <c r="V221" s="286" t="s">
        <v>201</v>
      </c>
      <c r="W221" s="287" t="str">
        <f t="shared" si="117"/>
        <v>40%</v>
      </c>
      <c r="X221" s="286" t="s">
        <v>208</v>
      </c>
      <c r="Y221" s="286" t="s">
        <v>203</v>
      </c>
      <c r="Z221" s="933" t="s">
        <v>204</v>
      </c>
      <c r="AA221" s="744">
        <f>IFERROR(IF(AND(T220="Probabilidad",T221="Probabilidad"),(AC220-(+AC220*W221)),IF(AND(T220="Impacto",T221="Probabilidad"),(AC219-(+AC219*W221)),IF(T221="Impacto",AC220,""))),"")</f>
        <v>0.12959999999999999</v>
      </c>
      <c r="AB221" s="1386" t="str">
        <f t="shared" si="118"/>
        <v>Muy Baja</v>
      </c>
      <c r="AC221" s="289">
        <f t="shared" ref="AC221:AC222" si="121">+AA221</f>
        <v>0.12959999999999999</v>
      </c>
      <c r="AD221" s="876" t="str">
        <f t="shared" si="119"/>
        <v>Moderado</v>
      </c>
      <c r="AE221" s="289">
        <f t="shared" ref="AE221:AE222" si="122">IFERROR(IF(AND(T220="Impacto",T221="Impacto"),(AE220-(+AE220*W221)),IF(AND(T220="Probabilidad",T221="Impacto"),(AE219-(+AE219*W221)),IF(T221="Probabilidad",AE220,""))),"")</f>
        <v>0.6</v>
      </c>
      <c r="AF221" s="3502"/>
      <c r="AG221" s="291"/>
      <c r="AH221" s="284" t="s">
        <v>1503</v>
      </c>
      <c r="AI221" s="284" t="s">
        <v>1497</v>
      </c>
      <c r="AJ221" s="1387" t="s">
        <v>1504</v>
      </c>
      <c r="AK221" s="748" t="s">
        <v>1505</v>
      </c>
      <c r="AL221" s="296"/>
      <c r="AM221" s="297"/>
    </row>
    <row r="222" spans="1:39" s="523" customFormat="1" ht="180" customHeight="1" x14ac:dyDescent="0.25">
      <c r="A222" s="2113"/>
      <c r="B222" s="3493"/>
      <c r="C222" s="3493"/>
      <c r="D222" s="3495"/>
      <c r="E222" s="1392" t="s">
        <v>230</v>
      </c>
      <c r="F222" s="3496"/>
      <c r="G222" s="3498"/>
      <c r="H222" s="3499"/>
      <c r="I222" s="1397" t="s">
        <v>359</v>
      </c>
      <c r="J222" s="1398">
        <v>25</v>
      </c>
      <c r="K222" s="1399" t="str">
        <f t="shared" si="115"/>
        <v>Media</v>
      </c>
      <c r="L222" s="1400">
        <f t="shared" si="116"/>
        <v>0.6</v>
      </c>
      <c r="M222" s="3501"/>
      <c r="N222" s="2107">
        <f>IF(NOT(ISERROR(MATCH(M222,_xlfn.ANCHORARRAY(F226),0))),L228&amp;"Por favor no seleccionar los criterios de impacto",M222)</f>
        <v>0</v>
      </c>
      <c r="O222" s="2110"/>
      <c r="P222" s="2107"/>
      <c r="Q222" s="2015"/>
      <c r="R222" s="283">
        <v>4</v>
      </c>
      <c r="S222" s="302" t="s">
        <v>1506</v>
      </c>
      <c r="T222" s="285" t="str">
        <f t="shared" si="120"/>
        <v>Probabilidad</v>
      </c>
      <c r="U222" s="286" t="s">
        <v>207</v>
      </c>
      <c r="V222" s="286" t="s">
        <v>201</v>
      </c>
      <c r="W222" s="287" t="str">
        <f t="shared" si="117"/>
        <v>40%</v>
      </c>
      <c r="X222" s="286" t="s">
        <v>208</v>
      </c>
      <c r="Y222" s="286" t="s">
        <v>203</v>
      </c>
      <c r="Z222" s="933" t="s">
        <v>204</v>
      </c>
      <c r="AA222" s="744">
        <f t="shared" ref="AA222" si="123">IFERROR(IF(AND(T221="Probabilidad",T222="Probabilidad"),(AC221-(+AC221*W222)),IF(AND(T221="Impacto",T222="Probabilidad"),(AC220-(+AC220*W222)),IF(T222="Impacto",AC221,""))),"")</f>
        <v>7.7759999999999996E-2</v>
      </c>
      <c r="AB222" s="1386" t="str">
        <f t="shared" si="118"/>
        <v>Muy Baja</v>
      </c>
      <c r="AC222" s="289">
        <f t="shared" si="121"/>
        <v>7.7759999999999996E-2</v>
      </c>
      <c r="AD222" s="876" t="str">
        <f t="shared" si="119"/>
        <v>Moderado</v>
      </c>
      <c r="AE222" s="289">
        <f t="shared" si="122"/>
        <v>0.6</v>
      </c>
      <c r="AF222" s="3503"/>
      <c r="AG222" s="291"/>
      <c r="AH222" s="284" t="s">
        <v>1507</v>
      </c>
      <c r="AI222" s="284" t="s">
        <v>1497</v>
      </c>
      <c r="AJ222" s="1387" t="s">
        <v>1508</v>
      </c>
      <c r="AK222" s="748" t="s">
        <v>1509</v>
      </c>
      <c r="AL222" s="296"/>
      <c r="AM222" s="297"/>
    </row>
    <row r="223" spans="1:39" s="523" customFormat="1" ht="273.60000000000002" customHeight="1" x14ac:dyDescent="0.25">
      <c r="A223" s="690">
        <v>2</v>
      </c>
      <c r="B223" s="1404" t="s">
        <v>197</v>
      </c>
      <c r="C223" s="1404" t="s">
        <v>234</v>
      </c>
      <c r="D223" s="1405" t="s">
        <v>235</v>
      </c>
      <c r="E223" s="1401" t="s">
        <v>1510</v>
      </c>
      <c r="F223" s="1402" t="s">
        <v>1511</v>
      </c>
      <c r="G223" s="1380" t="s">
        <v>512</v>
      </c>
      <c r="H223" s="1402" t="s">
        <v>237</v>
      </c>
      <c r="I223" s="1406" t="s">
        <v>359</v>
      </c>
      <c r="J223" s="1407">
        <v>4</v>
      </c>
      <c r="K223" s="1408" t="str">
        <f>IF(J223&lt;=0,"",IF(J223&lt;=2,"Muy Baja",IF(J223&lt;=24,"Baja",IF(J223&lt;=500,"Media",IF(J223&lt;=5000,"Alta","Muy Alta")))))</f>
        <v>Baja</v>
      </c>
      <c r="L223" s="1204">
        <f>IF(K223="","",IF(K223="Muy Baja",0.2,IF(K223="Baja",0.4,IF(K223="Media",0.6,IF(K223="Alta",0.8,IF(K223="Muy Alta",1,))))))</f>
        <v>0.4</v>
      </c>
      <c r="M223" s="1207" t="s">
        <v>225</v>
      </c>
      <c r="N223" s="1129" t="str">
        <f>IF(NOT(ISERROR(MATCH(M223,'[73]Tabla Impacto'!$B$221:$B$223,0))),'[73]Tabla Impacto'!$F$223&amp;"Por favor no seleccionar los criterios de impacto(Afectación Económica o presupuestal y Pérdida Reputacional)",M223)</f>
        <v xml:space="preserve">     El riesgo afecta la imagen de la entidad con algunos usuarios de relevancia frente al logro de los objetivos</v>
      </c>
      <c r="O223" s="1206" t="str">
        <f>IF(OR(N223='[73]Tabla Impacto'!$C$11,N223='[73]Tabla Impacto'!$D$11),"Leve",IF(OR(N223='[73]Tabla Impacto'!$C$12,N223='[73]Tabla Impacto'!$D$12),"Menor",IF(OR(N223='[73]Tabla Impacto'!$C$13,N223='[73]Tabla Impacto'!$D$13),"Moderado",IF(OR(N223='[73]Tabla Impacto'!$C$14,N223='[73]Tabla Impacto'!$D$14),"Mayor",IF(OR(N223='[73]Tabla Impacto'!$C$15,N223='[73]Tabla Impacto'!$D$15),"Catastrófico","")))))</f>
        <v>Moderado</v>
      </c>
      <c r="P223" s="1129">
        <f>IF(O223="","",IF(O223="Leve",0.2,IF(O223="Menor",0.4,IF(O223="Moderado",0.6,IF(O223="Mayor",0.8,IF(O223="Catastrófico",1,))))))</f>
        <v>0.6</v>
      </c>
      <c r="Q223" s="1208" t="str">
        <f>IF(OR(AND(K223="Muy Baja",O223="Leve"),AND(K223="Muy Baja",O223="Menor"),AND(K223="Baja",O223="Leve")),"Bajo",IF(OR(AND(K223="Muy baja",O223="Moderado"),AND(K223="Baja",O223="Menor"),AND(K223="Baja",O223="Moderado"),AND(K223="Media",O223="Leve"),AND(K223="Media",O223="Menor"),AND(K223="Media",O223="Moderado"),AND(K223="Alta",O223="Leve"),AND(K223="Alta",O223="Menor")),"Moderado",IF(OR(AND(K223="Muy Baja",O223="Mayor"),AND(K223="Baja",O223="Mayor"),AND(K223="Media",O223="Mayor"),AND(K223="Alta",O223="Moderado"),AND(K223="Alta",O223="Mayor"),AND(K223="Muy Alta",O223="Leve"),AND(K223="Muy Alta",O223="Menor"),AND(K223="Muy Alta",O223="Moderado"),AND(K223="Muy Alta",O223="Mayor")),"Alto",IF(OR(AND(K223="Muy Baja",O223="Catastrófico"),AND(K223="Baja",O223="Catastrófico"),AND(K223="Media",O223="Catastrófico"),AND(K223="Alta",O223="Catastrófico"),AND(K223="Muy Alta",O223="Catastrófico")),"Extremo",""))))</f>
        <v>Moderado</v>
      </c>
      <c r="R223" s="283">
        <v>1</v>
      </c>
      <c r="S223" s="302" t="s">
        <v>1512</v>
      </c>
      <c r="T223" s="285" t="str">
        <f>IF(OR(U223="Preventivo",U223="Detectivo"),"Probabilidad",IF(U223="Correctivo","Impacto",""))</f>
        <v>Probabilidad</v>
      </c>
      <c r="U223" s="286" t="s">
        <v>207</v>
      </c>
      <c r="V223" s="286" t="s">
        <v>201</v>
      </c>
      <c r="W223" s="287" t="str">
        <f>IF(AND(U223="Preventivo",V223="Automático"),"50%",IF(AND(U223="Preventivo",V223="Manual"),"40%",IF(AND(U223="Detectivo",V223="Automático"),"40%",IF(AND(U223="Detectivo",V223="Manual"),"30%",IF(AND(U223="Correctivo",V223="Automático"),"35%",IF(AND(U223="Correctivo",V223="Manual"),"25%",""))))))</f>
        <v>40%</v>
      </c>
      <c r="X223" s="286" t="s">
        <v>208</v>
      </c>
      <c r="Y223" s="286" t="s">
        <v>203</v>
      </c>
      <c r="Z223" s="286" t="s">
        <v>204</v>
      </c>
      <c r="AA223" s="1403">
        <f>IFERROR(IF(T223="Probabilidad",(L223-(+L223*W223)),IF(T223="Impacto",L223,"")),"")</f>
        <v>0.24</v>
      </c>
      <c r="AB223" s="1386" t="str">
        <f t="shared" si="118"/>
        <v>Baja</v>
      </c>
      <c r="AC223" s="289">
        <f>+AA223</f>
        <v>0.24</v>
      </c>
      <c r="AD223" s="288" t="str">
        <f>IFERROR(IF(AE223="","",IF(AE223&lt;=0.2,"Leve",IF(AE223&lt;=0.4,"Menor",IF(AE223&lt;=0.6,"Moderado",IF(AE223&lt;=0.8,"Mayor","Catastrófico"))))),"")</f>
        <v>Moderado</v>
      </c>
      <c r="AE223" s="289">
        <f>IFERROR(IF(T223="Impacto",(P223-(+P223*W223)),IF(T223="Probabilidad",P223,"")),"")</f>
        <v>0.6</v>
      </c>
      <c r="AF223" s="290" t="str">
        <f>IFERROR(IF(OR(AND(AB223="Muy Baja",AD223="Leve"),AND(AB223="Muy Baja",AD223="Menor"),AND(AB223="Baja",AD223="Leve")),"Bajo",IF(OR(AND(AB223="Muy baja",AD223="Moderado"),AND(AB223="Baja",AD223="Menor"),AND(AB223="Baja",AD223="Moderado"),AND(AB223="Media",AD223="Leve"),AND(AB223="Media",AD223="Menor"),AND(AB223="Media",AD223="Moderado"),AND(AB223="Alta",AD223="Leve"),AND(AB223="Alta",AD223="Menor")),"Moderado",IF(OR(AND(AB223="Muy Baja",AD223="Mayor"),AND(AB223="Baja",AD223="Mayor"),AND(AB223="Media",AD223="Mayor"),AND(AB223="Alta",AD223="Moderado"),AND(AB223="Alta",AD223="Mayor"),AND(AB223="Muy Alta",AD223="Leve"),AND(AB223="Muy Alta",AD223="Menor"),AND(AB223="Muy Alta",AD223="Moderado"),AND(AB223="Muy Alta",AD223="Mayor")),"Alto",IF(OR(AND(AB223="Muy Baja",AD223="Catastrófico"),AND(AB223="Baja",AD223="Catastrófico"),AND(AB223="Media",AD223="Catastrófico"),AND(AB223="Alta",AD223="Catastrófico"),AND(AB223="Muy Alta",AD223="Catastrófico")),"Extremo","")))),"")</f>
        <v>Moderado</v>
      </c>
      <c r="AG223" s="291" t="s">
        <v>205</v>
      </c>
      <c r="AH223" s="284" t="s">
        <v>1513</v>
      </c>
      <c r="AI223" s="284" t="s">
        <v>1497</v>
      </c>
      <c r="AJ223" s="1387" t="s">
        <v>1508</v>
      </c>
      <c r="AK223" s="748" t="s">
        <v>1509</v>
      </c>
      <c r="AL223" s="296"/>
      <c r="AM223" s="297"/>
    </row>
    <row r="224" spans="1:39" s="523" customFormat="1" x14ac:dyDescent="0.25">
      <c r="A224" s="694"/>
      <c r="B224" s="695"/>
      <c r="C224" s="694"/>
      <c r="D224" s="694"/>
      <c r="E224" s="694"/>
      <c r="F224" s="311"/>
      <c r="G224" s="311"/>
      <c r="H224" s="311"/>
      <c r="I224" s="696"/>
      <c r="J224" s="311"/>
      <c r="K224" s="311"/>
      <c r="L224" s="311"/>
      <c r="M224" s="311"/>
      <c r="N224" s="311"/>
      <c r="O224" s="311"/>
      <c r="P224" s="311"/>
      <c r="Q224" s="311"/>
      <c r="R224" s="311"/>
      <c r="S224" s="311"/>
      <c r="T224" s="311"/>
      <c r="U224" s="311"/>
      <c r="V224" s="311"/>
      <c r="W224" s="311"/>
      <c r="X224" s="311"/>
      <c r="Y224" s="311"/>
      <c r="Z224" s="311"/>
      <c r="AA224" s="311"/>
      <c r="AB224" s="311"/>
      <c r="AC224" s="311"/>
      <c r="AD224" s="311"/>
      <c r="AE224" s="311"/>
      <c r="AF224" s="311"/>
      <c r="AG224" s="311"/>
      <c r="AH224" s="311"/>
      <c r="AI224" s="311"/>
      <c r="AJ224" s="311"/>
      <c r="AK224" s="311"/>
      <c r="AL224" s="311"/>
      <c r="AM224" s="311"/>
    </row>
    <row r="225" spans="1:40" s="523" customFormat="1" x14ac:dyDescent="0.25">
      <c r="A225" s="2343" t="s">
        <v>156</v>
      </c>
      <c r="B225" s="2344"/>
      <c r="C225" s="2344"/>
      <c r="D225" s="2344"/>
      <c r="E225" s="2344"/>
      <c r="F225" s="2344"/>
      <c r="G225" s="2344"/>
      <c r="H225" s="2344"/>
      <c r="I225" s="2344"/>
      <c r="J225" s="2344"/>
      <c r="K225" s="2344"/>
      <c r="L225" s="2344"/>
      <c r="M225" s="2344"/>
      <c r="N225" s="2344"/>
      <c r="O225" s="2344"/>
      <c r="P225" s="2344"/>
      <c r="Q225" s="2344"/>
      <c r="R225" s="2344"/>
      <c r="S225" s="2344"/>
      <c r="T225" s="2344"/>
      <c r="U225" s="2344"/>
      <c r="V225" s="2344"/>
      <c r="W225" s="2344"/>
      <c r="X225" s="2344"/>
      <c r="Y225" s="2344"/>
      <c r="Z225" s="2344"/>
      <c r="AA225" s="2344"/>
      <c r="AB225" s="2344"/>
      <c r="AC225" s="2344"/>
      <c r="AD225" s="2344"/>
      <c r="AE225" s="2344"/>
      <c r="AF225" s="2344"/>
      <c r="AG225" s="2344"/>
      <c r="AH225" s="2344"/>
      <c r="AI225" s="2344"/>
      <c r="AJ225" s="2344"/>
      <c r="AK225" s="2344"/>
      <c r="AL225" s="2344"/>
      <c r="AM225" s="2345"/>
      <c r="AN225" s="700"/>
    </row>
    <row r="226" spans="1:40" s="523" customFormat="1" x14ac:dyDescent="0.25">
      <c r="A226" s="2346"/>
      <c r="B226" s="2347"/>
      <c r="C226" s="2347"/>
      <c r="D226" s="2347"/>
      <c r="E226" s="2347"/>
      <c r="F226" s="2347"/>
      <c r="G226" s="2347"/>
      <c r="H226" s="2347"/>
      <c r="I226" s="2347"/>
      <c r="J226" s="2347"/>
      <c r="K226" s="2347"/>
      <c r="L226" s="2347"/>
      <c r="M226" s="2347"/>
      <c r="N226" s="2347"/>
      <c r="O226" s="2347"/>
      <c r="P226" s="2347"/>
      <c r="Q226" s="2347"/>
      <c r="R226" s="2347"/>
      <c r="S226" s="2347"/>
      <c r="T226" s="2347"/>
      <c r="U226" s="2347"/>
      <c r="V226" s="2347"/>
      <c r="W226" s="2347"/>
      <c r="X226" s="2347"/>
      <c r="Y226" s="2347"/>
      <c r="Z226" s="2347"/>
      <c r="AA226" s="2347"/>
      <c r="AB226" s="2347"/>
      <c r="AC226" s="2347"/>
      <c r="AD226" s="2347"/>
      <c r="AE226" s="2347"/>
      <c r="AF226" s="2347"/>
      <c r="AG226" s="2347"/>
      <c r="AH226" s="2347"/>
      <c r="AI226" s="2347"/>
      <c r="AJ226" s="2347"/>
      <c r="AK226" s="2347"/>
      <c r="AL226" s="2347"/>
      <c r="AM226" s="2348"/>
      <c r="AN226" s="700"/>
    </row>
    <row r="227" spans="1:40" s="523" customFormat="1" x14ac:dyDescent="0.25">
      <c r="A227" s="703"/>
      <c r="B227" s="704"/>
      <c r="C227" s="703"/>
      <c r="D227" s="703"/>
      <c r="E227" s="703"/>
      <c r="F227" s="700"/>
      <c r="G227" s="700"/>
      <c r="H227" s="700"/>
      <c r="I227" s="705"/>
      <c r="J227" s="700"/>
      <c r="K227" s="700"/>
      <c r="L227" s="700"/>
      <c r="M227" s="700"/>
      <c r="N227" s="700"/>
      <c r="O227" s="700"/>
      <c r="P227" s="700"/>
      <c r="Q227" s="700"/>
      <c r="R227" s="700"/>
      <c r="S227" s="700"/>
      <c r="T227" s="700"/>
      <c r="U227" s="700"/>
      <c r="V227" s="700"/>
      <c r="W227" s="700"/>
      <c r="X227" s="700"/>
      <c r="Y227" s="700"/>
      <c r="Z227" s="700"/>
      <c r="AA227" s="700"/>
      <c r="AB227" s="700"/>
      <c r="AC227" s="700"/>
      <c r="AD227" s="700"/>
      <c r="AE227" s="700"/>
      <c r="AF227" s="700"/>
      <c r="AG227" s="700"/>
      <c r="AH227" s="700"/>
      <c r="AI227" s="700"/>
      <c r="AJ227" s="700"/>
      <c r="AK227" s="700"/>
      <c r="AL227" s="700"/>
      <c r="AM227" s="700"/>
      <c r="AN227" s="700"/>
    </row>
    <row r="228" spans="1:40" s="523" customFormat="1" ht="23.4" x14ac:dyDescent="0.25">
      <c r="A228" s="2349" t="s">
        <v>157</v>
      </c>
      <c r="B228" s="2350"/>
      <c r="C228" s="2039" t="s">
        <v>867</v>
      </c>
      <c r="D228" s="2039"/>
      <c r="E228" s="2039"/>
      <c r="F228" s="2039"/>
      <c r="G228" s="2039"/>
      <c r="H228" s="2039"/>
      <c r="I228" s="2039"/>
      <c r="J228" s="2039"/>
      <c r="K228" s="2039"/>
      <c r="L228" s="2039"/>
      <c r="M228" s="2039"/>
      <c r="N228" s="2039"/>
      <c r="O228" s="2039"/>
      <c r="P228" s="2039"/>
      <c r="Q228" s="2039"/>
      <c r="R228" s="2039"/>
      <c r="S228" s="2039"/>
      <c r="T228" s="2039"/>
      <c r="U228" s="2039"/>
      <c r="V228" s="2039"/>
      <c r="W228" s="2039"/>
      <c r="X228" s="2039"/>
      <c r="Y228" s="2039"/>
      <c r="Z228" s="2039"/>
      <c r="AA228" s="2039"/>
      <c r="AB228" s="2039"/>
      <c r="AC228" s="2039"/>
      <c r="AD228" s="2039"/>
      <c r="AE228" s="2039"/>
      <c r="AF228" s="2039"/>
      <c r="AG228" s="2039"/>
      <c r="AH228" s="2039"/>
      <c r="AI228" s="2039"/>
      <c r="AJ228" s="2039"/>
      <c r="AK228" s="2039"/>
      <c r="AL228" s="2039"/>
      <c r="AM228" s="2039"/>
      <c r="AN228" s="700"/>
    </row>
    <row r="229" spans="1:40" s="523" customFormat="1" ht="23.4" x14ac:dyDescent="0.25">
      <c r="A229" s="2349" t="s">
        <v>158</v>
      </c>
      <c r="B229" s="2350"/>
      <c r="C229" s="2040" t="s">
        <v>344</v>
      </c>
      <c r="D229" s="2040"/>
      <c r="E229" s="2040"/>
      <c r="F229" s="2040"/>
      <c r="G229" s="2040"/>
      <c r="H229" s="2040"/>
      <c r="I229" s="2040"/>
      <c r="J229" s="2040"/>
      <c r="K229" s="2040"/>
      <c r="L229" s="2040"/>
      <c r="M229" s="2040"/>
      <c r="N229" s="2040"/>
      <c r="O229" s="2040"/>
      <c r="P229" s="2040"/>
      <c r="Q229" s="2040"/>
      <c r="R229" s="2040"/>
      <c r="S229" s="2040"/>
      <c r="T229" s="2040"/>
      <c r="U229" s="2040"/>
      <c r="V229" s="2040"/>
      <c r="W229" s="2040"/>
      <c r="X229" s="2040"/>
      <c r="Y229" s="2040"/>
      <c r="Z229" s="2040"/>
      <c r="AA229" s="2040"/>
      <c r="AB229" s="2040"/>
      <c r="AC229" s="2040"/>
      <c r="AD229" s="2040"/>
      <c r="AE229" s="2040"/>
      <c r="AF229" s="2040"/>
      <c r="AG229" s="2040"/>
      <c r="AH229" s="2040"/>
      <c r="AI229" s="2040"/>
      <c r="AJ229" s="2040"/>
      <c r="AK229" s="2040"/>
      <c r="AL229" s="2040"/>
      <c r="AM229" s="2040"/>
      <c r="AN229" s="700"/>
    </row>
    <row r="230" spans="1:40" s="523" customFormat="1" ht="23.4" x14ac:dyDescent="0.25">
      <c r="A230" s="2349" t="s">
        <v>159</v>
      </c>
      <c r="B230" s="2350"/>
      <c r="C230" s="2040" t="s">
        <v>345</v>
      </c>
      <c r="D230" s="2040"/>
      <c r="E230" s="2040"/>
      <c r="F230" s="2040"/>
      <c r="G230" s="2040"/>
      <c r="H230" s="2040"/>
      <c r="I230" s="2040"/>
      <c r="J230" s="2040"/>
      <c r="K230" s="2040"/>
      <c r="L230" s="2040"/>
      <c r="M230" s="2040"/>
      <c r="N230" s="2040"/>
      <c r="O230" s="2040"/>
      <c r="P230" s="2040"/>
      <c r="Q230" s="2040"/>
      <c r="R230" s="2040"/>
      <c r="S230" s="2040"/>
      <c r="T230" s="2040"/>
      <c r="U230" s="2040"/>
      <c r="V230" s="2040"/>
      <c r="W230" s="2040"/>
      <c r="X230" s="2040"/>
      <c r="Y230" s="2040"/>
      <c r="Z230" s="2040"/>
      <c r="AA230" s="2040"/>
      <c r="AB230" s="2040"/>
      <c r="AC230" s="2040"/>
      <c r="AD230" s="2040"/>
      <c r="AE230" s="2040"/>
      <c r="AF230" s="2040"/>
      <c r="AG230" s="2040"/>
      <c r="AH230" s="2040"/>
      <c r="AI230" s="2040"/>
      <c r="AJ230" s="2040"/>
      <c r="AK230" s="2040"/>
      <c r="AL230" s="2040"/>
      <c r="AM230" s="2040"/>
      <c r="AN230" s="700"/>
    </row>
    <row r="231" spans="1:40" s="523" customFormat="1" x14ac:dyDescent="0.25">
      <c r="A231" s="2351" t="s">
        <v>160</v>
      </c>
      <c r="B231" s="2352"/>
      <c r="C231" s="2353"/>
      <c r="D231" s="2353"/>
      <c r="E231" s="2353"/>
      <c r="F231" s="2353"/>
      <c r="G231" s="2353"/>
      <c r="H231" s="2353"/>
      <c r="I231" s="2353"/>
      <c r="J231" s="2354"/>
      <c r="K231" s="2101" t="s">
        <v>161</v>
      </c>
      <c r="L231" s="2353"/>
      <c r="M231" s="2353"/>
      <c r="N231" s="2353"/>
      <c r="O231" s="2353"/>
      <c r="P231" s="2353"/>
      <c r="Q231" s="2354"/>
      <c r="R231" s="2101" t="s">
        <v>162</v>
      </c>
      <c r="S231" s="2353"/>
      <c r="T231" s="2353"/>
      <c r="U231" s="2353"/>
      <c r="V231" s="2353"/>
      <c r="W231" s="2353"/>
      <c r="X231" s="2353"/>
      <c r="Y231" s="2353"/>
      <c r="Z231" s="2354"/>
      <c r="AA231" s="2101" t="s">
        <v>163</v>
      </c>
      <c r="AB231" s="2353"/>
      <c r="AC231" s="2353"/>
      <c r="AD231" s="2353"/>
      <c r="AE231" s="2353"/>
      <c r="AF231" s="2353"/>
      <c r="AG231" s="2354"/>
      <c r="AH231" s="2101" t="s">
        <v>164</v>
      </c>
      <c r="AI231" s="2353"/>
      <c r="AJ231" s="2353"/>
      <c r="AK231" s="2353"/>
      <c r="AL231" s="2353"/>
      <c r="AM231" s="2354"/>
      <c r="AN231" s="2100" t="s">
        <v>1522</v>
      </c>
    </row>
    <row r="232" spans="1:40" s="523" customFormat="1" x14ac:dyDescent="0.25">
      <c r="A232" s="2140" t="s">
        <v>165</v>
      </c>
      <c r="B232" s="2142" t="s">
        <v>142</v>
      </c>
      <c r="C232" s="2042" t="s">
        <v>166</v>
      </c>
      <c r="D232" s="2042" t="s">
        <v>167</v>
      </c>
      <c r="E232" s="2041" t="s">
        <v>168</v>
      </c>
      <c r="F232" s="2103" t="s">
        <v>60</v>
      </c>
      <c r="G232" s="280"/>
      <c r="H232" s="280"/>
      <c r="I232" s="2041" t="s">
        <v>169</v>
      </c>
      <c r="J232" s="2042" t="s">
        <v>170</v>
      </c>
      <c r="K232" s="2105" t="s">
        <v>171</v>
      </c>
      <c r="L232" s="2100" t="s">
        <v>172</v>
      </c>
      <c r="M232" s="2041" t="s">
        <v>173</v>
      </c>
      <c r="N232" s="2041" t="s">
        <v>174</v>
      </c>
      <c r="O232" s="2102" t="s">
        <v>175</v>
      </c>
      <c r="P232" s="2100" t="s">
        <v>172</v>
      </c>
      <c r="Q232" s="2042" t="s">
        <v>176</v>
      </c>
      <c r="R232" s="2161" t="s">
        <v>177</v>
      </c>
      <c r="S232" s="2043" t="s">
        <v>178</v>
      </c>
      <c r="T232" s="2041" t="s">
        <v>179</v>
      </c>
      <c r="U232" s="2043" t="s">
        <v>180</v>
      </c>
      <c r="V232" s="2043"/>
      <c r="W232" s="2043"/>
      <c r="X232" s="2043"/>
      <c r="Y232" s="2043"/>
      <c r="Z232" s="2043"/>
      <c r="AA232" s="2099" t="s">
        <v>181</v>
      </c>
      <c r="AB232" s="2099" t="s">
        <v>182</v>
      </c>
      <c r="AC232" s="2099" t="s">
        <v>172</v>
      </c>
      <c r="AD232" s="2099" t="s">
        <v>183</v>
      </c>
      <c r="AE232" s="2099" t="s">
        <v>172</v>
      </c>
      <c r="AF232" s="2099" t="s">
        <v>184</v>
      </c>
      <c r="AG232" s="2161" t="s">
        <v>185</v>
      </c>
      <c r="AH232" s="2043" t="s">
        <v>164</v>
      </c>
      <c r="AI232" s="2043" t="s">
        <v>143</v>
      </c>
      <c r="AJ232" s="2043" t="s">
        <v>186</v>
      </c>
      <c r="AK232" s="2043" t="s">
        <v>187</v>
      </c>
      <c r="AL232" s="2043" t="s">
        <v>188</v>
      </c>
      <c r="AM232" s="2043" t="s">
        <v>189</v>
      </c>
      <c r="AN232" s="2100"/>
    </row>
    <row r="233" spans="1:40" s="523" customFormat="1" ht="71.400000000000006" x14ac:dyDescent="0.25">
      <c r="A233" s="2141"/>
      <c r="B233" s="2142"/>
      <c r="C233" s="2043"/>
      <c r="D233" s="2043"/>
      <c r="E233" s="2105"/>
      <c r="F233" s="2104"/>
      <c r="G233" s="280" t="s">
        <v>511</v>
      </c>
      <c r="H233" s="280" t="s">
        <v>190</v>
      </c>
      <c r="I233" s="2042"/>
      <c r="J233" s="2043"/>
      <c r="K233" s="2042"/>
      <c r="L233" s="2101"/>
      <c r="M233" s="2042"/>
      <c r="N233" s="2042"/>
      <c r="O233" s="2101"/>
      <c r="P233" s="2101"/>
      <c r="Q233" s="2043"/>
      <c r="R233" s="2162"/>
      <c r="S233" s="2043"/>
      <c r="T233" s="2042"/>
      <c r="U233" s="281" t="s">
        <v>191</v>
      </c>
      <c r="V233" s="281" t="s">
        <v>192</v>
      </c>
      <c r="W233" s="281" t="s">
        <v>193</v>
      </c>
      <c r="X233" s="281" t="s">
        <v>194</v>
      </c>
      <c r="Y233" s="281" t="s">
        <v>195</v>
      </c>
      <c r="Z233" s="281" t="s">
        <v>196</v>
      </c>
      <c r="AA233" s="2099"/>
      <c r="AB233" s="2099"/>
      <c r="AC233" s="2099"/>
      <c r="AD233" s="2099"/>
      <c r="AE233" s="2099"/>
      <c r="AF233" s="2099"/>
      <c r="AG233" s="2162"/>
      <c r="AH233" s="2043"/>
      <c r="AI233" s="2043"/>
      <c r="AJ233" s="2043"/>
      <c r="AK233" s="2043"/>
      <c r="AL233" s="2043"/>
      <c r="AM233" s="2043"/>
      <c r="AN233" s="2100"/>
    </row>
    <row r="234" spans="1:40" s="523" customFormat="1" ht="409.6" x14ac:dyDescent="0.25">
      <c r="A234" s="2112">
        <v>1</v>
      </c>
      <c r="B234" s="2155" t="s">
        <v>209</v>
      </c>
      <c r="C234" s="2155" t="s">
        <v>871</v>
      </c>
      <c r="D234" s="2158" t="s">
        <v>346</v>
      </c>
      <c r="E234" s="898" t="s">
        <v>347</v>
      </c>
      <c r="F234" s="2125" t="s">
        <v>348</v>
      </c>
      <c r="G234" s="1979" t="s">
        <v>512</v>
      </c>
      <c r="H234" s="2125" t="s">
        <v>349</v>
      </c>
      <c r="I234" s="2126" t="s">
        <v>198</v>
      </c>
      <c r="J234" s="2129">
        <v>300</v>
      </c>
      <c r="K234" s="2109" t="str">
        <f>IF(J234&lt;=0,"",IF(J234&lt;=2,"Muy Baja",IF(J234&lt;=24,"Baja",IF(J234&lt;=500,"Media",IF(J234&lt;=5000,"Alta","Muy Alta")))))</f>
        <v>Media</v>
      </c>
      <c r="L234" s="2106">
        <f>IF(K234="","",IF(K234="Muy Baja",0.2,IF(K234="Baja",0.4,IF(K234="Media",0.6,IF(K234="Alta",0.8,IF(K234="Muy Alta",1,))))))</f>
        <v>0.6</v>
      </c>
      <c r="M234" s="2132" t="s">
        <v>216</v>
      </c>
      <c r="N234" s="2106" t="str">
        <f>IF(NOT(ISERROR(MATCH(M234,'[74]Tabla Impacto'!$B$221:$B$223,0))),'[74]Tabla Impacto'!$F$223&amp;"Por favor no seleccionar los criterios de impacto(Afectación Económica o presupuestal y Pérdida Reputacional)",M234)</f>
        <v xml:space="preserve">     El riesgo afecta la imagen de alguna área de la organización</v>
      </c>
      <c r="O234" s="2109" t="str">
        <f>IF(OR(N234='[74]Tabla Impacto'!$C$11,N234='[74]Tabla Impacto'!$D$11),"Leve",IF(OR(N234='[74]Tabla Impacto'!$C$12,N234='[74]Tabla Impacto'!$D$12),"Menor",IF(OR(N234='[74]Tabla Impacto'!$C$13,N234='[74]Tabla Impacto'!$D$13),"Moderado",IF(OR(N234='[74]Tabla Impacto'!$C$14,N234='[74]Tabla Impacto'!$D$14),"Mayor",IF(OR(N234='[74]Tabla Impacto'!$C$15,N234='[74]Tabla Impacto'!$D$15),"Catastrófico","")))))</f>
        <v>Leve</v>
      </c>
      <c r="P234" s="2106">
        <f>IF(O234="","",IF(O234="Leve",0.2,IF(O234="Menor",0.4,IF(O234="Moderado",0.6,IF(O234="Mayor",0.8,IF(O234="Catastrófico",1,))))))</f>
        <v>0.2</v>
      </c>
      <c r="Q234" s="2014" t="str">
        <f>IF(OR(AND(K234="Muy Baja",O234="Leve"),AND(K234="Muy Baja",O234="Menor"),AND(K234="Baja",O234="Leve")),"Bajo",IF(OR(AND(K234="Muy baja",O234="Moderado"),AND(K234="Baja",O234="Menor"),AND(K234="Baja",O234="Moderado"),AND(K234="Media",O234="Leve"),AND(K234="Media",O234="Menor"),AND(K234="Media",O234="Moderado"),AND(K234="Alta",O234="Leve"),AND(K234="Alta",O234="Menor")),"Moderado",IF(OR(AND(K234="Muy Baja",O234="Mayor"),AND(K234="Baja",O234="Mayor"),AND(K234="Media",O234="Mayor"),AND(K234="Alta",O234="Moderado"),AND(K234="Alta",O234="Mayor"),AND(K234="Muy Alta",O234="Leve"),AND(K234="Muy Alta",O234="Menor"),AND(K234="Muy Alta",O234="Moderado"),AND(K234="Muy Alta",O234="Mayor")),"Alto",IF(OR(AND(K234="Muy Baja",O234="Catastrófico"),AND(K234="Baja",O234="Catastrófico"),AND(K234="Media",O234="Catastrófico"),AND(K234="Alta",O234="Catastrófico"),AND(K234="Muy Alta",O234="Catastrófico")),"Extremo",""))))</f>
        <v>Moderado</v>
      </c>
      <c r="R234" s="283">
        <v>1</v>
      </c>
      <c r="S234" s="299">
        <f>+[74]DOFA!E260</f>
        <v>0</v>
      </c>
      <c r="T234" s="285" t="str">
        <f>IF(OR(U234="Preventivo",U234="Detectivo"),"Probabilidad",IF(U234="Correctivo","Impacto",""))</f>
        <v>Probabilidad</v>
      </c>
      <c r="U234" s="286" t="s">
        <v>207</v>
      </c>
      <c r="V234" s="286" t="s">
        <v>201</v>
      </c>
      <c r="W234" s="287" t="str">
        <f>IF(AND(U234="Preventivo",V234="Automático"),"50%",IF(AND(U234="Preventivo",V234="Manual"),"40%",IF(AND(U234="Detectivo",V234="Automático"),"40%",IF(AND(U234="Detectivo",V234="Manual"),"30%",IF(AND(U234="Correctivo",V234="Automático"),"35%",IF(AND(U234="Correctivo",V234="Manual"),"25%",""))))))</f>
        <v>40%</v>
      </c>
      <c r="X234" s="286" t="s">
        <v>208</v>
      </c>
      <c r="Y234" s="286" t="s">
        <v>203</v>
      </c>
      <c r="Z234" s="286" t="s">
        <v>204</v>
      </c>
      <c r="AA234" s="744">
        <f>IFERROR(IF(T234="Probabilidad",(L234-(+L234*W234)),IF(T234="Impacto",L234,"")),"")</f>
        <v>0.36</v>
      </c>
      <c r="AB234" s="288" t="str">
        <f>IFERROR(IF(AA234="","",IF(AA234&lt;=0.2,"Muy Baja",IF(AA234&lt;=0.4,"Baja",IF(AA234&lt;=0.6,"Media",IF(AA234&lt;=0.8,"Alta","Muy Alta"))))),"")</f>
        <v>Baja</v>
      </c>
      <c r="AC234" s="289">
        <f>+AA234</f>
        <v>0.36</v>
      </c>
      <c r="AD234" s="288" t="str">
        <f>IFERROR(IF(AE234="","",IF(AE234&lt;=0.2,"Leve",IF(AE234&lt;=0.4,"Menor",IF(AE234&lt;=0.6,"Moderado",IF(AE234&lt;=0.8,"Mayor","Catastrófico"))))),"")</f>
        <v>Leve</v>
      </c>
      <c r="AE234" s="289">
        <f>IFERROR(IF(T234="Impacto",(P234-(+P234*W234)),IF(T234="Probabilidad",P234,"")),"")</f>
        <v>0.2</v>
      </c>
      <c r="AF234" s="290" t="str">
        <f>IFERROR(IF(OR(AND(AB234="Muy Baja",AD234="Leve"),AND(AB234="Muy Baja",AD234="Menor"),AND(AB234="Baja",AD234="Leve")),"Bajo",IF(OR(AND(AB234="Muy baja",AD234="Moderado"),AND(AB234="Baja",AD234="Menor"),AND(AB234="Baja",AD234="Moderado"),AND(AB234="Media",AD234="Leve"),AND(AB234="Media",AD234="Menor"),AND(AB234="Media",AD234="Moderado"),AND(AB234="Alta",AD234="Leve"),AND(AB234="Alta",AD234="Menor")),"Moderado",IF(OR(AND(AB234="Muy Baja",AD234="Mayor"),AND(AB234="Baja",AD234="Mayor"),AND(AB234="Media",AD234="Mayor"),AND(AB234="Alta",AD234="Moderado"),AND(AB234="Alta",AD234="Mayor"),AND(AB234="Muy Alta",AD234="Leve"),AND(AB234="Muy Alta",AD234="Menor"),AND(AB234="Muy Alta",AD234="Moderado"),AND(AB234="Muy Alta",AD234="Mayor")),"Alto",IF(OR(AND(AB234="Muy Baja",AD234="Catastrófico"),AND(AB234="Baja",AD234="Catastrófico"),AND(AB234="Media",AD234="Catastrófico"),AND(AB234="Alta",AD234="Catastrófico"),AND(AB234="Muy Alta",AD234="Catastrófico")),"Extremo","")))),"")</f>
        <v>Bajo</v>
      </c>
      <c r="AG234" s="291" t="s">
        <v>205</v>
      </c>
      <c r="AH234" s="916"/>
      <c r="AI234" s="292"/>
      <c r="AJ234" s="746"/>
      <c r="AK234" s="746"/>
      <c r="AL234" s="292"/>
      <c r="AM234" s="917"/>
      <c r="AN234" s="918" t="s">
        <v>1517</v>
      </c>
    </row>
    <row r="235" spans="1:40" s="523" customFormat="1" ht="41.4" x14ac:dyDescent="0.25">
      <c r="A235" s="2113"/>
      <c r="B235" s="2156"/>
      <c r="C235" s="2156"/>
      <c r="D235" s="2159"/>
      <c r="E235" s="920" t="s">
        <v>350</v>
      </c>
      <c r="F235" s="2125"/>
      <c r="G235" s="1980"/>
      <c r="H235" s="2125"/>
      <c r="I235" s="2127"/>
      <c r="J235" s="2130"/>
      <c r="K235" s="2110"/>
      <c r="L235" s="2107"/>
      <c r="M235" s="2133"/>
      <c r="N235" s="2107">
        <f>IF(NOT(ISERROR(MATCH(M235,_xlfn.ANCHORARRAY(F240),0))),#REF!&amp;"Por favor no seleccionar los criterios de impacto",M235)</f>
        <v>0</v>
      </c>
      <c r="O235" s="2110"/>
      <c r="P235" s="2107"/>
      <c r="Q235" s="2015"/>
      <c r="R235" s="283">
        <v>2</v>
      </c>
      <c r="S235" s="302"/>
      <c r="T235" s="285" t="str">
        <f>IF(OR(U235="Preventivo",U235="Detectivo"),"Probabilidad",IF(U235="Correctivo","Impacto",""))</f>
        <v/>
      </c>
      <c r="U235" s="286"/>
      <c r="V235" s="286"/>
      <c r="W235" s="287" t="str">
        <f t="shared" ref="W235:W237" si="124">IF(AND(U235="Preventivo",V235="Automático"),"50%",IF(AND(U235="Preventivo",V235="Manual"),"40%",IF(AND(U235="Detectivo",V235="Automático"),"40%",IF(AND(U235="Detectivo",V235="Manual"),"30%",IF(AND(U235="Correctivo",V235="Automático"),"35%",IF(AND(U235="Correctivo",V235="Manual"),"25%",""))))))</f>
        <v/>
      </c>
      <c r="X235" s="286"/>
      <c r="Y235" s="286"/>
      <c r="Z235" s="286"/>
      <c r="AA235" s="744" t="str">
        <f>IFERROR(IF(AND(T234="Probabilidad",T235="Probabilidad"),(AC234-(+AC234*W235)),IF(AND(T234="Impacto",T235="Probabilidad"),(L234-(+L234*W235)),IF(T235="Impacto",AC234,""))),"")</f>
        <v/>
      </c>
      <c r="AB235" s="288" t="str">
        <f t="shared" ref="AB235:AB237" si="125">IFERROR(IF(AA235="","",IF(AA235&lt;=0.2,"Muy Baja",IF(AA235&lt;=0.4,"Baja",IF(AA235&lt;=0.6,"Media",IF(AA235&lt;=0.8,"Alta","Muy Alta"))))),"")</f>
        <v/>
      </c>
      <c r="AC235" s="289" t="str">
        <f>+AA235</f>
        <v/>
      </c>
      <c r="AD235" s="288" t="str">
        <f t="shared" ref="AD235:AD237" si="126">IFERROR(IF(AE235="","",IF(AE235&lt;=0.2,"Leve",IF(AE235&lt;=0.4,"Menor",IF(AE235&lt;=0.6,"Moderado",IF(AE235&lt;=0.8,"Mayor","Catastrófico"))))),"")</f>
        <v/>
      </c>
      <c r="AE235" s="289" t="str">
        <f>IFERROR(IF(AND(T234="Impacto",T235="Impacto"),(AE234-(+AE234*W235)),IF(AND(T234="Probabilidad",T235="Impacto"),(P234-(+P234*W235)),IF(T235="Probabilidad",AE234,""))),"")</f>
        <v/>
      </c>
      <c r="AF235" s="290" t="str">
        <f t="shared" ref="AF235:AF237" si="127">IFERROR(IF(OR(AND(AB235="Muy Baja",AD235="Leve"),AND(AB235="Muy Baja",AD235="Menor"),AND(AB235="Baja",AD235="Leve")),"Bajo",IF(OR(AND(AB235="Muy baja",AD235="Moderado"),AND(AB235="Baja",AD235="Menor"),AND(AB235="Baja",AD235="Moderado"),AND(AB235="Media",AD235="Leve"),AND(AB235="Media",AD235="Menor"),AND(AB235="Media",AD235="Moderado"),AND(AB235="Alta",AD235="Leve"),AND(AB235="Alta",AD235="Menor")),"Moderado",IF(OR(AND(AB235="Muy Baja",AD235="Mayor"),AND(AB235="Baja",AD235="Mayor"),AND(AB235="Media",AD235="Mayor"),AND(AB235="Alta",AD235="Moderado"),AND(AB235="Alta",AD235="Mayor"),AND(AB235="Muy Alta",AD235="Leve"),AND(AB235="Muy Alta",AD235="Menor"),AND(AB235="Muy Alta",AD235="Moderado"),AND(AB235="Muy Alta",AD235="Mayor")),"Alto",IF(OR(AND(AB235="Muy Baja",AD235="Catastrófico"),AND(AB235="Baja",AD235="Catastrófico"),AND(AB235="Media",AD235="Catastrófico"),AND(AB235="Alta",AD235="Catastrófico"),AND(AB235="Muy Alta",AD235="Catastrófico")),"Extremo","")))),"")</f>
        <v/>
      </c>
      <c r="AG235" s="291"/>
      <c r="AH235" s="916"/>
      <c r="AI235" s="297"/>
      <c r="AJ235" s="303"/>
      <c r="AK235" s="303"/>
      <c r="AL235" s="296"/>
      <c r="AM235" s="921"/>
      <c r="AN235" s="922"/>
    </row>
    <row r="236" spans="1:40" s="523" customFormat="1" ht="15.6" x14ac:dyDescent="0.25">
      <c r="A236" s="2113"/>
      <c r="B236" s="2156"/>
      <c r="C236" s="2156"/>
      <c r="D236" s="2159"/>
      <c r="E236" s="2955"/>
      <c r="F236" s="2125"/>
      <c r="G236" s="1980"/>
      <c r="H236" s="2125"/>
      <c r="I236" s="2127"/>
      <c r="J236" s="2130"/>
      <c r="K236" s="2110"/>
      <c r="L236" s="2107"/>
      <c r="M236" s="2133"/>
      <c r="N236" s="2107">
        <f>IF(NOT(ISERROR(MATCH(M236,_xlfn.ANCHORARRAY(#REF!),0))),#REF!&amp;"Por favor no seleccionar los criterios de impacto",M236)</f>
        <v>0</v>
      </c>
      <c r="O236" s="2110"/>
      <c r="P236" s="2107"/>
      <c r="Q236" s="2015"/>
      <c r="R236" s="283">
        <v>3</v>
      </c>
      <c r="S236" s="299"/>
      <c r="T236" s="285" t="str">
        <f t="shared" ref="T236:T237" si="128">IF(OR(U236="Preventivo",U236="Detectivo"),"Probabilidad",IF(U236="Correctivo","Impacto",""))</f>
        <v/>
      </c>
      <c r="U236" s="286"/>
      <c r="V236" s="286"/>
      <c r="W236" s="287" t="str">
        <f t="shared" si="124"/>
        <v/>
      </c>
      <c r="X236" s="286"/>
      <c r="Y236" s="286"/>
      <c r="Z236" s="286"/>
      <c r="AA236" s="744" t="str">
        <f>IFERROR(IF(AND(T235="Probabilidad",T236="Probabilidad"),(AC235-(+AC235*W236)),IF(AND(T235="Impacto",T236="Probabilidad"),(AC234-(+AC234*W236)),IF(T236="Impacto",AC235,""))),"")</f>
        <v/>
      </c>
      <c r="AB236" s="288" t="str">
        <f t="shared" si="125"/>
        <v/>
      </c>
      <c r="AC236" s="289" t="str">
        <f t="shared" ref="AC236:AC237" si="129">+AA236</f>
        <v/>
      </c>
      <c r="AD236" s="288" t="str">
        <f t="shared" si="126"/>
        <v/>
      </c>
      <c r="AE236" s="289" t="str">
        <f t="shared" ref="AE236:AE237" si="130">IFERROR(IF(AND(T235="Impacto",T236="Impacto"),(AE235-(+AE235*W236)),IF(AND(T235="Probabilidad",T236="Impacto"),(AE234-(+AE234*W236)),IF(T236="Probabilidad",AE235,""))),"")</f>
        <v/>
      </c>
      <c r="AF236" s="290" t="str">
        <f t="shared" si="127"/>
        <v/>
      </c>
      <c r="AG236" s="291"/>
      <c r="AH236" s="916"/>
      <c r="AI236" s="297"/>
      <c r="AJ236" s="303"/>
      <c r="AK236" s="303"/>
      <c r="AL236" s="296"/>
      <c r="AM236" s="921"/>
      <c r="AN236" s="922"/>
    </row>
    <row r="237" spans="1:40" s="523" customFormat="1" ht="15.6" x14ac:dyDescent="0.25">
      <c r="A237" s="2113"/>
      <c r="B237" s="2156"/>
      <c r="C237" s="2156"/>
      <c r="D237" s="2159"/>
      <c r="E237" s="2956"/>
      <c r="F237" s="2125"/>
      <c r="G237" s="1980"/>
      <c r="H237" s="2125"/>
      <c r="I237" s="2127"/>
      <c r="J237" s="2130"/>
      <c r="K237" s="2110"/>
      <c r="L237" s="2107"/>
      <c r="M237" s="2133"/>
      <c r="N237" s="2107">
        <f>IF(NOT(ISERROR(MATCH(M237,_xlfn.ANCHORARRAY(#REF!),0))),#REF!&amp;"Por favor no seleccionar los criterios de impacto",M237)</f>
        <v>0</v>
      </c>
      <c r="O237" s="2110"/>
      <c r="P237" s="2107"/>
      <c r="Q237" s="2015"/>
      <c r="R237" s="283">
        <v>4</v>
      </c>
      <c r="S237" s="302"/>
      <c r="T237" s="285" t="str">
        <f t="shared" si="128"/>
        <v/>
      </c>
      <c r="U237" s="286"/>
      <c r="V237" s="286"/>
      <c r="W237" s="287" t="str">
        <f t="shared" si="124"/>
        <v/>
      </c>
      <c r="X237" s="286"/>
      <c r="Y237" s="286"/>
      <c r="Z237" s="286"/>
      <c r="AA237" s="744" t="str">
        <f t="shared" ref="AA237" si="131">IFERROR(IF(AND(T236="Probabilidad",T237="Probabilidad"),(AC236-(+AC236*W237)),IF(AND(T236="Impacto",T237="Probabilidad"),(AC235-(+AC235*W237)),IF(T237="Impacto",AC236,""))),"")</f>
        <v/>
      </c>
      <c r="AB237" s="288" t="str">
        <f t="shared" si="125"/>
        <v/>
      </c>
      <c r="AC237" s="289" t="str">
        <f t="shared" si="129"/>
        <v/>
      </c>
      <c r="AD237" s="288" t="str">
        <f t="shared" si="126"/>
        <v/>
      </c>
      <c r="AE237" s="289" t="str">
        <f t="shared" si="130"/>
        <v/>
      </c>
      <c r="AF237" s="290" t="str">
        <f t="shared" si="127"/>
        <v/>
      </c>
      <c r="AG237" s="291"/>
      <c r="AH237" s="916"/>
      <c r="AI237" s="297"/>
      <c r="AJ237" s="303"/>
      <c r="AK237" s="303"/>
      <c r="AL237" s="296"/>
      <c r="AM237" s="921"/>
      <c r="AN237" s="922"/>
    </row>
    <row r="238" spans="1:40" s="523" customFormat="1" ht="92.4" x14ac:dyDescent="0.25">
      <c r="A238" s="2112">
        <v>2</v>
      </c>
      <c r="B238" s="2115" t="s">
        <v>209</v>
      </c>
      <c r="C238" s="2115" t="s">
        <v>351</v>
      </c>
      <c r="D238" s="2118" t="s">
        <v>879</v>
      </c>
      <c r="E238" s="304" t="s">
        <v>352</v>
      </c>
      <c r="F238" s="2121" t="s">
        <v>880</v>
      </c>
      <c r="G238" s="1979" t="s">
        <v>512</v>
      </c>
      <c r="H238" s="923" t="s">
        <v>881</v>
      </c>
      <c r="I238" s="2122" t="s">
        <v>198</v>
      </c>
      <c r="J238" s="2090">
        <v>500</v>
      </c>
      <c r="K238" s="2093" t="str">
        <f>IF(J238&lt;=0,"",IF(J238&lt;=2,"Muy Baja",IF(J238&lt;=24,"Baja",IF(J238&lt;=500,"Media",IF(J238&lt;=5000,"Alta","Muy Alta")))))</f>
        <v>Media</v>
      </c>
      <c r="L238" s="2087">
        <f>IF(K238="","",IF(K238="Muy Baja",0.2,IF(K238="Baja",0.4,IF(K238="Media",0.6,IF(K238="Alta",0.8,IF(K238="Muy Alta",1,))))))</f>
        <v>0.6</v>
      </c>
      <c r="M238" s="2096" t="s">
        <v>216</v>
      </c>
      <c r="N238" s="2087" t="str">
        <f>IF(NOT(ISERROR(MATCH(M238,'[74]Tabla Impacto'!$B$221:$B$223,0))),'[74]Tabla Impacto'!$F$223&amp;"Por favor no seleccionar los criterios de impacto(Afectación Económica o presupuestal y Pérdida Reputacional)",M238)</f>
        <v xml:space="preserve">     El riesgo afecta la imagen de alguna área de la organización</v>
      </c>
      <c r="O238" s="2093" t="str">
        <f>IF(OR(N238='[74]Tabla Impacto'!$C$11,N238='[74]Tabla Impacto'!$D$11),"Leve",IF(OR(N238='[74]Tabla Impacto'!$C$12,N238='[74]Tabla Impacto'!$D$12),"Menor",IF(OR(N238='[74]Tabla Impacto'!$C$13,N238='[74]Tabla Impacto'!$D$13),"Moderado",IF(OR(N238='[74]Tabla Impacto'!$C$14,N238='[74]Tabla Impacto'!$D$14),"Mayor",IF(OR(N238='[74]Tabla Impacto'!$C$15,N238='[74]Tabla Impacto'!$D$15),"Catastrófico","")))))</f>
        <v>Leve</v>
      </c>
      <c r="P238" s="2087">
        <f>IF(O238="","",IF(O238="Leve",0.2,IF(O238="Menor",0.4,IF(O238="Moderado",0.6,IF(O238="Mayor",0.8,IF(O238="Catastrófico",1,))))))</f>
        <v>0.2</v>
      </c>
      <c r="Q238" s="2018" t="str">
        <f>IF(OR(AND(K238="Muy Baja",O238="Leve"),AND(K238="Muy Baja",O238="Menor"),AND(K238="Baja",O238="Leve")),"Bajo",IF(OR(AND(K238="Muy baja",O238="Moderado"),AND(K238="Baja",O238="Menor"),AND(K238="Baja",O238="Moderado"),AND(K238="Media",O238="Leve"),AND(K238="Media",O238="Menor"),AND(K238="Media",O238="Moderado"),AND(K238="Alta",O238="Leve"),AND(K238="Alta",O238="Menor")),"Moderado",IF(OR(AND(K238="Muy Baja",O238="Mayor"),AND(K238="Baja",O238="Mayor"),AND(K238="Media",O238="Mayor"),AND(K238="Alta",O238="Moderado"),AND(K238="Alta",O238="Mayor"),AND(K238="Muy Alta",O238="Leve"),AND(K238="Muy Alta",O238="Menor"),AND(K238="Muy Alta",O238="Moderado"),AND(K238="Muy Alta",O238="Mayor")),"Alto",IF(OR(AND(K238="Muy Baja",O238="Catastrófico"),AND(K238="Baja",O238="Catastrófico"),AND(K238="Media",O238="Catastrófico"),AND(K238="Alta",O238="Catastrófico"),AND(K238="Muy Alta",O238="Catastrófico")),"Extremo",""))))</f>
        <v>Moderado</v>
      </c>
      <c r="R238" s="283">
        <v>1</v>
      </c>
      <c r="S238" s="302" t="s">
        <v>353</v>
      </c>
      <c r="T238" s="285" t="str">
        <f>IF(OR(U238="Preventivo",U238="Detectivo"),"Probabilidad",IF(U238="Correctivo","Impacto",""))</f>
        <v>Probabilidad</v>
      </c>
      <c r="U238" s="286" t="s">
        <v>207</v>
      </c>
      <c r="V238" s="286" t="s">
        <v>201</v>
      </c>
      <c r="W238" s="287" t="str">
        <f>IF(AND(U238="Preventivo",V238="Automático"),"50%",IF(AND(U238="Preventivo",V238="Manual"),"40%",IF(AND(U238="Detectivo",V238="Automático"),"40%",IF(AND(U238="Detectivo",V238="Manual"),"30%",IF(AND(U238="Correctivo",V238="Automático"),"35%",IF(AND(U238="Correctivo",V238="Manual"),"25%",""))))))</f>
        <v>40%</v>
      </c>
      <c r="X238" s="286" t="s">
        <v>208</v>
      </c>
      <c r="Y238" s="286" t="s">
        <v>203</v>
      </c>
      <c r="Z238" s="286" t="s">
        <v>204</v>
      </c>
      <c r="AA238" s="744">
        <f>IFERROR(IF(T238="Probabilidad",(L238-(+L238*W238)),IF(T238="Impacto",L238,"")),"")</f>
        <v>0.36</v>
      </c>
      <c r="AB238" s="288" t="str">
        <f>IFERROR(IF(AA238="","",IF(AA238&lt;=0.2,"Muy Baja",IF(AA238&lt;=0.4,"Baja",IF(AA238&lt;=0.6,"Media",IF(AA238&lt;=0.8,"Alta","Muy Alta"))))),"")</f>
        <v>Baja</v>
      </c>
      <c r="AC238" s="289">
        <f>+AA238</f>
        <v>0.36</v>
      </c>
      <c r="AD238" s="288" t="str">
        <f>IFERROR(IF(AE238="","",IF(AE238&lt;=0.2,"Leve",IF(AE238&lt;=0.4,"Menor",IF(AE238&lt;=0.6,"Moderado",IF(AE238&lt;=0.8,"Mayor","Catastrófico"))))),"")</f>
        <v>Leve</v>
      </c>
      <c r="AE238" s="289">
        <f>IFERROR(IF(T238="Impacto",(P238-(+P238*W238)),IF(T238="Probabilidad",P238,"")),"")</f>
        <v>0.2</v>
      </c>
      <c r="AF238" s="290" t="str">
        <f>IFERROR(IF(OR(AND(AB238="Muy Baja",AD238="Leve"),AND(AB238="Muy Baja",AD238="Menor"),AND(AB238="Baja",AD238="Leve")),"Bajo",IF(OR(AND(AB238="Muy baja",AD238="Moderado"),AND(AB238="Baja",AD238="Menor"),AND(AB238="Baja",AD238="Moderado"),AND(AB238="Media",AD238="Leve"),AND(AB238="Media",AD238="Menor"),AND(AB238="Media",AD238="Moderado"),AND(AB238="Alta",AD238="Leve"),AND(AB238="Alta",AD238="Menor")),"Moderado",IF(OR(AND(AB238="Muy Baja",AD238="Mayor"),AND(AB238="Baja",AD238="Mayor"),AND(AB238="Media",AD238="Mayor"),AND(AB238="Alta",AD238="Moderado"),AND(AB238="Alta",AD238="Mayor"),AND(AB238="Muy Alta",AD238="Leve"),AND(AB238="Muy Alta",AD238="Menor"),AND(AB238="Muy Alta",AD238="Moderado"),AND(AB238="Muy Alta",AD238="Mayor")),"Alto",IF(OR(AND(AB238="Muy Baja",AD238="Catastrófico"),AND(AB238="Baja",AD238="Catastrófico"),AND(AB238="Media",AD238="Catastrófico"),AND(AB238="Alta",AD238="Catastrófico"),AND(AB238="Muy Alta",AD238="Catastrófico")),"Extremo","")))),"")</f>
        <v>Bajo</v>
      </c>
      <c r="AG238" s="291"/>
      <c r="AH238" s="2957"/>
      <c r="AI238" s="2249"/>
      <c r="AJ238" s="746"/>
      <c r="AK238" s="746"/>
      <c r="AL238" s="296"/>
      <c r="AM238" s="921"/>
      <c r="AN238" s="924" t="s">
        <v>1518</v>
      </c>
    </row>
    <row r="239" spans="1:40" s="523" customFormat="1" ht="79.2" x14ac:dyDescent="0.25">
      <c r="A239" s="2113"/>
      <c r="B239" s="2116"/>
      <c r="C239" s="2116"/>
      <c r="D239" s="2119"/>
      <c r="E239" s="304" t="s">
        <v>354</v>
      </c>
      <c r="F239" s="2121"/>
      <c r="G239" s="1980"/>
      <c r="H239" s="923" t="s">
        <v>886</v>
      </c>
      <c r="I239" s="2123"/>
      <c r="J239" s="2091"/>
      <c r="K239" s="2094"/>
      <c r="L239" s="2088"/>
      <c r="M239" s="2097"/>
      <c r="N239" s="2088">
        <f>IF(NOT(ISERROR(MATCH(M239,_xlfn.ANCHORARRAY(F241),0))),#REF!&amp;"Por favor no seleccionar los criterios de impacto",M239)</f>
        <v>0</v>
      </c>
      <c r="O239" s="2094"/>
      <c r="P239" s="2088"/>
      <c r="Q239" s="2019"/>
      <c r="R239" s="283">
        <v>2</v>
      </c>
      <c r="S239" s="302" t="s">
        <v>355</v>
      </c>
      <c r="T239" s="285" t="str">
        <f>IF(OR(U239="Preventivo",U239="Detectivo"),"Probabilidad",IF(U239="Correctivo","Impacto",""))</f>
        <v>Probabilidad</v>
      </c>
      <c r="U239" s="286" t="s">
        <v>207</v>
      </c>
      <c r="V239" s="286" t="s">
        <v>201</v>
      </c>
      <c r="W239" s="287" t="str">
        <f t="shared" ref="W239" si="132">IF(AND(U239="Preventivo",V239="Automático"),"50%",IF(AND(U239="Preventivo",V239="Manual"),"40%",IF(AND(U239="Detectivo",V239="Automático"),"40%",IF(AND(U239="Detectivo",V239="Manual"),"30%",IF(AND(U239="Correctivo",V239="Automático"),"35%",IF(AND(U239="Correctivo",V239="Manual"),"25%",""))))))</f>
        <v>40%</v>
      </c>
      <c r="X239" s="286" t="s">
        <v>208</v>
      </c>
      <c r="Y239" s="286" t="s">
        <v>203</v>
      </c>
      <c r="Z239" s="286" t="s">
        <v>204</v>
      </c>
      <c r="AA239" s="744">
        <f>IFERROR(IF(AND(T238="Probabilidad",T239="Probabilidad"),(AC238-(+AC238*W239)),IF(AND(T238="Impacto",T239="Probabilidad"),(L238-(+L238*W239)),IF(T239="Impacto",AC238,""))),"")</f>
        <v>0.216</v>
      </c>
      <c r="AB239" s="288" t="str">
        <f t="shared" ref="AB239" si="133">IFERROR(IF(AA239="","",IF(AA239&lt;=0.2,"Muy Baja",IF(AA239&lt;=0.4,"Baja",IF(AA239&lt;=0.6,"Media",IF(AA239&lt;=0.8,"Alta","Muy Alta"))))),"")</f>
        <v>Baja</v>
      </c>
      <c r="AC239" s="289">
        <f>+AA239</f>
        <v>0.216</v>
      </c>
      <c r="AD239" s="288" t="str">
        <f t="shared" ref="AD239" si="134">IFERROR(IF(AE239="","",IF(AE239&lt;=0.2,"Leve",IF(AE239&lt;=0.4,"Menor",IF(AE239&lt;=0.6,"Moderado",IF(AE239&lt;=0.8,"Mayor","Catastrófico"))))),"")</f>
        <v>Leve</v>
      </c>
      <c r="AE239" s="289">
        <f>IFERROR(IF(AND(T238="Impacto",T239="Impacto"),(AE238-(+AE238*W239)),IF(AND(T238="Probabilidad",T239="Impacto"),(P238-(+P238*W239)),IF(T239="Probabilidad",AE238,""))),"")</f>
        <v>0.2</v>
      </c>
      <c r="AF239" s="290" t="str">
        <f t="shared" ref="AF239" si="135">IFERROR(IF(OR(AND(AB239="Muy Baja",AD239="Leve"),AND(AB239="Muy Baja",AD239="Menor"),AND(AB239="Baja",AD239="Leve")),"Bajo",IF(OR(AND(AB239="Muy baja",AD239="Moderado"),AND(AB239="Baja",AD239="Menor"),AND(AB239="Baja",AD239="Moderado"),AND(AB239="Media",AD239="Leve"),AND(AB239="Media",AD239="Menor"),AND(AB239="Media",AD239="Moderado"),AND(AB239="Alta",AD239="Leve"),AND(AB239="Alta",AD239="Menor")),"Moderado",IF(OR(AND(AB239="Muy Baja",AD239="Mayor"),AND(AB239="Baja",AD239="Mayor"),AND(AB239="Media",AD239="Mayor"),AND(AB239="Alta",AD239="Moderado"),AND(AB239="Alta",AD239="Mayor"),AND(AB239="Muy Alta",AD239="Leve"),AND(AB239="Muy Alta",AD239="Menor"),AND(AB239="Muy Alta",AD239="Moderado"),AND(AB239="Muy Alta",AD239="Mayor")),"Alto",IF(OR(AND(AB239="Muy Baja",AD239="Catastrófico"),AND(AB239="Baja",AD239="Catastrófico"),AND(AB239="Media",AD239="Catastrófico"),AND(AB239="Alta",AD239="Catastrófico"),AND(AB239="Muy Alta",AD239="Catastrófico")),"Extremo","")))),"")</f>
        <v>Bajo</v>
      </c>
      <c r="AG239" s="291"/>
      <c r="AH239" s="2958"/>
      <c r="AI239" s="2251"/>
      <c r="AJ239" s="303"/>
      <c r="AK239" s="303"/>
      <c r="AL239" s="296"/>
      <c r="AM239" s="921"/>
      <c r="AN239" s="924" t="s">
        <v>1519</v>
      </c>
    </row>
    <row r="240" spans="1:40" s="523" customFormat="1" ht="330" x14ac:dyDescent="0.25">
      <c r="A240" s="690">
        <v>3</v>
      </c>
      <c r="B240" s="1201" t="s">
        <v>395</v>
      </c>
      <c r="C240" s="1201" t="s">
        <v>890</v>
      </c>
      <c r="D240" s="1210" t="s">
        <v>891</v>
      </c>
      <c r="E240" s="925" t="s">
        <v>892</v>
      </c>
      <c r="F240" s="305" t="s">
        <v>893</v>
      </c>
      <c r="G240" s="737" t="s">
        <v>597</v>
      </c>
      <c r="H240" s="801" t="s">
        <v>894</v>
      </c>
      <c r="I240" s="1203" t="s">
        <v>198</v>
      </c>
      <c r="J240" s="1205">
        <v>12</v>
      </c>
      <c r="K240" s="1206" t="str">
        <f t="shared" ref="K240" si="136">IF(J240&lt;=0,"",IF(J240&lt;=2,"Muy Baja",IF(J240&lt;=24,"Baja",IF(J240&lt;=500,"Media",IF(J240&lt;=5000,"Alta","Muy Alta")))))</f>
        <v>Baja</v>
      </c>
      <c r="L240" s="1129">
        <f t="shared" ref="L240" si="137">IF(K240="","",IF(K240="Muy Baja",0.2,IF(K240="Baja",0.4,IF(K240="Media",0.6,IF(K240="Alta",0.8,IF(K240="Muy Alta",1,))))))</f>
        <v>0.4</v>
      </c>
      <c r="M240" s="1207"/>
      <c r="N240" s="1129">
        <f>IF(NOT(ISERROR(MATCH(M240,'[74]Tabla Impacto'!$B$221:$B$223,0))),'[74]Tabla Impacto'!$F$223&amp;"Por favor no seleccionar los criterios de impacto(Afectación Económica o presupuestal y Pérdida Reputacional)",M240)</f>
        <v>0</v>
      </c>
      <c r="O240" s="1206" t="str">
        <f>IF(OR(N240='[74]Tabla Impacto'!$C$11,N240='[74]Tabla Impacto'!$D$11),"Leve",IF(OR(N240='[74]Tabla Impacto'!$C$12,N240='[74]Tabla Impacto'!$D$12),"Menor",IF(OR(N240='[74]Tabla Impacto'!$C$13,N240='[74]Tabla Impacto'!$D$13),"Moderado",IF(OR(N240='[74]Tabla Impacto'!$C$14,N240='[74]Tabla Impacto'!$D$14),"Mayor",IF(OR(N240='[74]Tabla Impacto'!$C$15,N240='[74]Tabla Impacto'!$D$15),"Catastrófico","")))))</f>
        <v/>
      </c>
      <c r="P240" s="1129" t="str">
        <f t="shared" ref="P240" si="138">IF(O240="","",IF(O240="Leve",0.2,IF(O240="Menor",0.4,IF(O240="Moderado",0.6,IF(O240="Mayor",0.8,IF(O240="Catastrófico",1,))))))</f>
        <v/>
      </c>
      <c r="Q240" s="1208" t="str">
        <f t="shared" ref="Q240" si="139">IF(OR(AND(K240="Muy Baja",O240="Leve"),AND(K240="Muy Baja",O240="Menor"),AND(K240="Baja",O240="Leve")),"Bajo",IF(OR(AND(K240="Muy baja",O240="Moderado"),AND(K240="Baja",O240="Menor"),AND(K240="Baja",O240="Moderado"),AND(K240="Media",O240="Leve"),AND(K240="Media",O240="Menor"),AND(K240="Media",O240="Moderado"),AND(K240="Alta",O240="Leve"),AND(K240="Alta",O240="Menor")),"Moderado",IF(OR(AND(K240="Muy Baja",O240="Mayor"),AND(K240="Baja",O240="Mayor"),AND(K240="Media",O240="Mayor"),AND(K240="Alta",O240="Moderado"),AND(K240="Alta",O240="Mayor"),AND(K240="Muy Alta",O240="Leve"),AND(K240="Muy Alta",O240="Menor"),AND(K240="Muy Alta",O240="Moderado"),AND(K240="Muy Alta",O240="Mayor")),"Alto",IF(OR(AND(K240="Muy Baja",O240="Catastrófico"),AND(K240="Baja",O240="Catastrófico"),AND(K240="Media",O240="Catastrófico"),AND(K240="Alta",O240="Catastrófico"),AND(K240="Muy Alta",O240="Catastrófico")),"Extremo",""))))</f>
        <v/>
      </c>
      <c r="R240" s="283">
        <v>1</v>
      </c>
      <c r="S240" s="302" t="s">
        <v>895</v>
      </c>
      <c r="T240" s="285" t="str">
        <f>IF(OR(U240="Preventivo",U240="Detectivo"),"Probabilidad",IF(U240="Correctivo","Impacto",""))</f>
        <v>Probabilidad</v>
      </c>
      <c r="U240" s="286" t="s">
        <v>207</v>
      </c>
      <c r="V240" s="286" t="s">
        <v>201</v>
      </c>
      <c r="W240" s="287" t="str">
        <f>IF(AND(U240="Preventivo",V240="Automático"),"50%",IF(AND(U240="Preventivo",V240="Manual"),"40%",IF(AND(U240="Detectivo",V240="Automático"),"40%",IF(AND(U240="Detectivo",V240="Manual"),"30%",IF(AND(U240="Correctivo",V240="Automático"),"35%",IF(AND(U240="Correctivo",V240="Manual"),"25%",""))))))</f>
        <v>40%</v>
      </c>
      <c r="X240" s="286" t="s">
        <v>208</v>
      </c>
      <c r="Y240" s="286" t="s">
        <v>203</v>
      </c>
      <c r="Z240" s="286" t="s">
        <v>204</v>
      </c>
      <c r="AA240" s="744">
        <f>IFERROR(IF(T240="Probabilidad",(L240-(+L240*W240)),IF(T240="Impacto",L240,"")),"")</f>
        <v>0.24</v>
      </c>
      <c r="AB240" s="288" t="str">
        <f>IFERROR(IF(AA240="","",IF(AA240&lt;=0.2,"Muy Baja",IF(AA240&lt;=0.4,"Baja",IF(AA240&lt;=0.6,"Media",IF(AA240&lt;=0.8,"Alta","Muy Alta"))))),"")</f>
        <v>Baja</v>
      </c>
      <c r="AC240" s="289">
        <f>+AA240</f>
        <v>0.24</v>
      </c>
      <c r="AD240" s="288" t="str">
        <f>IFERROR(IF(AE240="","",IF(AE240&lt;=0.2,"Leve",IF(AE240&lt;=0.4,"Menor",IF(AE240&lt;=0.6,"Moderado",IF(AE240&lt;=0.8,"Mayor","Catastrófico"))))),"")</f>
        <v/>
      </c>
      <c r="AE240" s="289" t="str">
        <f>IFERROR(IF(T240="Impacto",(P240-(+P240*W240)),IF(T240="Probabilidad",P240,"")),"")</f>
        <v/>
      </c>
      <c r="AF240" s="290" t="str">
        <f>IFERROR(IF(OR(AND(AB240="Muy Baja",AD240="Leve"),AND(AB240="Muy Baja",AD240="Menor"),AND(AB240="Baja",AD240="Leve")),"Bajo",IF(OR(AND(AB240="Muy baja",AD240="Moderado"),AND(AB240="Baja",AD240="Menor"),AND(AB240="Baja",AD240="Moderado"),AND(AB240="Media",AD240="Leve"),AND(AB240="Media",AD240="Menor"),AND(AB240="Media",AD240="Moderado"),AND(AB240="Alta",AD240="Leve"),AND(AB240="Alta",AD240="Menor")),"Moderado",IF(OR(AND(AB240="Muy Baja",AD240="Mayor"),AND(AB240="Baja",AD240="Mayor"),AND(AB240="Media",AD240="Mayor"),AND(AB240="Alta",AD240="Moderado"),AND(AB240="Alta",AD240="Mayor"),AND(AB240="Muy Alta",AD240="Leve"),AND(AB240="Muy Alta",AD240="Menor"),AND(AB240="Muy Alta",AD240="Moderado"),AND(AB240="Muy Alta",AD240="Mayor")),"Alto",IF(OR(AND(AB240="Muy Baja",AD240="Catastrófico"),AND(AB240="Baja",AD240="Catastrófico"),AND(AB240="Media",AD240="Catastrófico"),AND(AB240="Alta",AD240="Catastrófico"),AND(AB240="Muy Alta",AD240="Catastrófico")),"Extremo","")))),"")</f>
        <v/>
      </c>
      <c r="AG240" s="291"/>
      <c r="AH240" s="926"/>
      <c r="AI240" s="927"/>
      <c r="AJ240" s="928"/>
      <c r="AK240" s="928"/>
      <c r="AL240" s="929"/>
      <c r="AM240" s="930"/>
      <c r="AN240" s="931" t="s">
        <v>1520</v>
      </c>
    </row>
    <row r="241" spans="1:41" s="523" customFormat="1" ht="82.8" x14ac:dyDescent="0.25">
      <c r="A241" s="690">
        <v>4</v>
      </c>
      <c r="B241" s="1201" t="s">
        <v>395</v>
      </c>
      <c r="C241" s="1201" t="s">
        <v>901</v>
      </c>
      <c r="D241" s="1202" t="s">
        <v>902</v>
      </c>
      <c r="E241" s="925" t="s">
        <v>903</v>
      </c>
      <c r="F241" s="305" t="s">
        <v>904</v>
      </c>
      <c r="G241" s="692" t="s">
        <v>597</v>
      </c>
      <c r="H241" s="801" t="s">
        <v>894</v>
      </c>
      <c r="I241" s="1203" t="s">
        <v>198</v>
      </c>
      <c r="J241" s="1205">
        <v>300</v>
      </c>
      <c r="K241" s="1206" t="str">
        <f t="shared" ref="K241" si="140">IF(J241&lt;=0,"",IF(J241&lt;=2,"Muy Baja",IF(J241&lt;=24,"Baja",IF(J241&lt;=500,"Media",IF(J241&lt;=5000,"Alta","Muy Alta")))))</f>
        <v>Media</v>
      </c>
      <c r="L241" s="1129">
        <f t="shared" ref="L241" si="141">IF(K241="","",IF(K241="Muy Baja",0.2,IF(K241="Baja",0.4,IF(K241="Media",0.6,IF(K241="Alta",0.8,IF(K241="Muy Alta",1,))))))</f>
        <v>0.6</v>
      </c>
      <c r="M241" s="1207" t="s">
        <v>393</v>
      </c>
      <c r="N241" s="1129" t="str">
        <f>IF(NOT(ISERROR(MATCH(M241,'[74]Tabla Impacto'!$B$221:$B$223,0))),'[74]Tabla Impacto'!$F$223&amp;"Por favor no seleccionar los criterios de impacto(Afectación Económica o presupuestal y Pérdida Reputacional)",M241)</f>
        <v xml:space="preserve">     Entre 200 y 1000 SMLMV</v>
      </c>
      <c r="O241" s="1206" t="str">
        <f>IF(OR(N241='[74]Tabla Impacto'!$C$11,N241='[74]Tabla Impacto'!$D$11),"Leve",IF(OR(N241='[74]Tabla Impacto'!$C$12,N241='[74]Tabla Impacto'!$D$12),"Menor",IF(OR(N241='[74]Tabla Impacto'!$C$13,N241='[74]Tabla Impacto'!$D$13),"Moderado",IF(OR(N241='[74]Tabla Impacto'!$C$14,N241='[74]Tabla Impacto'!$D$14),"Mayor",IF(OR(N241='[74]Tabla Impacto'!$C$15,N241='[74]Tabla Impacto'!$D$15),"Catastrófico","")))))</f>
        <v>Menor</v>
      </c>
      <c r="P241" s="1129">
        <f t="shared" ref="P241" si="142">IF(O241="","",IF(O241="Leve",0.2,IF(O241="Menor",0.4,IF(O241="Moderado",0.6,IF(O241="Mayor",0.8,IF(O241="Catastrófico",1,))))))</f>
        <v>0.4</v>
      </c>
      <c r="Q241" s="1208" t="str">
        <f t="shared" ref="Q241" si="143">IF(OR(AND(K241="Muy Baja",O241="Leve"),AND(K241="Muy Baja",O241="Menor"),AND(K241="Baja",O241="Leve")),"Bajo",IF(OR(AND(K241="Muy baja",O241="Moderado"),AND(K241="Baja",O241="Menor"),AND(K241="Baja",O241="Moderado"),AND(K241="Media",O241="Leve"),AND(K241="Media",O241="Menor"),AND(K241="Media",O241="Moderado"),AND(K241="Alta",O241="Leve"),AND(K241="Alta",O241="Menor")),"Moderado",IF(OR(AND(K241="Muy Baja",O241="Mayor"),AND(K241="Baja",O241="Mayor"),AND(K241="Media",O241="Mayor"),AND(K241="Alta",O241="Moderado"),AND(K241="Alta",O241="Mayor"),AND(K241="Muy Alta",O241="Leve"),AND(K241="Muy Alta",O241="Menor"),AND(K241="Muy Alta",O241="Moderado"),AND(K241="Muy Alta",O241="Mayor")),"Alto",IF(OR(AND(K241="Muy Baja",O241="Catastrófico"),AND(K241="Baja",O241="Catastrófico"),AND(K241="Media",O241="Catastrófico"),AND(K241="Alta",O241="Catastrófico"),AND(K241="Muy Alta",O241="Catastrófico")),"Extremo",""))))</f>
        <v>Moderado</v>
      </c>
      <c r="R241" s="283">
        <v>1</v>
      </c>
      <c r="S241" s="302" t="s">
        <v>1207</v>
      </c>
      <c r="T241" s="285" t="str">
        <f>IF(OR(U241="Preventivo",U241="Detectivo"),"Probabilidad",IF(U241="Correctivo","Impacto",""))</f>
        <v>Probabilidad</v>
      </c>
      <c r="U241" s="286" t="s">
        <v>207</v>
      </c>
      <c r="V241" s="286" t="s">
        <v>201</v>
      </c>
      <c r="W241" s="287" t="str">
        <f>IF(AND(U241="Preventivo",V241="Automático"),"50%",IF(AND(U241="Preventivo",V241="Manual"),"40%",IF(AND(U241="Detectivo",V241="Automático"),"40%",IF(AND(U241="Detectivo",V241="Manual"),"30%",IF(AND(U241="Correctivo",V241="Automático"),"35%",IF(AND(U241="Correctivo",V241="Manual"),"25%",""))))))</f>
        <v>40%</v>
      </c>
      <c r="X241" s="286" t="s">
        <v>208</v>
      </c>
      <c r="Y241" s="286" t="s">
        <v>203</v>
      </c>
      <c r="Z241" s="933" t="s">
        <v>204</v>
      </c>
      <c r="AA241" s="934">
        <f>IFERROR(IF(T241="Probabilidad",(L241-(+L241*W241)),IF(T241="Impacto",L241,"")),"")</f>
        <v>0.36</v>
      </c>
      <c r="AB241" s="935" t="str">
        <f>IFERROR(IF(AA241="","",IF(AA241&lt;=0.2,"Muy Baja",IF(AA241&lt;=0.4,"Baja",IF(AA241&lt;=0.6,"Media",IF(AA241&lt;=0.8,"Alta","Muy Alta"))))),"")</f>
        <v>Baja</v>
      </c>
      <c r="AC241" s="936">
        <f>+AA241</f>
        <v>0.36</v>
      </c>
      <c r="AD241" s="935" t="str">
        <f>IFERROR(IF(AE241="","",IF(AE241&lt;=0.2,"Leve",IF(AE241&lt;=0.4,"Menor",IF(AE241&lt;=0.6,"Moderado",IF(AE241&lt;=0.8,"Mayor","Catastrófico"))))),"")</f>
        <v>Menor</v>
      </c>
      <c r="AE241" s="936">
        <f>IFERROR(IF(T241="Impacto",(P241-(+P241*W241)),IF(T241="Probabilidad",P241,"")),"")</f>
        <v>0.4</v>
      </c>
      <c r="AF241" s="937" t="str">
        <f>IFERROR(IF(OR(AND(AB241="Muy Baja",AD241="Leve"),AND(AB241="Muy Baja",AD241="Menor"),AND(AB241="Baja",AD241="Leve")),"Bajo",IF(OR(AND(AB241="Muy baja",AD241="Moderado"),AND(AB241="Baja",AD241="Menor"),AND(AB241="Baja",AD241="Moderado"),AND(AB241="Media",AD241="Leve"),AND(AB241="Media",AD241="Menor"),AND(AB241="Media",AD241="Moderado"),AND(AB241="Alta",AD241="Leve"),AND(AB241="Alta",AD241="Menor")),"Moderado",IF(OR(AND(AB241="Muy Baja",AD241="Mayor"),AND(AB241="Baja",AD241="Mayor"),AND(AB241="Media",AD241="Mayor"),AND(AB241="Alta",AD241="Moderado"),AND(AB241="Alta",AD241="Mayor"),AND(AB241="Muy Alta",AD241="Leve"),AND(AB241="Muy Alta",AD241="Menor"),AND(AB241="Muy Alta",AD241="Moderado"),AND(AB241="Muy Alta",AD241="Mayor")),"Alto",IF(OR(AND(AB241="Muy Baja",AD241="Catastrófico"),AND(AB241="Baja",AD241="Catastrófico"),AND(AB241="Media",AD241="Catastrófico"),AND(AB241="Alta",AD241="Catastrófico"),AND(AB241="Muy Alta",AD241="Catastrófico")),"Extremo","")))),"")</f>
        <v>Moderado</v>
      </c>
      <c r="AG241" s="938"/>
      <c r="AH241" s="939"/>
      <c r="AI241" s="927"/>
      <c r="AJ241" s="928"/>
      <c r="AK241" s="928"/>
      <c r="AL241" s="929"/>
      <c r="AM241" s="930"/>
      <c r="AN241" s="924" t="s">
        <v>1521</v>
      </c>
    </row>
    <row r="242" spans="1:41" s="523" customFormat="1" x14ac:dyDescent="0.25">
      <c r="A242" s="2343" t="s">
        <v>156</v>
      </c>
      <c r="B242" s="2344"/>
      <c r="C242" s="2344"/>
      <c r="D242" s="2344"/>
      <c r="E242" s="2344"/>
      <c r="F242" s="2344"/>
      <c r="G242" s="2344"/>
      <c r="H242" s="2344"/>
      <c r="I242" s="2344"/>
      <c r="J242" s="2344"/>
      <c r="K242" s="2344"/>
      <c r="L242" s="2344"/>
      <c r="M242" s="2344"/>
      <c r="N242" s="2344"/>
      <c r="O242" s="2344"/>
      <c r="P242" s="2344"/>
      <c r="Q242" s="2344"/>
      <c r="R242" s="2344"/>
      <c r="S242" s="2344"/>
      <c r="T242" s="2344"/>
      <c r="U242" s="2344"/>
      <c r="V242" s="2344"/>
      <c r="W242" s="2344"/>
      <c r="X242" s="2344"/>
      <c r="Y242" s="2344"/>
      <c r="Z242" s="2344"/>
      <c r="AA242" s="2344"/>
      <c r="AB242" s="2344"/>
      <c r="AC242" s="2344"/>
      <c r="AD242" s="2344"/>
      <c r="AE242" s="2344"/>
      <c r="AF242" s="2344"/>
      <c r="AG242" s="2344"/>
      <c r="AH242" s="2344"/>
      <c r="AI242" s="2344"/>
      <c r="AJ242" s="2344"/>
      <c r="AK242" s="2344"/>
      <c r="AL242" s="2344"/>
      <c r="AM242" s="2345"/>
      <c r="AN242" s="700"/>
      <c r="AO242" s="700"/>
    </row>
    <row r="243" spans="1:41" ht="13.8" customHeight="1" x14ac:dyDescent="0.3">
      <c r="A243" s="2346"/>
      <c r="B243" s="2347"/>
      <c r="C243" s="2347"/>
      <c r="D243" s="2347"/>
      <c r="E243" s="2347"/>
      <c r="F243" s="2347"/>
      <c r="G243" s="2347"/>
      <c r="H243" s="2347"/>
      <c r="I243" s="2347"/>
      <c r="J243" s="2347"/>
      <c r="K243" s="2347"/>
      <c r="L243" s="2347"/>
      <c r="M243" s="2347"/>
      <c r="N243" s="2347"/>
      <c r="O243" s="2347"/>
      <c r="P243" s="2347"/>
      <c r="Q243" s="2347"/>
      <c r="R243" s="2347"/>
      <c r="S243" s="2347"/>
      <c r="T243" s="2347"/>
      <c r="U243" s="2347"/>
      <c r="V243" s="2347"/>
      <c r="W243" s="2347"/>
      <c r="X243" s="2347"/>
      <c r="Y243" s="2347"/>
      <c r="Z243" s="2347"/>
      <c r="AA243" s="2347"/>
      <c r="AB243" s="2347"/>
      <c r="AC243" s="2347"/>
      <c r="AD243" s="2347"/>
      <c r="AE243" s="2347"/>
      <c r="AF243" s="2347"/>
      <c r="AG243" s="2347"/>
      <c r="AH243" s="2347"/>
      <c r="AI243" s="2347"/>
      <c r="AJ243" s="2347"/>
      <c r="AK243" s="2347"/>
      <c r="AL243" s="2347"/>
      <c r="AM243" s="2348"/>
      <c r="AN243" s="700"/>
      <c r="AO243" s="700"/>
    </row>
    <row r="244" spans="1:41" ht="14.4" x14ac:dyDescent="0.3">
      <c r="A244" s="703"/>
      <c r="B244" s="704"/>
      <c r="C244" s="703"/>
      <c r="D244" s="703"/>
      <c r="E244" s="703"/>
      <c r="F244" s="700"/>
      <c r="G244" s="700"/>
      <c r="H244" s="700"/>
      <c r="I244" s="705"/>
      <c r="J244" s="700"/>
      <c r="K244" s="700"/>
      <c r="L244" s="700"/>
      <c r="M244" s="700"/>
      <c r="N244" s="700"/>
      <c r="O244" s="700"/>
      <c r="P244" s="700"/>
      <c r="Q244" s="700"/>
      <c r="R244" s="700"/>
      <c r="S244" s="700"/>
      <c r="T244" s="700"/>
      <c r="U244" s="700"/>
      <c r="V244" s="700"/>
      <c r="W244" s="700"/>
      <c r="X244" s="700"/>
      <c r="Y244" s="700"/>
      <c r="Z244" s="700"/>
      <c r="AA244" s="700"/>
      <c r="AB244" s="700"/>
      <c r="AC244" s="700"/>
      <c r="AD244" s="700"/>
      <c r="AE244" s="700"/>
      <c r="AF244" s="700"/>
      <c r="AG244" s="700"/>
      <c r="AH244" s="700"/>
      <c r="AI244" s="700"/>
      <c r="AJ244" s="700"/>
      <c r="AK244" s="700"/>
      <c r="AL244" s="700"/>
      <c r="AM244" s="700"/>
      <c r="AN244" s="700"/>
      <c r="AO244" s="700"/>
    </row>
    <row r="245" spans="1:41" ht="23.4" x14ac:dyDescent="0.3">
      <c r="A245" s="2349" t="s">
        <v>157</v>
      </c>
      <c r="B245" s="2350"/>
      <c r="C245" s="2039" t="s">
        <v>1317</v>
      </c>
      <c r="D245" s="2039"/>
      <c r="E245" s="2039"/>
      <c r="F245" s="2039"/>
      <c r="G245" s="2039"/>
      <c r="H245" s="2039"/>
      <c r="I245" s="2039"/>
      <c r="J245" s="2039"/>
      <c r="K245" s="2039"/>
      <c r="L245" s="2039"/>
      <c r="M245" s="2039"/>
      <c r="N245" s="2039"/>
      <c r="O245" s="2039"/>
      <c r="P245" s="2039"/>
      <c r="Q245" s="2039"/>
      <c r="R245" s="2039"/>
      <c r="S245" s="2039"/>
      <c r="T245" s="2039"/>
      <c r="U245" s="2039"/>
      <c r="V245" s="2039"/>
      <c r="W245" s="2039"/>
      <c r="X245" s="2039"/>
      <c r="Y245" s="2039"/>
      <c r="Z245" s="2039"/>
      <c r="AA245" s="2039"/>
      <c r="AB245" s="2039"/>
      <c r="AC245" s="2039"/>
      <c r="AD245" s="2039"/>
      <c r="AE245" s="2039"/>
      <c r="AF245" s="2039"/>
      <c r="AG245" s="2039"/>
      <c r="AH245" s="2039"/>
      <c r="AI245" s="2039"/>
      <c r="AJ245" s="2039"/>
      <c r="AK245" s="2039"/>
      <c r="AL245" s="2039"/>
      <c r="AM245" s="2039"/>
      <c r="AN245" s="700"/>
      <c r="AO245" s="700"/>
    </row>
    <row r="246" spans="1:41" ht="23.4" x14ac:dyDescent="0.3">
      <c r="A246" s="2349" t="s">
        <v>158</v>
      </c>
      <c r="B246" s="2350"/>
      <c r="C246" s="3210" t="s">
        <v>1318</v>
      </c>
      <c r="D246" s="3211"/>
      <c r="E246" s="3211"/>
      <c r="F246" s="3211"/>
      <c r="G246" s="3211"/>
      <c r="H246" s="3211"/>
      <c r="I246" s="3211"/>
      <c r="J246" s="3211"/>
      <c r="K246" s="3211"/>
      <c r="L246" s="3211"/>
      <c r="M246" s="3211"/>
      <c r="N246" s="3211"/>
      <c r="O246" s="3211"/>
      <c r="P246" s="3211"/>
      <c r="Q246" s="3211"/>
      <c r="R246" s="3211"/>
      <c r="S246" s="3211"/>
      <c r="T246" s="3211"/>
      <c r="U246" s="3211"/>
      <c r="V246" s="3211"/>
      <c r="W246" s="3211"/>
      <c r="X246" s="3211"/>
      <c r="Y246" s="3211"/>
      <c r="Z246" s="3211"/>
      <c r="AA246" s="3211"/>
      <c r="AB246" s="3211"/>
      <c r="AC246" s="3211"/>
      <c r="AD246" s="3211"/>
      <c r="AE246" s="3211"/>
      <c r="AF246" s="3211"/>
      <c r="AG246" s="3211"/>
      <c r="AH246" s="3211"/>
      <c r="AI246" s="3211"/>
      <c r="AJ246" s="3211"/>
      <c r="AK246" s="3211"/>
      <c r="AL246" s="3211"/>
      <c r="AM246" s="3212"/>
      <c r="AN246" s="700"/>
      <c r="AO246" s="700"/>
    </row>
    <row r="247" spans="1:41" ht="23.4" x14ac:dyDescent="0.3">
      <c r="A247" s="2349" t="s">
        <v>159</v>
      </c>
      <c r="B247" s="2350"/>
      <c r="C247" s="2040" t="s">
        <v>1523</v>
      </c>
      <c r="D247" s="2040"/>
      <c r="E247" s="2040"/>
      <c r="F247" s="2040"/>
      <c r="G247" s="2040"/>
      <c r="H247" s="2040"/>
      <c r="I247" s="2040"/>
      <c r="J247" s="2040"/>
      <c r="K247" s="2040"/>
      <c r="L247" s="2040"/>
      <c r="M247" s="2040"/>
      <c r="N247" s="2040"/>
      <c r="O247" s="2040"/>
      <c r="P247" s="2040"/>
      <c r="Q247" s="2040"/>
      <c r="R247" s="2040"/>
      <c r="S247" s="2040"/>
      <c r="T247" s="2040"/>
      <c r="U247" s="2040"/>
      <c r="V247" s="2040"/>
      <c r="W247" s="2040"/>
      <c r="X247" s="2040"/>
      <c r="Y247" s="2040"/>
      <c r="Z247" s="2040"/>
      <c r="AA247" s="2040"/>
      <c r="AB247" s="2040"/>
      <c r="AC247" s="2040"/>
      <c r="AD247" s="2040"/>
      <c r="AE247" s="2040"/>
      <c r="AF247" s="2040"/>
      <c r="AG247" s="2040"/>
      <c r="AH247" s="2040"/>
      <c r="AI247" s="2040"/>
      <c r="AJ247" s="2040"/>
      <c r="AK247" s="2040"/>
      <c r="AL247" s="2040"/>
      <c r="AM247" s="2040"/>
      <c r="AN247" s="700"/>
      <c r="AO247" s="700"/>
    </row>
    <row r="248" spans="1:41" ht="14.4" x14ac:dyDescent="0.3">
      <c r="A248" s="2351" t="s">
        <v>160</v>
      </c>
      <c r="B248" s="2352"/>
      <c r="C248" s="2353"/>
      <c r="D248" s="2353"/>
      <c r="E248" s="2353"/>
      <c r="F248" s="2353"/>
      <c r="G248" s="2353"/>
      <c r="H248" s="2353"/>
      <c r="I248" s="2353"/>
      <c r="J248" s="2354"/>
      <c r="K248" s="2101" t="s">
        <v>161</v>
      </c>
      <c r="L248" s="2353"/>
      <c r="M248" s="2353"/>
      <c r="N248" s="2353"/>
      <c r="O248" s="2353"/>
      <c r="P248" s="2353"/>
      <c r="Q248" s="2354"/>
      <c r="R248" s="2101" t="s">
        <v>162</v>
      </c>
      <c r="S248" s="2353"/>
      <c r="T248" s="2353"/>
      <c r="U248" s="2353"/>
      <c r="V248" s="2353"/>
      <c r="W248" s="2353"/>
      <c r="X248" s="2353"/>
      <c r="Y248" s="2353"/>
      <c r="Z248" s="2354"/>
      <c r="AA248" s="2101" t="s">
        <v>163</v>
      </c>
      <c r="AB248" s="2353"/>
      <c r="AC248" s="2353"/>
      <c r="AD248" s="2353"/>
      <c r="AE248" s="2353"/>
      <c r="AF248" s="2353"/>
      <c r="AG248" s="2354"/>
      <c r="AH248" s="2101" t="s">
        <v>164</v>
      </c>
      <c r="AI248" s="2353"/>
      <c r="AJ248" s="2353"/>
      <c r="AK248" s="2353"/>
      <c r="AL248" s="2353"/>
      <c r="AM248" s="2354"/>
      <c r="AN248" s="700"/>
      <c r="AO248" s="700"/>
    </row>
    <row r="249" spans="1:41" x14ac:dyDescent="0.3">
      <c r="A249" s="2140" t="s">
        <v>165</v>
      </c>
      <c r="B249" s="2142" t="s">
        <v>142</v>
      </c>
      <c r="C249" s="2042" t="s">
        <v>166</v>
      </c>
      <c r="D249" s="2042" t="s">
        <v>167</v>
      </c>
      <c r="E249" s="2041" t="s">
        <v>168</v>
      </c>
      <c r="F249" s="2103" t="s">
        <v>60</v>
      </c>
      <c r="G249" s="280"/>
      <c r="H249" s="280"/>
      <c r="I249" s="2041" t="s">
        <v>169</v>
      </c>
      <c r="J249" s="2042" t="s">
        <v>170</v>
      </c>
      <c r="K249" s="2105" t="s">
        <v>171</v>
      </c>
      <c r="L249" s="2100" t="s">
        <v>172</v>
      </c>
      <c r="M249" s="2041" t="s">
        <v>173</v>
      </c>
      <c r="N249" s="2041" t="s">
        <v>174</v>
      </c>
      <c r="O249" s="2102" t="s">
        <v>175</v>
      </c>
      <c r="P249" s="2100" t="s">
        <v>172</v>
      </c>
      <c r="Q249" s="2042" t="s">
        <v>176</v>
      </c>
      <c r="R249" s="2161" t="s">
        <v>177</v>
      </c>
      <c r="S249" s="2043" t="s">
        <v>178</v>
      </c>
      <c r="T249" s="2041" t="s">
        <v>179</v>
      </c>
      <c r="U249" s="2043" t="s">
        <v>180</v>
      </c>
      <c r="V249" s="2043"/>
      <c r="W249" s="2043"/>
      <c r="X249" s="2043"/>
      <c r="Y249" s="2043"/>
      <c r="Z249" s="2043"/>
      <c r="AA249" s="2099" t="s">
        <v>181</v>
      </c>
      <c r="AB249" s="2099" t="s">
        <v>182</v>
      </c>
      <c r="AC249" s="2099" t="s">
        <v>172</v>
      </c>
      <c r="AD249" s="2099" t="s">
        <v>183</v>
      </c>
      <c r="AE249" s="2099" t="s">
        <v>172</v>
      </c>
      <c r="AF249" s="2099" t="s">
        <v>184</v>
      </c>
      <c r="AG249" s="2161" t="s">
        <v>185</v>
      </c>
      <c r="AH249" s="2043" t="s">
        <v>164</v>
      </c>
      <c r="AI249" s="2043" t="s">
        <v>143</v>
      </c>
      <c r="AJ249" s="2043" t="s">
        <v>186</v>
      </c>
      <c r="AK249" s="2043" t="s">
        <v>187</v>
      </c>
      <c r="AL249" s="2043" t="s">
        <v>188</v>
      </c>
      <c r="AM249" s="2043" t="s">
        <v>189</v>
      </c>
      <c r="AN249" s="2830" t="s">
        <v>1319</v>
      </c>
      <c r="AO249" s="2830" t="s">
        <v>1524</v>
      </c>
    </row>
    <row r="250" spans="1:41" ht="71.400000000000006" x14ac:dyDescent="0.3">
      <c r="A250" s="2141"/>
      <c r="B250" s="2142"/>
      <c r="C250" s="2043"/>
      <c r="D250" s="2043"/>
      <c r="E250" s="2105"/>
      <c r="F250" s="2104"/>
      <c r="G250" s="280" t="s">
        <v>511</v>
      </c>
      <c r="H250" s="280" t="s">
        <v>190</v>
      </c>
      <c r="I250" s="2042"/>
      <c r="J250" s="2043"/>
      <c r="K250" s="2042"/>
      <c r="L250" s="2101"/>
      <c r="M250" s="2042"/>
      <c r="N250" s="2042"/>
      <c r="O250" s="2101"/>
      <c r="P250" s="2101"/>
      <c r="Q250" s="2043"/>
      <c r="R250" s="2162"/>
      <c r="S250" s="2043"/>
      <c r="T250" s="2042"/>
      <c r="U250" s="281" t="s">
        <v>191</v>
      </c>
      <c r="V250" s="281" t="s">
        <v>192</v>
      </c>
      <c r="W250" s="281" t="s">
        <v>193</v>
      </c>
      <c r="X250" s="281" t="s">
        <v>194</v>
      </c>
      <c r="Y250" s="281" t="s">
        <v>195</v>
      </c>
      <c r="Z250" s="281" t="s">
        <v>196</v>
      </c>
      <c r="AA250" s="2099"/>
      <c r="AB250" s="2099"/>
      <c r="AC250" s="2099"/>
      <c r="AD250" s="2099"/>
      <c r="AE250" s="2099"/>
      <c r="AF250" s="2099"/>
      <c r="AG250" s="2162"/>
      <c r="AH250" s="2043"/>
      <c r="AI250" s="2043"/>
      <c r="AJ250" s="2043"/>
      <c r="AK250" s="2043"/>
      <c r="AL250" s="2043"/>
      <c r="AM250" s="2043"/>
      <c r="AN250" s="2830"/>
      <c r="AO250" s="2830"/>
    </row>
    <row r="251" spans="1:41" ht="97.2" customHeight="1" x14ac:dyDescent="0.3">
      <c r="A251" s="2112">
        <v>1</v>
      </c>
      <c r="B251" s="2237" t="s">
        <v>197</v>
      </c>
      <c r="C251" s="2237" t="s">
        <v>1320</v>
      </c>
      <c r="D251" s="3206" t="s">
        <v>1321</v>
      </c>
      <c r="E251" s="282" t="s">
        <v>1322</v>
      </c>
      <c r="F251" s="2355" t="s">
        <v>1323</v>
      </c>
      <c r="G251" s="2356" t="s">
        <v>512</v>
      </c>
      <c r="H251" s="2355" t="s">
        <v>486</v>
      </c>
      <c r="I251" s="2358" t="s">
        <v>198</v>
      </c>
      <c r="J251" s="2293">
        <v>4</v>
      </c>
      <c r="K251" s="2295" t="str">
        <f>IF(J251&lt;=0,"",IF(J251&lt;=2,"Muy Baja",IF(J251&lt;=24,"Baja",IF(J251&lt;=500,"Media",IF(J251&lt;=5000,"Alta","Muy Alta")))))</f>
        <v>Baja</v>
      </c>
      <c r="L251" s="2297">
        <f>IF(K251="","",IF(K251="Muy Baja",0.2,IF(K251="Baja",0.4,IF(K251="Media",0.6,IF(K251="Alta",0.8,IF(K251="Muy Alta",1,))))))</f>
        <v>0.4</v>
      </c>
      <c r="M251" s="2299" t="s">
        <v>225</v>
      </c>
      <c r="N251" s="2297" t="str">
        <f>IF(NOT(ISERROR(MATCH(M251,'[75]Tabla Impacto'!$B$221:$B$223,0))),'[75]Tabla Impacto'!$F$223&amp;"Por favor no seleccionar los criterios de impacto(Afectación Económica o presupuestal y Pérdida Reputacional)",M251)</f>
        <v xml:space="preserve">     El riesgo afecta la imagen de la entidad con algunos usuarios de relevancia frente al logro de los objetivos</v>
      </c>
      <c r="O251" s="2295" t="str">
        <f>IF(OR(N251='[75]Tabla Impacto'!$C$11,N251='[75]Tabla Impacto'!$D$11),"Leve",IF(OR(N251='[75]Tabla Impacto'!$C$12,N251='[75]Tabla Impacto'!$D$12),"Menor",IF(OR(N251='[75]Tabla Impacto'!$C$13,N251='[75]Tabla Impacto'!$D$13),"Moderado",IF(OR(N251='[75]Tabla Impacto'!$C$14,N251='[75]Tabla Impacto'!$D$14),"Mayor",IF(OR(N251='[75]Tabla Impacto'!$C$15,N251='[75]Tabla Impacto'!$D$15),"Catastrófico","")))))</f>
        <v>Moderado</v>
      </c>
      <c r="P251" s="2297">
        <f>IF(O251="","",IF(O251="Leve",0.2,IF(O251="Menor",0.4,IF(O251="Moderado",0.6,IF(O251="Mayor",0.8,IF(O251="Catastrófico",1,))))))</f>
        <v>0.6</v>
      </c>
      <c r="Q251" s="2267" t="str">
        <f>IF(OR(AND(K251="Muy Baja",O251="Leve"),AND(K251="Muy Baja",O251="Menor"),AND(K251="Baja",O251="Leve")),"Bajo",IF(OR(AND(K251="Muy baja",O251="Moderado"),AND(K251="Baja",O251="Menor"),AND(K251="Baja",O251="Moderado"),AND(K251="Media",O251="Leve"),AND(K251="Media",O251="Menor"),AND(K251="Media",O251="Moderado"),AND(K251="Alta",O251="Leve"),AND(K251="Alta",O251="Menor")),"Moderado",IF(OR(AND(K251="Muy Baja",O251="Mayor"),AND(K251="Baja",O251="Mayor"),AND(K251="Media",O251="Mayor"),AND(K251="Alta",O251="Moderado"),AND(K251="Alta",O251="Mayor"),AND(K251="Muy Alta",O251="Leve"),AND(K251="Muy Alta",O251="Menor"),AND(K251="Muy Alta",O251="Moderado"),AND(K251="Muy Alta",O251="Mayor")),"Alto",IF(OR(AND(K251="Muy Baja",O251="Catastrófico"),AND(K251="Baja",O251="Catastrófico"),AND(K251="Media",O251="Catastrófico"),AND(K251="Alta",O251="Catastrófico"),AND(K251="Muy Alta",O251="Catastrófico")),"Extremo",""))))</f>
        <v>Moderado</v>
      </c>
      <c r="R251" s="716">
        <v>1</v>
      </c>
      <c r="S251" s="796" t="s">
        <v>1324</v>
      </c>
      <c r="T251" s="718" t="str">
        <f>IF(OR(U251="Preventivo",U251="Detectivo"),"Probabilidad",IF(U251="Correctivo","Impacto",""))</f>
        <v>Probabilidad</v>
      </c>
      <c r="U251" s="719" t="s">
        <v>207</v>
      </c>
      <c r="V251" s="719" t="s">
        <v>201</v>
      </c>
      <c r="W251" s="720" t="str">
        <f>IF(AND(U251="Preventivo",V251="Automático"),"50%",IF(AND(U251="Preventivo",V251="Manual"),"40%",IF(AND(U251="Detectivo",V251="Automático"),"40%",IF(AND(U251="Detectivo",V251="Manual"),"30%",IF(AND(U251="Correctivo",V251="Automático"),"35%",IF(AND(U251="Correctivo",V251="Manual"),"25%",""))))))</f>
        <v>40%</v>
      </c>
      <c r="X251" s="719" t="s">
        <v>208</v>
      </c>
      <c r="Y251" s="719" t="s">
        <v>203</v>
      </c>
      <c r="Z251" s="719" t="s">
        <v>204</v>
      </c>
      <c r="AA251" s="3202">
        <f>IFERROR(IF(T251="Probabilidad",(L251-(+L251*W251)),IF(T251="Impacto",L251,"")),"")</f>
        <v>0.24</v>
      </c>
      <c r="AB251" s="2273" t="str">
        <f>IFERROR(IF(AA251="","",IF(AA251&lt;=0.2,"Muy Baja",IF(AA251&lt;=0.4,"Baja",IF(AA251&lt;=0.6,"Media",IF(AA251&lt;=0.8,"Alta","Muy Alta"))))),"")</f>
        <v>Baja</v>
      </c>
      <c r="AC251" s="2276">
        <f>+AA251</f>
        <v>0.24</v>
      </c>
      <c r="AD251" s="2273" t="str">
        <f>IFERROR(IF(AE251="","",IF(AE251&lt;=0.2,"Leve",IF(AE251&lt;=0.4,"Menor",IF(AE251&lt;=0.6,"Moderado",IF(AE251&lt;=0.8,"Mayor","Catastrófico"))))),"")</f>
        <v>Moderado</v>
      </c>
      <c r="AE251" s="2276">
        <f>IFERROR(IF(T251="Impacto",(P251-(+P251*W251)),IF(T251="Probabilidad",P251,"")),"")</f>
        <v>0.6</v>
      </c>
      <c r="AF251" s="2279" t="str">
        <f>IFERROR(IF(OR(AND(AB251="Muy Baja",AD251="Leve"),AND(AB251="Muy Baja",AD251="Menor"),AND(AB251="Baja",AD251="Leve")),"Bajo",IF(OR(AND(AB251="Muy baja",AD251="Moderado"),AND(AB251="Baja",AD251="Menor"),AND(AB251="Baja",AD251="Moderado"),AND(AB251="Media",AD251="Leve"),AND(AB251="Media",AD251="Menor"),AND(AB251="Media",AD251="Moderado"),AND(AB251="Alta",AD251="Leve"),AND(AB251="Alta",AD251="Menor")),"Moderado",IF(OR(AND(AB251="Muy Baja",AD251="Mayor"),AND(AB251="Baja",AD251="Mayor"),AND(AB251="Media",AD251="Mayor"),AND(AB251="Alta",AD251="Moderado"),AND(AB251="Alta",AD251="Mayor"),AND(AB251="Muy Alta",AD251="Leve"),AND(AB251="Muy Alta",AD251="Menor"),AND(AB251="Muy Alta",AD251="Moderado"),AND(AB251="Muy Alta",AD251="Mayor")),"Alto",IF(OR(AND(AB251="Muy Baja",AD251="Catastrófico"),AND(AB251="Baja",AD251="Catastrófico"),AND(AB251="Media",AD251="Catastrófico"),AND(AB251="Alta",AD251="Catastrófico"),AND(AB251="Muy Alta",AD251="Catastrófico")),"Extremo","")))),"")</f>
        <v>Moderado</v>
      </c>
      <c r="AG251" s="295" t="s">
        <v>205</v>
      </c>
      <c r="AH251" s="761" t="s">
        <v>1325</v>
      </c>
      <c r="AI251" s="761" t="s">
        <v>488</v>
      </c>
      <c r="AJ251" s="301" t="s">
        <v>1326</v>
      </c>
      <c r="AK251" s="301" t="s">
        <v>147</v>
      </c>
      <c r="AL251" s="761" t="s">
        <v>810</v>
      </c>
      <c r="AM251" s="730" t="s">
        <v>206</v>
      </c>
      <c r="AN251" s="927" t="s">
        <v>1327</v>
      </c>
      <c r="AO251" s="927" t="s">
        <v>1327</v>
      </c>
    </row>
    <row r="252" spans="1:41" ht="97.2" customHeight="1" x14ac:dyDescent="0.3">
      <c r="A252" s="2113"/>
      <c r="B252" s="2238"/>
      <c r="C252" s="2238"/>
      <c r="D252" s="3207"/>
      <c r="E252" s="282" t="s">
        <v>1328</v>
      </c>
      <c r="F252" s="2355"/>
      <c r="G252" s="2357"/>
      <c r="H252" s="2355"/>
      <c r="I252" s="2359"/>
      <c r="J252" s="2294"/>
      <c r="K252" s="2296"/>
      <c r="L252" s="2298"/>
      <c r="M252" s="2300"/>
      <c r="N252" s="2298">
        <f>IF(NOT(ISERROR(MATCH(M252,_xlfn.ANCHORARRAY(F262),0))),L264&amp;"Por favor no seleccionar los criterios de impacto",M252)</f>
        <v>0</v>
      </c>
      <c r="O252" s="2296"/>
      <c r="P252" s="2298"/>
      <c r="Q252" s="2268"/>
      <c r="R252" s="716">
        <v>2</v>
      </c>
      <c r="S252" s="796" t="s">
        <v>1329</v>
      </c>
      <c r="T252" s="718" t="str">
        <f>IF(OR(U252="Preventivo",U252="Detectivo"),"Probabilidad",IF(U252="Correctivo","Impacto",""))</f>
        <v>Probabilidad</v>
      </c>
      <c r="U252" s="719" t="s">
        <v>207</v>
      </c>
      <c r="V252" s="719" t="s">
        <v>201</v>
      </c>
      <c r="W252" s="720" t="str">
        <f t="shared" ref="W252:W253" si="144">IF(AND(U252="Preventivo",V252="Automático"),"50%",IF(AND(U252="Preventivo",V252="Manual"),"40%",IF(AND(U252="Detectivo",V252="Automático"),"40%",IF(AND(U252="Detectivo",V252="Manual"),"30%",IF(AND(U252="Correctivo",V252="Automático"),"35%",IF(AND(U252="Correctivo",V252="Manual"),"25%",""))))))</f>
        <v>40%</v>
      </c>
      <c r="X252" s="719" t="s">
        <v>208</v>
      </c>
      <c r="Y252" s="719" t="s">
        <v>203</v>
      </c>
      <c r="Z252" s="719" t="s">
        <v>204</v>
      </c>
      <c r="AA252" s="3203"/>
      <c r="AB252" s="2274"/>
      <c r="AC252" s="2277"/>
      <c r="AD252" s="2274"/>
      <c r="AE252" s="2277"/>
      <c r="AF252" s="2280"/>
      <c r="AG252" s="295" t="s">
        <v>205</v>
      </c>
      <c r="AH252" s="300" t="s">
        <v>1330</v>
      </c>
      <c r="AI252" s="761" t="s">
        <v>488</v>
      </c>
      <c r="AJ252" s="301" t="s">
        <v>1331</v>
      </c>
      <c r="AK252" s="301" t="s">
        <v>147</v>
      </c>
      <c r="AL252" s="761" t="s">
        <v>810</v>
      </c>
      <c r="AM252" s="780" t="s">
        <v>206</v>
      </c>
      <c r="AN252" s="927" t="s">
        <v>1327</v>
      </c>
      <c r="AO252" s="927" t="s">
        <v>1525</v>
      </c>
    </row>
    <row r="253" spans="1:41" ht="121.2" customHeight="1" x14ac:dyDescent="0.3">
      <c r="A253" s="2114"/>
      <c r="B253" s="2287"/>
      <c r="C253" s="2287"/>
      <c r="D253" s="3208"/>
      <c r="E253" s="282" t="s">
        <v>1332</v>
      </c>
      <c r="F253" s="2355"/>
      <c r="G253" s="2962"/>
      <c r="H253" s="2355"/>
      <c r="I253" s="3209"/>
      <c r="J253" s="2971"/>
      <c r="K253" s="3176"/>
      <c r="L253" s="2972"/>
      <c r="M253" s="2973"/>
      <c r="N253" s="2972">
        <f>IF(NOT(ISERROR(MATCH(M253,_xlfn.ANCHORARRAY(F264),0))),L266&amp;"Por favor no seleccionar los criterios de impacto",M253)</f>
        <v>0</v>
      </c>
      <c r="O253" s="3176"/>
      <c r="P253" s="2972"/>
      <c r="Q253" s="2269"/>
      <c r="R253" s="716">
        <v>3</v>
      </c>
      <c r="S253" s="796" t="s">
        <v>1333</v>
      </c>
      <c r="T253" s="718" t="str">
        <f t="shared" ref="T253" si="145">IF(OR(U253="Preventivo",U253="Detectivo"),"Probabilidad",IF(U253="Correctivo","Impacto",""))</f>
        <v>Probabilidad</v>
      </c>
      <c r="U253" s="719" t="s">
        <v>207</v>
      </c>
      <c r="V253" s="719" t="s">
        <v>201</v>
      </c>
      <c r="W253" s="720" t="str">
        <f t="shared" si="144"/>
        <v>40%</v>
      </c>
      <c r="X253" s="719" t="s">
        <v>208</v>
      </c>
      <c r="Y253" s="719" t="s">
        <v>203</v>
      </c>
      <c r="Z253" s="719" t="s">
        <v>204</v>
      </c>
      <c r="AA253" s="3204"/>
      <c r="AB253" s="2275"/>
      <c r="AC253" s="2278"/>
      <c r="AD253" s="2275"/>
      <c r="AE253" s="2278"/>
      <c r="AF253" s="2281"/>
      <c r="AG253" s="295" t="s">
        <v>205</v>
      </c>
      <c r="AH253" s="300" t="s">
        <v>1334</v>
      </c>
      <c r="AI253" s="761" t="s">
        <v>488</v>
      </c>
      <c r="AJ253" s="301" t="s">
        <v>1335</v>
      </c>
      <c r="AK253" s="301" t="s">
        <v>147</v>
      </c>
      <c r="AL253" s="761" t="s">
        <v>816</v>
      </c>
      <c r="AM253" s="780" t="s">
        <v>206</v>
      </c>
      <c r="AN253" s="927" t="s">
        <v>1336</v>
      </c>
      <c r="AO253" s="927" t="s">
        <v>1336</v>
      </c>
    </row>
    <row r="254" spans="1:41" x14ac:dyDescent="0.3">
      <c r="A254" s="3513" t="s">
        <v>156</v>
      </c>
      <c r="B254" s="3514"/>
      <c r="C254" s="3514"/>
      <c r="D254" s="3514"/>
      <c r="E254" s="3514"/>
      <c r="F254" s="3514"/>
      <c r="G254" s="3514"/>
      <c r="H254" s="3514"/>
      <c r="I254" s="3514"/>
      <c r="J254" s="3514"/>
      <c r="K254" s="3514"/>
      <c r="L254" s="3514"/>
      <c r="M254" s="3514"/>
      <c r="N254" s="3514"/>
      <c r="O254" s="3514"/>
      <c r="P254" s="3514"/>
      <c r="Q254" s="3514"/>
      <c r="R254" s="3514"/>
      <c r="S254" s="3514"/>
      <c r="T254" s="3514"/>
      <c r="U254" s="3514"/>
      <c r="V254" s="3514"/>
      <c r="W254" s="3514"/>
      <c r="X254" s="3514"/>
      <c r="Y254" s="3514"/>
      <c r="Z254" s="3514"/>
      <c r="AA254" s="3514"/>
      <c r="AB254" s="3514"/>
      <c r="AC254" s="3514"/>
      <c r="AD254" s="3514"/>
      <c r="AE254" s="3514"/>
      <c r="AF254" s="3514"/>
      <c r="AG254" s="3514"/>
      <c r="AH254" s="3514"/>
      <c r="AI254" s="3514"/>
      <c r="AJ254" s="3514"/>
      <c r="AK254" s="3514"/>
      <c r="AL254" s="3514"/>
    </row>
    <row r="255" spans="1:41" x14ac:dyDescent="0.3">
      <c r="A255" s="3515"/>
      <c r="B255" s="3516"/>
      <c r="C255" s="3516"/>
      <c r="D255" s="3516"/>
      <c r="E255" s="3516"/>
      <c r="F255" s="3516"/>
      <c r="G255" s="3516"/>
      <c r="H255" s="3516"/>
      <c r="I255" s="3516"/>
      <c r="J255" s="3516"/>
      <c r="K255" s="3516"/>
      <c r="L255" s="3516"/>
      <c r="M255" s="3516"/>
      <c r="N255" s="3516"/>
      <c r="O255" s="3516"/>
      <c r="P255" s="3516"/>
      <c r="Q255" s="3516"/>
      <c r="R255" s="3516"/>
      <c r="S255" s="3516"/>
      <c r="T255" s="3516"/>
      <c r="U255" s="3516"/>
      <c r="V255" s="3516"/>
      <c r="W255" s="3516"/>
      <c r="X255" s="3516"/>
      <c r="Y255" s="3516"/>
      <c r="Z255" s="3516"/>
      <c r="AA255" s="3516"/>
      <c r="AB255" s="3516"/>
      <c r="AC255" s="3516"/>
      <c r="AD255" s="3516"/>
      <c r="AE255" s="3516"/>
      <c r="AF255" s="3516"/>
      <c r="AG255" s="3516"/>
      <c r="AH255" s="3516"/>
      <c r="AI255" s="3516"/>
      <c r="AJ255" s="3516"/>
      <c r="AK255" s="3516"/>
      <c r="AL255" s="3516"/>
    </row>
    <row r="256" spans="1:41" ht="15.6" x14ac:dyDescent="0.3">
      <c r="A256" s="1409"/>
      <c r="B256" s="1410"/>
      <c r="C256" s="1409"/>
      <c r="D256" s="1409"/>
      <c r="E256" s="1409"/>
      <c r="F256" s="1411"/>
      <c r="G256" s="1411"/>
      <c r="H256" s="1411"/>
      <c r="I256" s="1412"/>
      <c r="J256" s="1411"/>
      <c r="K256" s="1411"/>
      <c r="L256" s="1411"/>
      <c r="M256" s="1411"/>
      <c r="N256" s="1411"/>
      <c r="O256" s="1411"/>
      <c r="P256" s="1411"/>
      <c r="Q256" s="1411"/>
      <c r="R256" s="1411"/>
      <c r="S256" s="1411"/>
      <c r="T256" s="1411"/>
      <c r="U256" s="1411"/>
      <c r="V256" s="1411"/>
      <c r="W256" s="1411"/>
      <c r="X256" s="1411"/>
      <c r="Y256" s="1411"/>
      <c r="Z256" s="1411"/>
      <c r="AA256" s="1411"/>
      <c r="AB256" s="1411"/>
      <c r="AC256" s="1411"/>
      <c r="AD256" s="1411"/>
      <c r="AE256" s="1411"/>
      <c r="AF256" s="1411"/>
      <c r="AG256" s="1411"/>
      <c r="AH256" s="1411"/>
      <c r="AI256" s="1411"/>
      <c r="AJ256" s="1411"/>
      <c r="AK256" s="1411"/>
      <c r="AL256" s="1411"/>
    </row>
    <row r="257" spans="1:38" ht="15.6" x14ac:dyDescent="0.3">
      <c r="A257" s="3517" t="s">
        <v>157</v>
      </c>
      <c r="B257" s="3518"/>
      <c r="C257" s="3519" t="s">
        <v>1162</v>
      </c>
      <c r="D257" s="3520"/>
      <c r="E257" s="3520"/>
      <c r="F257" s="3520"/>
      <c r="G257" s="3520"/>
      <c r="H257" s="3520"/>
      <c r="I257" s="3520"/>
      <c r="J257" s="3520"/>
      <c r="K257" s="3520"/>
      <c r="L257" s="3520"/>
      <c r="M257" s="3520"/>
      <c r="N257" s="3520"/>
      <c r="O257" s="3520"/>
      <c r="P257" s="3520"/>
      <c r="Q257" s="3520"/>
      <c r="R257" s="3520"/>
      <c r="S257" s="3520"/>
      <c r="T257" s="3520"/>
      <c r="U257" s="3520"/>
      <c r="V257" s="3520"/>
      <c r="W257" s="3520"/>
      <c r="X257" s="3520"/>
      <c r="Y257" s="3520"/>
      <c r="Z257" s="3520"/>
      <c r="AA257" s="3520"/>
      <c r="AB257" s="3520"/>
      <c r="AC257" s="3520"/>
      <c r="AD257" s="3520"/>
      <c r="AE257" s="3520"/>
      <c r="AF257" s="3520"/>
      <c r="AG257" s="3520"/>
      <c r="AH257" s="3520"/>
      <c r="AI257" s="3520"/>
      <c r="AJ257" s="3520"/>
      <c r="AK257" s="3520"/>
      <c r="AL257" s="3520"/>
    </row>
    <row r="258" spans="1:38" ht="15.6" x14ac:dyDescent="0.3">
      <c r="A258" s="3517" t="s">
        <v>158</v>
      </c>
      <c r="B258" s="3518"/>
      <c r="C258" s="3521" t="s">
        <v>1163</v>
      </c>
      <c r="D258" s="3521"/>
      <c r="E258" s="3521"/>
      <c r="F258" s="3521"/>
      <c r="G258" s="3521"/>
      <c r="H258" s="3521"/>
      <c r="I258" s="3521"/>
      <c r="J258" s="3521"/>
      <c r="K258" s="3521"/>
      <c r="L258" s="3521"/>
      <c r="M258" s="3521"/>
      <c r="N258" s="3521"/>
      <c r="O258" s="3521"/>
      <c r="P258" s="3521"/>
      <c r="Q258" s="3521"/>
      <c r="R258" s="3521"/>
      <c r="S258" s="3521"/>
      <c r="T258" s="3521"/>
      <c r="U258" s="3521"/>
      <c r="V258" s="3521"/>
      <c r="W258" s="3521"/>
      <c r="X258" s="3521"/>
      <c r="Y258" s="3521"/>
      <c r="Z258" s="3521"/>
      <c r="AA258" s="3521"/>
      <c r="AB258" s="3521"/>
      <c r="AC258" s="3521"/>
      <c r="AD258" s="3521"/>
      <c r="AE258" s="3521"/>
      <c r="AF258" s="3521"/>
      <c r="AG258" s="3521"/>
      <c r="AH258" s="3521"/>
      <c r="AI258" s="3521"/>
      <c r="AJ258" s="3521"/>
      <c r="AK258" s="3521"/>
      <c r="AL258" s="3521"/>
    </row>
    <row r="259" spans="1:38" ht="15.6" x14ac:dyDescent="0.3">
      <c r="A259" s="3517" t="s">
        <v>159</v>
      </c>
      <c r="B259" s="3518"/>
      <c r="C259" s="3522" t="s">
        <v>1164</v>
      </c>
      <c r="D259" s="3522"/>
      <c r="E259" s="3522"/>
      <c r="F259" s="3522"/>
      <c r="G259" s="3522"/>
      <c r="H259" s="3522"/>
      <c r="I259" s="3522"/>
      <c r="J259" s="3522"/>
      <c r="K259" s="3522"/>
      <c r="L259" s="3522"/>
      <c r="M259" s="3522"/>
      <c r="N259" s="3522"/>
      <c r="O259" s="3522"/>
      <c r="P259" s="3522"/>
      <c r="Q259" s="3522"/>
      <c r="R259" s="3522"/>
      <c r="S259" s="3522"/>
      <c r="T259" s="3522"/>
      <c r="U259" s="3522"/>
      <c r="V259" s="3522"/>
      <c r="W259" s="3522"/>
      <c r="X259" s="3522"/>
      <c r="Y259" s="3522"/>
      <c r="Z259" s="3522"/>
      <c r="AA259" s="3522"/>
      <c r="AB259" s="3522"/>
      <c r="AC259" s="3522"/>
      <c r="AD259" s="3522"/>
      <c r="AE259" s="3522"/>
      <c r="AF259" s="3522"/>
      <c r="AG259" s="3522"/>
      <c r="AH259" s="3522"/>
      <c r="AI259" s="3522"/>
      <c r="AJ259" s="3522"/>
      <c r="AK259" s="3522"/>
      <c r="AL259" s="3522"/>
    </row>
    <row r="260" spans="1:38" ht="15.6" x14ac:dyDescent="0.3">
      <c r="A260" s="3523" t="s">
        <v>160</v>
      </c>
      <c r="B260" s="3524"/>
      <c r="C260" s="3516"/>
      <c r="D260" s="3516"/>
      <c r="E260" s="3516"/>
      <c r="F260" s="3516"/>
      <c r="G260" s="3516"/>
      <c r="H260" s="3516"/>
      <c r="I260" s="3516"/>
      <c r="J260" s="3525"/>
      <c r="K260" s="3515" t="s">
        <v>161</v>
      </c>
      <c r="L260" s="3516"/>
      <c r="M260" s="3516"/>
      <c r="N260" s="3516"/>
      <c r="O260" s="3516"/>
      <c r="P260" s="3516"/>
      <c r="Q260" s="3525"/>
      <c r="R260" s="3515" t="s">
        <v>162</v>
      </c>
      <c r="S260" s="3516"/>
      <c r="T260" s="3516"/>
      <c r="U260" s="3516"/>
      <c r="V260" s="3516"/>
      <c r="W260" s="3516"/>
      <c r="X260" s="3516"/>
      <c r="Y260" s="3516"/>
      <c r="Z260" s="3525"/>
      <c r="AA260" s="3515" t="s">
        <v>163</v>
      </c>
      <c r="AB260" s="3516"/>
      <c r="AC260" s="3516"/>
      <c r="AD260" s="3516"/>
      <c r="AE260" s="3516"/>
      <c r="AF260" s="3516"/>
      <c r="AG260" s="3525"/>
      <c r="AH260" s="3526" t="s">
        <v>1165</v>
      </c>
      <c r="AI260" s="3527"/>
      <c r="AJ260" s="3527"/>
      <c r="AK260" s="3527"/>
      <c r="AL260" s="3527"/>
    </row>
    <row r="261" spans="1:38" ht="15.6" x14ac:dyDescent="0.3">
      <c r="A261" s="3504" t="s">
        <v>165</v>
      </c>
      <c r="B261" s="3506" t="s">
        <v>142</v>
      </c>
      <c r="C261" s="3507" t="s">
        <v>166</v>
      </c>
      <c r="D261" s="3507" t="s">
        <v>167</v>
      </c>
      <c r="E261" s="3509" t="s">
        <v>168</v>
      </c>
      <c r="F261" s="3511" t="s">
        <v>60</v>
      </c>
      <c r="G261" s="1413"/>
      <c r="H261" s="1413"/>
      <c r="I261" s="3509" t="s">
        <v>169</v>
      </c>
      <c r="J261" s="3507" t="s">
        <v>170</v>
      </c>
      <c r="K261" s="3510" t="s">
        <v>171</v>
      </c>
      <c r="L261" s="3531" t="s">
        <v>172</v>
      </c>
      <c r="M261" s="3509" t="s">
        <v>173</v>
      </c>
      <c r="N261" s="3509" t="s">
        <v>174</v>
      </c>
      <c r="O261" s="3532" t="s">
        <v>175</v>
      </c>
      <c r="P261" s="3531" t="s">
        <v>172</v>
      </c>
      <c r="Q261" s="3507" t="s">
        <v>176</v>
      </c>
      <c r="R261" s="3529" t="s">
        <v>177</v>
      </c>
      <c r="S261" s="3508" t="s">
        <v>178</v>
      </c>
      <c r="T261" s="3509" t="s">
        <v>179</v>
      </c>
      <c r="U261" s="3508" t="s">
        <v>180</v>
      </c>
      <c r="V261" s="3508"/>
      <c r="W261" s="3508"/>
      <c r="X261" s="3508"/>
      <c r="Y261" s="3508"/>
      <c r="Z261" s="3508"/>
      <c r="AA261" s="3528" t="s">
        <v>181</v>
      </c>
      <c r="AB261" s="3528" t="s">
        <v>182</v>
      </c>
      <c r="AC261" s="3528" t="s">
        <v>172</v>
      </c>
      <c r="AD261" s="3528" t="s">
        <v>183</v>
      </c>
      <c r="AE261" s="3528" t="s">
        <v>172</v>
      </c>
      <c r="AF261" s="3528" t="s">
        <v>184</v>
      </c>
      <c r="AG261" s="3529" t="s">
        <v>185</v>
      </c>
      <c r="AH261" s="3509" t="s">
        <v>1165</v>
      </c>
      <c r="AI261" s="3509" t="s">
        <v>143</v>
      </c>
      <c r="AJ261" s="3509" t="s">
        <v>1166</v>
      </c>
      <c r="AK261" s="3509" t="s">
        <v>1086</v>
      </c>
      <c r="AL261" s="3509" t="s">
        <v>189</v>
      </c>
    </row>
    <row r="262" spans="1:38" ht="97.2" x14ac:dyDescent="0.3">
      <c r="A262" s="3505"/>
      <c r="B262" s="3506"/>
      <c r="C262" s="3508"/>
      <c r="D262" s="3508"/>
      <c r="E262" s="3510"/>
      <c r="F262" s="3512"/>
      <c r="G262" s="1413" t="s">
        <v>511</v>
      </c>
      <c r="H262" s="1413" t="s">
        <v>190</v>
      </c>
      <c r="I262" s="3507"/>
      <c r="J262" s="3508"/>
      <c r="K262" s="3507"/>
      <c r="L262" s="3515"/>
      <c r="M262" s="3507"/>
      <c r="N262" s="3507"/>
      <c r="O262" s="3515"/>
      <c r="P262" s="3515"/>
      <c r="Q262" s="3508"/>
      <c r="R262" s="3530"/>
      <c r="S262" s="3508"/>
      <c r="T262" s="3507"/>
      <c r="U262" s="1414" t="s">
        <v>191</v>
      </c>
      <c r="V262" s="1414" t="s">
        <v>192</v>
      </c>
      <c r="W262" s="1414" t="s">
        <v>193</v>
      </c>
      <c r="X262" s="1414" t="s">
        <v>194</v>
      </c>
      <c r="Y262" s="1414" t="s">
        <v>195</v>
      </c>
      <c r="Z262" s="1414" t="s">
        <v>196</v>
      </c>
      <c r="AA262" s="3528"/>
      <c r="AB262" s="3528"/>
      <c r="AC262" s="3528"/>
      <c r="AD262" s="3528"/>
      <c r="AE262" s="3528"/>
      <c r="AF262" s="3528"/>
      <c r="AG262" s="3530"/>
      <c r="AH262" s="3507"/>
      <c r="AI262" s="3507"/>
      <c r="AJ262" s="3507"/>
      <c r="AK262" s="3507"/>
      <c r="AL262" s="3507"/>
    </row>
    <row r="263" spans="1:38" ht="80.400000000000006" x14ac:dyDescent="0.3">
      <c r="A263" s="3550">
        <v>1</v>
      </c>
      <c r="B263" s="3552" t="s">
        <v>209</v>
      </c>
      <c r="C263" s="3552" t="s">
        <v>1167</v>
      </c>
      <c r="D263" s="3552" t="s">
        <v>1168</v>
      </c>
      <c r="E263" s="3552" t="s">
        <v>1169</v>
      </c>
      <c r="F263" s="3553" t="s">
        <v>1170</v>
      </c>
      <c r="G263" s="3553" t="s">
        <v>597</v>
      </c>
      <c r="H263" s="3553" t="s">
        <v>1171</v>
      </c>
      <c r="I263" s="3552" t="s">
        <v>198</v>
      </c>
      <c r="J263" s="3556">
        <v>500</v>
      </c>
      <c r="K263" s="3558" t="str">
        <f>IF(J263&lt;=0,"",IF(J263&lt;=2,"Muy Baja",IF(J263&lt;=24,"Baja",IF(J263&lt;=500,"Media",IF(J263&lt;=5000,"Alta","Muy Alta")))))</f>
        <v>Media</v>
      </c>
      <c r="L263" s="3560">
        <f>IF(K263="","",IF(K263="Muy Baja",0.2,IF(K263="Baja",0.4,IF(K263="Media",0.6,IF(K263="Alta",0.8,IF(K263="Muy Alta",1,))))))</f>
        <v>0.6</v>
      </c>
      <c r="M263" s="3562" t="s">
        <v>1172</v>
      </c>
      <c r="N263" s="3560" t="str">
        <f>IF(NOT(ISERROR(MATCH(M263,'[42]Tabla Impacto'!$B$221:$B$223,0))),'[42]Tabla Impacto'!$F$223&amp;"Por favor no seleccionar los criterios de impacto(Afectación Económica o presupuestal y Pérdida Reputacional)",M263)</f>
        <v xml:space="preserve">     Entre 50 y 100 SMLMV </v>
      </c>
      <c r="O263" s="3558" t="str">
        <f>IF(OR(N263='[42]Tabla Impacto'!$C$11,N263='[42]Tabla Impacto'!$D$11),"Leve",IF(OR(N263='[42]Tabla Impacto'!$C$12,N263='[42]Tabla Impacto'!$D$12),"Menor",IF(OR(N263='[42]Tabla Impacto'!$C$13,N263='[42]Tabla Impacto'!$D$13),"Moderado",IF(OR(N263='[42]Tabla Impacto'!$C$14,N263='[42]Tabla Impacto'!$D$14),"Mayor",IF(OR(N263='[42]Tabla Impacto'!$C$15,N263='[42]Tabla Impacto'!$D$15),"Catastrófico","")))))</f>
        <v>Moderado</v>
      </c>
      <c r="P263" s="3560">
        <f>IF(O263="","",IF(O263="Leve",0.2,IF(O263="Menor",0.4,IF(O263="Moderado",0.6,IF(O263="Mayor",0.8,IF(O263="Catastrófico",1,))))))</f>
        <v>0.6</v>
      </c>
      <c r="Q263" s="3544" t="str">
        <f>IF(OR(AND(K263="Muy Baja",O263="Leve"),AND(K263="Muy Baja",O263="Menor"),AND(K263="Baja",O263="Leve")),"Bajo",IF(OR(AND(K263="Muy baja",O263="Moderado"),AND(K263="Baja",O263="Menor"),AND(K263="Baja",O263="Moderado"),AND(K263="Media",O263="Leve"),AND(K263="Media",O263="Menor"),AND(K263="Media",O263="Moderado"),AND(K263="Alta",O263="Leve"),AND(K263="Alta",O263="Menor")),"Moderado",IF(OR(AND(K263="Muy Baja",O263="Mayor"),AND(K263="Baja",O263="Mayor"),AND(K263="Media",O263="Mayor"),AND(K263="Alta",O263="Moderado"),AND(K263="Alta",O263="Mayor"),AND(K263="Muy Alta",O263="Leve"),AND(K263="Muy Alta",O263="Menor"),AND(K263="Muy Alta",O263="Moderado"),AND(K263="Muy Alta",O263="Mayor")),"Alto",IF(OR(AND(K263="Muy Baja",O263="Catastrófico"),AND(K263="Baja",O263="Catastrófico"),AND(K263="Media",O263="Catastrófico"),AND(K263="Alta",O263="Catastrófico"),AND(K263="Muy Alta",O263="Catastrófico")),"Extremo",""))))</f>
        <v>Moderado</v>
      </c>
      <c r="R263" s="1418">
        <v>1</v>
      </c>
      <c r="S263" s="1419" t="s">
        <v>1173</v>
      </c>
      <c r="T263" s="1420" t="str">
        <f>IF(OR(U263="Preventivo",U263="Detectivo"),"Probabilidad",IF(U263="Correctivo","Impacto",""))</f>
        <v>Probabilidad</v>
      </c>
      <c r="U263" s="1421" t="s">
        <v>207</v>
      </c>
      <c r="V263" s="1421" t="s">
        <v>201</v>
      </c>
      <c r="W263" s="1422" t="str">
        <f>IF(AND(U263="Preventivo",V263="Automático"),"50%",IF(AND(U263="Preventivo",V263="Manual"),"40%",IF(AND(U263="Detectivo",V263="Automático"),"40%",IF(AND(U263="Detectivo",V263="Manual"),"30%",IF(AND(U263="Correctivo",V263="Automático"),"35%",IF(AND(U263="Correctivo",V263="Manual"),"25%",""))))))</f>
        <v>40%</v>
      </c>
      <c r="X263" s="1421" t="s">
        <v>208</v>
      </c>
      <c r="Y263" s="1421" t="s">
        <v>203</v>
      </c>
      <c r="Z263" s="1421" t="s">
        <v>204</v>
      </c>
      <c r="AA263" s="1423">
        <f>IFERROR(IF(T263="Probabilidad",(L263-(+L263*W263)),IF(T263="Impacto",L263,"")),"")</f>
        <v>0.36</v>
      </c>
      <c r="AB263" s="1424" t="str">
        <f>IFERROR(IF(AA263="","",IF(AA263&lt;=0.2,"Muy Baja",IF(AA263&lt;=0.4,"Baja",IF(AA263&lt;=0.6,"Media",IF(AA263&lt;=0.8,"Alta","Muy Alta"))))),"")</f>
        <v>Baja</v>
      </c>
      <c r="AC263" s="1425">
        <f>+AA263</f>
        <v>0.36</v>
      </c>
      <c r="AD263" s="1424" t="str">
        <f>IFERROR(IF(AE263="","",IF(AE263&lt;=0.2,"Leve",IF(AE263&lt;=0.4,"Menor",IF(AE263&lt;=0.6,"Moderado",IF(AE263&lt;=0.8,"Mayor","Catastrófico"))))),"")</f>
        <v>Moderado</v>
      </c>
      <c r="AE263" s="1425">
        <f>IFERROR(IF(T263="Impacto",(P263-(+P263*W263)),IF(T263="Probabilidad",P263,"")),"")</f>
        <v>0.6</v>
      </c>
      <c r="AF263" s="1426" t="str">
        <f>IFERROR(IF(OR(AND(AB263="Muy Baja",AD263="Leve"),AND(AB263="Muy Baja",AD263="Menor"),AND(AB263="Baja",AD263="Leve")),"Bajo",IF(OR(AND(AB263="Muy baja",AD263="Moderado"),AND(AB263="Baja",AD263="Menor"),AND(AB263="Baja",AD263="Moderado"),AND(AB263="Media",AD263="Leve"),AND(AB263="Media",AD263="Menor"),AND(AB263="Media",AD263="Moderado"),AND(AB263="Alta",AD263="Leve"),AND(AB263="Alta",AD263="Menor")),"Moderado",IF(OR(AND(AB263="Muy Baja",AD263="Mayor"),AND(AB263="Baja",AD263="Mayor"),AND(AB263="Media",AD263="Mayor"),AND(AB263="Alta",AD263="Moderado"),AND(AB263="Alta",AD263="Mayor"),AND(AB263="Muy Alta",AD263="Leve"),AND(AB263="Muy Alta",AD263="Menor"),AND(AB263="Muy Alta",AD263="Moderado"),AND(AB263="Muy Alta",AD263="Mayor")),"Alto",IF(OR(AND(AB263="Muy Baja",AD263="Catastrófico"),AND(AB263="Baja",AD263="Catastrófico"),AND(AB263="Media",AD263="Catastrófico"),AND(AB263="Alta",AD263="Catastrófico"),AND(AB263="Muy Alta",AD263="Catastrófico")),"Extremo","")))),"")</f>
        <v>Moderado</v>
      </c>
      <c r="AG263" s="1427" t="s">
        <v>1174</v>
      </c>
      <c r="AH263" s="1428"/>
      <c r="AI263" s="1416"/>
      <c r="AJ263" s="1416"/>
      <c r="AK263" s="1416"/>
      <c r="AL263" s="1416"/>
    </row>
    <row r="264" spans="1:38" ht="46.2" customHeight="1" x14ac:dyDescent="0.3">
      <c r="A264" s="3551"/>
      <c r="B264" s="3533"/>
      <c r="C264" s="3533"/>
      <c r="D264" s="3533"/>
      <c r="E264" s="3533"/>
      <c r="F264" s="3554"/>
      <c r="G264" s="3554"/>
      <c r="H264" s="3554"/>
      <c r="I264" s="3533"/>
      <c r="J264" s="3557"/>
      <c r="K264" s="3559"/>
      <c r="L264" s="3561"/>
      <c r="M264" s="3563"/>
      <c r="N264" s="3561">
        <f>IF(NOT(ISERROR(MATCH(M264,_xlfn.ANCHORARRAY(#REF!),0))),#REF!&amp;"Por favor no seleccionar los criterios de impacto",M264)</f>
        <v>0</v>
      </c>
      <c r="O264" s="3559"/>
      <c r="P264" s="3561"/>
      <c r="Q264" s="3545"/>
      <c r="R264" s="3550">
        <v>2</v>
      </c>
      <c r="S264" s="3553" t="s">
        <v>1179</v>
      </c>
      <c r="T264" s="3573" t="str">
        <f>IF(OR(U264="Preventivo",U264="Detectivo"),"Probabilidad",IF(U264="Correctivo","Impacto",""))</f>
        <v>Probabilidad</v>
      </c>
      <c r="U264" s="3535" t="s">
        <v>207</v>
      </c>
      <c r="V264" s="3535" t="s">
        <v>201</v>
      </c>
      <c r="W264" s="3538" t="str">
        <f t="shared" ref="W264" si="146">IF(AND(U264="Preventivo",V264="Automático"),"50%",IF(AND(U264="Preventivo",V264="Manual"),"40%",IF(AND(U264="Detectivo",V264="Automático"),"40%",IF(AND(U264="Detectivo",V264="Manual"),"30%",IF(AND(U264="Correctivo",V264="Automático"),"35%",IF(AND(U264="Correctivo",V264="Manual"),"25%",""))))))</f>
        <v>40%</v>
      </c>
      <c r="X264" s="3535" t="s">
        <v>208</v>
      </c>
      <c r="Y264" s="3535" t="s">
        <v>203</v>
      </c>
      <c r="Z264" s="3535" t="s">
        <v>204</v>
      </c>
      <c r="AA264" s="3541">
        <f>IFERROR(IF(AND(T263="Probabilidad",T264="Probabilidad"),(AC263-(+AC263*W264)),IF(T264="Probabilidad",(L263-(+L263*W264)),IF(T264="Impacto",AC263,""))),"")</f>
        <v>0.216</v>
      </c>
      <c r="AB264" s="3544" t="str">
        <f t="shared" ref="AB264" si="147">IFERROR(IF(AA264="","",IF(AA264&lt;=0.2,"Muy Baja",IF(AA264&lt;=0.4,"Baja",IF(AA264&lt;=0.6,"Media",IF(AA264&lt;=0.8,"Alta","Muy Alta"))))),"")</f>
        <v>Baja</v>
      </c>
      <c r="AC264" s="3547">
        <f t="shared" ref="AC264" si="148">+AA264</f>
        <v>0.216</v>
      </c>
      <c r="AD264" s="3564" t="str">
        <f t="shared" ref="AD264" si="149">IFERROR(IF(AE264="","",IF(AE264&lt;=0.2,"Leve",IF(AE264&lt;=0.4,"Menor",IF(AE264&lt;=0.6,"Moderado",IF(AE264&lt;=0.8,"Mayor","Catastrófico"))))),"")</f>
        <v>Moderado</v>
      </c>
      <c r="AE264" s="3538">
        <f>IFERROR(IF(AND(T263="Impacto",T264="Impacto"),(AE263-(+AE263*W264)),IF(T264="Impacto",(P263-(+P263*W264)),IF(T264="Probabilidad",AE263,""))),"")</f>
        <v>0.6</v>
      </c>
      <c r="AF264" s="3567" t="str">
        <f t="shared" ref="AF264" si="150">IFERROR(IF(OR(AND(AB264="Muy Baja",AD264="Leve"),AND(AB264="Muy Baja",AD264="Menor"),AND(AB264="Baja",AD264="Leve")),"Bajo",IF(OR(AND(AB264="Muy baja",AD264="Moderado"),AND(AB264="Baja",AD264="Menor"),AND(AB264="Baja",AD264="Moderado"),AND(AB264="Media",AD264="Leve"),AND(AB264="Media",AD264="Menor"),AND(AB264="Media",AD264="Moderado"),AND(AB264="Alta",AD264="Leve"),AND(AB264="Alta",AD264="Menor")),"Moderado",IF(OR(AND(AB264="Muy Baja",AD264="Mayor"),AND(AB264="Baja",AD264="Mayor"),AND(AB264="Media",AD264="Mayor"),AND(AB264="Alta",AD264="Moderado"),AND(AB264="Alta",AD264="Mayor"),AND(AB264="Muy Alta",AD264="Leve"),AND(AB264="Muy Alta",AD264="Menor"),AND(AB264="Muy Alta",AD264="Moderado"),AND(AB264="Muy Alta",AD264="Mayor")),"Alto",IF(OR(AND(AB264="Muy Baja",AD264="Catastrófico"),AND(AB264="Baja",AD264="Catastrófico"),AND(AB264="Media",AD264="Catastrófico"),AND(AB264="Alta",AD264="Catastrófico"),AND(AB264="Muy Alta",AD264="Catastrófico")),"Extremo","")))),"")</f>
        <v>Moderado</v>
      </c>
      <c r="AG264" s="3535" t="s">
        <v>1174</v>
      </c>
      <c r="AH264" s="3570"/>
      <c r="AI264" s="3533"/>
      <c r="AJ264" s="3533"/>
      <c r="AK264" s="3533"/>
      <c r="AL264" s="3533"/>
    </row>
    <row r="265" spans="1:38" ht="42.6" customHeight="1" x14ac:dyDescent="0.3">
      <c r="A265" s="3551"/>
      <c r="B265" s="3533"/>
      <c r="C265" s="3533"/>
      <c r="D265" s="3533"/>
      <c r="E265" s="3533" t="s">
        <v>1182</v>
      </c>
      <c r="F265" s="3554"/>
      <c r="G265" s="3554"/>
      <c r="H265" s="3554"/>
      <c r="I265" s="3533"/>
      <c r="J265" s="3557"/>
      <c r="K265" s="3559"/>
      <c r="L265" s="3561"/>
      <c r="M265" s="3563"/>
      <c r="N265" s="3561">
        <f>IF(NOT(ISERROR(MATCH(M265,_xlfn.ANCHORARRAY(#REF!),0))),#REF!&amp;"Por favor no seleccionar los criterios de impacto",M265)</f>
        <v>0</v>
      </c>
      <c r="O265" s="3559"/>
      <c r="P265" s="3561"/>
      <c r="Q265" s="3545"/>
      <c r="R265" s="3551"/>
      <c r="S265" s="3554"/>
      <c r="T265" s="3574"/>
      <c r="U265" s="3536"/>
      <c r="V265" s="3536"/>
      <c r="W265" s="3539"/>
      <c r="X265" s="3536"/>
      <c r="Y265" s="3536"/>
      <c r="Z265" s="3536"/>
      <c r="AA265" s="3542"/>
      <c r="AB265" s="3545"/>
      <c r="AC265" s="3548"/>
      <c r="AD265" s="3565"/>
      <c r="AE265" s="3539"/>
      <c r="AF265" s="3568"/>
      <c r="AG265" s="3536"/>
      <c r="AH265" s="3570"/>
      <c r="AI265" s="3533"/>
      <c r="AJ265" s="3533"/>
      <c r="AK265" s="3533"/>
      <c r="AL265" s="3533"/>
    </row>
    <row r="266" spans="1:38" ht="64.8" customHeight="1" x14ac:dyDescent="0.3">
      <c r="A266" s="3551"/>
      <c r="B266" s="3533"/>
      <c r="C266" s="3533"/>
      <c r="D266" s="3533"/>
      <c r="E266" s="3534"/>
      <c r="F266" s="3554"/>
      <c r="G266" s="3555"/>
      <c r="H266" s="3555"/>
      <c r="I266" s="3533"/>
      <c r="J266" s="3557"/>
      <c r="K266" s="3559"/>
      <c r="L266" s="3561"/>
      <c r="M266" s="3563"/>
      <c r="N266" s="3561">
        <f>IF(NOT(ISERROR(MATCH(M266,_xlfn.ANCHORARRAY(#REF!),0))),#REF!&amp;"Por favor no seleccionar los criterios de impacto",M266)</f>
        <v>0</v>
      </c>
      <c r="O266" s="3559"/>
      <c r="P266" s="3561"/>
      <c r="Q266" s="3545"/>
      <c r="R266" s="3572"/>
      <c r="S266" s="3555"/>
      <c r="T266" s="3575"/>
      <c r="U266" s="3537"/>
      <c r="V266" s="3537"/>
      <c r="W266" s="3540"/>
      <c r="X266" s="3537"/>
      <c r="Y266" s="3537"/>
      <c r="Z266" s="3537"/>
      <c r="AA266" s="3543"/>
      <c r="AB266" s="3546"/>
      <c r="AC266" s="3549"/>
      <c r="AD266" s="3566"/>
      <c r="AE266" s="3540"/>
      <c r="AF266" s="3569"/>
      <c r="AG266" s="3537"/>
      <c r="AH266" s="3571"/>
      <c r="AI266" s="3534"/>
      <c r="AJ266" s="3534"/>
      <c r="AK266" s="3534"/>
      <c r="AL266" s="3534"/>
    </row>
    <row r="267" spans="1:38" ht="95.4" customHeight="1" x14ac:dyDescent="0.3">
      <c r="A267" s="1432">
        <v>2</v>
      </c>
      <c r="B267" s="3552" t="s">
        <v>395</v>
      </c>
      <c r="C267" s="3552" t="s">
        <v>1167</v>
      </c>
      <c r="D267" s="3553" t="s">
        <v>1183</v>
      </c>
      <c r="E267" s="1417" t="s">
        <v>1184</v>
      </c>
      <c r="F267" s="3553" t="s">
        <v>1185</v>
      </c>
      <c r="G267" s="3553" t="s">
        <v>512</v>
      </c>
      <c r="H267" s="3553" t="s">
        <v>1186</v>
      </c>
      <c r="I267" s="3552" t="s">
        <v>198</v>
      </c>
      <c r="J267" s="3556">
        <v>24</v>
      </c>
      <c r="K267" s="3558" t="str">
        <f>IF(J267&lt;=0,"",IF(J267&lt;=2,"Muy Baja",IF(J267&lt;=24,"Baja",IF(J267&lt;=500,"Media",IF(J267&lt;=5000,"Alta","Muy Alta")))))</f>
        <v>Baja</v>
      </c>
      <c r="L267" s="3560">
        <f>IF(K267="","",IF(K267="Muy Baja",0.2,IF(K267="Baja",0.4,IF(K267="Media",0.6,IF(K267="Alta",0.8,IF(K267="Muy Alta",1,))))))</f>
        <v>0.4</v>
      </c>
      <c r="M267" s="3562" t="s">
        <v>1187</v>
      </c>
      <c r="N267" s="3560" t="str">
        <f>IF(NOT(ISERROR(MATCH(M267,'[42]Tabla Impacto'!$B$221:$B$223,0))),'[42]Tabla Impacto'!$F$223&amp;"Por favor no seleccionar los criterios de impacto(Afectación Económica o presupuestal y Pérdida Reputacional)",M267)</f>
        <v xml:space="preserve">     Entre 10 y 50 SMLMV </v>
      </c>
      <c r="O267" s="3558" t="str">
        <f>IF(OR(N267='[42]Tabla Impacto'!$C$11,N267='[42]Tabla Impacto'!$D$11),"Leve",IF(OR(N267='[42]Tabla Impacto'!$C$12,N267='[42]Tabla Impacto'!$D$12),"Menor",IF(OR(N267='[42]Tabla Impacto'!$C$13,N267='[42]Tabla Impacto'!$D$13),"Moderado",IF(OR(N267='[42]Tabla Impacto'!$C$14,N267='[42]Tabla Impacto'!$D$14),"Mayor",IF(OR(N267='[42]Tabla Impacto'!$C$15,N267='[42]Tabla Impacto'!$D$15),"Catastrófico","")))))</f>
        <v>Menor</v>
      </c>
      <c r="P267" s="3560">
        <f>IF(O267="","",IF(O267="Leve",0.2,IF(O267="Menor",0.4,IF(O267="Moderado",0.6,IF(O267="Mayor",0.8,IF(O267="Catastrófico",1,))))))</f>
        <v>0.4</v>
      </c>
      <c r="Q267" s="3544" t="str">
        <f>IF(OR(AND(K267="Muy Baja",O267="Leve"),AND(K267="Muy Baja",O267="Menor"),AND(K267="Baja",O267="Leve")),"Bajo",IF(OR(AND(K267="Muy baja",O267="Moderado"),AND(K267="Baja",O267="Menor"),AND(K267="Baja",O267="Moderado"),AND(K267="Media",O267="Leve"),AND(K267="Media",O267="Menor"),AND(K267="Media",O267="Moderado"),AND(K267="Alta",O267="Leve"),AND(K267="Alta",O267="Menor")),"Moderado",IF(OR(AND(K267="Muy Baja",O267="Mayor"),AND(K267="Baja",O267="Mayor"),AND(K267="Media",O267="Mayor"),AND(K267="Alta",O267="Moderado"),AND(K267="Alta",O267="Mayor"),AND(K267="Muy Alta",O267="Leve"),AND(K267="Muy Alta",O267="Menor"),AND(K267="Muy Alta",O267="Moderado"),AND(K267="Muy Alta",O267="Mayor")),"Alto",IF(OR(AND(K267="Muy Baja",O267="Catastrófico"),AND(K267="Baja",O267="Catastrófico"),AND(K267="Media",O267="Catastrófico"),AND(K267="Alta",O267="Catastrófico"),AND(K267="Muy Alta",O267="Catastrófico")),"Extremo",""))))</f>
        <v>Moderado</v>
      </c>
      <c r="R267" s="3550">
        <v>1</v>
      </c>
      <c r="S267" s="1433" t="s">
        <v>1188</v>
      </c>
      <c r="T267" s="1434" t="str">
        <f>IF(OR(U267="Preventivo",U267="Detectivo"),"Probabilidad",IF(U267="Correctivo","Impacto",""))</f>
        <v>Probabilidad</v>
      </c>
      <c r="U267" s="1421" t="s">
        <v>207</v>
      </c>
      <c r="V267" s="1435" t="s">
        <v>201</v>
      </c>
      <c r="W267" s="1435" t="str">
        <f>IF(AND(U267="Preventivo",V267="Automático"),"50%",IF(AND(U267="Preventivo",V267="Manual"),"40%",IF(AND(U267="Detectivo",V267="Automático"),"40%",IF(AND(U267="Detectivo",V267="Manual"),"30%",IF(AND(U267="Correctivo",V267="Automático"),"35%",IF(AND(U267="Correctivo",V267="Manual"),"25%",""))))))</f>
        <v>40%</v>
      </c>
      <c r="X267" s="1435" t="s">
        <v>208</v>
      </c>
      <c r="Y267" s="1435" t="s">
        <v>203</v>
      </c>
      <c r="Z267" s="1435" t="s">
        <v>204</v>
      </c>
      <c r="AA267" s="1423">
        <f>IFERROR(IF(T267="Probabilidad",(L267-(+L267*W267)),IF(T267="Impacto",L267,"")),"")</f>
        <v>0.24</v>
      </c>
      <c r="AB267" s="1436" t="str">
        <f>IFERROR(IF(AA267="","",IF(AA267&lt;=0.2,"Muy Baja",IF(AA267&lt;=0.4,"Baja",IF(AA267&lt;=0.6,"Media",IF(AA267&lt;=0.8,"Alta","Muy Alta"))))),"")</f>
        <v>Baja</v>
      </c>
      <c r="AC267" s="1431">
        <f>+AA267</f>
        <v>0.24</v>
      </c>
      <c r="AD267" s="1436" t="str">
        <f>IFERROR(IF(AE267="","",IF(AE267&lt;=0.2,"Leve",IF(AE267&lt;=0.4,"Menor",IF(AE267&lt;=0.6,"Moderado",IF(AE267&lt;=0.8,"Mayor","Catastrófico"))))),"")</f>
        <v>Menor</v>
      </c>
      <c r="AE267" s="1431">
        <f>IFERROR(IF(T267="Impacto",(P267-(+P267*W267)),IF(T267="Probabilidad",P267,"")),"")</f>
        <v>0.4</v>
      </c>
      <c r="AF267" s="1437" t="str">
        <f>IFERROR(IF(OR(AND(AB267="Muy Baja",AD267="Leve"),AND(AB267="Muy Baja",AD267="Menor"),AND(AB267="Baja",AD267="Leve")),"Bajo",IF(OR(AND(AB267="Muy baja",AD267="Moderado"),AND(AB267="Baja",AD267="Menor"),AND(AB267="Baja",AD267="Moderado"),AND(AB267="Media",AD267="Leve"),AND(AB267="Media",AD267="Menor"),AND(AB267="Media",AD267="Moderado"),AND(AB267="Alta",AD267="Leve"),AND(AB267="Alta",AD267="Menor")),"Moderado",IF(OR(AND(AB267="Muy Baja",AD267="Mayor"),AND(AB267="Baja",AD267="Mayor"),AND(AB267="Media",AD267="Mayor"),AND(AB267="Alta",AD267="Moderado"),AND(AB267="Alta",AD267="Mayor"),AND(AB267="Muy Alta",AD267="Leve"),AND(AB267="Muy Alta",AD267="Menor"),AND(AB267="Muy Alta",AD267="Moderado"),AND(AB267="Muy Alta",AD267="Mayor")),"Alto",IF(OR(AND(AB267="Muy Baja",AD267="Catastrófico"),AND(AB267="Baja",AD267="Catastrófico"),AND(AB267="Media",AD267="Catastrófico"),AND(AB267="Alta",AD267="Catastrófico"),AND(AB267="Muy Alta",AD267="Catastrófico")),"Extremo","")))),"")</f>
        <v>Moderado</v>
      </c>
      <c r="AG267" s="1427" t="s">
        <v>1174</v>
      </c>
      <c r="AH267" s="1428"/>
      <c r="AI267" s="1416"/>
      <c r="AJ267" s="1416"/>
      <c r="AK267" s="1416"/>
      <c r="AL267" s="1416"/>
    </row>
    <row r="268" spans="1:38" ht="77.400000000000006" customHeight="1" x14ac:dyDescent="0.3">
      <c r="A268" s="1438"/>
      <c r="B268" s="3533"/>
      <c r="C268" s="3533"/>
      <c r="D268" s="3554"/>
      <c r="E268" s="3554" t="s">
        <v>1191</v>
      </c>
      <c r="F268" s="3554"/>
      <c r="G268" s="3554"/>
      <c r="H268" s="3554"/>
      <c r="I268" s="3533"/>
      <c r="J268" s="3557"/>
      <c r="K268" s="3559"/>
      <c r="L268" s="3561"/>
      <c r="M268" s="3563"/>
      <c r="N268" s="3561">
        <f>IF(NOT(ISERROR(MATCH(M268,_xlfn.ANCHORARRAY(#REF!),0))),#REF!&amp;"Por favor no seleccionar los criterios de impacto",M268)</f>
        <v>0</v>
      </c>
      <c r="O268" s="3559"/>
      <c r="P268" s="3561"/>
      <c r="Q268" s="3545"/>
      <c r="R268" s="3572"/>
      <c r="S268" s="1439" t="s">
        <v>1192</v>
      </c>
      <c r="T268" s="3576" t="str">
        <f>IF(OR(U268="Preventivo",U268="Detectivo"),"Probabilidad",IF(U268="Correctivo","Impacto",""))</f>
        <v>Probabilidad</v>
      </c>
      <c r="U268" s="3535" t="s">
        <v>207</v>
      </c>
      <c r="V268" s="3535" t="s">
        <v>201</v>
      </c>
      <c r="W268" s="3535" t="str">
        <f>IF(AND(U268="Preventivo",V268="Automático"),"50%",IF(AND(U268="Preventivo",V268="Manual"),"40%",IF(AND(U268="Detectivo",V268="Automático"),"40%",IF(AND(U268="Detectivo",V268="Manual"),"30%",IF(AND(U268="Correctivo",V268="Automático"),"35%",IF(AND(U268="Correctivo",V268="Manual"),"25%",""))))))</f>
        <v>40%</v>
      </c>
      <c r="X268" s="3535" t="s">
        <v>208</v>
      </c>
      <c r="Y268" s="3535" t="s">
        <v>203</v>
      </c>
      <c r="Z268" s="3535" t="s">
        <v>204</v>
      </c>
      <c r="AA268" s="3541">
        <f>IFERROR(IF(T268="Probabilidad",(L268-(+L268*W268)),IF(T268="Impacto",L268,"")),"")</f>
        <v>0</v>
      </c>
      <c r="AB268" s="3564" t="str">
        <f t="shared" ref="AB268" si="151">IFERROR(IF(AA268="","",IF(AA268&lt;=0.2,"Muy Baja",IF(AA268&lt;=0.4,"Baja",IF(AA268&lt;=0.6,"Media",IF(AA268&lt;=0.8,"Alta","Muy Alta"))))),"")</f>
        <v>Muy Baja</v>
      </c>
      <c r="AC268" s="3538">
        <f t="shared" ref="AC268" si="152">+AA268</f>
        <v>0</v>
      </c>
      <c r="AD268" s="3564" t="str">
        <f t="shared" ref="AD268" si="153">IFERROR(IF(AE268="","",IF(AE268&lt;=0.2,"Leve",IF(AE268&lt;=0.4,"Menor",IF(AE268&lt;=0.6,"Moderado",IF(AE268&lt;=0.8,"Mayor","Catastrófico"))))),"")</f>
        <v>Leve</v>
      </c>
      <c r="AE268" s="3538">
        <f t="shared" ref="AE268" si="154">IFERROR(IF(T268="Impacto",(P268-(+P268*W268)),IF(T268="Probabilidad",P268,"")),"")</f>
        <v>0</v>
      </c>
      <c r="AF268" s="3567" t="str">
        <f t="shared" ref="AF268" si="155">IFERROR(IF(OR(AND(AB268="Muy Baja",AD268="Leve"),AND(AB268="Muy Baja",AD268="Menor"),AND(AB268="Baja",AD268="Leve")),"Bajo",IF(OR(AND(AB268="Muy baja",AD268="Moderado"),AND(AB268="Baja",AD268="Menor"),AND(AB268="Baja",AD268="Moderado"),AND(AB268="Media",AD268="Leve"),AND(AB268="Media",AD268="Menor"),AND(AB268="Media",AD268="Moderado"),AND(AB268="Alta",AD268="Leve"),AND(AB268="Alta",AD268="Menor")),"Moderado",IF(OR(AND(AB268="Muy Baja",AD268="Mayor"),AND(AB268="Baja",AD268="Mayor"),AND(AB268="Media",AD268="Mayor"),AND(AB268="Alta",AD268="Moderado"),AND(AB268="Alta",AD268="Mayor"),AND(AB268="Muy Alta",AD268="Leve"),AND(AB268="Muy Alta",AD268="Menor"),AND(AB268="Muy Alta",AD268="Moderado"),AND(AB268="Muy Alta",AD268="Mayor")),"Alto",IF(OR(AND(AB268="Muy Baja",AD268="Catastrófico"),AND(AB268="Baja",AD268="Catastrófico"),AND(AB268="Media",AD268="Catastrófico"),AND(AB268="Alta",AD268="Catastrófico"),AND(AB268="Muy Alta",AD268="Catastrófico")),"Extremo","")))),"")</f>
        <v>Bajo</v>
      </c>
      <c r="AG268" s="3535" t="s">
        <v>1174</v>
      </c>
      <c r="AH268" s="3570"/>
      <c r="AI268" s="3533"/>
      <c r="AJ268" s="3533"/>
      <c r="AK268" s="3533"/>
      <c r="AL268" s="3533"/>
    </row>
    <row r="269" spans="1:38" ht="82.8" customHeight="1" x14ac:dyDescent="0.3">
      <c r="A269" s="1429"/>
      <c r="B269" s="3533"/>
      <c r="C269" s="3533"/>
      <c r="D269" s="3554"/>
      <c r="E269" s="3554"/>
      <c r="F269" s="3554"/>
      <c r="G269" s="3554"/>
      <c r="H269" s="3554"/>
      <c r="I269" s="3533"/>
      <c r="J269" s="3557"/>
      <c r="K269" s="3559"/>
      <c r="L269" s="3561"/>
      <c r="M269" s="3563"/>
      <c r="N269" s="1430"/>
      <c r="O269" s="3559"/>
      <c r="P269" s="3561"/>
      <c r="Q269" s="3545"/>
      <c r="R269" s="1415">
        <v>2</v>
      </c>
      <c r="S269" s="1433" t="s">
        <v>1195</v>
      </c>
      <c r="T269" s="3577"/>
      <c r="U269" s="3536"/>
      <c r="V269" s="3536"/>
      <c r="W269" s="3536"/>
      <c r="X269" s="3536"/>
      <c r="Y269" s="3536"/>
      <c r="Z269" s="3536"/>
      <c r="AA269" s="3542"/>
      <c r="AB269" s="3565"/>
      <c r="AC269" s="3539"/>
      <c r="AD269" s="3565"/>
      <c r="AE269" s="3539"/>
      <c r="AF269" s="3568"/>
      <c r="AG269" s="3536"/>
      <c r="AH269" s="3570"/>
      <c r="AI269" s="3533"/>
      <c r="AJ269" s="3533"/>
      <c r="AK269" s="3533"/>
      <c r="AL269" s="3533"/>
    </row>
    <row r="270" spans="1:38" ht="15" x14ac:dyDescent="0.3">
      <c r="A270" s="1432">
        <v>3</v>
      </c>
      <c r="B270" s="3552" t="s">
        <v>395</v>
      </c>
      <c r="C270" s="3552" t="s">
        <v>1167</v>
      </c>
      <c r="D270" s="3552" t="s">
        <v>1196</v>
      </c>
      <c r="E270" s="3552" t="s">
        <v>292</v>
      </c>
      <c r="F270" s="3553" t="s">
        <v>1197</v>
      </c>
      <c r="G270" s="3553" t="s">
        <v>597</v>
      </c>
      <c r="H270" s="3553" t="s">
        <v>1186</v>
      </c>
      <c r="I270" s="3552" t="s">
        <v>198</v>
      </c>
      <c r="J270" s="3556">
        <v>2</v>
      </c>
      <c r="K270" s="3558" t="str">
        <f>IF(J270&lt;=0,"",IF(J270&lt;=2,"Muy Baja",IF(J270&lt;=24,"Baja",IF(J270&lt;=500,"Media",IF(J270&lt;=5000,"Alta","Muy Alta")))))</f>
        <v>Muy Baja</v>
      </c>
      <c r="L270" s="3560">
        <f>IF(K270="","",IF(K270="Muy Baja",0.2,IF(K270="Baja",0.4,IF(K270="Media",0.6,IF(K270="Alta",0.8,IF(K270="Muy Alta",1,))))))</f>
        <v>0.2</v>
      </c>
      <c r="M270" s="3562" t="s">
        <v>1198</v>
      </c>
      <c r="N270" s="3560" t="str">
        <f>IF(NOT(ISERROR(MATCH(M270,'[42]Tabla Impacto'!$B$221:$B$223,0))),'[42]Tabla Impacto'!$F$223&amp;"Por favor no seleccionar los criterios de impacto(Afectación Económica o presupuestal y Pérdida Reputacional)",M270)</f>
        <v xml:space="preserve">     Afectación menor a 10 SMLMV .</v>
      </c>
      <c r="O270" s="3558" t="str">
        <f>IF(OR(N270='[42]Tabla Impacto'!$C$11,N270='[42]Tabla Impacto'!$D$11),"Leve",IF(OR(N270='[42]Tabla Impacto'!$C$12,N270='[42]Tabla Impacto'!$D$12),"Menor",IF(OR(N270='[42]Tabla Impacto'!$C$13,N270='[42]Tabla Impacto'!$D$13),"Moderado",IF(OR(N270='[42]Tabla Impacto'!$C$14,N270='[42]Tabla Impacto'!$D$14),"Mayor",IF(OR(N270='[42]Tabla Impacto'!$C$15,N270='[42]Tabla Impacto'!$D$15),"Catastrófico","")))))</f>
        <v>Leve</v>
      </c>
      <c r="P270" s="3560">
        <f>IF(O270="","",IF(O270="Leve",0.2,IF(O270="Menor",0.4,IF(O270="Moderado",0.6,IF(O270="Mayor",0.8,IF(O270="Catastrófico",1,))))))</f>
        <v>0.2</v>
      </c>
      <c r="Q270" s="3544" t="str">
        <f>IF(OR(AND(K270="Muy Baja",O270="Leve"),AND(K270="Muy Baja",O270="Menor"),AND(K270="Baja",O270="Leve")),"Bajo",IF(OR(AND(K270="Muy baja",O270="Moderado"),AND(K270="Baja",O270="Menor"),AND(K270="Baja",O270="Moderado"),AND(K270="Media",O270="Leve"),AND(K270="Media",O270="Menor"),AND(K270="Media",O270="Moderado"),AND(K270="Alta",O270="Leve"),AND(K270="Alta",O270="Menor")),"Moderado",IF(OR(AND(K270="Muy Baja",O270="Mayor"),AND(K270="Baja",O270="Mayor"),AND(K270="Media",O270="Mayor"),AND(K270="Alta",O270="Moderado"),AND(K270="Alta",O270="Mayor"),AND(K270="Muy Alta",O270="Leve"),AND(K270="Muy Alta",O270="Menor"),AND(K270="Muy Alta",O270="Moderado"),AND(K270="Muy Alta",O270="Mayor")),"Alto",IF(OR(AND(K270="Muy Baja",O270="Catastrófico"),AND(K270="Baja",O270="Catastrófico"),AND(K270="Media",O270="Catastrófico"),AND(K270="Alta",O270="Catastrófico"),AND(K270="Muy Alta",O270="Catastrófico")),"Extremo",""))))</f>
        <v>Bajo</v>
      </c>
      <c r="R270" s="1418">
        <v>1</v>
      </c>
      <c r="S270" s="3552" t="s">
        <v>1199</v>
      </c>
      <c r="T270" s="3576" t="str">
        <f>IF(OR(U270="Preventivo",U270="Detectivo"),"Probabilidad",IF(U270="Correctivo","Impacto",""))</f>
        <v>Probabilidad</v>
      </c>
      <c r="U270" s="3535" t="s">
        <v>207</v>
      </c>
      <c r="V270" s="3535" t="s">
        <v>201</v>
      </c>
      <c r="W270" s="3535" t="str">
        <f>IF(AND(U270="Preventivo",V270="Automático"),"50%",IF(AND(U270="Preventivo",V270="Manual"),"40%",IF(AND(U270="Detectivo",V270="Automático"),"40%",IF(AND(U270="Detectivo",V270="Manual"),"30%",IF(AND(U270="Correctivo",V270="Automático"),"35%",IF(AND(U270="Correctivo",V270="Manual"),"25%",""))))))</f>
        <v>40%</v>
      </c>
      <c r="X270" s="3535" t="s">
        <v>208</v>
      </c>
      <c r="Y270" s="3535" t="s">
        <v>203</v>
      </c>
      <c r="Z270" s="3535" t="s">
        <v>204</v>
      </c>
      <c r="AA270" s="3541">
        <f>IFERROR(IF(T270="Probabilidad",(L270-(+L270*W270)),IF(T270="Impacto",L270,"")),"")</f>
        <v>0.12</v>
      </c>
      <c r="AB270" s="3564" t="str">
        <f>IFERROR(IF(AA270="","",IF(AA270&lt;=0.2,"Muy Baja",IF(AA270&lt;=0.4,"Baja",IF(AA270&lt;=0.6,"Media",IF(AA270&lt;=0.8,"Alta","Muy Alta"))))),"")</f>
        <v>Muy Baja</v>
      </c>
      <c r="AC270" s="3538">
        <f>+AA270</f>
        <v>0.12</v>
      </c>
      <c r="AD270" s="3564" t="str">
        <f>IFERROR(IF(AE270="","",IF(AE270&lt;=0.2,"Leve",IF(AE270&lt;=0.4,"Menor",IF(AE270&lt;=0.6,"Moderado",IF(AE270&lt;=0.8,"Mayor","Catastrófico"))))),"")</f>
        <v>Leve</v>
      </c>
      <c r="AE270" s="3538">
        <f>IFERROR(IF(T270="Impacto",(P270-(+P270*W270)),IF(T270="Probabilidad",P270,"")),"")</f>
        <v>0.2</v>
      </c>
      <c r="AF270" s="3567" t="str">
        <f>IFERROR(IF(OR(AND(AB270="Muy Baja",AD270="Leve"),AND(AB270="Muy Baja",AD270="Menor"),AND(AB270="Baja",AD270="Leve")),"Bajo",IF(OR(AND(AB270="Muy baja",AD270="Moderado"),AND(AB270="Baja",AD270="Menor"),AND(AB270="Baja",AD270="Moderado"),AND(AB270="Media",AD270="Leve"),AND(AB270="Media",AD270="Menor"),AND(AB270="Media",AD270="Moderado"),AND(AB270="Alta",AD270="Leve"),AND(AB270="Alta",AD270="Menor")),"Moderado",IF(OR(AND(AB270="Muy Baja",AD270="Mayor"),AND(AB270="Baja",AD270="Mayor"),AND(AB270="Media",AD270="Mayor"),AND(AB270="Alta",AD270="Moderado"),AND(AB270="Alta",AD270="Mayor"),AND(AB270="Muy Alta",AD270="Leve"),AND(AB270="Muy Alta",AD270="Menor"),AND(AB270="Muy Alta",AD270="Moderado"),AND(AB270="Muy Alta",AD270="Mayor")),"Alto",IF(OR(AND(AB270="Muy Baja",AD270="Catastrófico"),AND(AB270="Baja",AD270="Catastrófico"),AND(AB270="Media",AD270="Catastrófico"),AND(AB270="Alta",AD270="Catastrófico"),AND(AB270="Muy Alta",AD270="Catastrófico")),"Extremo","")))),"")</f>
        <v>Bajo</v>
      </c>
      <c r="AG270" s="3535" t="s">
        <v>1174</v>
      </c>
      <c r="AH270" s="3584"/>
      <c r="AI270" s="3552"/>
      <c r="AJ270" s="3552"/>
      <c r="AK270" s="3552"/>
      <c r="AL270" s="3552"/>
    </row>
    <row r="271" spans="1:38" ht="58.8" customHeight="1" x14ac:dyDescent="0.3">
      <c r="A271" s="1429"/>
      <c r="B271" s="3534"/>
      <c r="C271" s="3533"/>
      <c r="D271" s="3534"/>
      <c r="E271" s="3534"/>
      <c r="F271" s="3555"/>
      <c r="G271" s="3578"/>
      <c r="H271" s="3555"/>
      <c r="I271" s="3534"/>
      <c r="J271" s="3579"/>
      <c r="K271" s="3580"/>
      <c r="L271" s="3581"/>
      <c r="M271" s="3582"/>
      <c r="N271" s="3581"/>
      <c r="O271" s="3580"/>
      <c r="P271" s="3581"/>
      <c r="Q271" s="3546"/>
      <c r="R271" s="1418"/>
      <c r="S271" s="3534"/>
      <c r="T271" s="3583"/>
      <c r="U271" s="3537"/>
      <c r="V271" s="3537"/>
      <c r="W271" s="3537"/>
      <c r="X271" s="3537"/>
      <c r="Y271" s="3537"/>
      <c r="Z271" s="3537"/>
      <c r="AA271" s="3543"/>
      <c r="AB271" s="3566"/>
      <c r="AC271" s="3540"/>
      <c r="AD271" s="3566"/>
      <c r="AE271" s="3540"/>
      <c r="AF271" s="3569"/>
      <c r="AG271" s="3537"/>
      <c r="AH271" s="3585"/>
      <c r="AI271" s="3534"/>
      <c r="AJ271" s="3534"/>
      <c r="AK271" s="3534"/>
      <c r="AL271" s="3534"/>
    </row>
    <row r="273" spans="1:39" x14ac:dyDescent="0.3">
      <c r="A273" s="2343" t="s">
        <v>156</v>
      </c>
      <c r="B273" s="2344"/>
      <c r="C273" s="2344"/>
      <c r="D273" s="2344"/>
      <c r="E273" s="2344"/>
      <c r="F273" s="2344"/>
      <c r="G273" s="2344"/>
      <c r="H273" s="2344"/>
      <c r="I273" s="2344"/>
      <c r="J273" s="2344"/>
      <c r="K273" s="2344"/>
      <c r="L273" s="2344"/>
      <c r="M273" s="2344"/>
      <c r="N273" s="2344"/>
      <c r="O273" s="2344"/>
      <c r="P273" s="2344"/>
      <c r="Q273" s="2344"/>
      <c r="R273" s="2344"/>
      <c r="S273" s="2344"/>
      <c r="T273" s="2344"/>
      <c r="U273" s="2344"/>
      <c r="V273" s="2344"/>
      <c r="W273" s="2344"/>
      <c r="X273" s="2344"/>
      <c r="Y273" s="2344"/>
      <c r="Z273" s="2344"/>
      <c r="AA273" s="2344"/>
      <c r="AB273" s="2344"/>
      <c r="AC273" s="2344"/>
      <c r="AD273" s="2344"/>
      <c r="AE273" s="2344"/>
      <c r="AF273" s="2344"/>
      <c r="AG273" s="2344"/>
      <c r="AH273" s="2344"/>
      <c r="AI273" s="2344"/>
      <c r="AJ273" s="2344"/>
      <c r="AK273" s="2344"/>
      <c r="AL273" s="2344"/>
      <c r="AM273" s="2345"/>
    </row>
    <row r="274" spans="1:39" x14ac:dyDescent="0.3">
      <c r="A274" s="2346"/>
      <c r="B274" s="2347"/>
      <c r="C274" s="2347"/>
      <c r="D274" s="2347"/>
      <c r="E274" s="2347"/>
      <c r="F274" s="2347"/>
      <c r="G274" s="2347"/>
      <c r="H274" s="2347"/>
      <c r="I274" s="2347"/>
      <c r="J274" s="2347"/>
      <c r="K274" s="2347"/>
      <c r="L274" s="2347"/>
      <c r="M274" s="2347"/>
      <c r="N274" s="2347"/>
      <c r="O274" s="2347"/>
      <c r="P274" s="2347"/>
      <c r="Q274" s="2347"/>
      <c r="R274" s="2347"/>
      <c r="S274" s="2347"/>
      <c r="T274" s="2347"/>
      <c r="U274" s="2347"/>
      <c r="V274" s="2347"/>
      <c r="W274" s="2347"/>
      <c r="X274" s="2347"/>
      <c r="Y274" s="2347"/>
      <c r="Z274" s="2347"/>
      <c r="AA274" s="2347"/>
      <c r="AB274" s="2347"/>
      <c r="AC274" s="2347"/>
      <c r="AD274" s="2347"/>
      <c r="AE274" s="2347"/>
      <c r="AF274" s="2347"/>
      <c r="AG274" s="2347"/>
      <c r="AH274" s="2347"/>
      <c r="AI274" s="2347"/>
      <c r="AJ274" s="2347"/>
      <c r="AK274" s="2347"/>
      <c r="AL274" s="2347"/>
      <c r="AM274" s="2348"/>
    </row>
    <row r="275" spans="1:39" ht="14.4" x14ac:dyDescent="0.3">
      <c r="A275" s="703"/>
      <c r="B275" s="704"/>
      <c r="C275" s="703"/>
      <c r="D275" s="703"/>
      <c r="E275" s="703"/>
      <c r="F275" s="700"/>
      <c r="G275" s="700"/>
      <c r="H275" s="700"/>
      <c r="I275" s="705"/>
      <c r="J275" s="700"/>
      <c r="K275" s="700"/>
      <c r="L275" s="700"/>
      <c r="M275" s="700"/>
      <c r="N275" s="700"/>
      <c r="O275" s="700"/>
      <c r="P275" s="700"/>
      <c r="Q275" s="700"/>
      <c r="R275" s="700"/>
      <c r="S275" s="700"/>
      <c r="T275" s="700"/>
      <c r="U275" s="700"/>
      <c r="V275" s="700"/>
      <c r="W275" s="700"/>
      <c r="X275" s="700"/>
      <c r="Y275" s="700"/>
      <c r="Z275" s="700"/>
      <c r="AA275" s="700"/>
      <c r="AB275" s="700"/>
      <c r="AC275" s="700"/>
      <c r="AD275" s="700"/>
      <c r="AE275" s="700"/>
      <c r="AF275" s="700"/>
      <c r="AG275" s="700"/>
      <c r="AH275" s="700"/>
      <c r="AI275" s="700"/>
      <c r="AJ275" s="700"/>
      <c r="AK275" s="700"/>
      <c r="AL275" s="700"/>
      <c r="AM275" s="700"/>
    </row>
    <row r="276" spans="1:39" ht="23.4" x14ac:dyDescent="0.3">
      <c r="A276" s="2349" t="s">
        <v>157</v>
      </c>
      <c r="B276" s="2350"/>
      <c r="C276" s="2039" t="s">
        <v>1100</v>
      </c>
      <c r="D276" s="2039"/>
      <c r="E276" s="2039"/>
      <c r="F276" s="2039"/>
      <c r="G276" s="2039"/>
      <c r="H276" s="2039"/>
      <c r="I276" s="2039"/>
      <c r="J276" s="2039"/>
      <c r="K276" s="2039"/>
      <c r="L276" s="2039"/>
      <c r="M276" s="2039"/>
      <c r="N276" s="2039"/>
      <c r="O276" s="2039"/>
      <c r="P276" s="2039"/>
      <c r="Q276" s="2039"/>
      <c r="R276" s="2039"/>
      <c r="S276" s="2039"/>
      <c r="T276" s="2039"/>
      <c r="U276" s="2039"/>
      <c r="V276" s="2039"/>
      <c r="W276" s="2039"/>
      <c r="X276" s="2039"/>
      <c r="Y276" s="2039"/>
      <c r="Z276" s="2039"/>
      <c r="AA276" s="2039"/>
      <c r="AB276" s="2039"/>
      <c r="AC276" s="2039"/>
      <c r="AD276" s="2039"/>
      <c r="AE276" s="2039"/>
      <c r="AF276" s="2039"/>
      <c r="AG276" s="2039"/>
      <c r="AH276" s="2039"/>
      <c r="AI276" s="2039"/>
      <c r="AJ276" s="2039"/>
      <c r="AK276" s="2039"/>
      <c r="AL276" s="2039"/>
      <c r="AM276" s="2039"/>
    </row>
    <row r="277" spans="1:39" ht="23.4" x14ac:dyDescent="0.3">
      <c r="A277" s="2349" t="s">
        <v>158</v>
      </c>
      <c r="B277" s="2350"/>
      <c r="C277" s="2040" t="s">
        <v>659</v>
      </c>
      <c r="D277" s="2040"/>
      <c r="E277" s="2040"/>
      <c r="F277" s="2040"/>
      <c r="G277" s="2040"/>
      <c r="H277" s="2040"/>
      <c r="I277" s="2040"/>
      <c r="J277" s="2040"/>
      <c r="K277" s="2040"/>
      <c r="L277" s="2040"/>
      <c r="M277" s="2040"/>
      <c r="N277" s="2040"/>
      <c r="O277" s="2040"/>
      <c r="P277" s="2040"/>
      <c r="Q277" s="2040"/>
      <c r="R277" s="2040"/>
      <c r="S277" s="2040"/>
      <c r="T277" s="2040"/>
      <c r="U277" s="2040"/>
      <c r="V277" s="2040"/>
      <c r="W277" s="2040"/>
      <c r="X277" s="2040"/>
      <c r="Y277" s="2040"/>
      <c r="Z277" s="2040"/>
      <c r="AA277" s="2040"/>
      <c r="AB277" s="2040"/>
      <c r="AC277" s="2040"/>
      <c r="AD277" s="2040"/>
      <c r="AE277" s="2040"/>
      <c r="AF277" s="2040"/>
      <c r="AG277" s="2040"/>
      <c r="AH277" s="2040"/>
      <c r="AI277" s="2040"/>
      <c r="AJ277" s="2040"/>
      <c r="AK277" s="2040"/>
      <c r="AL277" s="2040"/>
      <c r="AM277" s="2040"/>
    </row>
    <row r="278" spans="1:39" ht="23.4" x14ac:dyDescent="0.3">
      <c r="A278" s="2349" t="s">
        <v>159</v>
      </c>
      <c r="B278" s="2350"/>
      <c r="C278" s="2040" t="s">
        <v>660</v>
      </c>
      <c r="D278" s="2040"/>
      <c r="E278" s="2040"/>
      <c r="F278" s="2040"/>
      <c r="G278" s="2040"/>
      <c r="H278" s="2040"/>
      <c r="I278" s="2040"/>
      <c r="J278" s="2040"/>
      <c r="K278" s="2040"/>
      <c r="L278" s="2040"/>
      <c r="M278" s="2040"/>
      <c r="N278" s="2040"/>
      <c r="O278" s="2040"/>
      <c r="P278" s="2040"/>
      <c r="Q278" s="2040"/>
      <c r="R278" s="2040"/>
      <c r="S278" s="2040"/>
      <c r="T278" s="2040"/>
      <c r="U278" s="2040"/>
      <c r="V278" s="2040"/>
      <c r="W278" s="2040"/>
      <c r="X278" s="2040"/>
      <c r="Y278" s="2040"/>
      <c r="Z278" s="2040"/>
      <c r="AA278" s="2040"/>
      <c r="AB278" s="2040"/>
      <c r="AC278" s="2040"/>
      <c r="AD278" s="2040"/>
      <c r="AE278" s="2040"/>
      <c r="AF278" s="2040"/>
      <c r="AG278" s="2040"/>
      <c r="AH278" s="2040"/>
      <c r="AI278" s="2040"/>
      <c r="AJ278" s="2040"/>
      <c r="AK278" s="2040"/>
      <c r="AL278" s="2040"/>
      <c r="AM278" s="2040"/>
    </row>
    <row r="279" spans="1:39" x14ac:dyDescent="0.3">
      <c r="A279" s="2351" t="s">
        <v>160</v>
      </c>
      <c r="B279" s="2352"/>
      <c r="C279" s="2353"/>
      <c r="D279" s="2353"/>
      <c r="E279" s="2353"/>
      <c r="F279" s="2353"/>
      <c r="G279" s="2353"/>
      <c r="H279" s="2353"/>
      <c r="I279" s="2353"/>
      <c r="J279" s="2354"/>
      <c r="K279" s="2101" t="s">
        <v>161</v>
      </c>
      <c r="L279" s="2353"/>
      <c r="M279" s="2353"/>
      <c r="N279" s="2353"/>
      <c r="O279" s="2353"/>
      <c r="P279" s="2353"/>
      <c r="Q279" s="2354"/>
      <c r="R279" s="2101" t="s">
        <v>162</v>
      </c>
      <c r="S279" s="2353"/>
      <c r="T279" s="2353"/>
      <c r="U279" s="2353"/>
      <c r="V279" s="2353"/>
      <c r="W279" s="2353"/>
      <c r="X279" s="2353"/>
      <c r="Y279" s="2353"/>
      <c r="Z279" s="2354"/>
      <c r="AA279" s="2101" t="s">
        <v>163</v>
      </c>
      <c r="AB279" s="2353"/>
      <c r="AC279" s="2353"/>
      <c r="AD279" s="2353"/>
      <c r="AE279" s="2353"/>
      <c r="AF279" s="2353"/>
      <c r="AG279" s="2354"/>
      <c r="AH279" s="2101" t="s">
        <v>164</v>
      </c>
      <c r="AI279" s="2353"/>
      <c r="AJ279" s="2353"/>
      <c r="AK279" s="2353"/>
      <c r="AL279" s="2353"/>
      <c r="AM279" s="2354"/>
    </row>
    <row r="280" spans="1:39" ht="13.8" customHeight="1" x14ac:dyDescent="0.3">
      <c r="A280" s="2140" t="s">
        <v>165</v>
      </c>
      <c r="B280" s="2142" t="s">
        <v>142</v>
      </c>
      <c r="C280" s="2042" t="s">
        <v>166</v>
      </c>
      <c r="D280" s="2042" t="s">
        <v>167</v>
      </c>
      <c r="E280" s="2041" t="s">
        <v>168</v>
      </c>
      <c r="F280" s="2103" t="s">
        <v>60</v>
      </c>
      <c r="G280" s="280"/>
      <c r="H280" s="280"/>
      <c r="I280" s="2041" t="s">
        <v>169</v>
      </c>
      <c r="J280" s="2042" t="s">
        <v>170</v>
      </c>
      <c r="K280" s="2105" t="s">
        <v>171</v>
      </c>
      <c r="L280" s="2100" t="s">
        <v>172</v>
      </c>
      <c r="M280" s="2041" t="s">
        <v>173</v>
      </c>
      <c r="N280" s="2041" t="s">
        <v>174</v>
      </c>
      <c r="O280" s="2102" t="s">
        <v>175</v>
      </c>
      <c r="P280" s="2100" t="s">
        <v>172</v>
      </c>
      <c r="Q280" s="2042" t="s">
        <v>176</v>
      </c>
      <c r="R280" s="2161" t="s">
        <v>177</v>
      </c>
      <c r="S280" s="2043" t="s">
        <v>178</v>
      </c>
      <c r="T280" s="2041" t="s">
        <v>179</v>
      </c>
      <c r="U280" s="2043" t="s">
        <v>180</v>
      </c>
      <c r="V280" s="2043"/>
      <c r="W280" s="2043"/>
      <c r="X280" s="2043"/>
      <c r="Y280" s="2043"/>
      <c r="Z280" s="2043"/>
      <c r="AA280" s="2099" t="s">
        <v>181</v>
      </c>
      <c r="AB280" s="2099" t="s">
        <v>182</v>
      </c>
      <c r="AC280" s="2099" t="s">
        <v>172</v>
      </c>
      <c r="AD280" s="2099" t="s">
        <v>183</v>
      </c>
      <c r="AE280" s="2099" t="s">
        <v>172</v>
      </c>
      <c r="AF280" s="2099" t="s">
        <v>184</v>
      </c>
      <c r="AG280" s="2161" t="s">
        <v>185</v>
      </c>
      <c r="AH280" s="2043" t="s">
        <v>164</v>
      </c>
      <c r="AI280" s="2043" t="s">
        <v>143</v>
      </c>
      <c r="AJ280" s="2043" t="s">
        <v>186</v>
      </c>
      <c r="AK280" s="2305" t="s">
        <v>187</v>
      </c>
      <c r="AL280" s="2305" t="s">
        <v>188</v>
      </c>
      <c r="AM280" s="2305" t="s">
        <v>189</v>
      </c>
    </row>
    <row r="281" spans="1:39" ht="71.400000000000006" x14ac:dyDescent="0.3">
      <c r="A281" s="2141"/>
      <c r="B281" s="2142"/>
      <c r="C281" s="2043"/>
      <c r="D281" s="2043"/>
      <c r="E281" s="2105"/>
      <c r="F281" s="2104"/>
      <c r="G281" s="280" t="s">
        <v>511</v>
      </c>
      <c r="H281" s="280" t="s">
        <v>190</v>
      </c>
      <c r="I281" s="2042"/>
      <c r="J281" s="2043"/>
      <c r="K281" s="2042"/>
      <c r="L281" s="2101"/>
      <c r="M281" s="2042"/>
      <c r="N281" s="2042"/>
      <c r="O281" s="2101"/>
      <c r="P281" s="2101"/>
      <c r="Q281" s="2043"/>
      <c r="R281" s="2162"/>
      <c r="S281" s="2043"/>
      <c r="T281" s="2042"/>
      <c r="U281" s="281" t="s">
        <v>191</v>
      </c>
      <c r="V281" s="281" t="s">
        <v>192</v>
      </c>
      <c r="W281" s="281" t="s">
        <v>193</v>
      </c>
      <c r="X281" s="281" t="s">
        <v>194</v>
      </c>
      <c r="Y281" s="281" t="s">
        <v>195</v>
      </c>
      <c r="Z281" s="281" t="s">
        <v>196</v>
      </c>
      <c r="AA281" s="2099"/>
      <c r="AB281" s="2099"/>
      <c r="AC281" s="2099"/>
      <c r="AD281" s="2099"/>
      <c r="AE281" s="2099"/>
      <c r="AF281" s="2099"/>
      <c r="AG281" s="2162"/>
      <c r="AH281" s="2043"/>
      <c r="AI281" s="2043"/>
      <c r="AJ281" s="2043"/>
      <c r="AK281" s="2306"/>
      <c r="AL281" s="2306"/>
      <c r="AM281" s="2308"/>
    </row>
    <row r="282" spans="1:39" ht="34.799999999999997" customHeight="1" x14ac:dyDescent="0.3">
      <c r="A282" s="2112">
        <v>1</v>
      </c>
      <c r="B282" s="2155" t="s">
        <v>209</v>
      </c>
      <c r="C282" s="2155" t="s">
        <v>661</v>
      </c>
      <c r="D282" s="2158" t="s">
        <v>662</v>
      </c>
      <c r="E282" s="3586" t="s">
        <v>396</v>
      </c>
      <c r="F282" s="2125" t="s">
        <v>663</v>
      </c>
      <c r="G282" s="1979" t="s">
        <v>512</v>
      </c>
      <c r="H282" s="2125" t="s">
        <v>664</v>
      </c>
      <c r="I282" s="2126" t="s">
        <v>198</v>
      </c>
      <c r="J282" s="2129">
        <v>36</v>
      </c>
      <c r="K282" s="2109" t="str">
        <f>IF(J282&lt;=0,"",IF(J282&lt;=2,"Muy Baja",IF(J282&lt;=24,"Baja",IF(J282&lt;=500,"Media",IF(J282&lt;=5000,"Alta","Muy Alta")))))</f>
        <v>Media</v>
      </c>
      <c r="L282" s="2106">
        <f>IF(K282="","",IF(K282="Muy Baja",0.2,IF(K282="Baja",0.4,IF(K282="Media",0.6,IF(K282="Alta",0.8,IF(K282="Muy Alta",1,))))))</f>
        <v>0.6</v>
      </c>
      <c r="M282" s="2132" t="s">
        <v>225</v>
      </c>
      <c r="N282" s="2106" t="str">
        <f>IF(NOT(ISERROR(MATCH(M282,'[76]Tabla Impacto'!$B$221:$B$223,0))),'[76]Tabla Impacto'!$F$223&amp;"Por favor no seleccionar los criterios de impacto(Afectación Económica o presupuestal y Pérdida Reputacional)",M282)</f>
        <v xml:space="preserve">     El riesgo afecta la imagen de la entidad con algunos usuarios de relevancia frente al logro de los objetivos</v>
      </c>
      <c r="O282" s="2109" t="str">
        <f>IF(OR(N282='[76]Tabla Impacto'!$C$11,N282='[76]Tabla Impacto'!$D$11),"Leve",IF(OR(N282='[76]Tabla Impacto'!$C$12,N282='[76]Tabla Impacto'!$D$12),"Menor",IF(OR(N282='[76]Tabla Impacto'!$C$13,N282='[76]Tabla Impacto'!$D$13),"Moderado",IF(OR(N282='[76]Tabla Impacto'!$C$14,N282='[76]Tabla Impacto'!$D$14),"Mayor",IF(OR(N282='[76]Tabla Impacto'!$C$15,N282='[76]Tabla Impacto'!$D$15),"Catastrófico","")))))</f>
        <v>Moderado</v>
      </c>
      <c r="P282" s="2106">
        <f>IF(O282="","",IF(O282="Leve",0.2,IF(O282="Menor",0.4,IF(O282="Moderado",0.6,IF(O282="Mayor",0.8,IF(O282="Catastrófico",1,))))))</f>
        <v>0.6</v>
      </c>
      <c r="Q282" s="2014" t="str">
        <f>IF(OR(AND(K282="Muy Baja",O282="Leve"),AND(K282="Muy Baja",O282="Menor"),AND(K282="Baja",O282="Leve")),"Bajo",IF(OR(AND(K282="Muy baja",O282="Moderado"),AND(K282="Baja",O282="Menor"),AND(K282="Baja",O282="Moderado"),AND(K282="Media",O282="Leve"),AND(K282="Media",O282="Menor"),AND(K282="Media",O282="Moderado"),AND(K282="Alta",O282="Leve"),AND(K282="Alta",O282="Menor")),"Moderado",IF(OR(AND(K282="Muy Baja",O282="Mayor"),AND(K282="Baja",O282="Mayor"),AND(K282="Media",O282="Mayor"),AND(K282="Alta",O282="Moderado"),AND(K282="Alta",O282="Mayor"),AND(K282="Muy Alta",O282="Leve"),AND(K282="Muy Alta",O282="Menor"),AND(K282="Muy Alta",O282="Moderado"),AND(K282="Muy Alta",O282="Mayor")),"Alto",IF(OR(AND(K282="Muy Baja",O282="Catastrófico"),AND(K282="Baja",O282="Catastrófico"),AND(K282="Media",O282="Catastrófico"),AND(K282="Alta",O282="Catastrófico"),AND(K282="Muy Alta",O282="Catastrófico")),"Extremo",""))))</f>
        <v>Moderado</v>
      </c>
      <c r="R282" s="2793">
        <v>1</v>
      </c>
      <c r="S282" s="2115" t="s">
        <v>1101</v>
      </c>
      <c r="T282" s="2819" t="s">
        <v>1102</v>
      </c>
      <c r="U282" s="2801" t="s">
        <v>200</v>
      </c>
      <c r="V282" s="2801" t="s">
        <v>201</v>
      </c>
      <c r="W282" s="2795" t="str">
        <f>IF(AND(U282="Preventivo",V282="Automático"),"50%",IF(AND(U282="Preventivo",V282="Manual"),"40%",IF(AND(U282="Detectivo",V282="Automático"),"40%",IF(AND(U282="Detectivo",V282="Manual"),"30%",IF(AND(U282="Correctivo",V282="Automático"),"35%",IF(AND(U282="Correctivo",V282="Manual"),"25%",""))))))</f>
        <v>30%</v>
      </c>
      <c r="X282" s="2801" t="s">
        <v>208</v>
      </c>
      <c r="Y282" s="2801" t="s">
        <v>203</v>
      </c>
      <c r="Z282" s="2801" t="s">
        <v>204</v>
      </c>
      <c r="AA282" s="2821">
        <v>0.42</v>
      </c>
      <c r="AB282" s="2797" t="str">
        <f>IFERROR(IF(AA282="","",IF(AA282&lt;=0.2,"Muy Baja",IF(AA282&lt;=0.4,"Baja",IF(AA282&lt;=0.6,"Media",IF(AA282&lt;=0.8,"Alta","Muy Alta"))))),"")</f>
        <v>Media</v>
      </c>
      <c r="AC282" s="2795">
        <f>+AA282</f>
        <v>0.42</v>
      </c>
      <c r="AD282" s="2797" t="s">
        <v>461</v>
      </c>
      <c r="AE282" s="2795">
        <v>0.6</v>
      </c>
      <c r="AF282" s="2799" t="str">
        <f>IFERROR(IF(OR(AND(AB282="Muy Baja",AD282="Leve"),AND(AB282="Muy Baja",AD282="Menor"),AND(AB282="Baja",AD282="Leve")),"Bajo",IF(OR(AND(AB282="Muy baja",AD282="Moderado"),AND(AB282="Baja",AD282="Menor"),AND(AB282="Baja",AD282="Moderado"),AND(AB282="Media",AD282="Leve"),AND(AB282="Media",AD282="Menor"),AND(AB282="Media",AD282="Moderado"),AND(AB282="Alta",AD282="Leve"),AND(AB282="Alta",AD282="Menor")),"Moderado",IF(OR(AND(AB282="Muy Baja",AD282="Mayor"),AND(AB282="Baja",AD282="Mayor"),AND(AB282="Media",AD282="Mayor"),AND(AB282="Alta",AD282="Moderado"),AND(AB282="Alta",AD282="Mayor"),AND(AB282="Muy Alta",AD282="Leve"),AND(AB282="Muy Alta",AD282="Menor"),AND(AB282="Muy Alta",AD282="Moderado"),AND(AB282="Muy Alta",AD282="Mayor")),"Alto",IF(OR(AND(AB282="Muy Baja",AD282="Catastrófico"),AND(AB282="Baja",AD282="Catastrófico"),AND(AB282="Media",AD282="Catastrófico"),AND(AB282="Alta",AD282="Catastrófico"),AND(AB282="Muy Alta",AD282="Catastrófico")),"Extremo","")))),"")</f>
        <v>Moderado</v>
      </c>
      <c r="AG282" s="2801" t="s">
        <v>205</v>
      </c>
      <c r="AH282" s="2155" t="s">
        <v>666</v>
      </c>
      <c r="AI282" s="2155" t="s">
        <v>667</v>
      </c>
      <c r="AJ282" s="3479">
        <v>45292</v>
      </c>
      <c r="AK282" s="2377" t="s">
        <v>1527</v>
      </c>
      <c r="AL282" s="3618" t="s">
        <v>1528</v>
      </c>
      <c r="AM282" s="3613" t="s">
        <v>206</v>
      </c>
    </row>
    <row r="283" spans="1:39" ht="31.8" customHeight="1" x14ac:dyDescent="0.3">
      <c r="A283" s="2113"/>
      <c r="B283" s="2156"/>
      <c r="C283" s="2156"/>
      <c r="D283" s="2159"/>
      <c r="E283" s="3587"/>
      <c r="F283" s="2125"/>
      <c r="G283" s="1980"/>
      <c r="H283" s="2125"/>
      <c r="I283" s="2127"/>
      <c r="J283" s="2130"/>
      <c r="K283" s="2110"/>
      <c r="L283" s="2107"/>
      <c r="M283" s="2133"/>
      <c r="N283" s="2107">
        <f>IF(NOT(ISERROR(MATCH(M283,_xlfn.ANCHORARRAY(#REF!),0))),#REF!&amp;"Por favor no seleccionar los criterios de impacto",M283)</f>
        <v>0</v>
      </c>
      <c r="O283" s="2110"/>
      <c r="P283" s="2107"/>
      <c r="Q283" s="2015"/>
      <c r="R283" s="3589"/>
      <c r="S283" s="2116"/>
      <c r="T283" s="3597"/>
      <c r="U283" s="3595"/>
      <c r="V283" s="3595"/>
      <c r="W283" s="3593"/>
      <c r="X283" s="3595"/>
      <c r="Y283" s="3595"/>
      <c r="Z283" s="3595"/>
      <c r="AA283" s="3598"/>
      <c r="AB283" s="3592"/>
      <c r="AC283" s="3593"/>
      <c r="AD283" s="3592"/>
      <c r="AE283" s="3593"/>
      <c r="AF283" s="3594"/>
      <c r="AG283" s="3595"/>
      <c r="AH283" s="2156"/>
      <c r="AI283" s="2156"/>
      <c r="AJ283" s="3596"/>
      <c r="AK283" s="3616"/>
      <c r="AL283" s="3619"/>
      <c r="AM283" s="3614"/>
    </row>
    <row r="284" spans="1:39" ht="22.8" customHeight="1" x14ac:dyDescent="0.3">
      <c r="A284" s="2113"/>
      <c r="B284" s="2156"/>
      <c r="C284" s="2156"/>
      <c r="D284" s="2159"/>
      <c r="E284" s="3587"/>
      <c r="F284" s="2125"/>
      <c r="G284" s="1980"/>
      <c r="H284" s="2125"/>
      <c r="I284" s="2127"/>
      <c r="J284" s="2130"/>
      <c r="K284" s="2110"/>
      <c r="L284" s="2107"/>
      <c r="M284" s="2133"/>
      <c r="N284" s="2107">
        <f>IF(NOT(ISERROR(MATCH(M284,_xlfn.ANCHORARRAY(#REF!),0))),#REF!&amp;"Por favor no seleccionar los criterios de impacto",M284)</f>
        <v>0</v>
      </c>
      <c r="O284" s="2110"/>
      <c r="P284" s="2107"/>
      <c r="Q284" s="2015"/>
      <c r="R284" s="3589"/>
      <c r="S284" s="2116"/>
      <c r="T284" s="3597"/>
      <c r="U284" s="3595"/>
      <c r="V284" s="3595"/>
      <c r="W284" s="3593"/>
      <c r="X284" s="3595"/>
      <c r="Y284" s="3595"/>
      <c r="Z284" s="3595"/>
      <c r="AA284" s="3598"/>
      <c r="AB284" s="3592"/>
      <c r="AC284" s="3593"/>
      <c r="AD284" s="3592"/>
      <c r="AE284" s="3593"/>
      <c r="AF284" s="3594"/>
      <c r="AG284" s="3595"/>
      <c r="AH284" s="2156"/>
      <c r="AI284" s="2156"/>
      <c r="AJ284" s="3596"/>
      <c r="AK284" s="3616"/>
      <c r="AL284" s="3619"/>
      <c r="AM284" s="3614"/>
    </row>
    <row r="285" spans="1:39" ht="13.8" customHeight="1" x14ac:dyDescent="0.3">
      <c r="A285" s="2113"/>
      <c r="B285" s="2156"/>
      <c r="C285" s="2156"/>
      <c r="D285" s="2159"/>
      <c r="E285" s="3588"/>
      <c r="F285" s="2125"/>
      <c r="G285" s="1980"/>
      <c r="H285" s="2125"/>
      <c r="I285" s="2127"/>
      <c r="J285" s="2130"/>
      <c r="K285" s="2110"/>
      <c r="L285" s="2107"/>
      <c r="M285" s="2133"/>
      <c r="N285" s="2107">
        <f>IF(NOT(ISERROR(MATCH(M285,_xlfn.ANCHORARRAY(#REF!),0))),#REF!&amp;"Por favor no seleccionar los criterios de impacto",M285)</f>
        <v>0</v>
      </c>
      <c r="O285" s="2110"/>
      <c r="P285" s="2107"/>
      <c r="Q285" s="2015"/>
      <c r="R285" s="2794"/>
      <c r="S285" s="2117"/>
      <c r="T285" s="2820"/>
      <c r="U285" s="2802"/>
      <c r="V285" s="2802"/>
      <c r="W285" s="2796"/>
      <c r="X285" s="2802"/>
      <c r="Y285" s="2802"/>
      <c r="Z285" s="2802"/>
      <c r="AA285" s="2822"/>
      <c r="AB285" s="2798"/>
      <c r="AC285" s="2796"/>
      <c r="AD285" s="2798"/>
      <c r="AE285" s="2796"/>
      <c r="AF285" s="2800"/>
      <c r="AG285" s="2802"/>
      <c r="AH285" s="2156"/>
      <c r="AI285" s="2157"/>
      <c r="AJ285" s="3480"/>
      <c r="AK285" s="3617"/>
      <c r="AL285" s="3620"/>
      <c r="AM285" s="3615"/>
    </row>
    <row r="286" spans="1:39" ht="28.8" customHeight="1" x14ac:dyDescent="0.3">
      <c r="A286" s="2113"/>
      <c r="B286" s="2156"/>
      <c r="C286" s="2156"/>
      <c r="D286" s="2159"/>
      <c r="E286" s="3599" t="s">
        <v>674</v>
      </c>
      <c r="F286" s="2125"/>
      <c r="G286" s="1980"/>
      <c r="H286" s="2125"/>
      <c r="I286" s="2127"/>
      <c r="J286" s="2130"/>
      <c r="K286" s="2110"/>
      <c r="L286" s="2107"/>
      <c r="M286" s="2133"/>
      <c r="N286" s="2107">
        <f>IF(NOT(ISERROR(MATCH(M286,_xlfn.ANCHORARRAY(#REF!),0))),#REF!&amp;"Por favor no seleccionar los criterios de impacto",M286)</f>
        <v>0</v>
      </c>
      <c r="O286" s="2110"/>
      <c r="P286" s="2107"/>
      <c r="Q286" s="2015"/>
      <c r="R286" s="2793">
        <v>2</v>
      </c>
      <c r="S286" s="2957" t="s">
        <v>1526</v>
      </c>
      <c r="T286" s="2819" t="s">
        <v>1102</v>
      </c>
      <c r="U286" s="2801" t="s">
        <v>207</v>
      </c>
      <c r="V286" s="2801" t="s">
        <v>201</v>
      </c>
      <c r="W286" s="2795" t="str">
        <f t="shared" ref="W286" si="156">IF(AND(U286="Preventivo",V286="Automático"),"50%",IF(AND(U286="Preventivo",V286="Manual"),"40%",IF(AND(U286="Detectivo",V286="Automático"),"40%",IF(AND(U286="Detectivo",V286="Manual"),"30%",IF(AND(U286="Correctivo",V286="Automático"),"35%",IF(AND(U286="Correctivo",V286="Manual"),"25%",""))))))</f>
        <v>40%</v>
      </c>
      <c r="X286" s="2801" t="s">
        <v>208</v>
      </c>
      <c r="Y286" s="2801" t="s">
        <v>203</v>
      </c>
      <c r="Z286" s="2801" t="s">
        <v>204</v>
      </c>
      <c r="AA286" s="2821">
        <v>0.25</v>
      </c>
      <c r="AB286" s="2797" t="str">
        <f t="shared" ref="AB286" si="157">IFERROR(IF(AA286="","",IF(AA286&lt;=0.2,"Muy Baja",IF(AA286&lt;=0.4,"Baja",IF(AA286&lt;=0.6,"Media",IF(AA286&lt;=0.8,"Alta","Muy Alta"))))),"")</f>
        <v>Baja</v>
      </c>
      <c r="AC286" s="2795">
        <f t="shared" ref="AC286" si="158">+AA286</f>
        <v>0.25</v>
      </c>
      <c r="AD286" s="2797" t="s">
        <v>461</v>
      </c>
      <c r="AE286" s="2795">
        <v>0.6</v>
      </c>
      <c r="AF286" s="2799" t="str">
        <f t="shared" ref="AF286" si="159">IFERROR(IF(OR(AND(AB286="Muy Baja",AD286="Leve"),AND(AB286="Muy Baja",AD286="Menor"),AND(AB286="Baja",AD286="Leve")),"Bajo",IF(OR(AND(AB286="Muy baja",AD286="Moderado"),AND(AB286="Baja",AD286="Menor"),AND(AB286="Baja",AD286="Moderado"),AND(AB286="Media",AD286="Leve"),AND(AB286="Media",AD286="Menor"),AND(AB286="Media",AD286="Moderado"),AND(AB286="Alta",AD286="Leve"),AND(AB286="Alta",AD286="Menor")),"Moderado",IF(OR(AND(AB286="Muy Baja",AD286="Mayor"),AND(AB286="Baja",AD286="Mayor"),AND(AB286="Media",AD286="Mayor"),AND(AB286="Alta",AD286="Moderado"),AND(AB286="Alta",AD286="Mayor"),AND(AB286="Muy Alta",AD286="Leve"),AND(AB286="Muy Alta",AD286="Menor"),AND(AB286="Muy Alta",AD286="Moderado"),AND(AB286="Muy Alta",AD286="Mayor")),"Alto",IF(OR(AND(AB286="Muy Baja",AD286="Catastrófico"),AND(AB286="Baja",AD286="Catastrófico"),AND(AB286="Media",AD286="Catastrófico"),AND(AB286="Alta",AD286="Catastrófico"),AND(AB286="Muy Alta",AD286="Catastrófico")),"Extremo","")))),"")</f>
        <v>Moderado</v>
      </c>
      <c r="AG286" s="2801" t="s">
        <v>205</v>
      </c>
      <c r="AH286" s="2156"/>
      <c r="AI286" s="2115" t="s">
        <v>1105</v>
      </c>
      <c r="AJ286" s="3590">
        <v>45292</v>
      </c>
      <c r="AK286" s="3621" t="s">
        <v>1527</v>
      </c>
      <c r="AL286" s="3623" t="s">
        <v>1529</v>
      </c>
      <c r="AM286" s="3625"/>
    </row>
    <row r="287" spans="1:39" ht="13.8" customHeight="1" x14ac:dyDescent="0.3">
      <c r="A287" s="2114"/>
      <c r="B287" s="2157"/>
      <c r="C287" s="2157"/>
      <c r="D287" s="2160"/>
      <c r="E287" s="3600"/>
      <c r="F287" s="2125"/>
      <c r="G287" s="2017"/>
      <c r="H287" s="2125"/>
      <c r="I287" s="2128"/>
      <c r="J287" s="2131"/>
      <c r="K287" s="2111"/>
      <c r="L287" s="2108"/>
      <c r="M287" s="2134"/>
      <c r="N287" s="2108">
        <f>IF(NOT(ISERROR(MATCH(M287,_xlfn.ANCHORARRAY(#REF!),0))),#REF!&amp;"Por favor no seleccionar los criterios de impacto",M287)</f>
        <v>0</v>
      </c>
      <c r="O287" s="2111"/>
      <c r="P287" s="2108"/>
      <c r="Q287" s="2016"/>
      <c r="R287" s="2794"/>
      <c r="S287" s="2958"/>
      <c r="T287" s="2820"/>
      <c r="U287" s="2802"/>
      <c r="V287" s="2802"/>
      <c r="W287" s="2796"/>
      <c r="X287" s="2802"/>
      <c r="Y287" s="2802"/>
      <c r="Z287" s="2802"/>
      <c r="AA287" s="2822"/>
      <c r="AB287" s="2798"/>
      <c r="AC287" s="2796"/>
      <c r="AD287" s="2798"/>
      <c r="AE287" s="2796"/>
      <c r="AF287" s="2800"/>
      <c r="AG287" s="2802"/>
      <c r="AH287" s="2157"/>
      <c r="AI287" s="2117"/>
      <c r="AJ287" s="3591"/>
      <c r="AK287" s="3622"/>
      <c r="AL287" s="3624"/>
      <c r="AM287" s="3625"/>
    </row>
    <row r="288" spans="1:39" ht="39.6" customHeight="1" x14ac:dyDescent="0.3">
      <c r="A288" s="2112">
        <v>2</v>
      </c>
      <c r="B288" s="2234" t="s">
        <v>209</v>
      </c>
      <c r="C288" s="2234" t="s">
        <v>676</v>
      </c>
      <c r="D288" s="3601" t="s">
        <v>677</v>
      </c>
      <c r="E288" s="3604" t="s">
        <v>678</v>
      </c>
      <c r="F288" s="2121" t="s">
        <v>679</v>
      </c>
      <c r="G288" s="1979" t="s">
        <v>597</v>
      </c>
      <c r="H288" s="3481" t="s">
        <v>1108</v>
      </c>
      <c r="I288" s="2122" t="s">
        <v>198</v>
      </c>
      <c r="J288" s="2090">
        <v>365</v>
      </c>
      <c r="K288" s="2093" t="str">
        <f>IF(J288&lt;=0,"",IF(J288&lt;=2,"Muy Baja",IF(J288&lt;=24,"Baja",IF(J288&lt;=500,"Media",IF(J288&lt;=5000,"Alta","Muy Alta")))))</f>
        <v>Media</v>
      </c>
      <c r="L288" s="2087">
        <f>IF(K288="","",IF(K288="Muy Baja",0.2,IF(K288="Baja",0.4,IF(K288="Media",0.6,IF(K288="Alta",0.8,IF(K288="Muy Alta",1,))))))</f>
        <v>0.6</v>
      </c>
      <c r="M288" s="2096" t="s">
        <v>282</v>
      </c>
      <c r="N288" s="2087" t="str">
        <f>IF(NOT(ISERROR(MATCH(M288,'[76]Tabla Impacto'!$B$221:$B$223,0))),'[76]Tabla Impacto'!$F$223&amp;"Por favor no seleccionar los criterios de impacto(Afectación Económica o presupuestal y Pérdida Reputacional)",M288)</f>
        <v xml:space="preserve">     Entre 1000 y 5000 SMLMV </v>
      </c>
      <c r="O288" s="2093" t="str">
        <f>IF(OR(N288='[76]Tabla Impacto'!$C$11,N288='[76]Tabla Impacto'!$D$11),"Leve",IF(OR(N288='[76]Tabla Impacto'!$C$12,N288='[76]Tabla Impacto'!$D$12),"Menor",IF(OR(N288='[76]Tabla Impacto'!$C$13,N288='[76]Tabla Impacto'!$D$13),"Moderado",IF(OR(N288='[76]Tabla Impacto'!$C$14,N288='[76]Tabla Impacto'!$D$14),"Mayor",IF(OR(N288='[76]Tabla Impacto'!$C$15,N288='[76]Tabla Impacto'!$D$15),"Catastrófico","")))))</f>
        <v>Moderado</v>
      </c>
      <c r="P288" s="2087">
        <f>IF(O288="","",IF(O288="Leve",0.2,IF(O288="Menor",0.4,IF(O288="Moderado",0.6,IF(O288="Mayor",0.8,IF(O288="Catastrófico",1,))))))</f>
        <v>0.6</v>
      </c>
      <c r="Q288" s="2018" t="str">
        <f>IF(OR(AND(K288="Muy Baja",O288="Leve"),AND(K288="Muy Baja",O288="Menor"),AND(K288="Baja",O288="Leve")),"Bajo",IF(OR(AND(K288="Muy baja",O288="Moderado"),AND(K288="Baja",O288="Menor"),AND(K288="Baja",O288="Moderado"),AND(K288="Media",O288="Leve"),AND(K288="Media",O288="Menor"),AND(K288="Media",O288="Moderado"),AND(K288="Alta",O288="Leve"),AND(K288="Alta",O288="Menor")),"Moderado",IF(OR(AND(K288="Muy Baja",O288="Mayor"),AND(K288="Baja",O288="Mayor"),AND(K288="Media",O288="Mayor"),AND(K288="Alta",O288="Moderado"),AND(K288="Alta",O288="Mayor"),AND(K288="Muy Alta",O288="Leve"),AND(K288="Muy Alta",O288="Menor"),AND(K288="Muy Alta",O288="Moderado"),AND(K288="Muy Alta",O288="Mayor")),"Alto",IF(OR(AND(K288="Muy Baja",O288="Catastrófico"),AND(K288="Baja",O288="Catastrófico"),AND(K288="Media",O288="Catastrófico"),AND(K288="Alta",O288="Catastrófico"),AND(K288="Muy Alta",O288="Catastrófico")),"Extremo",""))))</f>
        <v>Moderado</v>
      </c>
      <c r="R288" s="2793">
        <v>1</v>
      </c>
      <c r="S288" s="2957" t="s">
        <v>1109</v>
      </c>
      <c r="T288" s="2819" t="s">
        <v>1102</v>
      </c>
      <c r="U288" s="2801" t="s">
        <v>207</v>
      </c>
      <c r="V288" s="2801" t="s">
        <v>201</v>
      </c>
      <c r="W288" s="2795" t="str">
        <f>IF(AND(U288="Preventivo",V288="Automático"),"50%",IF(AND(U288="Preventivo",V288="Manual"),"40%",IF(AND(U288="Detectivo",V288="Automático"),"40%",IF(AND(U288="Detectivo",V288="Manual"),"30%",IF(AND(U288="Correctivo",V288="Automático"),"35%",IF(AND(U288="Correctivo",V288="Manual"),"25%",""))))))</f>
        <v>40%</v>
      </c>
      <c r="X288" s="2801" t="s">
        <v>208</v>
      </c>
      <c r="Y288" s="2801" t="s">
        <v>203</v>
      </c>
      <c r="Z288" s="2801" t="s">
        <v>204</v>
      </c>
      <c r="AA288" s="2821">
        <v>0.36</v>
      </c>
      <c r="AB288" s="2797" t="str">
        <f>IFERROR(IF(AA288="","",IF(AA288&lt;=0.2,"Muy Baja",IF(AA288&lt;=0.4,"Baja",IF(AA288&lt;=0.6,"Media",IF(AA288&lt;=0.8,"Alta","Muy Alta"))))),"")</f>
        <v>Baja</v>
      </c>
      <c r="AC288" s="2795">
        <f>+AA288</f>
        <v>0.36</v>
      </c>
      <c r="AD288" s="2797" t="s">
        <v>461</v>
      </c>
      <c r="AE288" s="2795">
        <v>0.6</v>
      </c>
      <c r="AF288" s="2799" t="str">
        <f>IFERROR(IF(OR(AND(AB288="Muy Baja",AD288="Leve"),AND(AB288="Muy Baja",AD288="Menor"),AND(AB288="Baja",AD288="Leve")),"Bajo",IF(OR(AND(AB288="Muy baja",AD288="Moderado"),AND(AB288="Baja",AD288="Menor"),AND(AB288="Baja",AD288="Moderado"),AND(AB288="Media",AD288="Leve"),AND(AB288="Media",AD288="Menor"),AND(AB288="Media",AD288="Moderado"),AND(AB288="Alta",AD288="Leve"),AND(AB288="Alta",AD288="Menor")),"Moderado",IF(OR(AND(AB288="Muy Baja",AD288="Mayor"),AND(AB288="Baja",AD288="Mayor"),AND(AB288="Media",AD288="Mayor"),AND(AB288="Alta",AD288="Moderado"),AND(AB288="Alta",AD288="Mayor"),AND(AB288="Muy Alta",AD288="Leve"),AND(AB288="Muy Alta",AD288="Menor"),AND(AB288="Muy Alta",AD288="Moderado"),AND(AB288="Muy Alta",AD288="Mayor")),"Alto",IF(OR(AND(AB288="Muy Baja",AD288="Catastrófico"),AND(AB288="Baja",AD288="Catastrófico"),AND(AB288="Media",AD288="Catastrófico"),AND(AB288="Alta",AD288="Catastrófico"),AND(AB288="Muy Alta",AD288="Catastrófico")),"Extremo","")))),"")</f>
        <v>Moderado</v>
      </c>
      <c r="AG288" s="2801" t="s">
        <v>205</v>
      </c>
      <c r="AH288" s="2115" t="s">
        <v>682</v>
      </c>
      <c r="AI288" s="2115" t="s">
        <v>667</v>
      </c>
      <c r="AJ288" s="3626">
        <v>45505</v>
      </c>
      <c r="AK288" s="3607" t="s">
        <v>1527</v>
      </c>
      <c r="AL288" s="3610" t="s">
        <v>1530</v>
      </c>
      <c r="AM288" s="3613" t="s">
        <v>206</v>
      </c>
    </row>
    <row r="289" spans="1:48" ht="13.8" customHeight="1" x14ac:dyDescent="0.3">
      <c r="A289" s="2113"/>
      <c r="B289" s="2235"/>
      <c r="C289" s="2235"/>
      <c r="D289" s="3602"/>
      <c r="E289" s="3605"/>
      <c r="F289" s="2121"/>
      <c r="G289" s="1980"/>
      <c r="H289" s="3482"/>
      <c r="I289" s="2123"/>
      <c r="J289" s="2091"/>
      <c r="K289" s="2094"/>
      <c r="L289" s="2088"/>
      <c r="M289" s="2097"/>
      <c r="N289" s="2088">
        <f>IF(NOT(ISERROR(MATCH(M289,_xlfn.ANCHORARRAY(#REF!),0))),#REF!&amp;"Por favor no seleccionar los criterios de impacto",M289)</f>
        <v>0</v>
      </c>
      <c r="O289" s="2094"/>
      <c r="P289" s="2088"/>
      <c r="Q289" s="2019"/>
      <c r="R289" s="3589"/>
      <c r="S289" s="2955"/>
      <c r="T289" s="3597"/>
      <c r="U289" s="3595"/>
      <c r="V289" s="3595"/>
      <c r="W289" s="3593"/>
      <c r="X289" s="3595"/>
      <c r="Y289" s="3595"/>
      <c r="Z289" s="3595"/>
      <c r="AA289" s="3598"/>
      <c r="AB289" s="3592"/>
      <c r="AC289" s="3593"/>
      <c r="AD289" s="3592"/>
      <c r="AE289" s="3593"/>
      <c r="AF289" s="3594"/>
      <c r="AG289" s="3595"/>
      <c r="AH289" s="2116"/>
      <c r="AI289" s="2116"/>
      <c r="AJ289" s="3627"/>
      <c r="AK289" s="3608"/>
      <c r="AL289" s="3611"/>
      <c r="AM289" s="3614"/>
    </row>
    <row r="290" spans="1:48" ht="13.8" customHeight="1" x14ac:dyDescent="0.3">
      <c r="A290" s="2113"/>
      <c r="B290" s="2235"/>
      <c r="C290" s="2235"/>
      <c r="D290" s="3602"/>
      <c r="E290" s="3604" t="s">
        <v>686</v>
      </c>
      <c r="F290" s="2121"/>
      <c r="G290" s="1980"/>
      <c r="H290" s="3482"/>
      <c r="I290" s="2123"/>
      <c r="J290" s="2091"/>
      <c r="K290" s="2094"/>
      <c r="L290" s="2088"/>
      <c r="M290" s="2097"/>
      <c r="N290" s="2088">
        <f>IF(NOT(ISERROR(MATCH(M290,_xlfn.ANCHORARRAY(#REF!),0))),#REF!&amp;"Por favor no seleccionar los criterios de impacto",M290)</f>
        <v>0</v>
      </c>
      <c r="O290" s="2094"/>
      <c r="P290" s="2088"/>
      <c r="Q290" s="2019"/>
      <c r="R290" s="3589"/>
      <c r="S290" s="2955"/>
      <c r="T290" s="3597"/>
      <c r="U290" s="3595"/>
      <c r="V290" s="3595"/>
      <c r="W290" s="3593"/>
      <c r="X290" s="3595"/>
      <c r="Y290" s="3595"/>
      <c r="Z290" s="3595"/>
      <c r="AA290" s="3598"/>
      <c r="AB290" s="3592"/>
      <c r="AC290" s="3593"/>
      <c r="AD290" s="3592"/>
      <c r="AE290" s="3593"/>
      <c r="AF290" s="3594"/>
      <c r="AG290" s="3595"/>
      <c r="AH290" s="2116"/>
      <c r="AI290" s="2116"/>
      <c r="AJ290" s="3627"/>
      <c r="AK290" s="3608"/>
      <c r="AL290" s="3611"/>
      <c r="AM290" s="3614"/>
    </row>
    <row r="291" spans="1:48" ht="13.8" customHeight="1" x14ac:dyDescent="0.3">
      <c r="A291" s="2113"/>
      <c r="B291" s="2235"/>
      <c r="C291" s="2235"/>
      <c r="D291" s="3602"/>
      <c r="E291" s="3629"/>
      <c r="F291" s="2121"/>
      <c r="G291" s="1980"/>
      <c r="H291" s="3482"/>
      <c r="I291" s="2123"/>
      <c r="J291" s="2091"/>
      <c r="K291" s="2094"/>
      <c r="L291" s="2088"/>
      <c r="M291" s="2097"/>
      <c r="N291" s="2088">
        <f>IF(NOT(ISERROR(MATCH(M291,_xlfn.ANCHORARRAY(#REF!),0))),#REF!&amp;"Por favor no seleccionar los criterios de impacto",M291)</f>
        <v>0</v>
      </c>
      <c r="O291" s="2094"/>
      <c r="P291" s="2088"/>
      <c r="Q291" s="2019"/>
      <c r="R291" s="3589"/>
      <c r="S291" s="2955"/>
      <c r="T291" s="3597"/>
      <c r="U291" s="3595"/>
      <c r="V291" s="3595"/>
      <c r="W291" s="3593"/>
      <c r="X291" s="3595"/>
      <c r="Y291" s="3595"/>
      <c r="Z291" s="3595"/>
      <c r="AA291" s="3598"/>
      <c r="AB291" s="3592"/>
      <c r="AC291" s="3593"/>
      <c r="AD291" s="3592"/>
      <c r="AE291" s="3593"/>
      <c r="AF291" s="3594"/>
      <c r="AG291" s="3595"/>
      <c r="AH291" s="2116"/>
      <c r="AI291" s="2116"/>
      <c r="AJ291" s="3627"/>
      <c r="AK291" s="3608"/>
      <c r="AL291" s="3611"/>
      <c r="AM291" s="3614"/>
    </row>
    <row r="292" spans="1:48" ht="13.8" customHeight="1" x14ac:dyDescent="0.3">
      <c r="A292" s="2113"/>
      <c r="B292" s="2235"/>
      <c r="C292" s="2235"/>
      <c r="D292" s="3602"/>
      <c r="E292" s="3629"/>
      <c r="F292" s="2121"/>
      <c r="G292" s="1980"/>
      <c r="H292" s="3482"/>
      <c r="I292" s="2123"/>
      <c r="J292" s="2091"/>
      <c r="K292" s="2094"/>
      <c r="L292" s="2088"/>
      <c r="M292" s="2097"/>
      <c r="N292" s="2088">
        <f>IF(NOT(ISERROR(MATCH(M292,_xlfn.ANCHORARRAY(#REF!),0))),#REF!&amp;"Por favor no seleccionar los criterios de impacto",M292)</f>
        <v>0</v>
      </c>
      <c r="O292" s="2094"/>
      <c r="P292" s="2088"/>
      <c r="Q292" s="2019"/>
      <c r="R292" s="3589"/>
      <c r="S292" s="2955"/>
      <c r="T292" s="3597"/>
      <c r="U292" s="3595"/>
      <c r="V292" s="3595"/>
      <c r="W292" s="3593"/>
      <c r="X292" s="3595"/>
      <c r="Y292" s="3595"/>
      <c r="Z292" s="3595"/>
      <c r="AA292" s="3598"/>
      <c r="AB292" s="3592"/>
      <c r="AC292" s="3593"/>
      <c r="AD292" s="3592"/>
      <c r="AE292" s="3593"/>
      <c r="AF292" s="3594"/>
      <c r="AG292" s="3595"/>
      <c r="AH292" s="2116"/>
      <c r="AI292" s="2116"/>
      <c r="AJ292" s="3627"/>
      <c r="AK292" s="3608"/>
      <c r="AL292" s="3611"/>
      <c r="AM292" s="3614"/>
    </row>
    <row r="293" spans="1:48" ht="13.8" customHeight="1" x14ac:dyDescent="0.3">
      <c r="A293" s="2114"/>
      <c r="B293" s="2236"/>
      <c r="C293" s="2236"/>
      <c r="D293" s="3603"/>
      <c r="E293" s="3605"/>
      <c r="F293" s="2121"/>
      <c r="G293" s="2017"/>
      <c r="H293" s="3606"/>
      <c r="I293" s="2124"/>
      <c r="J293" s="2092"/>
      <c r="K293" s="2095"/>
      <c r="L293" s="2089"/>
      <c r="M293" s="2098"/>
      <c r="N293" s="2089">
        <f>IF(NOT(ISERROR(MATCH(M293,_xlfn.ANCHORARRAY(#REF!),0))),#REF!&amp;"Por favor no seleccionar los criterios de impacto",M293)</f>
        <v>0</v>
      </c>
      <c r="O293" s="2095"/>
      <c r="P293" s="2089"/>
      <c r="Q293" s="2020"/>
      <c r="R293" s="2794"/>
      <c r="S293" s="2958"/>
      <c r="T293" s="2820"/>
      <c r="U293" s="2802"/>
      <c r="V293" s="2802"/>
      <c r="W293" s="2796"/>
      <c r="X293" s="2802"/>
      <c r="Y293" s="2802"/>
      <c r="Z293" s="2802"/>
      <c r="AA293" s="2822"/>
      <c r="AB293" s="2798"/>
      <c r="AC293" s="2796"/>
      <c r="AD293" s="2798"/>
      <c r="AE293" s="2796"/>
      <c r="AF293" s="2800"/>
      <c r="AG293" s="2802"/>
      <c r="AH293" s="2117"/>
      <c r="AI293" s="2117"/>
      <c r="AJ293" s="3628"/>
      <c r="AK293" s="3609"/>
      <c r="AL293" s="3612"/>
      <c r="AM293" s="3615"/>
    </row>
    <row r="295" spans="1:48" ht="28.2" x14ac:dyDescent="0.3">
      <c r="A295" s="2343" t="s">
        <v>156</v>
      </c>
      <c r="B295" s="2344"/>
      <c r="C295" s="2344"/>
      <c r="D295" s="2344"/>
      <c r="E295" s="2344"/>
      <c r="F295" s="2344"/>
      <c r="G295" s="2344"/>
      <c r="H295" s="2344"/>
      <c r="I295" s="2344"/>
      <c r="J295" s="2344"/>
      <c r="K295" s="2344"/>
      <c r="L295" s="2344"/>
      <c r="M295" s="2344"/>
      <c r="N295" s="2344"/>
      <c r="O295" s="2344"/>
      <c r="P295" s="2344"/>
      <c r="Q295" s="2344"/>
      <c r="R295" s="2344"/>
      <c r="S295" s="2344"/>
      <c r="T295" s="2344"/>
      <c r="U295" s="2344"/>
      <c r="V295" s="2344"/>
      <c r="W295" s="2344"/>
      <c r="X295" s="2344"/>
      <c r="Y295" s="2344"/>
      <c r="Z295" s="2344"/>
      <c r="AA295" s="2344"/>
      <c r="AB295" s="2344"/>
      <c r="AC295" s="2344"/>
      <c r="AD295" s="2344"/>
      <c r="AE295" s="2344"/>
      <c r="AF295" s="2344"/>
      <c r="AG295" s="2344"/>
      <c r="AH295" s="2344"/>
      <c r="AI295" s="2344"/>
      <c r="AJ295" s="2344"/>
      <c r="AK295" s="2344"/>
      <c r="AL295" s="2344"/>
      <c r="AM295" s="2345"/>
      <c r="AN295" s="1037"/>
      <c r="AO295" s="1037"/>
      <c r="AP295" s="1037"/>
      <c r="AQ295" s="1037"/>
      <c r="AR295" s="1037"/>
      <c r="AS295" s="1037"/>
      <c r="AT295" s="1037"/>
      <c r="AU295" s="1037"/>
      <c r="AV295" s="1037"/>
    </row>
    <row r="296" spans="1:48" ht="28.2" x14ac:dyDescent="0.3">
      <c r="A296" s="2346"/>
      <c r="B296" s="2347"/>
      <c r="C296" s="2347"/>
      <c r="D296" s="2347"/>
      <c r="E296" s="2347"/>
      <c r="F296" s="2347"/>
      <c r="G296" s="2347"/>
      <c r="H296" s="2347"/>
      <c r="I296" s="2347"/>
      <c r="J296" s="2347"/>
      <c r="K296" s="2347"/>
      <c r="L296" s="2347"/>
      <c r="M296" s="2347"/>
      <c r="N296" s="2347"/>
      <c r="O296" s="2347"/>
      <c r="P296" s="2347"/>
      <c r="Q296" s="2347"/>
      <c r="R296" s="2347"/>
      <c r="S296" s="2347"/>
      <c r="T296" s="2347"/>
      <c r="U296" s="2347"/>
      <c r="V296" s="2347"/>
      <c r="W296" s="2347"/>
      <c r="X296" s="2347"/>
      <c r="Y296" s="2347"/>
      <c r="Z296" s="2347"/>
      <c r="AA296" s="2347"/>
      <c r="AB296" s="2347"/>
      <c r="AC296" s="2347"/>
      <c r="AD296" s="2347"/>
      <c r="AE296" s="2347"/>
      <c r="AF296" s="2347"/>
      <c r="AG296" s="2347"/>
      <c r="AH296" s="2347"/>
      <c r="AI296" s="2347"/>
      <c r="AJ296" s="2347"/>
      <c r="AK296" s="2347"/>
      <c r="AL296" s="2347"/>
      <c r="AM296" s="2348"/>
      <c r="AN296" s="1037"/>
      <c r="AO296" s="1037"/>
      <c r="AP296" s="1037"/>
      <c r="AQ296" s="1037"/>
      <c r="AR296" s="1037"/>
      <c r="AS296" s="1037"/>
      <c r="AT296" s="1037"/>
      <c r="AU296" s="1037"/>
      <c r="AV296" s="1037"/>
    </row>
    <row r="297" spans="1:48" ht="14.4" x14ac:dyDescent="0.3">
      <c r="A297" s="703"/>
      <c r="B297" s="704"/>
      <c r="C297" s="703"/>
      <c r="D297" s="703"/>
      <c r="E297" s="703"/>
      <c r="F297" s="700"/>
      <c r="G297" s="700"/>
      <c r="H297" s="700"/>
      <c r="I297" s="705"/>
      <c r="J297" s="700"/>
      <c r="K297" s="700"/>
      <c r="L297" s="700"/>
      <c r="M297" s="700"/>
      <c r="N297" s="700"/>
      <c r="O297" s="700"/>
      <c r="P297" s="700"/>
      <c r="Q297" s="700"/>
      <c r="R297" s="700"/>
      <c r="S297" s="700"/>
      <c r="T297" s="700"/>
      <c r="U297" s="700"/>
      <c r="V297" s="700"/>
      <c r="W297" s="700"/>
      <c r="X297" s="700"/>
      <c r="Y297" s="700"/>
      <c r="Z297" s="700"/>
      <c r="AA297" s="700"/>
      <c r="AB297" s="700"/>
      <c r="AC297" s="700"/>
      <c r="AD297" s="700"/>
      <c r="AE297" s="700"/>
      <c r="AF297" s="700"/>
      <c r="AG297" s="700"/>
      <c r="AH297" s="700"/>
      <c r="AI297" s="700"/>
      <c r="AJ297" s="700"/>
      <c r="AK297" s="700"/>
      <c r="AL297" s="700"/>
      <c r="AM297" s="700"/>
      <c r="AN297" s="1038"/>
      <c r="AO297" s="1038"/>
      <c r="AP297" s="1038"/>
      <c r="AQ297" s="1038"/>
      <c r="AR297" s="1038"/>
      <c r="AS297" s="1038"/>
      <c r="AT297" s="1038"/>
      <c r="AU297" s="1038"/>
      <c r="AV297" s="1038"/>
    </row>
    <row r="298" spans="1:48" ht="23.4" x14ac:dyDescent="0.3">
      <c r="A298" s="2349" t="s">
        <v>157</v>
      </c>
      <c r="B298" s="2350"/>
      <c r="C298" s="2039" t="s">
        <v>790</v>
      </c>
      <c r="D298" s="2039"/>
      <c r="E298" s="2039"/>
      <c r="F298" s="2039"/>
      <c r="G298" s="2039"/>
      <c r="H298" s="2039"/>
      <c r="I298" s="2039"/>
      <c r="J298" s="2039"/>
      <c r="K298" s="2039"/>
      <c r="L298" s="2039"/>
      <c r="M298" s="2039"/>
      <c r="N298" s="2039"/>
      <c r="O298" s="2039"/>
      <c r="P298" s="2039"/>
      <c r="Q298" s="2039"/>
      <c r="R298" s="2039"/>
      <c r="S298" s="2039"/>
      <c r="T298" s="2039"/>
      <c r="U298" s="2039"/>
      <c r="V298" s="2039"/>
      <c r="W298" s="2039"/>
      <c r="X298" s="2039"/>
      <c r="Y298" s="2039"/>
      <c r="Z298" s="2039"/>
      <c r="AA298" s="2039"/>
      <c r="AB298" s="2039"/>
      <c r="AC298" s="2039"/>
      <c r="AD298" s="2039"/>
      <c r="AE298" s="2039"/>
      <c r="AF298" s="2039"/>
      <c r="AG298" s="2039"/>
      <c r="AH298" s="2039"/>
      <c r="AI298" s="2039"/>
      <c r="AJ298" s="2039"/>
      <c r="AK298" s="2039"/>
      <c r="AL298" s="2039"/>
      <c r="AM298" s="2039"/>
      <c r="AN298" s="1039"/>
      <c r="AO298" s="1039"/>
      <c r="AP298" s="1039"/>
      <c r="AQ298" s="1039"/>
      <c r="AR298" s="1039"/>
      <c r="AS298" s="1039"/>
      <c r="AT298" s="1039"/>
      <c r="AU298" s="1039"/>
      <c r="AV298" s="1039"/>
    </row>
    <row r="299" spans="1:48" ht="23.4" x14ac:dyDescent="0.3">
      <c r="A299" s="2349" t="s">
        <v>158</v>
      </c>
      <c r="B299" s="2350"/>
      <c r="C299" s="2040" t="s">
        <v>791</v>
      </c>
      <c r="D299" s="2040"/>
      <c r="E299" s="2040"/>
      <c r="F299" s="2040"/>
      <c r="G299" s="2040"/>
      <c r="H299" s="2040"/>
      <c r="I299" s="2040"/>
      <c r="J299" s="2040"/>
      <c r="K299" s="2040"/>
      <c r="L299" s="2040"/>
      <c r="M299" s="2040"/>
      <c r="N299" s="2040"/>
      <c r="O299" s="2040"/>
      <c r="P299" s="2040"/>
      <c r="Q299" s="2040"/>
      <c r="R299" s="2040"/>
      <c r="S299" s="2040"/>
      <c r="T299" s="2040"/>
      <c r="U299" s="2040"/>
      <c r="V299" s="2040"/>
      <c r="W299" s="2040"/>
      <c r="X299" s="2040"/>
      <c r="Y299" s="2040"/>
      <c r="Z299" s="2040"/>
      <c r="AA299" s="2040"/>
      <c r="AB299" s="2040"/>
      <c r="AC299" s="2040"/>
      <c r="AD299" s="2040"/>
      <c r="AE299" s="2040"/>
      <c r="AF299" s="2040"/>
      <c r="AG299" s="2040"/>
      <c r="AH299" s="2040"/>
      <c r="AI299" s="2040"/>
      <c r="AJ299" s="2040"/>
      <c r="AK299" s="2040"/>
      <c r="AL299" s="2040"/>
      <c r="AM299" s="2040"/>
      <c r="AN299" s="1040"/>
      <c r="AO299" s="1040"/>
      <c r="AP299" s="1040"/>
      <c r="AQ299" s="1040"/>
      <c r="AR299" s="1040"/>
      <c r="AS299" s="1040"/>
      <c r="AT299" s="1040"/>
      <c r="AU299" s="1040"/>
      <c r="AV299" s="1040"/>
    </row>
    <row r="300" spans="1:48" ht="23.4" x14ac:dyDescent="0.3">
      <c r="A300" s="2349" t="s">
        <v>159</v>
      </c>
      <c r="B300" s="2350"/>
      <c r="C300" s="2040" t="s">
        <v>792</v>
      </c>
      <c r="D300" s="2040"/>
      <c r="E300" s="2040"/>
      <c r="F300" s="2040"/>
      <c r="G300" s="2040"/>
      <c r="H300" s="2040"/>
      <c r="I300" s="2040"/>
      <c r="J300" s="2040"/>
      <c r="K300" s="2040"/>
      <c r="L300" s="2040"/>
      <c r="M300" s="2040"/>
      <c r="N300" s="2040"/>
      <c r="O300" s="2040"/>
      <c r="P300" s="2040"/>
      <c r="Q300" s="2040"/>
      <c r="R300" s="2040"/>
      <c r="S300" s="2040"/>
      <c r="T300" s="2040"/>
      <c r="U300" s="2040"/>
      <c r="V300" s="2040"/>
      <c r="W300" s="2040"/>
      <c r="X300" s="2040"/>
      <c r="Y300" s="2040"/>
      <c r="Z300" s="2040"/>
      <c r="AA300" s="2040"/>
      <c r="AB300" s="2040"/>
      <c r="AC300" s="2040"/>
      <c r="AD300" s="2040"/>
      <c r="AE300" s="2040"/>
      <c r="AF300" s="2040"/>
      <c r="AG300" s="2040"/>
      <c r="AH300" s="2040"/>
      <c r="AI300" s="2040"/>
      <c r="AJ300" s="2040"/>
      <c r="AK300" s="2040"/>
      <c r="AL300" s="2040"/>
      <c r="AM300" s="2040"/>
      <c r="AN300" s="1040"/>
      <c r="AO300" s="1040"/>
      <c r="AP300" s="1040"/>
      <c r="AQ300" s="1040"/>
      <c r="AR300" s="1040"/>
      <c r="AS300" s="1040"/>
      <c r="AT300" s="1040"/>
      <c r="AU300" s="1040"/>
      <c r="AV300" s="1040"/>
    </row>
    <row r="301" spans="1:48" x14ac:dyDescent="0.3">
      <c r="A301" s="2351" t="s">
        <v>160</v>
      </c>
      <c r="B301" s="2352"/>
      <c r="C301" s="2353"/>
      <c r="D301" s="2353"/>
      <c r="E301" s="2353"/>
      <c r="F301" s="2353"/>
      <c r="G301" s="2353"/>
      <c r="H301" s="2353"/>
      <c r="I301" s="2353"/>
      <c r="J301" s="2354"/>
      <c r="K301" s="2101" t="s">
        <v>161</v>
      </c>
      <c r="L301" s="2353"/>
      <c r="M301" s="2353"/>
      <c r="N301" s="2353"/>
      <c r="O301" s="2353"/>
      <c r="P301" s="2353"/>
      <c r="Q301" s="2354"/>
      <c r="R301" s="2101" t="s">
        <v>162</v>
      </c>
      <c r="S301" s="2353"/>
      <c r="T301" s="2353"/>
      <c r="U301" s="2353"/>
      <c r="V301" s="2353"/>
      <c r="W301" s="2353"/>
      <c r="X301" s="2353"/>
      <c r="Y301" s="2353"/>
      <c r="Z301" s="2354"/>
      <c r="AA301" s="2101" t="s">
        <v>163</v>
      </c>
      <c r="AB301" s="2353"/>
      <c r="AC301" s="2353"/>
      <c r="AD301" s="2353"/>
      <c r="AE301" s="2353"/>
      <c r="AF301" s="2353"/>
      <c r="AG301" s="2354"/>
      <c r="AH301" s="2101" t="s">
        <v>164</v>
      </c>
      <c r="AI301" s="2353"/>
      <c r="AJ301" s="2353"/>
      <c r="AK301" s="2353"/>
      <c r="AL301" s="2353"/>
      <c r="AM301" s="2354"/>
      <c r="AN301" s="3216" t="s">
        <v>164</v>
      </c>
      <c r="AO301" s="3217"/>
      <c r="AP301" s="3217"/>
      <c r="AQ301" s="3217"/>
      <c r="AR301" s="3217"/>
      <c r="AS301" s="3218"/>
      <c r="AT301" s="1440"/>
      <c r="AU301" s="1440"/>
      <c r="AV301" s="1440"/>
    </row>
    <row r="302" spans="1:48" x14ac:dyDescent="0.3">
      <c r="A302" s="2140" t="s">
        <v>165</v>
      </c>
      <c r="B302" s="2142" t="s">
        <v>142</v>
      </c>
      <c r="C302" s="2042" t="s">
        <v>166</v>
      </c>
      <c r="D302" s="2042" t="s">
        <v>167</v>
      </c>
      <c r="E302" s="2041" t="s">
        <v>168</v>
      </c>
      <c r="F302" s="2103" t="s">
        <v>60</v>
      </c>
      <c r="G302" s="280"/>
      <c r="H302" s="280"/>
      <c r="I302" s="2041" t="s">
        <v>169</v>
      </c>
      <c r="J302" s="2042" t="s">
        <v>170</v>
      </c>
      <c r="K302" s="2105" t="s">
        <v>171</v>
      </c>
      <c r="L302" s="2100" t="s">
        <v>172</v>
      </c>
      <c r="M302" s="2041" t="s">
        <v>173</v>
      </c>
      <c r="N302" s="2041" t="s">
        <v>174</v>
      </c>
      <c r="O302" s="2102" t="s">
        <v>175</v>
      </c>
      <c r="P302" s="2100" t="s">
        <v>172</v>
      </c>
      <c r="Q302" s="2042" t="s">
        <v>176</v>
      </c>
      <c r="R302" s="2161" t="s">
        <v>177</v>
      </c>
      <c r="S302" s="2043" t="s">
        <v>178</v>
      </c>
      <c r="T302" s="2041" t="s">
        <v>179</v>
      </c>
      <c r="U302" s="2043" t="s">
        <v>180</v>
      </c>
      <c r="V302" s="2043"/>
      <c r="W302" s="2043"/>
      <c r="X302" s="2043"/>
      <c r="Y302" s="2043"/>
      <c r="Z302" s="2043"/>
      <c r="AA302" s="2099" t="s">
        <v>181</v>
      </c>
      <c r="AB302" s="2099" t="s">
        <v>182</v>
      </c>
      <c r="AC302" s="2099" t="s">
        <v>172</v>
      </c>
      <c r="AD302" s="2099" t="s">
        <v>183</v>
      </c>
      <c r="AE302" s="2099" t="s">
        <v>172</v>
      </c>
      <c r="AF302" s="2099" t="s">
        <v>184</v>
      </c>
      <c r="AG302" s="2161" t="s">
        <v>185</v>
      </c>
      <c r="AH302" s="2043" t="s">
        <v>164</v>
      </c>
      <c r="AI302" s="2043" t="s">
        <v>143</v>
      </c>
      <c r="AJ302" s="2043" t="s">
        <v>186</v>
      </c>
      <c r="AK302" s="2043" t="s">
        <v>187</v>
      </c>
      <c r="AL302" s="2043" t="s">
        <v>188</v>
      </c>
      <c r="AM302" s="2043" t="s">
        <v>189</v>
      </c>
      <c r="AN302" s="3213" t="s">
        <v>164</v>
      </c>
      <c r="AO302" s="3213" t="s">
        <v>143</v>
      </c>
      <c r="AP302" s="3213" t="s">
        <v>186</v>
      </c>
      <c r="AQ302" s="3213" t="s">
        <v>187</v>
      </c>
      <c r="AR302" s="3213" t="s">
        <v>188</v>
      </c>
      <c r="AS302" s="3213" t="s">
        <v>189</v>
      </c>
      <c r="AT302" s="3213" t="s">
        <v>187</v>
      </c>
      <c r="AU302" s="3213" t="s">
        <v>188</v>
      </c>
      <c r="AV302" s="3213" t="s">
        <v>189</v>
      </c>
    </row>
    <row r="303" spans="1:48" ht="71.400000000000006" x14ac:dyDescent="0.3">
      <c r="A303" s="2141"/>
      <c r="B303" s="2142"/>
      <c r="C303" s="2043"/>
      <c r="D303" s="2043"/>
      <c r="E303" s="2105"/>
      <c r="F303" s="2104"/>
      <c r="G303" s="280" t="s">
        <v>511</v>
      </c>
      <c r="H303" s="280" t="s">
        <v>190</v>
      </c>
      <c r="I303" s="2042"/>
      <c r="J303" s="2043"/>
      <c r="K303" s="2042"/>
      <c r="L303" s="2101"/>
      <c r="M303" s="2042"/>
      <c r="N303" s="2042"/>
      <c r="O303" s="2101"/>
      <c r="P303" s="2101"/>
      <c r="Q303" s="2043"/>
      <c r="R303" s="2162"/>
      <c r="S303" s="2043"/>
      <c r="T303" s="2042"/>
      <c r="U303" s="281" t="s">
        <v>191</v>
      </c>
      <c r="V303" s="281" t="s">
        <v>192</v>
      </c>
      <c r="W303" s="281" t="s">
        <v>193</v>
      </c>
      <c r="X303" s="281" t="s">
        <v>194</v>
      </c>
      <c r="Y303" s="281" t="s">
        <v>195</v>
      </c>
      <c r="Z303" s="281" t="s">
        <v>196</v>
      </c>
      <c r="AA303" s="2099"/>
      <c r="AB303" s="2099"/>
      <c r="AC303" s="2099"/>
      <c r="AD303" s="2099"/>
      <c r="AE303" s="2099"/>
      <c r="AF303" s="2099"/>
      <c r="AG303" s="2162"/>
      <c r="AH303" s="2043"/>
      <c r="AI303" s="2043"/>
      <c r="AJ303" s="2043"/>
      <c r="AK303" s="2043"/>
      <c r="AL303" s="2043"/>
      <c r="AM303" s="2043"/>
      <c r="AN303" s="3213"/>
      <c r="AO303" s="3213"/>
      <c r="AP303" s="3213"/>
      <c r="AQ303" s="3213"/>
      <c r="AR303" s="3213"/>
      <c r="AS303" s="3213"/>
      <c r="AT303" s="3213"/>
      <c r="AU303" s="3213"/>
      <c r="AV303" s="3213"/>
    </row>
    <row r="304" spans="1:48" ht="138" x14ac:dyDescent="0.3">
      <c r="A304" s="2112">
        <v>1</v>
      </c>
      <c r="B304" s="2155" t="s">
        <v>209</v>
      </c>
      <c r="C304" s="2155" t="s">
        <v>1295</v>
      </c>
      <c r="D304" s="2158" t="s">
        <v>1296</v>
      </c>
      <c r="E304" s="1441" t="s">
        <v>795</v>
      </c>
      <c r="F304" s="3336" t="s">
        <v>1297</v>
      </c>
      <c r="G304" s="1979" t="s">
        <v>512</v>
      </c>
      <c r="H304" s="2125" t="s">
        <v>1298</v>
      </c>
      <c r="I304" s="2126" t="s">
        <v>198</v>
      </c>
      <c r="J304" s="2129">
        <v>36</v>
      </c>
      <c r="K304" s="2109" t="str">
        <f>IF(J304&lt;=0,"",IF(J304&lt;=2,"Muy Baja",IF(J304&lt;=24,"Baja",IF(J304&lt;=500,"Media",IF(J304&lt;=5000,"Alta","Muy Alta")))))</f>
        <v>Media</v>
      </c>
      <c r="L304" s="2106">
        <f>IF(K304="","",IF(K304="Muy Baja",0.2,IF(K304="Baja",0.4,IF(K304="Media",0.6,IF(K304="Alta",0.8,IF(K304="Muy Alta",1,))))))</f>
        <v>0.6</v>
      </c>
      <c r="M304" s="2132" t="s">
        <v>199</v>
      </c>
      <c r="N304" s="2106" t="str">
        <f>IF(NOT(ISERROR(MATCH(M304,'[77]Tabla Impacto'!$B$221:$B$223,0))),'[77]Tabla Impacto'!$F$223&amp;"Por favor no seleccionar los criterios de impacto(Afectación Económica o presupuestal y Pérdida Reputacional)",M304)</f>
        <v xml:space="preserve">     El riesgo afecta la imagen de de la entidad con efecto publicitario sostenido a nivel de sector administrativo, nivel departamental o municipal</v>
      </c>
      <c r="O304" s="2109" t="str">
        <f>IF(OR(N304='[77]Tabla Impacto'!$C$11,N304='[77]Tabla Impacto'!$D$11),"Leve",IF(OR(N304='[77]Tabla Impacto'!$C$12,N304='[77]Tabla Impacto'!$D$12),"Menor",IF(OR(N304='[77]Tabla Impacto'!$C$13,N304='[77]Tabla Impacto'!$D$13),"Moderado",IF(OR(N304='[77]Tabla Impacto'!$C$14,N304='[77]Tabla Impacto'!$D$14),"Mayor",IF(OR(N304='[77]Tabla Impacto'!$C$15,N304='[77]Tabla Impacto'!$D$15),"Catastrófico","")))))</f>
        <v>Mayor</v>
      </c>
      <c r="P304" s="2106">
        <f>IF(O304="","",IF(O304="Leve",0.2,IF(O304="Menor",0.4,IF(O304="Moderado",0.6,IF(O304="Mayor",0.8,IF(O304="Catastrófico",1,))))))</f>
        <v>0.8</v>
      </c>
      <c r="Q304" s="2014" t="str">
        <f>IF(OR(AND(K304="Muy Baja",O304="Leve"),AND(K304="Muy Baja",O304="Menor"),AND(K304="Baja",O304="Leve")),"Bajo",IF(OR(AND(K304="Muy baja",O304="Moderado"),AND(K304="Baja",O304="Menor"),AND(K304="Baja",O304="Moderado"),AND(K304="Media",O304="Leve"),AND(K304="Media",O304="Menor"),AND(K304="Media",O304="Moderado"),AND(K304="Alta",O304="Leve"),AND(K304="Alta",O304="Menor")),"Moderado",IF(OR(AND(K304="Muy Baja",O304="Mayor"),AND(K304="Baja",O304="Mayor"),AND(K304="Media",O304="Mayor"),AND(K304="Alta",O304="Moderado"),AND(K304="Alta",O304="Mayor"),AND(K304="Muy Alta",O304="Leve"),AND(K304="Muy Alta",O304="Menor"),AND(K304="Muy Alta",O304="Moderado"),AND(K304="Muy Alta",O304="Mayor")),"Alto",IF(OR(AND(K304="Muy Baja",O304="Catastrófico"),AND(K304="Baja",O304="Catastrófico"),AND(K304="Media",O304="Catastrófico"),AND(K304="Alta",O304="Catastrófico"),AND(K304="Muy Alta",O304="Catastrófico")),"Extremo",""))))</f>
        <v>Alto</v>
      </c>
      <c r="R304" s="283">
        <v>1</v>
      </c>
      <c r="S304" s="1442" t="s">
        <v>1299</v>
      </c>
      <c r="T304" s="285" t="str">
        <f>IF(OR(U304="Preventivo",U304="Detectivo"),"Probabilidad",IF(U304="Correctivo","Impacto",""))</f>
        <v>Impacto</v>
      </c>
      <c r="U304" s="286" t="s">
        <v>308</v>
      </c>
      <c r="V304" s="286" t="s">
        <v>201</v>
      </c>
      <c r="W304" s="287" t="str">
        <f>IF(AND(U304="Preventivo",V304="Automático"),"50%",IF(AND(U304="Preventivo",V304="Manual"),"40%",IF(AND(U304="Detectivo",V304="Automático"),"40%",IF(AND(U304="Detectivo",V304="Manual"),"30%",IF(AND(U304="Correctivo",V304="Automático"),"35%",IF(AND(U304="Correctivo",V304="Manual"),"25%",""))))))</f>
        <v>25%</v>
      </c>
      <c r="X304" s="286" t="s">
        <v>208</v>
      </c>
      <c r="Y304" s="286" t="s">
        <v>203</v>
      </c>
      <c r="Z304" s="286" t="s">
        <v>204</v>
      </c>
      <c r="AA304" s="744">
        <f>IFERROR(IF(T304="Probabilidad",(L304-(+L304*W304)),IF(T304="Impacto",L304,"")),"")</f>
        <v>0.6</v>
      </c>
      <c r="AB304" s="288" t="str">
        <f>IFERROR(IF(AA304="","",IF(AA304&lt;=0.2,"Muy Baja",IF(AA304&lt;=0.4,"Baja",IF(AA304&lt;=0.6,"Media",IF(AA304&lt;=0.8,"Alta","Muy Alta"))))),"")</f>
        <v>Media</v>
      </c>
      <c r="AC304" s="289">
        <f>+AA304</f>
        <v>0.6</v>
      </c>
      <c r="AD304" s="288" t="str">
        <f>IFERROR(IF(AE304="","",IF(AE304&lt;=0.2,"Leve",IF(AE304&lt;=0.4,"Menor",IF(AE304&lt;=0.6,"Moderado",IF(AE304&lt;=0.8,"Mayor","Catastrófico"))))),"")</f>
        <v>Moderado</v>
      </c>
      <c r="AE304" s="289">
        <f>IFERROR(IF(T304="Impacto",(P304-(+P304*W304)),IF(T304="Probabilidad",P304,"")),"")</f>
        <v>0.60000000000000009</v>
      </c>
      <c r="AF304" s="290" t="str">
        <f>IFERROR(IF(OR(AND(AB304="Muy Baja",AD304="Leve"),AND(AB304="Muy Baja",AD304="Menor"),AND(AB304="Baja",AD304="Leve")),"Bajo",IF(OR(AND(AB304="Muy baja",AD304="Moderado"),AND(AB304="Baja",AD304="Menor"),AND(AB304="Baja",AD304="Moderado"),AND(AB304="Media",AD304="Leve"),AND(AB304="Media",AD304="Menor"),AND(AB304="Media",AD304="Moderado"),AND(AB304="Alta",AD304="Leve"),AND(AB304="Alta",AD304="Menor")),"Moderado",IF(OR(AND(AB304="Muy Baja",AD304="Mayor"),AND(AB304="Baja",AD304="Mayor"),AND(AB304="Media",AD304="Mayor"),AND(AB304="Alta",AD304="Moderado"),AND(AB304="Alta",AD304="Mayor"),AND(AB304="Muy Alta",AD304="Leve"),AND(AB304="Muy Alta",AD304="Menor"),AND(AB304="Muy Alta",AD304="Moderado"),AND(AB304="Muy Alta",AD304="Mayor")),"Alto",IF(OR(AND(AB304="Muy Baja",AD304="Catastrófico"),AND(AB304="Baja",AD304="Catastrófico"),AND(AB304="Media",AD304="Catastrófico"),AND(AB304="Alta",AD304="Catastrófico"),AND(AB304="Muy Alta",AD304="Catastrófico")),"Extremo","")))),"")</f>
        <v>Moderado</v>
      </c>
      <c r="AG304" s="291"/>
      <c r="AH304" s="1443" t="s">
        <v>1300</v>
      </c>
      <c r="AI304" s="1443" t="s">
        <v>800</v>
      </c>
      <c r="AJ304" s="1443" t="s">
        <v>801</v>
      </c>
      <c r="AK304" s="1444">
        <v>45473</v>
      </c>
      <c r="AL304" s="1443" t="s">
        <v>1301</v>
      </c>
      <c r="AM304" s="1445" t="s">
        <v>206</v>
      </c>
      <c r="AN304" s="1446" t="s">
        <v>1300</v>
      </c>
      <c r="AO304" s="1446" t="s">
        <v>800</v>
      </c>
      <c r="AP304" s="1446" t="s">
        <v>801</v>
      </c>
      <c r="AQ304" s="1447">
        <v>45595</v>
      </c>
      <c r="AR304" s="1446" t="s">
        <v>1302</v>
      </c>
      <c r="AS304" s="1448" t="s">
        <v>206</v>
      </c>
      <c r="AT304" s="1449">
        <v>45656</v>
      </c>
      <c r="AU304" s="1450" t="s">
        <v>1531</v>
      </c>
      <c r="AV304" s="1451" t="s">
        <v>206</v>
      </c>
    </row>
    <row r="305" spans="1:48" ht="124.2" x14ac:dyDescent="0.3">
      <c r="A305" s="2113"/>
      <c r="B305" s="2156"/>
      <c r="C305" s="2156"/>
      <c r="D305" s="2159"/>
      <c r="E305" s="1441" t="s">
        <v>803</v>
      </c>
      <c r="F305" s="3336"/>
      <c r="G305" s="1980"/>
      <c r="H305" s="2125"/>
      <c r="I305" s="2127"/>
      <c r="J305" s="2130"/>
      <c r="K305" s="2110"/>
      <c r="L305" s="2107"/>
      <c r="M305" s="2133"/>
      <c r="N305" s="2107">
        <f>IF(NOT(ISERROR(MATCH(M305,_xlfn.ANCHORARRAY(F315),0))),L317&amp;"Por favor no seleccionar los criterios de impacto",M305)</f>
        <v>0</v>
      </c>
      <c r="O305" s="2110"/>
      <c r="P305" s="2107"/>
      <c r="Q305" s="2015"/>
      <c r="R305" s="283">
        <v>2</v>
      </c>
      <c r="S305" s="1442" t="s">
        <v>1303</v>
      </c>
      <c r="T305" s="285" t="str">
        <f>IF(OR(U305="Preventivo",U305="Detectivo"),"Probabilidad",IF(U305="Correctivo","Impacto",""))</f>
        <v>Impacto</v>
      </c>
      <c r="U305" s="286" t="s">
        <v>308</v>
      </c>
      <c r="V305" s="286" t="s">
        <v>201</v>
      </c>
      <c r="W305" s="287" t="str">
        <f t="shared" ref="W305:W308" si="160">IF(AND(U305="Preventivo",V305="Automático"),"50%",IF(AND(U305="Preventivo",V305="Manual"),"40%",IF(AND(U305="Detectivo",V305="Automático"),"40%",IF(AND(U305="Detectivo",V305="Manual"),"30%",IF(AND(U305="Correctivo",V305="Automático"),"35%",IF(AND(U305="Correctivo",V305="Manual"),"25%",""))))))</f>
        <v>25%</v>
      </c>
      <c r="X305" s="286" t="s">
        <v>208</v>
      </c>
      <c r="Y305" s="286" t="s">
        <v>203</v>
      </c>
      <c r="Z305" s="286" t="s">
        <v>204</v>
      </c>
      <c r="AA305" s="744">
        <f>IFERROR(IF(AND(T304="Probabilidad",T305="Probabilidad"),(AC304-(+AC304*W305)),IF(AND(T304="Impacto",T305="Probabilidad"),(L304-(+L304*W305)),IF(T305="Impacto",AC304,""))),"")</f>
        <v>0.6</v>
      </c>
      <c r="AB305" s="288" t="str">
        <f t="shared" ref="AB305:AB308" si="161">IFERROR(IF(AA305="","",IF(AA305&lt;=0.2,"Muy Baja",IF(AA305&lt;=0.4,"Baja",IF(AA305&lt;=0.6,"Media",IF(AA305&lt;=0.8,"Alta","Muy Alta"))))),"")</f>
        <v>Media</v>
      </c>
      <c r="AC305" s="289">
        <f>+AA305</f>
        <v>0.6</v>
      </c>
      <c r="AD305" s="288" t="str">
        <f t="shared" ref="AD305:AD308" si="162">IFERROR(IF(AE305="","",IF(AE305&lt;=0.2,"Leve",IF(AE305&lt;=0.4,"Menor",IF(AE305&lt;=0.6,"Moderado",IF(AE305&lt;=0.8,"Mayor","Catastrófico"))))),"")</f>
        <v>Moderado</v>
      </c>
      <c r="AE305" s="289">
        <f>IFERROR(IF(AND(T304="Impacto",T305="Impacto"),(AE304-(+AE304*W305)),IF(AND(T304="Probabilidad",T305="Impacto"),(P304-(+P304*W305)),IF(T305="Probabilidad",AE304,""))),"")</f>
        <v>0.45000000000000007</v>
      </c>
      <c r="AF305" s="290" t="str">
        <f t="shared" ref="AF305:AF308" si="163">IFERROR(IF(OR(AND(AB305="Muy Baja",AD305="Leve"),AND(AB305="Muy Baja",AD305="Menor"),AND(AB305="Baja",AD305="Leve")),"Bajo",IF(OR(AND(AB305="Muy baja",AD305="Moderado"),AND(AB305="Baja",AD305="Menor"),AND(AB305="Baja",AD305="Moderado"),AND(AB305="Media",AD305="Leve"),AND(AB305="Media",AD305="Menor"),AND(AB305="Media",AD305="Moderado"),AND(AB305="Alta",AD305="Leve"),AND(AB305="Alta",AD305="Menor")),"Moderado",IF(OR(AND(AB305="Muy Baja",AD305="Mayor"),AND(AB305="Baja",AD305="Mayor"),AND(AB305="Media",AD305="Mayor"),AND(AB305="Alta",AD305="Moderado"),AND(AB305="Alta",AD305="Mayor"),AND(AB305="Muy Alta",AD305="Leve"),AND(AB305="Muy Alta",AD305="Menor"),AND(AB305="Muy Alta",AD305="Moderado"),AND(AB305="Muy Alta",AD305="Mayor")),"Alto",IF(OR(AND(AB305="Muy Baja",AD305="Catastrófico"),AND(AB305="Baja",AD305="Catastrófico"),AND(AB305="Media",AD305="Catastrófico"),AND(AB305="Alta",AD305="Catastrófico"),AND(AB305="Muy Alta",AD305="Catastrófico")),"Extremo","")))),"")</f>
        <v>Moderado</v>
      </c>
      <c r="AG305" s="291"/>
      <c r="AH305" s="1452" t="s">
        <v>1304</v>
      </c>
      <c r="AI305" s="1443" t="s">
        <v>1305</v>
      </c>
      <c r="AJ305" s="1443" t="s">
        <v>1306</v>
      </c>
      <c r="AK305" s="1444">
        <v>45565</v>
      </c>
      <c r="AL305" s="1443" t="s">
        <v>1307</v>
      </c>
      <c r="AM305" s="1445" t="s">
        <v>206</v>
      </c>
      <c r="AN305" s="1453" t="s">
        <v>1308</v>
      </c>
      <c r="AO305" s="1446" t="s">
        <v>1305</v>
      </c>
      <c r="AP305" s="1446" t="s">
        <v>1306</v>
      </c>
      <c r="AQ305" s="1447">
        <v>45595</v>
      </c>
      <c r="AR305" s="1446" t="s">
        <v>1309</v>
      </c>
      <c r="AS305" s="1448" t="s">
        <v>206</v>
      </c>
      <c r="AT305" s="1449">
        <v>45656</v>
      </c>
      <c r="AU305" s="1450" t="s">
        <v>1532</v>
      </c>
      <c r="AV305" s="1451" t="s">
        <v>206</v>
      </c>
    </row>
    <row r="306" spans="1:48" ht="151.80000000000001" x14ac:dyDescent="0.3">
      <c r="A306" s="2113"/>
      <c r="B306" s="2156"/>
      <c r="C306" s="2156"/>
      <c r="D306" s="2159"/>
      <c r="E306" s="1441" t="s">
        <v>1310</v>
      </c>
      <c r="F306" s="3336"/>
      <c r="G306" s="1980"/>
      <c r="H306" s="2125"/>
      <c r="I306" s="2127"/>
      <c r="J306" s="2130"/>
      <c r="K306" s="2110"/>
      <c r="L306" s="2107"/>
      <c r="M306" s="2133"/>
      <c r="N306" s="2107">
        <f>IF(NOT(ISERROR(MATCH(M306,_xlfn.ANCHORARRAY(F316),0))),L318&amp;"Por favor no seleccionar los criterios de impacto",M306)</f>
        <v>0</v>
      </c>
      <c r="O306" s="2110"/>
      <c r="P306" s="2107"/>
      <c r="Q306" s="2015"/>
      <c r="R306" s="283">
        <v>3</v>
      </c>
      <c r="S306" s="1454" t="s">
        <v>1311</v>
      </c>
      <c r="T306" s="285" t="s">
        <v>142</v>
      </c>
      <c r="U306" s="286" t="s">
        <v>308</v>
      </c>
      <c r="V306" s="286" t="s">
        <v>201</v>
      </c>
      <c r="W306" s="287" t="str">
        <f t="shared" si="160"/>
        <v>25%</v>
      </c>
      <c r="X306" s="286" t="s">
        <v>202</v>
      </c>
      <c r="Y306" s="286" t="s">
        <v>210</v>
      </c>
      <c r="Z306" s="286" t="s">
        <v>298</v>
      </c>
      <c r="AA306" s="744">
        <f>IFERROR(IF(AND(T305="Probabilidad",T306="Probabilidad"),(AC305-(+AC305*W306)),IF(AND(T305="Impacto",T306="Probabilidad"),(AC304-(+AC304*W306)),IF(T306="Impacto",AC305,""))),"")</f>
        <v>0.6</v>
      </c>
      <c r="AB306" s="288" t="str">
        <f t="shared" si="161"/>
        <v>Media</v>
      </c>
      <c r="AC306" s="289">
        <f t="shared" ref="AC306:AC308" si="164">+AA306</f>
        <v>0.6</v>
      </c>
      <c r="AD306" s="288" t="str">
        <f t="shared" si="162"/>
        <v>Menor</v>
      </c>
      <c r="AE306" s="289">
        <f t="shared" ref="AE306:AE307" si="165">IFERROR(IF(AND(T305="Impacto",T306="Impacto"),(AE305-(+AE305*W306)),IF(AND(T305="Probabilidad",T306="Impacto"),(AE304-(+AE304*W306)),IF(T306="Probabilidad",AE305,""))),"")</f>
        <v>0.33750000000000002</v>
      </c>
      <c r="AF306" s="290" t="str">
        <f t="shared" si="163"/>
        <v>Moderado</v>
      </c>
      <c r="AG306" s="291"/>
      <c r="AH306" s="735" t="s">
        <v>1312</v>
      </c>
      <c r="AI306" s="1452" t="s">
        <v>1305</v>
      </c>
      <c r="AJ306" s="1455" t="s">
        <v>1313</v>
      </c>
      <c r="AK306" s="1444">
        <v>45565</v>
      </c>
      <c r="AL306" s="1452" t="s">
        <v>1314</v>
      </c>
      <c r="AM306" s="1445" t="s">
        <v>206</v>
      </c>
      <c r="AN306" s="1456" t="s">
        <v>1312</v>
      </c>
      <c r="AO306" s="1453" t="s">
        <v>1305</v>
      </c>
      <c r="AP306" s="1457" t="s">
        <v>1313</v>
      </c>
      <c r="AQ306" s="1447">
        <v>45595</v>
      </c>
      <c r="AR306" s="1453" t="s">
        <v>1533</v>
      </c>
      <c r="AS306" s="1448" t="s">
        <v>206</v>
      </c>
      <c r="AT306" s="1449">
        <v>45656</v>
      </c>
      <c r="AU306" s="1453" t="s">
        <v>1534</v>
      </c>
      <c r="AV306" s="1451" t="s">
        <v>206</v>
      </c>
    </row>
    <row r="307" spans="1:48" ht="78" x14ac:dyDescent="0.3">
      <c r="A307" s="2113"/>
      <c r="B307" s="2156"/>
      <c r="C307" s="2156"/>
      <c r="D307" s="2159"/>
      <c r="E307" s="1458"/>
      <c r="F307" s="3336"/>
      <c r="G307" s="1980"/>
      <c r="H307" s="2125"/>
      <c r="I307" s="2127"/>
      <c r="J307" s="2130"/>
      <c r="K307" s="2110"/>
      <c r="L307" s="2107"/>
      <c r="M307" s="2133"/>
      <c r="N307" s="2107">
        <f>IF(NOT(ISERROR(MATCH(M307,_xlfn.ANCHORARRAY(F317),0))),L319&amp;"Por favor no seleccionar los criterios de impacto",M307)</f>
        <v>0</v>
      </c>
      <c r="O307" s="2110"/>
      <c r="P307" s="2107"/>
      <c r="Q307" s="2015"/>
      <c r="R307" s="283">
        <v>4</v>
      </c>
      <c r="S307" s="284"/>
      <c r="T307" s="285" t="str">
        <f t="shared" ref="T307:T308" si="166">IF(OR(U307="Preventivo",U307="Detectivo"),"Probabilidad",IF(U307="Correctivo","Impacto",""))</f>
        <v>Probabilidad</v>
      </c>
      <c r="U307" s="286" t="s">
        <v>200</v>
      </c>
      <c r="V307" s="286" t="s">
        <v>201</v>
      </c>
      <c r="W307" s="287" t="str">
        <f t="shared" si="160"/>
        <v>30%</v>
      </c>
      <c r="X307" s="286" t="s">
        <v>202</v>
      </c>
      <c r="Y307" s="286" t="s">
        <v>210</v>
      </c>
      <c r="Z307" s="286" t="s">
        <v>298</v>
      </c>
      <c r="AA307" s="744">
        <f t="shared" ref="AA307" si="167">IFERROR(IF(AND(T306="Probabilidad",T307="Probabilidad"),(AC306-(+AC306*W307)),IF(AND(T306="Impacto",T307="Probabilidad"),(AC305-(+AC305*W307)),IF(T307="Impacto",AC306,""))),"")</f>
        <v>0.42</v>
      </c>
      <c r="AB307" s="288" t="str">
        <f t="shared" si="161"/>
        <v>Media</v>
      </c>
      <c r="AC307" s="289">
        <f t="shared" si="164"/>
        <v>0.42</v>
      </c>
      <c r="AD307" s="288" t="str">
        <f t="shared" si="162"/>
        <v>Menor</v>
      </c>
      <c r="AE307" s="289">
        <f t="shared" si="165"/>
        <v>0.33750000000000002</v>
      </c>
      <c r="AF307" s="290" t="str">
        <f t="shared" si="163"/>
        <v>Moderado</v>
      </c>
      <c r="AG307" s="291"/>
      <c r="AH307" s="296"/>
      <c r="AI307" s="1452"/>
      <c r="AJ307" s="1455"/>
      <c r="AK307" s="1444"/>
      <c r="AL307" s="296"/>
      <c r="AM307" s="1445"/>
      <c r="AN307" s="1459"/>
      <c r="AO307" s="1453"/>
      <c r="AP307" s="1457"/>
      <c r="AQ307" s="1447"/>
      <c r="AR307" s="1459"/>
      <c r="AS307" s="1448"/>
      <c r="AT307" s="1447"/>
      <c r="AU307" s="1459"/>
      <c r="AV307" s="1448"/>
    </row>
    <row r="308" spans="1:48" ht="15.6" x14ac:dyDescent="0.3">
      <c r="A308" s="2114"/>
      <c r="B308" s="2157"/>
      <c r="C308" s="2157"/>
      <c r="D308" s="2160"/>
      <c r="E308" s="1441"/>
      <c r="F308" s="3336"/>
      <c r="G308" s="2017"/>
      <c r="H308" s="2125"/>
      <c r="I308" s="2128"/>
      <c r="J308" s="2131"/>
      <c r="K308" s="2111"/>
      <c r="L308" s="2108"/>
      <c r="M308" s="2134"/>
      <c r="N308" s="2108">
        <f>IF(NOT(ISERROR(MATCH(M308,_xlfn.ANCHORARRAY(F319),0))),L321&amp;"Por favor no seleccionar los criterios de impacto",M308)</f>
        <v>0</v>
      </c>
      <c r="O308" s="2111"/>
      <c r="P308" s="2108"/>
      <c r="Q308" s="2016"/>
      <c r="R308" s="283">
        <v>6</v>
      </c>
      <c r="S308" s="302"/>
      <c r="T308" s="285" t="str">
        <f t="shared" si="166"/>
        <v/>
      </c>
      <c r="U308" s="286"/>
      <c r="V308" s="286"/>
      <c r="W308" s="287" t="str">
        <f t="shared" si="160"/>
        <v/>
      </c>
      <c r="X308" s="286"/>
      <c r="Y308" s="286"/>
      <c r="Z308" s="286"/>
      <c r="AA308" s="744" t="str">
        <f>IFERROR(IF(AND(#REF!="Probabilidad",T308="Probabilidad"),(#REF!-(+#REF!*W308)),IF(AND(#REF!="Impacto",T308="Probabilidad"),(AC307-(+AC307*W308)),IF(T308="Impacto",#REF!,""))),"")</f>
        <v/>
      </c>
      <c r="AB308" s="288" t="str">
        <f t="shared" si="161"/>
        <v/>
      </c>
      <c r="AC308" s="289" t="str">
        <f t="shared" si="164"/>
        <v/>
      </c>
      <c r="AD308" s="288" t="str">
        <f t="shared" si="162"/>
        <v/>
      </c>
      <c r="AE308" s="289" t="str">
        <f>IFERROR(IF(AND(#REF!="Impacto",T308="Impacto"),(#REF!-(+#REF!*W308)),IF(AND(#REF!="Probabilidad",T308="Impacto"),(AE307-(+AE307*W308)),IF(T308="Probabilidad",#REF!,""))),"")</f>
        <v/>
      </c>
      <c r="AF308" s="290" t="str">
        <f t="shared" si="163"/>
        <v/>
      </c>
      <c r="AG308" s="291"/>
      <c r="AH308" s="296"/>
      <c r="AI308" s="297"/>
      <c r="AJ308" s="303"/>
      <c r="AK308" s="303"/>
      <c r="AL308" s="296"/>
      <c r="AM308" s="297"/>
      <c r="AN308" s="1459"/>
      <c r="AO308" s="1460"/>
      <c r="AP308" s="1461"/>
      <c r="AQ308" s="1461"/>
      <c r="AR308" s="1459"/>
      <c r="AS308" s="1460"/>
      <c r="AT308" s="1461"/>
      <c r="AU308" s="1459"/>
      <c r="AV308" s="1460"/>
    </row>
    <row r="309" spans="1:48" ht="23.4" x14ac:dyDescent="0.3">
      <c r="A309" s="2349" t="s">
        <v>157</v>
      </c>
      <c r="B309" s="2350"/>
      <c r="C309" s="2039" t="s">
        <v>240</v>
      </c>
      <c r="D309" s="2039"/>
      <c r="E309" s="2039"/>
      <c r="F309" s="2039"/>
      <c r="G309" s="2039"/>
      <c r="H309" s="2039"/>
      <c r="I309" s="2039"/>
      <c r="J309" s="2039"/>
      <c r="K309" s="2039"/>
      <c r="L309" s="2039"/>
      <c r="M309" s="2039"/>
      <c r="N309" s="2039"/>
      <c r="O309" s="2039"/>
      <c r="P309" s="2039"/>
      <c r="Q309" s="2039"/>
      <c r="R309" s="2039"/>
      <c r="S309" s="2039"/>
      <c r="T309" s="2039"/>
      <c r="U309" s="2039"/>
      <c r="V309" s="2039"/>
      <c r="W309" s="2039"/>
      <c r="X309" s="2039"/>
      <c r="Y309" s="2039"/>
      <c r="Z309" s="2039"/>
      <c r="AA309" s="2039"/>
      <c r="AB309" s="2039"/>
      <c r="AC309" s="2039"/>
      <c r="AD309" s="2039"/>
      <c r="AE309" s="2039"/>
      <c r="AF309" s="2039"/>
      <c r="AG309" s="2039"/>
      <c r="AH309" s="2039"/>
      <c r="AI309" s="2039"/>
      <c r="AJ309" s="2039"/>
      <c r="AK309" s="2039"/>
      <c r="AL309" s="2039"/>
      <c r="AM309" s="2039"/>
      <c r="AN309" s="1039"/>
      <c r="AO309" s="1039"/>
      <c r="AP309" s="1039"/>
      <c r="AQ309" s="1039"/>
      <c r="AR309" s="1039"/>
      <c r="AS309" s="1039"/>
      <c r="AT309" s="1039"/>
      <c r="AU309" s="1039"/>
      <c r="AV309" s="1039"/>
    </row>
    <row r="310" spans="1:48" ht="38.4" customHeight="1" x14ac:dyDescent="0.3">
      <c r="A310" s="2349" t="s">
        <v>158</v>
      </c>
      <c r="B310" s="2350"/>
      <c r="C310" s="2040" t="s">
        <v>1143</v>
      </c>
      <c r="D310" s="2040"/>
      <c r="E310" s="2040"/>
      <c r="F310" s="2040"/>
      <c r="G310" s="2040"/>
      <c r="H310" s="2040"/>
      <c r="I310" s="2040"/>
      <c r="J310" s="2040"/>
      <c r="K310" s="2040"/>
      <c r="L310" s="2040"/>
      <c r="M310" s="2040"/>
      <c r="N310" s="2040"/>
      <c r="O310" s="2040"/>
      <c r="P310" s="2040"/>
      <c r="Q310" s="2040"/>
      <c r="R310" s="2040"/>
      <c r="S310" s="2040"/>
      <c r="T310" s="2040"/>
      <c r="U310" s="2040"/>
      <c r="V310" s="2040"/>
      <c r="W310" s="2040"/>
      <c r="X310" s="2040"/>
      <c r="Y310" s="2040"/>
      <c r="Z310" s="2040"/>
      <c r="AA310" s="2040"/>
      <c r="AB310" s="2040"/>
      <c r="AC310" s="2040"/>
      <c r="AD310" s="2040"/>
      <c r="AE310" s="2040"/>
      <c r="AF310" s="2040"/>
      <c r="AG310" s="2040"/>
      <c r="AH310" s="2040"/>
      <c r="AI310" s="2040"/>
      <c r="AJ310" s="2040"/>
      <c r="AK310" s="2040"/>
      <c r="AL310" s="2040"/>
      <c r="AM310" s="2040"/>
      <c r="AN310" s="1040"/>
      <c r="AO310" s="1040"/>
      <c r="AP310" s="1040"/>
      <c r="AQ310" s="1040"/>
      <c r="AR310" s="1040"/>
      <c r="AS310" s="1040"/>
      <c r="AT310" s="1040"/>
      <c r="AU310" s="1040"/>
      <c r="AV310" s="1040"/>
    </row>
    <row r="311" spans="1:48" ht="44.4" customHeight="1" x14ac:dyDescent="0.3">
      <c r="A311" s="2349" t="s">
        <v>159</v>
      </c>
      <c r="B311" s="2350"/>
      <c r="C311" s="2040" t="s">
        <v>1144</v>
      </c>
      <c r="D311" s="2040"/>
      <c r="E311" s="2040"/>
      <c r="F311" s="2040"/>
      <c r="G311" s="2040"/>
      <c r="H311" s="2040"/>
      <c r="I311" s="2040"/>
      <c r="J311" s="2040"/>
      <c r="K311" s="2040"/>
      <c r="L311" s="2040"/>
      <c r="M311" s="2040"/>
      <c r="N311" s="2040"/>
      <c r="O311" s="2040"/>
      <c r="P311" s="2040"/>
      <c r="Q311" s="2040"/>
      <c r="R311" s="2040"/>
      <c r="S311" s="2040"/>
      <c r="T311" s="2040"/>
      <c r="U311" s="2040"/>
      <c r="V311" s="2040"/>
      <c r="W311" s="2040"/>
      <c r="X311" s="2040"/>
      <c r="Y311" s="2040"/>
      <c r="Z311" s="2040"/>
      <c r="AA311" s="2040"/>
      <c r="AB311" s="2040"/>
      <c r="AC311" s="2040"/>
      <c r="AD311" s="2040"/>
      <c r="AE311" s="2040"/>
      <c r="AF311" s="2040"/>
      <c r="AG311" s="2040"/>
      <c r="AH311" s="2040"/>
      <c r="AI311" s="2040"/>
      <c r="AJ311" s="2040"/>
      <c r="AK311" s="2040"/>
      <c r="AL311" s="2040"/>
      <c r="AM311" s="2040"/>
      <c r="AN311" s="1040"/>
      <c r="AO311" s="1040"/>
      <c r="AP311" s="1040"/>
      <c r="AQ311" s="1040"/>
      <c r="AR311" s="1040"/>
      <c r="AS311" s="1040"/>
      <c r="AT311" s="1040"/>
      <c r="AU311" s="1040"/>
      <c r="AV311" s="1040"/>
    </row>
    <row r="312" spans="1:48" ht="23.4" x14ac:dyDescent="0.3">
      <c r="A312" s="3711" t="s">
        <v>160</v>
      </c>
      <c r="B312" s="3709"/>
      <c r="C312" s="3709"/>
      <c r="D312" s="3709"/>
      <c r="E312" s="3709"/>
      <c r="F312" s="3709"/>
      <c r="G312" s="3709"/>
      <c r="H312" s="3709"/>
      <c r="I312" s="3709"/>
      <c r="J312" s="3710"/>
      <c r="K312" s="3711" t="s">
        <v>161</v>
      </c>
      <c r="L312" s="3709"/>
      <c r="M312" s="3709"/>
      <c r="N312" s="3709"/>
      <c r="O312" s="3709"/>
      <c r="P312" s="3709"/>
      <c r="Q312" s="3709"/>
      <c r="R312" s="3712" t="s">
        <v>162</v>
      </c>
      <c r="S312" s="3713"/>
      <c r="T312" s="3713"/>
      <c r="U312" s="3713"/>
      <c r="V312" s="3713"/>
      <c r="W312" s="3713"/>
      <c r="X312" s="3713"/>
      <c r="Y312" s="3713"/>
      <c r="Z312" s="3714"/>
      <c r="AA312" s="3712" t="s">
        <v>163</v>
      </c>
      <c r="AB312" s="3713"/>
      <c r="AC312" s="3713"/>
      <c r="AD312" s="3713"/>
      <c r="AE312" s="3713"/>
      <c r="AF312" s="3713"/>
      <c r="AG312" s="3713"/>
      <c r="AH312" s="3712" t="s">
        <v>164</v>
      </c>
      <c r="AI312" s="3713"/>
      <c r="AJ312" s="3713"/>
      <c r="AK312" s="3713"/>
      <c r="AL312" s="3713"/>
      <c r="AM312" s="3713"/>
      <c r="AN312" s="3713"/>
      <c r="AO312" s="1039"/>
      <c r="AP312" s="1039"/>
      <c r="AQ312" s="1039"/>
      <c r="AR312" s="1039"/>
      <c r="AS312" s="1039"/>
      <c r="AT312" s="1039"/>
      <c r="AU312" s="1039"/>
      <c r="AV312" s="1039"/>
    </row>
    <row r="313" spans="1:48" x14ac:dyDescent="0.3">
      <c r="A313" s="3630" t="s">
        <v>165</v>
      </c>
      <c r="B313" s="3631" t="s">
        <v>142</v>
      </c>
      <c r="C313" s="3632" t="s">
        <v>166</v>
      </c>
      <c r="D313" s="3632" t="s">
        <v>167</v>
      </c>
      <c r="E313" s="3633" t="s">
        <v>168</v>
      </c>
      <c r="F313" s="3634" t="s">
        <v>60</v>
      </c>
      <c r="G313" s="3635"/>
      <c r="H313" s="3635"/>
      <c r="I313" s="3633" t="s">
        <v>169</v>
      </c>
      <c r="J313" s="3632" t="s">
        <v>170</v>
      </c>
      <c r="K313" s="3636" t="s">
        <v>171</v>
      </c>
      <c r="L313" s="3637" t="s">
        <v>172</v>
      </c>
      <c r="M313" s="3633" t="s">
        <v>173</v>
      </c>
      <c r="N313" s="3633" t="s">
        <v>174</v>
      </c>
      <c r="O313" s="3638" t="s">
        <v>175</v>
      </c>
      <c r="P313" s="3637" t="s">
        <v>172</v>
      </c>
      <c r="Q313" s="3632" t="s">
        <v>176</v>
      </c>
      <c r="R313" s="3639" t="s">
        <v>177</v>
      </c>
      <c r="S313" s="3640" t="s">
        <v>178</v>
      </c>
      <c r="T313" s="3641" t="s">
        <v>179</v>
      </c>
      <c r="U313" s="3642" t="s">
        <v>180</v>
      </c>
      <c r="V313" s="3642"/>
      <c r="W313" s="3642"/>
      <c r="X313" s="3642"/>
      <c r="Y313" s="3642"/>
      <c r="Z313" s="3642"/>
      <c r="AA313" s="3643" t="s">
        <v>181</v>
      </c>
      <c r="AB313" s="3643" t="s">
        <v>182</v>
      </c>
      <c r="AC313" s="3643" t="s">
        <v>172</v>
      </c>
      <c r="AD313" s="3643" t="s">
        <v>183</v>
      </c>
      <c r="AE313" s="3643" t="s">
        <v>172</v>
      </c>
      <c r="AF313" s="3643" t="s">
        <v>184</v>
      </c>
      <c r="AG313" s="3644" t="s">
        <v>185</v>
      </c>
      <c r="AH313" s="3640" t="s">
        <v>164</v>
      </c>
      <c r="AI313" s="3640" t="s">
        <v>143</v>
      </c>
      <c r="AJ313" s="3640" t="s">
        <v>186</v>
      </c>
      <c r="AK313" s="3640" t="s">
        <v>187</v>
      </c>
      <c r="AL313" s="3640" t="s">
        <v>1535</v>
      </c>
      <c r="AM313" s="3640" t="s">
        <v>189</v>
      </c>
    </row>
    <row r="314" spans="1:48" ht="64.8" x14ac:dyDescent="0.3">
      <c r="A314" s="3645"/>
      <c r="B314" s="3631"/>
      <c r="C314" s="3640"/>
      <c r="D314" s="3640"/>
      <c r="E314" s="3636"/>
      <c r="F314" s="3646"/>
      <c r="G314" s="3635" t="s">
        <v>511</v>
      </c>
      <c r="H314" s="3635" t="s">
        <v>190</v>
      </c>
      <c r="I314" s="3632"/>
      <c r="J314" s="3640"/>
      <c r="K314" s="3632"/>
      <c r="L314" s="3647"/>
      <c r="M314" s="3632"/>
      <c r="N314" s="3632"/>
      <c r="O314" s="3647"/>
      <c r="P314" s="3647"/>
      <c r="Q314" s="3640"/>
      <c r="R314" s="3648"/>
      <c r="S314" s="3640"/>
      <c r="T314" s="3649"/>
      <c r="U314" s="3650" t="s">
        <v>191</v>
      </c>
      <c r="V314" s="3650" t="s">
        <v>192</v>
      </c>
      <c r="W314" s="3650" t="s">
        <v>193</v>
      </c>
      <c r="X314" s="3650" t="s">
        <v>194</v>
      </c>
      <c r="Y314" s="3650" t="s">
        <v>195</v>
      </c>
      <c r="Z314" s="3650" t="s">
        <v>196</v>
      </c>
      <c r="AA314" s="3643"/>
      <c r="AB314" s="3643"/>
      <c r="AC314" s="3643"/>
      <c r="AD314" s="3643"/>
      <c r="AE314" s="3643"/>
      <c r="AF314" s="3643"/>
      <c r="AG314" s="3651"/>
      <c r="AH314" s="3640"/>
      <c r="AI314" s="3640"/>
      <c r="AJ314" s="3640"/>
      <c r="AK314" s="3640"/>
      <c r="AL314" s="3640"/>
      <c r="AM314" s="3640"/>
    </row>
    <row r="315" spans="1:48" ht="39" customHeight="1" x14ac:dyDescent="0.3">
      <c r="A315" s="3652">
        <v>1</v>
      </c>
      <c r="B315" s="3653" t="s">
        <v>1536</v>
      </c>
      <c r="C315" s="3653" t="s">
        <v>1537</v>
      </c>
      <c r="D315" s="3716" t="s">
        <v>1538</v>
      </c>
      <c r="E315" s="3717" t="s">
        <v>1539</v>
      </c>
      <c r="F315" s="3655" t="s">
        <v>1540</v>
      </c>
      <c r="G315" s="3655" t="s">
        <v>512</v>
      </c>
      <c r="H315" s="3655" t="s">
        <v>1541</v>
      </c>
      <c r="I315" s="3718" t="s">
        <v>1542</v>
      </c>
      <c r="J315" s="3656">
        <v>36</v>
      </c>
      <c r="K315" s="3657" t="str">
        <f>IF(J315&lt;=0,"",IF(J315&lt;=2,"Muy Baja",IF(J315&lt;=24,"Baja",IF(J315&lt;=500,"Media",IF(J315&lt;=5000,"Alta","Muy Alta")))))</f>
        <v>Media</v>
      </c>
      <c r="L315" s="3658">
        <f>IF(K315="","",IF(K315="Muy Baja",0.2,IF(K315="Baja",0.4,IF(K315="Media",0.6,IF(K315="Alta",0.8,IF(K315="Muy Alta",1,))))))</f>
        <v>0.6</v>
      </c>
      <c r="M315" s="3659" t="s">
        <v>1543</v>
      </c>
      <c r="N315" s="3660" t="str">
        <f>IF(NOT(ISERROR(MATCH(M315,'[78]Tabla Impacto'!$B$221:$B$223,0))),'[78]Tabla Impacto'!$F$223&amp;"Por favor no seleccionar los criterios de impacto(Afectación Económica o presupuestal y Pérdida Reputacional)",M315)</f>
        <v>Entre 1000 y 5000 SMLMV</v>
      </c>
      <c r="O315" s="3657" t="s">
        <v>63</v>
      </c>
      <c r="P315" s="3658">
        <f>IF(O315="","",IF(O315="Leve",0.2,IF(O315="Menor",0.4,IF(O315="Moderado",0.6,IF(O315="Mayor",0.8,IF(O315="Catastrófico",1,))))))</f>
        <v>0.6</v>
      </c>
      <c r="Q315" s="3661" t="str">
        <f>IF(OR(AND(K315="Muy Baja",O315="Leve"),AND(K315="Muy Baja",O315="Menor"),AND(K315="Baja",O315="Leve")),"Bajo",IF(OR(AND(K315="Muy baja",O315="Moderado"),AND(K315="Baja",O315="Menor"),AND(K315="Baja",O315="Moderado"),AND(K315="Media",O315="Leve"),AND(K315="Media",O315="Menor"),AND(K315="Media",O315="Moderado"),AND(K315="Alta",O315="Leve"),AND(K315="Alta",O315="Menor")),"Moderado",IF(OR(AND(K315="Muy Baja",O315="Mayor"),AND(K315="Baja",O315="Mayor"),AND(K315="Media",O315="Mayor"),AND(K315="Alta",O315="Moderado"),AND(K315="Alta",O315="Mayor"),AND(K315="Muy Alta",O315="Leve"),AND(K315="Muy Alta",O315="Menor"),AND(K315="Muy Alta",O315="Moderado"),AND(K315="Muy Alta",O315="Mayor")),"Alto",IF(OR(AND(K315="Muy Baja",O315="Catastrófico"),AND(K315="Baja",O315="Catastrófico"),AND(K315="Media",O315="Catastrófico"),AND(K315="Alta",O315="Catastrófico"),AND(K315="Muy Alta",O315="Catastrófico")),"Extremo",""))))</f>
        <v>Moderado</v>
      </c>
      <c r="R315" s="3652">
        <v>1</v>
      </c>
      <c r="S315" s="3654" t="s">
        <v>1544</v>
      </c>
      <c r="T315" s="3662" t="str">
        <f>IF(OR(U315="Preventivo",U315="Detectivo"),"Probabilidad",IF(U315="Correctivo","Impacto",""))</f>
        <v>Probabilidad</v>
      </c>
      <c r="U315" s="3663" t="s">
        <v>200</v>
      </c>
      <c r="V315" s="3663" t="s">
        <v>201</v>
      </c>
      <c r="W315" s="3664" t="str">
        <f>IF(AND(U315="Preventivo",V315="Automático"),"50%",IF(AND(U315="Preventivo",V315="Manual"),"40%",IF(AND(U315="Detectivo",V315="Automático"),"40%",IF(AND(U315="Detectivo",V315="Manual"),"30%",IF(AND(U315="Correctivo",V315="Automático"),"35%",IF(AND(U315="Correctivo",V315="Manual"),"25%",""))))))</f>
        <v>30%</v>
      </c>
      <c r="X315" s="3663" t="s">
        <v>1545</v>
      </c>
      <c r="Y315" s="3663" t="s">
        <v>203</v>
      </c>
      <c r="Z315" s="3663" t="s">
        <v>1546</v>
      </c>
      <c r="AA315" s="3665">
        <f>IFERROR(IF(T315="Probabilidad",(L315-(+L315*W315)),IF(T315="Impacto",L315,"")),"")</f>
        <v>0.42</v>
      </c>
      <c r="AB315" s="3666" t="str">
        <f>IFERROR(IF(AA315="","",IF(AA315&lt;=0.2,"Muy Baja",IF(AA315&lt;=0.4,"Baja",IF(AA315&lt;=0.6,"Media",IF(AA315&lt;=0.8,"Alta","Muy Alta"))))),"")</f>
        <v>Media</v>
      </c>
      <c r="AC315" s="3667">
        <f>+AA315</f>
        <v>0.42</v>
      </c>
      <c r="AD315" s="3666" t="str">
        <f>IFERROR(IF(AE315="","",IF(AE315&lt;=0.2,"Leve",IF(AE315&lt;=0.4,"Menor",IF(AE315&lt;=0.6,"Moderado",IF(AE315&lt;=0.8,"Mayor","Catastrófico"))))),"")</f>
        <v>Moderado</v>
      </c>
      <c r="AE315" s="3664">
        <f>IFERROR(IF(T315="Impacto",(P315-(+P315*W315)),IF(T315="Probabilidad",P315,"")),"")</f>
        <v>0.6</v>
      </c>
      <c r="AF315" s="3668" t="str">
        <f>IFERROR(IF(OR(AND(AB315="Muy Baja",AD315="Leve"),AND(AB315="Muy Baja",AD315="Menor"),AND(AB315="Baja",AD315="Leve")),"Bajo",IF(OR(AND(AB315="Muy baja",AD315="Moderado"),AND(AB315="Baja",AD315="Menor"),AND(AB315="Baja",AD315="Moderado"),AND(AB315="Media",AD315="Leve"),AND(AB315="Media",AD315="Menor"),AND(AB315="Media",AD315="Moderado"),AND(AB315="Alta",AD315="Leve"),AND(AB315="Alta",AD315="Menor")),"Moderado",IF(OR(AND(AB315="Muy Baja",AD315="Mayor"),AND(AB315="Baja",AD315="Mayor"),AND(AB315="Media",AD315="Mayor"),AND(AB315="Alta",AD315="Moderado"),AND(AB315="Alta",AD315="Mayor"),AND(AB315="Muy Alta",AD315="Leve"),AND(AB315="Muy Alta",AD315="Menor"),AND(AB315="Muy Alta",AD315="Moderado"),AND(AB315="Muy Alta",AD315="Mayor")),"Alto",IF(OR(AND(AB315="Muy Baja",AD315="Catastrófico"),AND(AB315="Baja",AD315="Catastrófico"),AND(AB315="Media",AD315="Catastrófico"),AND(AB315="Alta",AD315="Catastrófico"),AND(AB315="Muy Alta",AD315="Catastrófico")),"Extremo","")))),"")</f>
        <v>Moderado</v>
      </c>
      <c r="AG315" s="3663" t="s">
        <v>205</v>
      </c>
      <c r="AH315" s="3654" t="s">
        <v>1547</v>
      </c>
      <c r="AI315" s="3654" t="s">
        <v>1548</v>
      </c>
      <c r="AJ315" s="3669" t="s">
        <v>1549</v>
      </c>
      <c r="AK315" s="3670" t="s">
        <v>1550</v>
      </c>
      <c r="AL315" s="3654" t="s">
        <v>1551</v>
      </c>
      <c r="AM315" s="3656" t="s">
        <v>206</v>
      </c>
    </row>
    <row r="316" spans="1:48" ht="79.8" customHeight="1" x14ac:dyDescent="0.3">
      <c r="A316" s="3671"/>
      <c r="B316" s="3672"/>
      <c r="C316" s="3706"/>
      <c r="D316" s="3719"/>
      <c r="E316" s="3717" t="s">
        <v>1552</v>
      </c>
      <c r="F316" s="3674"/>
      <c r="G316" s="3674"/>
      <c r="H316" s="3674"/>
      <c r="I316" s="3720"/>
      <c r="J316" s="3675"/>
      <c r="K316" s="3676"/>
      <c r="L316" s="3677"/>
      <c r="M316" s="3678"/>
      <c r="N316" s="3660"/>
      <c r="O316" s="3676"/>
      <c r="P316" s="3677"/>
      <c r="Q316" s="3679"/>
      <c r="R316" s="3671"/>
      <c r="S316" s="3673"/>
      <c r="T316" s="3680"/>
      <c r="U316" s="3681"/>
      <c r="V316" s="3681"/>
      <c r="W316" s="3682"/>
      <c r="X316" s="3681"/>
      <c r="Y316" s="3681"/>
      <c r="Z316" s="3681"/>
      <c r="AA316" s="3683"/>
      <c r="AB316" s="3684"/>
      <c r="AC316" s="3685"/>
      <c r="AD316" s="3684"/>
      <c r="AE316" s="3682"/>
      <c r="AF316" s="3686"/>
      <c r="AG316" s="3681"/>
      <c r="AH316" s="3673"/>
      <c r="AI316" s="3673"/>
      <c r="AJ316" s="3687"/>
      <c r="AK316" s="3688"/>
      <c r="AL316" s="3673"/>
      <c r="AM316" s="3675"/>
    </row>
    <row r="317" spans="1:48" ht="41.4" x14ac:dyDescent="0.3">
      <c r="A317" s="3652">
        <v>2</v>
      </c>
      <c r="B317" s="3653" t="s">
        <v>1553</v>
      </c>
      <c r="C317" s="3653" t="s">
        <v>1554</v>
      </c>
      <c r="D317" s="3721" t="s">
        <v>1555</v>
      </c>
      <c r="E317" s="3722" t="s">
        <v>1556</v>
      </c>
      <c r="F317" s="3723" t="s">
        <v>1557</v>
      </c>
      <c r="G317" s="3655" t="s">
        <v>597</v>
      </c>
      <c r="H317" s="3655" t="s">
        <v>1558</v>
      </c>
      <c r="I317" s="3724" t="s">
        <v>1542</v>
      </c>
      <c r="J317" s="3656">
        <v>9</v>
      </c>
      <c r="K317" s="3657" t="str">
        <f>IF(J317&lt;=0,"",IF(J317&lt;=2,"Muy Baja",IF(J317&lt;=24,"Baja",IF(J317&lt;=500,"Media",IF(J317&lt;=5000,"Alta","Muy Alta")))))</f>
        <v>Baja</v>
      </c>
      <c r="L317" s="3658">
        <f t="shared" ref="L317" si="168">IF(K317="","",IF(K317="Muy Baja",0.2,IF(K317="Baja",0.4,IF(K317="Media",0.6,IF(K317="Alta",0.8,IF(K317="Muy Alta",1,))))))</f>
        <v>0.4</v>
      </c>
      <c r="M317" s="3659" t="s">
        <v>1559</v>
      </c>
      <c r="N317" s="3658" t="str">
        <f>IF(NOT(ISERROR(MATCH(M317,'[78]Tabla Impacto'!$B$221:$B$223,0))),'[78]Tabla Impacto'!$F$223&amp;"Por favor no seleccionar los criterios de impacto(Afectación Económica o presupuestal y Pérdida Reputacional)",M317)</f>
        <v>Entre 200 y 1000 SMLMV</v>
      </c>
      <c r="O317" s="3657" t="s">
        <v>62</v>
      </c>
      <c r="P317" s="3658">
        <f t="shared" ref="P317" si="169">IF(O317="","",IF(O317="Leve",0.2,IF(O317="Menor",0.4,IF(O317="Moderado",0.6,IF(O317="Mayor",0.8,IF(O317="Catastrófico",1,))))))</f>
        <v>0.4</v>
      </c>
      <c r="Q317" s="3689" t="str">
        <f t="shared" ref="Q317" si="170">IF(OR(AND(K317="Muy Baja",O317="Leve"),AND(K317="Muy Baja",O317="Menor"),AND(K317="Baja",O317="Leve")),"Bajo",IF(OR(AND(K317="Muy baja",O317="Moderado"),AND(K317="Baja",O317="Menor"),AND(K317="Baja",O317="Moderado"),AND(K317="Media",O317="Leve"),AND(K317="Media",O317="Menor"),AND(K317="Media",O317="Moderado"),AND(K317="Alta",O317="Leve"),AND(K317="Alta",O317="Menor")),"Moderado",IF(OR(AND(K317="Muy Baja",O317="Mayor"),AND(K317="Baja",O317="Mayor"),AND(K317="Media",O317="Mayor"),AND(K317="Alta",O317="Moderado"),AND(K317="Alta",O317="Mayor"),AND(K317="Muy Alta",O317="Leve"),AND(K317="Muy Alta",O317="Menor"),AND(K317="Muy Alta",O317="Moderado"),AND(K317="Muy Alta",O317="Mayor")),"Alto",IF(OR(AND(K317="Muy Baja",O317="Catastrófico"),AND(K317="Baja",O317="Catastrófico"),AND(K317="Media",O317="Catastrófico"),AND(K317="Alta",O317="Catastrófico"),AND(K317="Muy Alta",O317="Catastrófico")),"Extremo",""))))</f>
        <v>Moderado</v>
      </c>
      <c r="R317" s="3652">
        <v>1</v>
      </c>
      <c r="S317" s="3654" t="s">
        <v>779</v>
      </c>
      <c r="T317" s="3690" t="str">
        <f>IF(OR(U317="Preventivo",U317="Detectivo"),"Probabilidad",IF(U317="Correctivo","Impacto",""))</f>
        <v>Probabilidad</v>
      </c>
      <c r="U317" s="3691" t="s">
        <v>200</v>
      </c>
      <c r="V317" s="3691" t="s">
        <v>201</v>
      </c>
      <c r="W317" s="3667" t="str">
        <f>IF(AND(U317="Preventivo",V317="Automático"),"50%",IF(AND(U317="Preventivo",V317="Manual"),"40%",IF(AND(U317="Detectivo",V317="Automático"),"40%",IF(AND(U317="Detectivo",V317="Manual"),"30%",IF(AND(U317="Correctivo",V317="Automático"),"35%",IF(AND(U317="Correctivo",V317="Manual"),"25%",""))))))</f>
        <v>30%</v>
      </c>
      <c r="X317" s="3691" t="s">
        <v>208</v>
      </c>
      <c r="Y317" s="3691" t="s">
        <v>203</v>
      </c>
      <c r="Z317" s="3691" t="s">
        <v>204</v>
      </c>
      <c r="AA317" s="3692">
        <f>IFERROR(IF(T317="Probabilidad",(L317-(+L317*W317)),IF(T317="Impacto",L317,"")),"")</f>
        <v>0.28000000000000003</v>
      </c>
      <c r="AB317" s="3693" t="str">
        <f>IFERROR(IF(AA317="","",IF(AA317&lt;=0.2,"Muy Baja",IF(AA317&lt;=0.4,"Baja",IF(AA317&lt;=0.6,"Media",IF(AA317&lt;=0.8,"Alta","Muy Alta"))))),"")</f>
        <v>Baja</v>
      </c>
      <c r="AC317" s="3667">
        <f>+AA317</f>
        <v>0.28000000000000003</v>
      </c>
      <c r="AD317" s="3693" t="str">
        <f>IFERROR(IF(AE317="","",IF(AE317&lt;=0.2,"Leve",IF(AE317&lt;=0.4,"Menor",IF(AE317&lt;=0.6,"Moderado",IF(AE317&lt;=0.8,"Mayor","Catastrófico"))))),"")</f>
        <v>Menor</v>
      </c>
      <c r="AE317" s="3667">
        <f>IFERROR(IF(T317="Impacto",(P317-(+P317*W317)),IF(T317="Probabilidad",P317,"")),"")</f>
        <v>0.4</v>
      </c>
      <c r="AF317" s="3694" t="str">
        <f>IFERROR(IF(OR(AND(AB317="Muy Baja",AD317="Leve"),AND(AB317="Muy Baja",AD317="Menor"),AND(AB317="Baja",AD317="Leve")),"Bajo",IF(OR(AND(AB317="Muy baja",AD317="Moderado"),AND(AB317="Baja",AD317="Menor"),AND(AB317="Baja",AD317="Moderado"),AND(AB317="Media",AD317="Leve"),AND(AB317="Media",AD317="Menor"),AND(AB317="Media",AD317="Moderado"),AND(AB317="Alta",AD317="Leve"),AND(AB317="Alta",AD317="Menor")),"Moderado",IF(OR(AND(AB317="Muy Baja",AD317="Mayor"),AND(AB317="Baja",AD317="Mayor"),AND(AB317="Media",AD317="Mayor"),AND(AB317="Alta",AD317="Moderado"),AND(AB317="Alta",AD317="Mayor"),AND(AB317="Muy Alta",AD317="Leve"),AND(AB317="Muy Alta",AD317="Menor"),AND(AB317="Muy Alta",AD317="Moderado"),AND(AB317="Muy Alta",AD317="Mayor")),"Alto",IF(OR(AND(AB317="Muy Baja",AD317="Catastrófico"),AND(AB317="Baja",AD317="Catastrófico"),AND(AB317="Media",AD317="Catastrófico"),AND(AB317="Alta",AD317="Catastrófico"),AND(AB317="Muy Alta",AD317="Catastrófico")),"Extremo","")))),"")</f>
        <v>Moderado</v>
      </c>
      <c r="AG317" s="3691" t="s">
        <v>205</v>
      </c>
      <c r="AH317" s="3654" t="s">
        <v>780</v>
      </c>
      <c r="AI317" s="3654" t="s">
        <v>1548</v>
      </c>
      <c r="AJ317" s="3670" t="s">
        <v>360</v>
      </c>
      <c r="AK317" s="3670" t="s">
        <v>1550</v>
      </c>
      <c r="AL317" s="3654" t="s">
        <v>1560</v>
      </c>
      <c r="AM317" s="3656" t="s">
        <v>206</v>
      </c>
    </row>
    <row r="318" spans="1:48" ht="45.6" customHeight="1" x14ac:dyDescent="0.3">
      <c r="A318" s="3725"/>
      <c r="B318" s="3672"/>
      <c r="C318" s="3672"/>
      <c r="D318" s="3726"/>
      <c r="E318" s="3727" t="s">
        <v>1561</v>
      </c>
      <c r="F318" s="3723"/>
      <c r="G318" s="3695"/>
      <c r="H318" s="3674"/>
      <c r="I318" s="3728"/>
      <c r="J318" s="3675"/>
      <c r="K318" s="3676"/>
      <c r="L318" s="3696"/>
      <c r="M318" s="3697"/>
      <c r="N318" s="3696">
        <f>IF(NOT(ISERROR(MATCH(M318,_xlfn.ANCHORARRAY(#REF!),0))),#REF!&amp;"Por favor no seleccionar los criterios de impacto",M318)</f>
        <v>0</v>
      </c>
      <c r="O318" s="3698"/>
      <c r="P318" s="3696"/>
      <c r="Q318" s="3699"/>
      <c r="R318" s="3671"/>
      <c r="S318" s="3673"/>
      <c r="T318" s="3700"/>
      <c r="U318" s="3701"/>
      <c r="V318" s="3701"/>
      <c r="W318" s="3685"/>
      <c r="X318" s="3701"/>
      <c r="Y318" s="3701"/>
      <c r="Z318" s="3701"/>
      <c r="AA318" s="3702"/>
      <c r="AB318" s="3703"/>
      <c r="AC318" s="3685"/>
      <c r="AD318" s="3703"/>
      <c r="AE318" s="3685"/>
      <c r="AF318" s="3704"/>
      <c r="AG318" s="3701"/>
      <c r="AH318" s="3673"/>
      <c r="AI318" s="3673"/>
      <c r="AJ318" s="3688"/>
      <c r="AK318" s="3688"/>
      <c r="AL318" s="3673"/>
      <c r="AM318" s="3675"/>
    </row>
    <row r="319" spans="1:48" ht="27.6" x14ac:dyDescent="0.3">
      <c r="A319" s="3652">
        <v>3</v>
      </c>
      <c r="B319" s="3653" t="s">
        <v>1536</v>
      </c>
      <c r="C319" s="3653" t="s">
        <v>783</v>
      </c>
      <c r="D319" s="3721" t="s">
        <v>782</v>
      </c>
      <c r="E319" s="3729" t="s">
        <v>1562</v>
      </c>
      <c r="F319" s="3730" t="s">
        <v>1563</v>
      </c>
      <c r="G319" s="3705" t="s">
        <v>597</v>
      </c>
      <c r="H319" s="3655" t="s">
        <v>1564</v>
      </c>
      <c r="I319" s="3653" t="s">
        <v>1565</v>
      </c>
      <c r="J319" s="3656">
        <v>2</v>
      </c>
      <c r="K319" s="3657" t="str">
        <f t="shared" ref="K319" si="171">IF(J319&lt;=0,"",IF(J319&lt;=2,"Muy Baja",IF(J319&lt;=24,"Baja",IF(J319&lt;=500,"Media",IF(J319&lt;=5000,"Alta","Muy Alta")))))</f>
        <v>Muy Baja</v>
      </c>
      <c r="L319" s="3658">
        <f t="shared" ref="L319" si="172">IF(K319="","",IF(K319="Muy Baja",0.2,IF(K319="Baja",0.4,IF(K319="Media",0.6,IF(K319="Alta",0.8,IF(K319="Muy Alta",1,))))))</f>
        <v>0.2</v>
      </c>
      <c r="M319" s="3659" t="s">
        <v>1566</v>
      </c>
      <c r="N319" s="3658" t="str">
        <f>IF(NOT(ISERROR(MATCH(M319,'[78]Tabla Impacto'!$B$221:$B$223,0))),'[78]Tabla Impacto'!$F$223&amp;"Por favor no seleccionar los criterios de impacto(Afectación Económica o presupuestal y Pérdida Reputacional)",M319)</f>
        <v>Mayor a 10000  SMLMV</v>
      </c>
      <c r="O319" s="3657" t="s">
        <v>65</v>
      </c>
      <c r="P319" s="3658">
        <f t="shared" ref="P319" si="173">IF(O319="","",IF(O319="Leve",0.2,IF(O319="Menor",0.4,IF(O319="Moderado",0.6,IF(O319="Mayor",0.8,IF(O319="Catastrófico",1,))))))</f>
        <v>1</v>
      </c>
      <c r="Q319" s="3689" t="str">
        <f t="shared" ref="Q319" si="174">IF(OR(AND(K319="Muy Baja",O319="Leve"),AND(K319="Muy Baja",O319="Menor"),AND(K319="Baja",O319="Leve")),"Bajo",IF(OR(AND(K319="Muy baja",O319="Moderado"),AND(K319="Baja",O319="Menor"),AND(K319="Baja",O319="Moderado"),AND(K319="Media",O319="Leve"),AND(K319="Media",O319="Menor"),AND(K319="Media",O319="Moderado"),AND(K319="Alta",O319="Leve"),AND(K319="Alta",O319="Menor")),"Moderado",IF(OR(AND(K319="Muy Baja",O319="Mayor"),AND(K319="Baja",O319="Mayor"),AND(K319="Media",O319="Mayor"),AND(K319="Alta",O319="Moderado"),AND(K319="Alta",O319="Mayor"),AND(K319="Muy Alta",O319="Leve"),AND(K319="Muy Alta",O319="Menor"),AND(K319="Muy Alta",O319="Moderado"),AND(K319="Muy Alta",O319="Mayor")),"Alto",IF(OR(AND(K319="Muy Baja",O319="Catastrófico"),AND(K319="Baja",O319="Catastrófico"),AND(K319="Media",O319="Catastrófico"),AND(K319="Alta",O319="Catastrófico"),AND(K319="Muy Alta",O319="Catastrófico")),"Extremo",""))))</f>
        <v>Extremo</v>
      </c>
      <c r="R319" s="3652">
        <v>1</v>
      </c>
      <c r="S319" s="3654" t="s">
        <v>1567</v>
      </c>
      <c r="T319" s="3690" t="str">
        <f>IF(OR(U319="Preventivo",U319="Detectivo"),"Probabilidad",IF(U319="Correctivo","Impacto",""))</f>
        <v>Impacto</v>
      </c>
      <c r="U319" s="3691" t="s">
        <v>308</v>
      </c>
      <c r="V319" s="3691" t="s">
        <v>201</v>
      </c>
      <c r="W319" s="3667" t="str">
        <f>IF(AND(U319="Preventivo",V319="Automático"),"50%",IF(AND(U319="Preventivo",V319="Manual"),"40%",IF(AND(U319="Detectivo",V319="Automático"),"40%",IF(AND(U319="Detectivo",V319="Manual"),"30%",IF(AND(U319="Correctivo",V319="Automático"),"35%",IF(AND(U319="Correctivo",V319="Manual"),"25%",""))))))</f>
        <v>25%</v>
      </c>
      <c r="X319" s="3691" t="s">
        <v>208</v>
      </c>
      <c r="Y319" s="3691" t="s">
        <v>203</v>
      </c>
      <c r="Z319" s="3691" t="s">
        <v>204</v>
      </c>
      <c r="AA319" s="3692">
        <f>IFERROR(IF(T319="Probabilidad",(L319-(+L319*W319)),IF(T319="Impacto",L319,"")),"")</f>
        <v>0.2</v>
      </c>
      <c r="AB319" s="3693" t="str">
        <f>IFERROR(IF(AA319="","",IF(AA319&lt;=0.2,"Muy Baja",IF(AA319&lt;=0.4,"Baja",IF(AA319&lt;=0.6,"Media",IF(AA319&lt;=0.8,"Alta","Muy Alta"))))),"")</f>
        <v>Muy Baja</v>
      </c>
      <c r="AC319" s="3667">
        <f>+AA319</f>
        <v>0.2</v>
      </c>
      <c r="AD319" s="3693" t="str">
        <f>IFERROR(IF(AE319="","",IF(AE319&lt;=0.2,"Leve",IF(AE319&lt;=0.4,"Menor",IF(AE319&lt;=0.6,"Moderado",IF(AE319&lt;=0.8,"Mayor","Catastrófico"))))),"")</f>
        <v>Mayor</v>
      </c>
      <c r="AE319" s="3667">
        <f>IFERROR(IF(T319="Impacto",(P319-(+P319*W319)),IF(T319="Probabilidad",P319,"")),"")</f>
        <v>0.75</v>
      </c>
      <c r="AF319" s="3694" t="str">
        <f>IFERROR(IF(OR(AND(AB319="Muy Baja",AD319="Leve"),AND(AB319="Muy Baja",AD319="Menor"),AND(AB319="Baja",AD319="Leve")),"Bajo",IF(OR(AND(AB319="Muy baja",AD319="Moderado"),AND(AB319="Baja",AD319="Menor"),AND(AB319="Baja",AD319="Moderado"),AND(AB319="Media",AD319="Leve"),AND(AB319="Media",AD319="Menor"),AND(AB319="Media",AD319="Moderado"),AND(AB319="Alta",AD319="Leve"),AND(AB319="Alta",AD319="Menor")),"Moderado",IF(OR(AND(AB319="Muy Baja",AD319="Mayor"),AND(AB319="Baja",AD319="Mayor"),AND(AB319="Media",AD319="Mayor"),AND(AB319="Alta",AD319="Moderado"),AND(AB319="Alta",AD319="Mayor"),AND(AB319="Muy Alta",AD319="Leve"),AND(AB319="Muy Alta",AD319="Menor"),AND(AB319="Muy Alta",AD319="Moderado"),AND(AB319="Muy Alta",AD319="Mayor")),"Alto",IF(OR(AND(AB319="Muy Baja",AD319="Catastrófico"),AND(AB319="Baja",AD319="Catastrófico"),AND(AB319="Media",AD319="Catastrófico"),AND(AB319="Alta",AD319="Catastrófico"),AND(AB319="Muy Alta",AD319="Catastrófico")),"Extremo","")))),"")</f>
        <v>Alto</v>
      </c>
      <c r="AG319" s="3691" t="s">
        <v>205</v>
      </c>
      <c r="AH319" s="3654" t="s">
        <v>789</v>
      </c>
      <c r="AI319" s="3654" t="s">
        <v>1548</v>
      </c>
      <c r="AJ319" s="3670" t="s">
        <v>360</v>
      </c>
      <c r="AK319" s="3670" t="s">
        <v>1550</v>
      </c>
      <c r="AL319" s="3654" t="s">
        <v>1568</v>
      </c>
      <c r="AM319" s="3656" t="s">
        <v>206</v>
      </c>
    </row>
    <row r="320" spans="1:48" ht="78" customHeight="1" x14ac:dyDescent="0.3">
      <c r="A320" s="3731"/>
      <c r="B320" s="3715"/>
      <c r="C320" s="3715"/>
      <c r="D320" s="3715"/>
      <c r="E320" s="3732" t="s">
        <v>1569</v>
      </c>
      <c r="F320" s="3733"/>
      <c r="G320" s="3707"/>
      <c r="H320" s="3674"/>
      <c r="I320" s="3672"/>
      <c r="J320" s="3708"/>
      <c r="K320" s="3676"/>
      <c r="L320" s="3696"/>
      <c r="M320" s="3697"/>
      <c r="N320" s="3696">
        <f>IF(NOT(ISERROR(MATCH(M320,_xlfn.ANCHORARRAY(#REF!),0))),#REF!&amp;"Por favor no seleccionar los criterios de impacto",M320)</f>
        <v>0</v>
      </c>
      <c r="O320" s="3698"/>
      <c r="P320" s="3696"/>
      <c r="Q320" s="3699"/>
      <c r="R320" s="3671"/>
      <c r="S320" s="3673"/>
      <c r="T320" s="3700"/>
      <c r="U320" s="3701"/>
      <c r="V320" s="3701"/>
      <c r="W320" s="3685"/>
      <c r="X320" s="3701"/>
      <c r="Y320" s="3701"/>
      <c r="Z320" s="3701"/>
      <c r="AA320" s="3702"/>
      <c r="AB320" s="3703"/>
      <c r="AC320" s="3685"/>
      <c r="AD320" s="3703"/>
      <c r="AE320" s="3685"/>
      <c r="AF320" s="3704"/>
      <c r="AG320" s="3701"/>
      <c r="AH320" s="3673"/>
      <c r="AI320" s="3673"/>
      <c r="AJ320" s="3688"/>
      <c r="AK320" s="3688"/>
      <c r="AL320" s="3673"/>
      <c r="AM320" s="3675"/>
    </row>
  </sheetData>
  <mergeCells count="1938">
    <mergeCell ref="AC319:AC320"/>
    <mergeCell ref="AD319:AD320"/>
    <mergeCell ref="AE319:AE320"/>
    <mergeCell ref="AF319:AF320"/>
    <mergeCell ref="AG319:AG320"/>
    <mergeCell ref="AH319:AH320"/>
    <mergeCell ref="AI319:AI320"/>
    <mergeCell ref="AJ319:AJ320"/>
    <mergeCell ref="AK319:AK320"/>
    <mergeCell ref="AL319:AL320"/>
    <mergeCell ref="AM319:AM320"/>
    <mergeCell ref="AH312:AN312"/>
    <mergeCell ref="AI317:AI318"/>
    <mergeCell ref="AJ317:AJ318"/>
    <mergeCell ref="AK317:AK318"/>
    <mergeCell ref="AL317:AL318"/>
    <mergeCell ref="AM317:AM318"/>
    <mergeCell ref="A319:A320"/>
    <mergeCell ref="B319:B320"/>
    <mergeCell ref="C319:C320"/>
    <mergeCell ref="D319:D320"/>
    <mergeCell ref="F319:F320"/>
    <mergeCell ref="G319:G320"/>
    <mergeCell ref="H319:H320"/>
    <mergeCell ref="I319:I320"/>
    <mergeCell ref="J319:J320"/>
    <mergeCell ref="K319:K320"/>
    <mergeCell ref="L319:L320"/>
    <mergeCell ref="M319:M320"/>
    <mergeCell ref="N319:N320"/>
    <mergeCell ref="O319:O320"/>
    <mergeCell ref="P319:P320"/>
    <mergeCell ref="Q319:Q320"/>
    <mergeCell ref="R319:R320"/>
    <mergeCell ref="S319:S320"/>
    <mergeCell ref="T319:T320"/>
    <mergeCell ref="U319:U320"/>
    <mergeCell ref="V319:V320"/>
    <mergeCell ref="W319:W320"/>
    <mergeCell ref="X319:X320"/>
    <mergeCell ref="Y319:Y320"/>
    <mergeCell ref="Z319:Z320"/>
    <mergeCell ref="AA319:AA320"/>
    <mergeCell ref="AB319:AB320"/>
    <mergeCell ref="R317:R318"/>
    <mergeCell ref="S317:S318"/>
    <mergeCell ref="T317:T318"/>
    <mergeCell ref="U317:U318"/>
    <mergeCell ref="V317:V318"/>
    <mergeCell ref="W317:W318"/>
    <mergeCell ref="X317:X318"/>
    <mergeCell ref="Y317:Y318"/>
    <mergeCell ref="Z317:Z318"/>
    <mergeCell ref="AA317:AA318"/>
    <mergeCell ref="AB317:AB318"/>
    <mergeCell ref="AC317:AC318"/>
    <mergeCell ref="AD317:AD318"/>
    <mergeCell ref="AE317:AE318"/>
    <mergeCell ref="AF317:AF318"/>
    <mergeCell ref="AG317:AG318"/>
    <mergeCell ref="AH317:AH318"/>
    <mergeCell ref="X315:X316"/>
    <mergeCell ref="Y315:Y316"/>
    <mergeCell ref="Z315:Z316"/>
    <mergeCell ref="AA315:AA316"/>
    <mergeCell ref="AB315:AB316"/>
    <mergeCell ref="AC315:AC316"/>
    <mergeCell ref="AD315:AD316"/>
    <mergeCell ref="AE315:AE316"/>
    <mergeCell ref="AF315:AF316"/>
    <mergeCell ref="AG315:AG316"/>
    <mergeCell ref="AH315:AH316"/>
    <mergeCell ref="AI315:AI316"/>
    <mergeCell ref="AJ315:AJ316"/>
    <mergeCell ref="AK315:AK316"/>
    <mergeCell ref="AL315:AL316"/>
    <mergeCell ref="AM315:AM316"/>
    <mergeCell ref="A317:A318"/>
    <mergeCell ref="B317:B318"/>
    <mergeCell ref="C317:C318"/>
    <mergeCell ref="D317:D318"/>
    <mergeCell ref="F317:F318"/>
    <mergeCell ref="G317:G318"/>
    <mergeCell ref="H317:H318"/>
    <mergeCell ref="I317:I318"/>
    <mergeCell ref="J317:J318"/>
    <mergeCell ref="K317:K318"/>
    <mergeCell ref="L317:L318"/>
    <mergeCell ref="M317:M318"/>
    <mergeCell ref="N317:N318"/>
    <mergeCell ref="O317:O318"/>
    <mergeCell ref="P317:P318"/>
    <mergeCell ref="Q317:Q318"/>
    <mergeCell ref="AC313:AC314"/>
    <mergeCell ref="AD313:AD314"/>
    <mergeCell ref="AE313:AE314"/>
    <mergeCell ref="AF313:AF314"/>
    <mergeCell ref="AG313:AG314"/>
    <mergeCell ref="AH313:AH314"/>
    <mergeCell ref="AI313:AI314"/>
    <mergeCell ref="AJ313:AJ314"/>
    <mergeCell ref="AK313:AK314"/>
    <mergeCell ref="AL313:AL314"/>
    <mergeCell ref="AM313:AM314"/>
    <mergeCell ref="A315:A316"/>
    <mergeCell ref="B315:B316"/>
    <mergeCell ref="C315:C316"/>
    <mergeCell ref="D315:D316"/>
    <mergeCell ref="F315:F316"/>
    <mergeCell ref="G315:G316"/>
    <mergeCell ref="H315:H316"/>
    <mergeCell ref="I315:I316"/>
    <mergeCell ref="J315:J316"/>
    <mergeCell ref="K315:K316"/>
    <mergeCell ref="L315:L316"/>
    <mergeCell ref="M315:M316"/>
    <mergeCell ref="O315:O316"/>
    <mergeCell ref="P315:P316"/>
    <mergeCell ref="Q315:Q316"/>
    <mergeCell ref="R315:R316"/>
    <mergeCell ref="S315:S316"/>
    <mergeCell ref="T315:T316"/>
    <mergeCell ref="U315:U316"/>
    <mergeCell ref="V315:V316"/>
    <mergeCell ref="W315:W316"/>
    <mergeCell ref="A309:B309"/>
    <mergeCell ref="C309:AM309"/>
    <mergeCell ref="A310:B310"/>
    <mergeCell ref="C310:AM310"/>
    <mergeCell ref="A311:B311"/>
    <mergeCell ref="C311:AM311"/>
    <mergeCell ref="A312:J312"/>
    <mergeCell ref="K312:Q312"/>
    <mergeCell ref="R312:Z312"/>
    <mergeCell ref="AA312:AG312"/>
    <mergeCell ref="A313:A314"/>
    <mergeCell ref="B313:B314"/>
    <mergeCell ref="C313:C314"/>
    <mergeCell ref="D313:D314"/>
    <mergeCell ref="E313:E314"/>
    <mergeCell ref="F313:F314"/>
    <mergeCell ref="I313:I314"/>
    <mergeCell ref="J313:J314"/>
    <mergeCell ref="K313:K314"/>
    <mergeCell ref="L313:L314"/>
    <mergeCell ref="M313:M314"/>
    <mergeCell ref="N313:N314"/>
    <mergeCell ref="O313:O314"/>
    <mergeCell ref="P313:P314"/>
    <mergeCell ref="Q313:Q314"/>
    <mergeCell ref="R313:R314"/>
    <mergeCell ref="S313:S314"/>
    <mergeCell ref="T313:T314"/>
    <mergeCell ref="U313:Z313"/>
    <mergeCell ref="AA313:AA314"/>
    <mergeCell ref="AB313:AB314"/>
    <mergeCell ref="AK288:AK293"/>
    <mergeCell ref="AL288:AL293"/>
    <mergeCell ref="AM288:AM293"/>
    <mergeCell ref="AK280:AK281"/>
    <mergeCell ref="AL280:AL281"/>
    <mergeCell ref="AM280:AM281"/>
    <mergeCell ref="AK282:AK285"/>
    <mergeCell ref="AL282:AL285"/>
    <mergeCell ref="AM282:AM285"/>
    <mergeCell ref="AK286:AK287"/>
    <mergeCell ref="AL286:AL287"/>
    <mergeCell ref="AM286:AM287"/>
    <mergeCell ref="AG288:AG293"/>
    <mergeCell ref="AH288:AH293"/>
    <mergeCell ref="AI288:AI293"/>
    <mergeCell ref="AJ288:AJ293"/>
    <mergeCell ref="E290:E293"/>
    <mergeCell ref="X288:X293"/>
    <mergeCell ref="Y288:Y293"/>
    <mergeCell ref="Z288:Z293"/>
    <mergeCell ref="AA288:AA293"/>
    <mergeCell ref="AB288:AB293"/>
    <mergeCell ref="AC288:AC293"/>
    <mergeCell ref="AD288:AD293"/>
    <mergeCell ref="AE288:AE293"/>
    <mergeCell ref="AF288:AF293"/>
    <mergeCell ref="R288:R293"/>
    <mergeCell ref="S288:S293"/>
    <mergeCell ref="T288:T293"/>
    <mergeCell ref="U288:U293"/>
    <mergeCell ref="V288:V293"/>
    <mergeCell ref="W288:W293"/>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288:A293"/>
    <mergeCell ref="B288:B293"/>
    <mergeCell ref="C288:C293"/>
    <mergeCell ref="D288:D293"/>
    <mergeCell ref="E288:E289"/>
    <mergeCell ref="F288:F293"/>
    <mergeCell ref="G288:G293"/>
    <mergeCell ref="H288:H293"/>
    <mergeCell ref="I288:I293"/>
    <mergeCell ref="J288:J293"/>
    <mergeCell ref="K288:K293"/>
    <mergeCell ref="L288:L293"/>
    <mergeCell ref="M288:M293"/>
    <mergeCell ref="N288:N293"/>
    <mergeCell ref="O288:O293"/>
    <mergeCell ref="P288:P293"/>
    <mergeCell ref="Q288:Q293"/>
    <mergeCell ref="R282:R285"/>
    <mergeCell ref="T280:T281"/>
    <mergeCell ref="U280:Z280"/>
    <mergeCell ref="AA280:AA281"/>
    <mergeCell ref="AB280:AB281"/>
    <mergeCell ref="AC280:AC281"/>
    <mergeCell ref="AD280:AD281"/>
    <mergeCell ref="AE280:AE281"/>
    <mergeCell ref="AF280:AF281"/>
    <mergeCell ref="AG280:AG281"/>
    <mergeCell ref="AI286:AI287"/>
    <mergeCell ref="AJ286:AJ287"/>
    <mergeCell ref="AB282:AB285"/>
    <mergeCell ref="AC282:AC285"/>
    <mergeCell ref="AD282:AD285"/>
    <mergeCell ref="AE282:AE285"/>
    <mergeCell ref="AF282:AF285"/>
    <mergeCell ref="AG282:AG285"/>
    <mergeCell ref="AH282:AH287"/>
    <mergeCell ref="AI282:AI285"/>
    <mergeCell ref="AJ282:AJ285"/>
    <mergeCell ref="S282:S285"/>
    <mergeCell ref="T282:T285"/>
    <mergeCell ref="U282:U285"/>
    <mergeCell ref="V282:V285"/>
    <mergeCell ref="W282:W285"/>
    <mergeCell ref="X282:X285"/>
    <mergeCell ref="Y282:Y285"/>
    <mergeCell ref="Z282:Z285"/>
    <mergeCell ref="AA282:AA285"/>
    <mergeCell ref="R286:R287"/>
    <mergeCell ref="S286:S287"/>
    <mergeCell ref="A282:A287"/>
    <mergeCell ref="B282:B287"/>
    <mergeCell ref="C282:C287"/>
    <mergeCell ref="D282:D287"/>
    <mergeCell ref="E282:E285"/>
    <mergeCell ref="F282:F287"/>
    <mergeCell ref="G282:G287"/>
    <mergeCell ref="H282:H287"/>
    <mergeCell ref="I282:I287"/>
    <mergeCell ref="J282:J287"/>
    <mergeCell ref="K282:K287"/>
    <mergeCell ref="L282:L287"/>
    <mergeCell ref="M282:M287"/>
    <mergeCell ref="N282:N287"/>
    <mergeCell ref="O282:O287"/>
    <mergeCell ref="P282:P287"/>
    <mergeCell ref="Q282:Q287"/>
    <mergeCell ref="E286:E287"/>
    <mergeCell ref="A278:B278"/>
    <mergeCell ref="C278:AM278"/>
    <mergeCell ref="A279:J279"/>
    <mergeCell ref="K279:Q279"/>
    <mergeCell ref="R279:Z279"/>
    <mergeCell ref="AA279:AG279"/>
    <mergeCell ref="AH279:AM279"/>
    <mergeCell ref="A280:A281"/>
    <mergeCell ref="B280:B281"/>
    <mergeCell ref="C280:C281"/>
    <mergeCell ref="D280:D281"/>
    <mergeCell ref="E280:E281"/>
    <mergeCell ref="F280:F281"/>
    <mergeCell ref="I280:I281"/>
    <mergeCell ref="J280:J281"/>
    <mergeCell ref="K280:K281"/>
    <mergeCell ref="L280:L281"/>
    <mergeCell ref="M280:M281"/>
    <mergeCell ref="N280:N281"/>
    <mergeCell ref="O280:O281"/>
    <mergeCell ref="P280:P281"/>
    <mergeCell ref="Q280:Q281"/>
    <mergeCell ref="R280:R281"/>
    <mergeCell ref="S280:S281"/>
    <mergeCell ref="AH280:AH281"/>
    <mergeCell ref="AI280:AI281"/>
    <mergeCell ref="AJ280:AJ281"/>
    <mergeCell ref="AG268:AG269"/>
    <mergeCell ref="AH268:AH269"/>
    <mergeCell ref="AI268:AI269"/>
    <mergeCell ref="AJ268:AJ269"/>
    <mergeCell ref="AK268:AK269"/>
    <mergeCell ref="AH270:AH271"/>
    <mergeCell ref="AI270:AI271"/>
    <mergeCell ref="AJ270:AJ271"/>
    <mergeCell ref="AK270:AK271"/>
    <mergeCell ref="AL270:AL271"/>
    <mergeCell ref="A273:AM274"/>
    <mergeCell ref="A276:B276"/>
    <mergeCell ref="C276:AM276"/>
    <mergeCell ref="A277:B277"/>
    <mergeCell ref="C277:AM277"/>
    <mergeCell ref="Y270:Y271"/>
    <mergeCell ref="Z270:Z271"/>
    <mergeCell ref="AA270:AA271"/>
    <mergeCell ref="AB270:AB271"/>
    <mergeCell ref="AC270:AC271"/>
    <mergeCell ref="AD270:AD271"/>
    <mergeCell ref="AE270:AE271"/>
    <mergeCell ref="AF270:AF271"/>
    <mergeCell ref="AG270:AG271"/>
    <mergeCell ref="N267:N268"/>
    <mergeCell ref="O267:O269"/>
    <mergeCell ref="P267:P269"/>
    <mergeCell ref="Q267:Q269"/>
    <mergeCell ref="R267:R268"/>
    <mergeCell ref="AL268:AL269"/>
    <mergeCell ref="B270:B271"/>
    <mergeCell ref="C270:C271"/>
    <mergeCell ref="D270:D271"/>
    <mergeCell ref="E270:E271"/>
    <mergeCell ref="F270:F271"/>
    <mergeCell ref="G270:G271"/>
    <mergeCell ref="H270:H271"/>
    <mergeCell ref="I270:I271"/>
    <mergeCell ref="J270:J271"/>
    <mergeCell ref="K270:K271"/>
    <mergeCell ref="L270:L271"/>
    <mergeCell ref="M270:M271"/>
    <mergeCell ref="N270:N271"/>
    <mergeCell ref="O270:O271"/>
    <mergeCell ref="P270:P271"/>
    <mergeCell ref="Q270:Q271"/>
    <mergeCell ref="S270:S271"/>
    <mergeCell ref="T270:T271"/>
    <mergeCell ref="U270:U271"/>
    <mergeCell ref="V270:V271"/>
    <mergeCell ref="W270:W271"/>
    <mergeCell ref="X270:X271"/>
    <mergeCell ref="AC268:AC269"/>
    <mergeCell ref="AD268:AD269"/>
    <mergeCell ref="AE268:AE269"/>
    <mergeCell ref="AF268:AF269"/>
    <mergeCell ref="E268:E269"/>
    <mergeCell ref="E265:E266"/>
    <mergeCell ref="B267:B269"/>
    <mergeCell ref="C267:C269"/>
    <mergeCell ref="D267:D269"/>
    <mergeCell ref="F267:F269"/>
    <mergeCell ref="G267:G269"/>
    <mergeCell ref="H267:H269"/>
    <mergeCell ref="I267:I269"/>
    <mergeCell ref="J267:J269"/>
    <mergeCell ref="AD264:AD266"/>
    <mergeCell ref="AE264:AE266"/>
    <mergeCell ref="AF264:AF266"/>
    <mergeCell ref="AG264:AG266"/>
    <mergeCell ref="AH264:AH266"/>
    <mergeCell ref="AI264:AI266"/>
    <mergeCell ref="AJ264:AJ266"/>
    <mergeCell ref="R264:R266"/>
    <mergeCell ref="S264:S266"/>
    <mergeCell ref="T264:T266"/>
    <mergeCell ref="T268:T269"/>
    <mergeCell ref="U268:U269"/>
    <mergeCell ref="V268:V269"/>
    <mergeCell ref="W268:W269"/>
    <mergeCell ref="X268:X269"/>
    <mergeCell ref="Y268:Y269"/>
    <mergeCell ref="Z268:Z269"/>
    <mergeCell ref="AA268:AA269"/>
    <mergeCell ref="AB268:AB269"/>
    <mergeCell ref="K267:K269"/>
    <mergeCell ref="L267:L269"/>
    <mergeCell ref="M267:M269"/>
    <mergeCell ref="A263:A266"/>
    <mergeCell ref="B263:B266"/>
    <mergeCell ref="C263:C266"/>
    <mergeCell ref="D263:D266"/>
    <mergeCell ref="E263:E264"/>
    <mergeCell ref="F263:F266"/>
    <mergeCell ref="G263:G266"/>
    <mergeCell ref="H263:H266"/>
    <mergeCell ref="I263:I266"/>
    <mergeCell ref="J263:J266"/>
    <mergeCell ref="K263:K266"/>
    <mergeCell ref="L263:L266"/>
    <mergeCell ref="M263:M266"/>
    <mergeCell ref="N263:N266"/>
    <mergeCell ref="O263:O266"/>
    <mergeCell ref="P263:P266"/>
    <mergeCell ref="Q263:Q266"/>
    <mergeCell ref="N261:N262"/>
    <mergeCell ref="O261:O262"/>
    <mergeCell ref="P261:P262"/>
    <mergeCell ref="Q261:Q262"/>
    <mergeCell ref="R261:R262"/>
    <mergeCell ref="S261:S262"/>
    <mergeCell ref="T261:T262"/>
    <mergeCell ref="AK264:AK266"/>
    <mergeCell ref="AL264:AL266"/>
    <mergeCell ref="U264:U266"/>
    <mergeCell ref="V264:V266"/>
    <mergeCell ref="W264:W266"/>
    <mergeCell ref="X264:X266"/>
    <mergeCell ref="Y264:Y266"/>
    <mergeCell ref="Z264:Z266"/>
    <mergeCell ref="AA264:AA266"/>
    <mergeCell ref="AB264:AB266"/>
    <mergeCell ref="AC264:AC266"/>
    <mergeCell ref="AI261:AI262"/>
    <mergeCell ref="AJ261:AJ262"/>
    <mergeCell ref="AK261:AK262"/>
    <mergeCell ref="AL261:AL262"/>
    <mergeCell ref="A261:A262"/>
    <mergeCell ref="B261:B262"/>
    <mergeCell ref="C261:C262"/>
    <mergeCell ref="D261:D262"/>
    <mergeCell ref="E261:E262"/>
    <mergeCell ref="F261:F262"/>
    <mergeCell ref="I261:I262"/>
    <mergeCell ref="J261:J262"/>
    <mergeCell ref="K261:K262"/>
    <mergeCell ref="A254:AL255"/>
    <mergeCell ref="A257:B257"/>
    <mergeCell ref="C257:AL257"/>
    <mergeCell ref="A258:B258"/>
    <mergeCell ref="C258:AL258"/>
    <mergeCell ref="A259:B259"/>
    <mergeCell ref="C259:AL259"/>
    <mergeCell ref="A260:J260"/>
    <mergeCell ref="K260:Q260"/>
    <mergeCell ref="R260:Z260"/>
    <mergeCell ref="AA260:AG260"/>
    <mergeCell ref="AH260:AL260"/>
    <mergeCell ref="U261:Z261"/>
    <mergeCell ref="AA261:AA262"/>
    <mergeCell ref="AB261:AB262"/>
    <mergeCell ref="AC261:AC262"/>
    <mergeCell ref="AD261:AD262"/>
    <mergeCell ref="AE261:AE262"/>
    <mergeCell ref="AF261:AF262"/>
    <mergeCell ref="AG261:AG262"/>
    <mergeCell ref="AH261:AH262"/>
    <mergeCell ref="L261:L262"/>
    <mergeCell ref="M261:M262"/>
    <mergeCell ref="AN249:AN250"/>
    <mergeCell ref="AO249:AO250"/>
    <mergeCell ref="A251:A253"/>
    <mergeCell ref="B251:B253"/>
    <mergeCell ref="C251:C253"/>
    <mergeCell ref="D251:D253"/>
    <mergeCell ref="F251:F253"/>
    <mergeCell ref="G251:G253"/>
    <mergeCell ref="H251:H253"/>
    <mergeCell ref="I251:I253"/>
    <mergeCell ref="J251:J253"/>
    <mergeCell ref="K251:K253"/>
    <mergeCell ref="L251:L253"/>
    <mergeCell ref="M251:M253"/>
    <mergeCell ref="N251:N253"/>
    <mergeCell ref="O251:O253"/>
    <mergeCell ref="P251:P253"/>
    <mergeCell ref="Q251:Q253"/>
    <mergeCell ref="AA251:AA253"/>
    <mergeCell ref="AB251:AB253"/>
    <mergeCell ref="AC251:AC253"/>
    <mergeCell ref="AD251:AD253"/>
    <mergeCell ref="AE251:AE253"/>
    <mergeCell ref="AD249:AD250"/>
    <mergeCell ref="AE249:AE250"/>
    <mergeCell ref="AF249:AF250"/>
    <mergeCell ref="AG249:AG250"/>
    <mergeCell ref="AH249:AH250"/>
    <mergeCell ref="AF251:AF253"/>
    <mergeCell ref="AH248:AM248"/>
    <mergeCell ref="A249:A250"/>
    <mergeCell ref="B249:B250"/>
    <mergeCell ref="C249:C250"/>
    <mergeCell ref="D249:D250"/>
    <mergeCell ref="E249:E250"/>
    <mergeCell ref="F249:F250"/>
    <mergeCell ref="I249:I250"/>
    <mergeCell ref="J249:J250"/>
    <mergeCell ref="K249:K250"/>
    <mergeCell ref="L249:L250"/>
    <mergeCell ref="M249:M250"/>
    <mergeCell ref="N249:N250"/>
    <mergeCell ref="O249:O250"/>
    <mergeCell ref="P249:P250"/>
    <mergeCell ref="Q249:Q250"/>
    <mergeCell ref="R249:R250"/>
    <mergeCell ref="S249:S250"/>
    <mergeCell ref="T249:T250"/>
    <mergeCell ref="U249:Z249"/>
    <mergeCell ref="AA249:AA250"/>
    <mergeCell ref="AB249:AB250"/>
    <mergeCell ref="AC249:AC250"/>
    <mergeCell ref="AM249:AM250"/>
    <mergeCell ref="A247:B247"/>
    <mergeCell ref="AI249:AI250"/>
    <mergeCell ref="AJ249:AJ250"/>
    <mergeCell ref="AK249:AK250"/>
    <mergeCell ref="AL249:AL250"/>
    <mergeCell ref="A246:B246"/>
    <mergeCell ref="L238:L239"/>
    <mergeCell ref="M238:M239"/>
    <mergeCell ref="N238:N239"/>
    <mergeCell ref="O238:O239"/>
    <mergeCell ref="P238:P239"/>
    <mergeCell ref="Q238:Q239"/>
    <mergeCell ref="AH238:AH239"/>
    <mergeCell ref="AI238:AI239"/>
    <mergeCell ref="A238:A239"/>
    <mergeCell ref="B238:B239"/>
    <mergeCell ref="C238:C239"/>
    <mergeCell ref="D238:D239"/>
    <mergeCell ref="F238:F239"/>
    <mergeCell ref="G238:G239"/>
    <mergeCell ref="I238:I239"/>
    <mergeCell ref="J238:J239"/>
    <mergeCell ref="K238:K239"/>
    <mergeCell ref="A242:AM243"/>
    <mergeCell ref="A245:B245"/>
    <mergeCell ref="C245:AM245"/>
    <mergeCell ref="C246:AM246"/>
    <mergeCell ref="C247:AM247"/>
    <mergeCell ref="A248:J248"/>
    <mergeCell ref="K248:Q248"/>
    <mergeCell ref="R248:Z248"/>
    <mergeCell ref="AA248:AG248"/>
    <mergeCell ref="T232:T233"/>
    <mergeCell ref="AI232:AI233"/>
    <mergeCell ref="AJ232:AJ233"/>
    <mergeCell ref="AK232:AK233"/>
    <mergeCell ref="AL232:AL233"/>
    <mergeCell ref="AM232:AM233"/>
    <mergeCell ref="A234:A237"/>
    <mergeCell ref="B234:B237"/>
    <mergeCell ref="C234:C237"/>
    <mergeCell ref="D234:D237"/>
    <mergeCell ref="F234:F237"/>
    <mergeCell ref="G234:G237"/>
    <mergeCell ref="H234:H237"/>
    <mergeCell ref="I234:I237"/>
    <mergeCell ref="J234:J237"/>
    <mergeCell ref="K234:K237"/>
    <mergeCell ref="L234:L237"/>
    <mergeCell ref="M234:M237"/>
    <mergeCell ref="N234:N237"/>
    <mergeCell ref="O234:O237"/>
    <mergeCell ref="P234:P237"/>
    <mergeCell ref="Q234:Q237"/>
    <mergeCell ref="E236:E237"/>
    <mergeCell ref="U232:Z232"/>
    <mergeCell ref="AA232:AA233"/>
    <mergeCell ref="AB232:AB233"/>
    <mergeCell ref="AC232:AC233"/>
    <mergeCell ref="AD232:AD233"/>
    <mergeCell ref="AE232:AE233"/>
    <mergeCell ref="AF232:AF233"/>
    <mergeCell ref="AG232:AG233"/>
    <mergeCell ref="AH232:AH233"/>
    <mergeCell ref="Q219:Q222"/>
    <mergeCell ref="AF219:AF222"/>
    <mergeCell ref="U217:Z217"/>
    <mergeCell ref="AA217:AA218"/>
    <mergeCell ref="AB217:AB218"/>
    <mergeCell ref="AC217:AC218"/>
    <mergeCell ref="AD217:AD218"/>
    <mergeCell ref="AE217:AE218"/>
    <mergeCell ref="AF217:AF218"/>
    <mergeCell ref="A231:J231"/>
    <mergeCell ref="K231:Q231"/>
    <mergeCell ref="R231:Z231"/>
    <mergeCell ref="AA231:AG231"/>
    <mergeCell ref="AH231:AM231"/>
    <mergeCell ref="AN231:AN233"/>
    <mergeCell ref="A232:A233"/>
    <mergeCell ref="B232:B233"/>
    <mergeCell ref="C232:C233"/>
    <mergeCell ref="D232:D233"/>
    <mergeCell ref="E232:E233"/>
    <mergeCell ref="F232:F233"/>
    <mergeCell ref="I232:I233"/>
    <mergeCell ref="J232:J233"/>
    <mergeCell ref="K232:K233"/>
    <mergeCell ref="L232:L233"/>
    <mergeCell ref="M232:M233"/>
    <mergeCell ref="N232:N233"/>
    <mergeCell ref="O232:O233"/>
    <mergeCell ref="P232:P233"/>
    <mergeCell ref="Q232:Q233"/>
    <mergeCell ref="R232:R233"/>
    <mergeCell ref="S232:S233"/>
    <mergeCell ref="A217:A218"/>
    <mergeCell ref="B217:B218"/>
    <mergeCell ref="C217:C218"/>
    <mergeCell ref="D217:D218"/>
    <mergeCell ref="E217:E218"/>
    <mergeCell ref="F217:F218"/>
    <mergeCell ref="I217:I218"/>
    <mergeCell ref="J217:J218"/>
    <mergeCell ref="K217:K218"/>
    <mergeCell ref="A225:AM226"/>
    <mergeCell ref="A228:B228"/>
    <mergeCell ref="C228:AM228"/>
    <mergeCell ref="A229:B229"/>
    <mergeCell ref="C229:AM229"/>
    <mergeCell ref="A230:B230"/>
    <mergeCell ref="C230:AM230"/>
    <mergeCell ref="AI217:AI218"/>
    <mergeCell ref="AJ217:AJ218"/>
    <mergeCell ref="AK217:AK218"/>
    <mergeCell ref="AL217:AL218"/>
    <mergeCell ref="AM217:AM218"/>
    <mergeCell ref="A219:A222"/>
    <mergeCell ref="B219:B222"/>
    <mergeCell ref="C219:C222"/>
    <mergeCell ref="D219:D222"/>
    <mergeCell ref="F219:F222"/>
    <mergeCell ref="G219:G222"/>
    <mergeCell ref="H219:H222"/>
    <mergeCell ref="M219:M222"/>
    <mergeCell ref="N219:N222"/>
    <mergeCell ref="O219:O222"/>
    <mergeCell ref="P219:P222"/>
    <mergeCell ref="L206:L209"/>
    <mergeCell ref="M206:M209"/>
    <mergeCell ref="N206:N209"/>
    <mergeCell ref="O206:O209"/>
    <mergeCell ref="P206:P209"/>
    <mergeCell ref="Q206:Q209"/>
    <mergeCell ref="AG217:AG218"/>
    <mergeCell ref="AH217:AH218"/>
    <mergeCell ref="L217:L218"/>
    <mergeCell ref="M217:M218"/>
    <mergeCell ref="N217:N218"/>
    <mergeCell ref="O217:O218"/>
    <mergeCell ref="P217:P218"/>
    <mergeCell ref="Q217:Q218"/>
    <mergeCell ref="R217:R218"/>
    <mergeCell ref="S217:S218"/>
    <mergeCell ref="T217:T218"/>
    <mergeCell ref="O204:O205"/>
    <mergeCell ref="P204:P205"/>
    <mergeCell ref="Q204:Q205"/>
    <mergeCell ref="R204:R205"/>
    <mergeCell ref="S204:S205"/>
    <mergeCell ref="T204:T205"/>
    <mergeCell ref="A210:AM211"/>
    <mergeCell ref="A213:B213"/>
    <mergeCell ref="C213:AM213"/>
    <mergeCell ref="A214:B214"/>
    <mergeCell ref="C214:AM214"/>
    <mergeCell ref="A215:B215"/>
    <mergeCell ref="C215:AM215"/>
    <mergeCell ref="A216:J216"/>
    <mergeCell ref="K216:Q216"/>
    <mergeCell ref="R216:Z216"/>
    <mergeCell ref="AA216:AG216"/>
    <mergeCell ref="AH216:AM216"/>
    <mergeCell ref="AI204:AI205"/>
    <mergeCell ref="AJ204:AJ205"/>
    <mergeCell ref="AK204:AK205"/>
    <mergeCell ref="AL204:AL205"/>
    <mergeCell ref="AM204:AM205"/>
    <mergeCell ref="A206:A209"/>
    <mergeCell ref="B206:B209"/>
    <mergeCell ref="C206:C209"/>
    <mergeCell ref="D206:D209"/>
    <mergeCell ref="F206:F209"/>
    <mergeCell ref="G206:G209"/>
    <mergeCell ref="I206:I209"/>
    <mergeCell ref="J206:J209"/>
    <mergeCell ref="K206:K209"/>
    <mergeCell ref="A204:A205"/>
    <mergeCell ref="B204:B205"/>
    <mergeCell ref="C204:C205"/>
    <mergeCell ref="D204:D205"/>
    <mergeCell ref="E204:E205"/>
    <mergeCell ref="F204:F205"/>
    <mergeCell ref="I204:I205"/>
    <mergeCell ref="J204:J205"/>
    <mergeCell ref="K204:K205"/>
    <mergeCell ref="A200:B200"/>
    <mergeCell ref="C200:AM200"/>
    <mergeCell ref="A201:B201"/>
    <mergeCell ref="C201:AM201"/>
    <mergeCell ref="A202:B202"/>
    <mergeCell ref="C202:AM202"/>
    <mergeCell ref="A203:J203"/>
    <mergeCell ref="K203:Q203"/>
    <mergeCell ref="R203:Z203"/>
    <mergeCell ref="AA203:AG203"/>
    <mergeCell ref="AH203:AM203"/>
    <mergeCell ref="U204:Z204"/>
    <mergeCell ref="AA204:AA205"/>
    <mergeCell ref="AB204:AB205"/>
    <mergeCell ref="AC204:AC205"/>
    <mergeCell ref="AD204:AD205"/>
    <mergeCell ref="AE204:AE205"/>
    <mergeCell ref="AF204:AF205"/>
    <mergeCell ref="AG204:AG205"/>
    <mergeCell ref="AH204:AH205"/>
    <mergeCell ref="L204:L205"/>
    <mergeCell ref="M204:M205"/>
    <mergeCell ref="N204:N205"/>
    <mergeCell ref="AA194:AA195"/>
    <mergeCell ref="AB194:AB195"/>
    <mergeCell ref="AC194:AC195"/>
    <mergeCell ref="AD194:AD195"/>
    <mergeCell ref="AE194:AE195"/>
    <mergeCell ref="AF194:AF195"/>
    <mergeCell ref="AG194:AG195"/>
    <mergeCell ref="AL194:AL195"/>
    <mergeCell ref="A197:AM198"/>
    <mergeCell ref="R194:R195"/>
    <mergeCell ref="S194:S195"/>
    <mergeCell ref="T194:T195"/>
    <mergeCell ref="U194:U195"/>
    <mergeCell ref="V194:V195"/>
    <mergeCell ref="W194:W195"/>
    <mergeCell ref="X194:X195"/>
    <mergeCell ref="Y194:Y195"/>
    <mergeCell ref="Z194:Z195"/>
    <mergeCell ref="K191:K193"/>
    <mergeCell ref="L191:L193"/>
    <mergeCell ref="M191:M193"/>
    <mergeCell ref="N191:N193"/>
    <mergeCell ref="O191:O193"/>
    <mergeCell ref="P191:P193"/>
    <mergeCell ref="Q191:Q193"/>
    <mergeCell ref="A194:A196"/>
    <mergeCell ref="B194:B196"/>
    <mergeCell ref="C194:C196"/>
    <mergeCell ref="D194:D196"/>
    <mergeCell ref="F194:F196"/>
    <mergeCell ref="G194:G196"/>
    <mergeCell ref="H194:H196"/>
    <mergeCell ref="I194:I196"/>
    <mergeCell ref="J194:J196"/>
    <mergeCell ref="K194:K196"/>
    <mergeCell ref="L194:L196"/>
    <mergeCell ref="M194:M196"/>
    <mergeCell ref="N194:N196"/>
    <mergeCell ref="O194:O196"/>
    <mergeCell ref="P194:P196"/>
    <mergeCell ref="Q194:Q196"/>
    <mergeCell ref="A191:A193"/>
    <mergeCell ref="B191:B193"/>
    <mergeCell ref="C191:C193"/>
    <mergeCell ref="D191:D193"/>
    <mergeCell ref="F191:F193"/>
    <mergeCell ref="G191:G193"/>
    <mergeCell ref="H191:H193"/>
    <mergeCell ref="I191:I193"/>
    <mergeCell ref="J191:J193"/>
    <mergeCell ref="AI187:AI188"/>
    <mergeCell ref="AJ187:AJ188"/>
    <mergeCell ref="AK187:AK188"/>
    <mergeCell ref="AL187:AL188"/>
    <mergeCell ref="AM187:AM188"/>
    <mergeCell ref="A189:A190"/>
    <mergeCell ref="B189:B190"/>
    <mergeCell ref="C189:C190"/>
    <mergeCell ref="D189:D190"/>
    <mergeCell ref="F189:F190"/>
    <mergeCell ref="G189:G190"/>
    <mergeCell ref="H189:H190"/>
    <mergeCell ref="I189:I190"/>
    <mergeCell ref="J189:J190"/>
    <mergeCell ref="K189:K190"/>
    <mergeCell ref="L189:L190"/>
    <mergeCell ref="M189:M190"/>
    <mergeCell ref="N189:N190"/>
    <mergeCell ref="O189:O190"/>
    <mergeCell ref="P189:P190"/>
    <mergeCell ref="Q189:Q190"/>
    <mergeCell ref="AL189:AL190"/>
    <mergeCell ref="U187:Z187"/>
    <mergeCell ref="AA187:AA188"/>
    <mergeCell ref="AB187:AB188"/>
    <mergeCell ref="AC187:AC188"/>
    <mergeCell ref="AD187:AD188"/>
    <mergeCell ref="AE187:AE188"/>
    <mergeCell ref="AF187:AF188"/>
    <mergeCell ref="AG187:AG188"/>
    <mergeCell ref="AH187:AH188"/>
    <mergeCell ref="L187:L188"/>
    <mergeCell ref="M187:M188"/>
    <mergeCell ref="N187:N188"/>
    <mergeCell ref="O187:O188"/>
    <mergeCell ref="P187:P188"/>
    <mergeCell ref="Q187:Q188"/>
    <mergeCell ref="R187:R188"/>
    <mergeCell ref="S187:S188"/>
    <mergeCell ref="T187:T188"/>
    <mergeCell ref="A187:A188"/>
    <mergeCell ref="B187:B188"/>
    <mergeCell ref="C187:C188"/>
    <mergeCell ref="D187:D188"/>
    <mergeCell ref="E187:E188"/>
    <mergeCell ref="F187:F188"/>
    <mergeCell ref="I187:I188"/>
    <mergeCell ref="J187:J188"/>
    <mergeCell ref="K187:K188"/>
    <mergeCell ref="A180:AM181"/>
    <mergeCell ref="A183:B183"/>
    <mergeCell ref="C183:AM183"/>
    <mergeCell ref="A184:B184"/>
    <mergeCell ref="C184:AM184"/>
    <mergeCell ref="A185:B185"/>
    <mergeCell ref="C185:AM185"/>
    <mergeCell ref="A186:J186"/>
    <mergeCell ref="K186:Q186"/>
    <mergeCell ref="R186:Z186"/>
    <mergeCell ref="AA186:AG186"/>
    <mergeCell ref="AH186:AM186"/>
    <mergeCell ref="AO175:AO176"/>
    <mergeCell ref="AP175:AP176"/>
    <mergeCell ref="AQ175:AQ176"/>
    <mergeCell ref="A177:A179"/>
    <mergeCell ref="B177:B179"/>
    <mergeCell ref="C177:C179"/>
    <mergeCell ref="D177:D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AG177:AG179"/>
    <mergeCell ref="AN175:AN176"/>
    <mergeCell ref="AH175:AH176"/>
    <mergeCell ref="AI175:AI176"/>
    <mergeCell ref="AJ175:AJ176"/>
    <mergeCell ref="AK175:AK176"/>
    <mergeCell ref="AL175:AL176"/>
    <mergeCell ref="AM175:AM176"/>
    <mergeCell ref="T175:T176"/>
    <mergeCell ref="U175:Z175"/>
    <mergeCell ref="AA175:AA176"/>
    <mergeCell ref="AB175:AB176"/>
    <mergeCell ref="AC175:AC176"/>
    <mergeCell ref="AD175:AD176"/>
    <mergeCell ref="AE175:AE176"/>
    <mergeCell ref="AF175:AF176"/>
    <mergeCell ref="AG175:AG176"/>
    <mergeCell ref="A173:B173"/>
    <mergeCell ref="C173:AM173"/>
    <mergeCell ref="A174:J174"/>
    <mergeCell ref="K174:Q174"/>
    <mergeCell ref="R174:Z174"/>
    <mergeCell ref="AA174:AG174"/>
    <mergeCell ref="A175:A176"/>
    <mergeCell ref="B175:B176"/>
    <mergeCell ref="C175:C176"/>
    <mergeCell ref="D175:D176"/>
    <mergeCell ref="E175:E176"/>
    <mergeCell ref="F175:F176"/>
    <mergeCell ref="I175:I176"/>
    <mergeCell ref="J175:J176"/>
    <mergeCell ref="K175:K176"/>
    <mergeCell ref="L175:L176"/>
    <mergeCell ref="M175:M176"/>
    <mergeCell ref="N175:N176"/>
    <mergeCell ref="O175:O176"/>
    <mergeCell ref="P175:P176"/>
    <mergeCell ref="Q175:Q176"/>
    <mergeCell ref="R175:R176"/>
    <mergeCell ref="S175:S176"/>
    <mergeCell ref="AH174:AQ174"/>
    <mergeCell ref="A168:AM169"/>
    <mergeCell ref="A171:B171"/>
    <mergeCell ref="C171:AM171"/>
    <mergeCell ref="A172:B172"/>
    <mergeCell ref="C172:AM172"/>
    <mergeCell ref="O84:O85"/>
    <mergeCell ref="P84:P85"/>
    <mergeCell ref="AG86:AG87"/>
    <mergeCell ref="AH86:AH87"/>
    <mergeCell ref="AI86:AI87"/>
    <mergeCell ref="AJ86:AJ87"/>
    <mergeCell ref="AK86:AK87"/>
    <mergeCell ref="A88:A89"/>
    <mergeCell ref="B88:B89"/>
    <mergeCell ref="C88:C89"/>
    <mergeCell ref="D88:D89"/>
    <mergeCell ref="F88:F89"/>
    <mergeCell ref="L86:L87"/>
    <mergeCell ref="M86:M87"/>
    <mergeCell ref="N86:N87"/>
    <mergeCell ref="O86:O87"/>
    <mergeCell ref="P86:P87"/>
    <mergeCell ref="Q86:Q87"/>
    <mergeCell ref="N88:N89"/>
    <mergeCell ref="O88:O89"/>
    <mergeCell ref="P88:P89"/>
    <mergeCell ref="Q88:Q89"/>
    <mergeCell ref="H88:H89"/>
    <mergeCell ref="I88:I89"/>
    <mergeCell ref="AF84:AF85"/>
    <mergeCell ref="AG84:AG85"/>
    <mergeCell ref="AH84:AH85"/>
    <mergeCell ref="AI84:AI85"/>
    <mergeCell ref="AJ84:AJ85"/>
    <mergeCell ref="AK84:AK85"/>
    <mergeCell ref="U84:Z84"/>
    <mergeCell ref="AA84:AA85"/>
    <mergeCell ref="AB84:AB85"/>
    <mergeCell ref="AC84:AC85"/>
    <mergeCell ref="AD84:AD85"/>
    <mergeCell ref="AE84:AE85"/>
    <mergeCell ref="A86:A87"/>
    <mergeCell ref="B86:B87"/>
    <mergeCell ref="C86:C87"/>
    <mergeCell ref="D86:D87"/>
    <mergeCell ref="F86:F87"/>
    <mergeCell ref="H86:H87"/>
    <mergeCell ref="I86:I87"/>
    <mergeCell ref="J86:J87"/>
    <mergeCell ref="K86:K87"/>
    <mergeCell ref="A84:A85"/>
    <mergeCell ref="B84:B85"/>
    <mergeCell ref="C84:C85"/>
    <mergeCell ref="D84:D85"/>
    <mergeCell ref="E84:E85"/>
    <mergeCell ref="F84:F85"/>
    <mergeCell ref="J88:J89"/>
    <mergeCell ref="K88:K89"/>
    <mergeCell ref="L88:L89"/>
    <mergeCell ref="M88:M89"/>
    <mergeCell ref="A82:B82"/>
    <mergeCell ref="C82:AL82"/>
    <mergeCell ref="A83:J83"/>
    <mergeCell ref="K83:Q83"/>
    <mergeCell ref="R83:Z83"/>
    <mergeCell ref="AA83:AG83"/>
    <mergeCell ref="AH83:AL83"/>
    <mergeCell ref="Q84:Q85"/>
    <mergeCell ref="R84:R85"/>
    <mergeCell ref="S84:S85"/>
    <mergeCell ref="T84:T85"/>
    <mergeCell ref="I84:I85"/>
    <mergeCell ref="J84:J85"/>
    <mergeCell ref="K84:K85"/>
    <mergeCell ref="L84:L85"/>
    <mergeCell ref="M84:M85"/>
    <mergeCell ref="N84:N85"/>
    <mergeCell ref="AL84:AL85"/>
    <mergeCell ref="AK71:AK73"/>
    <mergeCell ref="A77:AL78"/>
    <mergeCell ref="A80:B80"/>
    <mergeCell ref="C80:AL80"/>
    <mergeCell ref="A81:B81"/>
    <mergeCell ref="C81:AL81"/>
    <mergeCell ref="N71:N75"/>
    <mergeCell ref="O71:O75"/>
    <mergeCell ref="P71:P75"/>
    <mergeCell ref="Q71:Q75"/>
    <mergeCell ref="AH71:AH73"/>
    <mergeCell ref="AI71:AI73"/>
    <mergeCell ref="H71:H75"/>
    <mergeCell ref="I71:I75"/>
    <mergeCell ref="J71:J75"/>
    <mergeCell ref="K71:K75"/>
    <mergeCell ref="L71:L75"/>
    <mergeCell ref="M71:M75"/>
    <mergeCell ref="A71:A75"/>
    <mergeCell ref="B71:B75"/>
    <mergeCell ref="C71:C75"/>
    <mergeCell ref="D71:D75"/>
    <mergeCell ref="E71:E72"/>
    <mergeCell ref="F71:F75"/>
    <mergeCell ref="G71:G75"/>
    <mergeCell ref="AE69:AE70"/>
    <mergeCell ref="AF69:AF70"/>
    <mergeCell ref="AG69:AG70"/>
    <mergeCell ref="AH69:AH70"/>
    <mergeCell ref="AI69:AI70"/>
    <mergeCell ref="AJ69:AJ70"/>
    <mergeCell ref="T69:T70"/>
    <mergeCell ref="U69:Z69"/>
    <mergeCell ref="AA69:AA70"/>
    <mergeCell ref="AB69:AB70"/>
    <mergeCell ref="AC69:AC70"/>
    <mergeCell ref="AD69:AD70"/>
    <mergeCell ref="N69:N70"/>
    <mergeCell ref="O69:O70"/>
    <mergeCell ref="AJ71:AJ73"/>
    <mergeCell ref="A69:A70"/>
    <mergeCell ref="B69:B70"/>
    <mergeCell ref="C69:C70"/>
    <mergeCell ref="D69:D70"/>
    <mergeCell ref="E69:E70"/>
    <mergeCell ref="F69:F70"/>
    <mergeCell ref="A67:B67"/>
    <mergeCell ref="C67:AM67"/>
    <mergeCell ref="A68:J68"/>
    <mergeCell ref="K68:Q68"/>
    <mergeCell ref="R68:Z68"/>
    <mergeCell ref="AA68:AG68"/>
    <mergeCell ref="AH68:AM68"/>
    <mergeCell ref="P69:P70"/>
    <mergeCell ref="Q69:Q70"/>
    <mergeCell ref="R69:R70"/>
    <mergeCell ref="S69:S70"/>
    <mergeCell ref="G69:G70"/>
    <mergeCell ref="I69:I70"/>
    <mergeCell ref="J69:J70"/>
    <mergeCell ref="K69:K70"/>
    <mergeCell ref="L69:L70"/>
    <mergeCell ref="M69:M70"/>
    <mergeCell ref="AK69:AK70"/>
    <mergeCell ref="AL69:AL70"/>
    <mergeCell ref="AM69:AM70"/>
    <mergeCell ref="A62:AM63"/>
    <mergeCell ref="A65:B65"/>
    <mergeCell ref="C65:AM65"/>
    <mergeCell ref="A66:B66"/>
    <mergeCell ref="C66:AM66"/>
    <mergeCell ref="B57:B58"/>
    <mergeCell ref="C57:C58"/>
    <mergeCell ref="D57:D58"/>
    <mergeCell ref="N55:N61"/>
    <mergeCell ref="O55:O61"/>
    <mergeCell ref="J59:J61"/>
    <mergeCell ref="K59:K61"/>
    <mergeCell ref="L59:L61"/>
    <mergeCell ref="M59:M61"/>
    <mergeCell ref="AK57:AK58"/>
    <mergeCell ref="AL57:AL58"/>
    <mergeCell ref="AM57:AM58"/>
    <mergeCell ref="B59:B61"/>
    <mergeCell ref="C59:C61"/>
    <mergeCell ref="D59:D61"/>
    <mergeCell ref="F59:F61"/>
    <mergeCell ref="G59:G61"/>
    <mergeCell ref="H59:H61"/>
    <mergeCell ref="I59:I61"/>
    <mergeCell ref="X57:X58"/>
    <mergeCell ref="Y57:Y58"/>
    <mergeCell ref="Z57:Z58"/>
    <mergeCell ref="AH57:AH58"/>
    <mergeCell ref="AI57:AI58"/>
    <mergeCell ref="AJ57:AJ58"/>
    <mergeCell ref="AJ55:AJ56"/>
    <mergeCell ref="AK55:AK56"/>
    <mergeCell ref="T57:T58"/>
    <mergeCell ref="U57:U58"/>
    <mergeCell ref="V57:V58"/>
    <mergeCell ref="W57:W58"/>
    <mergeCell ref="K55:K56"/>
    <mergeCell ref="L55:L56"/>
    <mergeCell ref="M55:M56"/>
    <mergeCell ref="P55:P56"/>
    <mergeCell ref="L57:L58"/>
    <mergeCell ref="M57:M58"/>
    <mergeCell ref="Q55:Q61"/>
    <mergeCell ref="AL55:AL56"/>
    <mergeCell ref="AM55:AM56"/>
    <mergeCell ref="F57:F58"/>
    <mergeCell ref="G57:G58"/>
    <mergeCell ref="H57:H58"/>
    <mergeCell ref="I57:I58"/>
    <mergeCell ref="J57:J58"/>
    <mergeCell ref="K57:K58"/>
    <mergeCell ref="AD55:AD56"/>
    <mergeCell ref="AE55:AE56"/>
    <mergeCell ref="AF55:AF56"/>
    <mergeCell ref="AG55:AG56"/>
    <mergeCell ref="AH55:AH56"/>
    <mergeCell ref="AI55:AI56"/>
    <mergeCell ref="X55:X56"/>
    <mergeCell ref="Y55:Y56"/>
    <mergeCell ref="Z55:Z56"/>
    <mergeCell ref="AA55:AA56"/>
    <mergeCell ref="AB55:AB56"/>
    <mergeCell ref="AC55:AC56"/>
    <mergeCell ref="S55:S56"/>
    <mergeCell ref="T55:T56"/>
    <mergeCell ref="U55:U56"/>
    <mergeCell ref="V55:V56"/>
    <mergeCell ref="AH53:AH54"/>
    <mergeCell ref="AI53:AI54"/>
    <mergeCell ref="AJ53:AJ54"/>
    <mergeCell ref="T53:T54"/>
    <mergeCell ref="U53:Z53"/>
    <mergeCell ref="AA53:AA54"/>
    <mergeCell ref="AB53:AB54"/>
    <mergeCell ref="AC53:AC54"/>
    <mergeCell ref="AD53:AD54"/>
    <mergeCell ref="A55:A56"/>
    <mergeCell ref="B55:B56"/>
    <mergeCell ref="C55:C56"/>
    <mergeCell ref="D55:D56"/>
    <mergeCell ref="F55:F56"/>
    <mergeCell ref="G55:G56"/>
    <mergeCell ref="J55:J56"/>
    <mergeCell ref="AE53:AE54"/>
    <mergeCell ref="AF53:AF54"/>
    <mergeCell ref="N53:N54"/>
    <mergeCell ref="O53:O54"/>
    <mergeCell ref="W55:W56"/>
    <mergeCell ref="A52:J52"/>
    <mergeCell ref="K52:Q52"/>
    <mergeCell ref="R52:Z52"/>
    <mergeCell ref="AA52:AG52"/>
    <mergeCell ref="AH52:AM52"/>
    <mergeCell ref="A53:A54"/>
    <mergeCell ref="B53:B54"/>
    <mergeCell ref="C53:C54"/>
    <mergeCell ref="D53:D54"/>
    <mergeCell ref="E53:E54"/>
    <mergeCell ref="P53:P54"/>
    <mergeCell ref="Q53:Q54"/>
    <mergeCell ref="R53:R54"/>
    <mergeCell ref="S53:S54"/>
    <mergeCell ref="F53:F54"/>
    <mergeCell ref="I53:I54"/>
    <mergeCell ref="J53:J54"/>
    <mergeCell ref="K53:K54"/>
    <mergeCell ref="L53:L54"/>
    <mergeCell ref="M53:M54"/>
    <mergeCell ref="AK53:AK54"/>
    <mergeCell ref="AL53:AL54"/>
    <mergeCell ref="AM53:AM54"/>
    <mergeCell ref="AG53:AG54"/>
    <mergeCell ref="A49:B49"/>
    <mergeCell ref="C49:AM49"/>
    <mergeCell ref="A50:B50"/>
    <mergeCell ref="C50:AM50"/>
    <mergeCell ref="A51:B51"/>
    <mergeCell ref="C51:AM51"/>
    <mergeCell ref="AO42:AO45"/>
    <mergeCell ref="AP42:AP45"/>
    <mergeCell ref="AQ42:AQ45"/>
    <mergeCell ref="AR42:AR45"/>
    <mergeCell ref="AS42:AS45"/>
    <mergeCell ref="A46:AM47"/>
    <mergeCell ref="AI42:AI45"/>
    <mergeCell ref="AJ42:AJ45"/>
    <mergeCell ref="AK42:AK45"/>
    <mergeCell ref="AL42:AL45"/>
    <mergeCell ref="AM42:AM45"/>
    <mergeCell ref="AN42:AN45"/>
    <mergeCell ref="N42:N45"/>
    <mergeCell ref="O42:O45"/>
    <mergeCell ref="P42:P45"/>
    <mergeCell ref="Q42:Q45"/>
    <mergeCell ref="AG42:AG45"/>
    <mergeCell ref="AH42:AH45"/>
    <mergeCell ref="H42:H45"/>
    <mergeCell ref="I42:I45"/>
    <mergeCell ref="J42:J45"/>
    <mergeCell ref="K42:K45"/>
    <mergeCell ref="L42:L45"/>
    <mergeCell ref="M42:M45"/>
    <mergeCell ref="AQ37:AQ41"/>
    <mergeCell ref="AR37:AR41"/>
    <mergeCell ref="AS37:AS41"/>
    <mergeCell ref="A42:A45"/>
    <mergeCell ref="B42:B45"/>
    <mergeCell ref="C42:C45"/>
    <mergeCell ref="D42:D45"/>
    <mergeCell ref="F42:F45"/>
    <mergeCell ref="G42:G45"/>
    <mergeCell ref="AJ37:AJ41"/>
    <mergeCell ref="AK37:AK41"/>
    <mergeCell ref="AL37:AL41"/>
    <mergeCell ref="AM37:AM41"/>
    <mergeCell ref="AN37:AN41"/>
    <mergeCell ref="AO37:AO41"/>
    <mergeCell ref="O37:O41"/>
    <mergeCell ref="P37:P41"/>
    <mergeCell ref="Q37:Q41"/>
    <mergeCell ref="AG37:AG41"/>
    <mergeCell ref="AH37:AH41"/>
    <mergeCell ref="AI37:AI41"/>
    <mergeCell ref="I37:I41"/>
    <mergeCell ref="J37:J41"/>
    <mergeCell ref="K37:K41"/>
    <mergeCell ref="L37:L41"/>
    <mergeCell ref="M37:M41"/>
    <mergeCell ref="N37:N41"/>
    <mergeCell ref="A37:A41"/>
    <mergeCell ref="B37:B41"/>
    <mergeCell ref="C37:C41"/>
    <mergeCell ref="D37:D41"/>
    <mergeCell ref="F37:F41"/>
    <mergeCell ref="G37:G41"/>
    <mergeCell ref="H37:H41"/>
    <mergeCell ref="AK35:AK36"/>
    <mergeCell ref="AL35:AL36"/>
    <mergeCell ref="AM35:AM36"/>
    <mergeCell ref="AN35:AN36"/>
    <mergeCell ref="AO35:AO36"/>
    <mergeCell ref="AP35:AP36"/>
    <mergeCell ref="AE35:AE36"/>
    <mergeCell ref="AF35:AF36"/>
    <mergeCell ref="AG35:AG36"/>
    <mergeCell ref="AH35:AH36"/>
    <mergeCell ref="AI35:AI36"/>
    <mergeCell ref="AJ35:AJ36"/>
    <mergeCell ref="T35:T36"/>
    <mergeCell ref="U35:Z35"/>
    <mergeCell ref="AA35:AA36"/>
    <mergeCell ref="AB35:AB36"/>
    <mergeCell ref="AC35:AC36"/>
    <mergeCell ref="AD35:AD36"/>
    <mergeCell ref="N35:N36"/>
    <mergeCell ref="O35:O36"/>
    <mergeCell ref="P35:P36"/>
    <mergeCell ref="Q35:Q36"/>
    <mergeCell ref="AP37:AP41"/>
    <mergeCell ref="R35:R36"/>
    <mergeCell ref="S35:S36"/>
    <mergeCell ref="G35:G36"/>
    <mergeCell ref="I35:I36"/>
    <mergeCell ref="J35:J36"/>
    <mergeCell ref="K35:K36"/>
    <mergeCell ref="L35:L36"/>
    <mergeCell ref="M35:M36"/>
    <mergeCell ref="A35:A36"/>
    <mergeCell ref="B35:B36"/>
    <mergeCell ref="C35:C36"/>
    <mergeCell ref="D35:D36"/>
    <mergeCell ref="E35:E36"/>
    <mergeCell ref="F35:F36"/>
    <mergeCell ref="A32:B32"/>
    <mergeCell ref="C32:AM32"/>
    <mergeCell ref="A33:B33"/>
    <mergeCell ref="C33:AM33"/>
    <mergeCell ref="A34:J34"/>
    <mergeCell ref="K34:Q34"/>
    <mergeCell ref="R34:Z34"/>
    <mergeCell ref="AA34:AG34"/>
    <mergeCell ref="AH34:AS34"/>
    <mergeCell ref="AQ35:AQ36"/>
    <mergeCell ref="AR35:AR36"/>
    <mergeCell ref="AS35:AS36"/>
    <mergeCell ref="A28:AM29"/>
    <mergeCell ref="A31:B31"/>
    <mergeCell ref="C31:AM31"/>
    <mergeCell ref="AR26:AR27"/>
    <mergeCell ref="AS26:AS27"/>
    <mergeCell ref="AT26:AT27"/>
    <mergeCell ref="AU26:AU27"/>
    <mergeCell ref="AV26:AV27"/>
    <mergeCell ref="AW26:AW27"/>
    <mergeCell ref="AL26:AL27"/>
    <mergeCell ref="AM26:AM27"/>
    <mergeCell ref="AN26:AN27"/>
    <mergeCell ref="AO26:AO27"/>
    <mergeCell ref="AP26:AP27"/>
    <mergeCell ref="AQ26:AQ27"/>
    <mergeCell ref="O26:O27"/>
    <mergeCell ref="P26:P27"/>
    <mergeCell ref="Q26:Q27"/>
    <mergeCell ref="R26:R27"/>
    <mergeCell ref="AG26:AG27"/>
    <mergeCell ref="I26:I27"/>
    <mergeCell ref="J26:J27"/>
    <mergeCell ref="K26:K27"/>
    <mergeCell ref="L26:L27"/>
    <mergeCell ref="M26:M27"/>
    <mergeCell ref="N26:N27"/>
    <mergeCell ref="AX24:AX25"/>
    <mergeCell ref="AY24:AY25"/>
    <mergeCell ref="AX26:AX27"/>
    <mergeCell ref="AY26:AY27"/>
    <mergeCell ref="BA24:BA25"/>
    <mergeCell ref="A26:A27"/>
    <mergeCell ref="B26:B27"/>
    <mergeCell ref="C26:C27"/>
    <mergeCell ref="D26:D27"/>
    <mergeCell ref="F26:F27"/>
    <mergeCell ref="G26:G27"/>
    <mergeCell ref="AO24:AO25"/>
    <mergeCell ref="AP24:AP25"/>
    <mergeCell ref="AR24:AR25"/>
    <mergeCell ref="AS24:AS25"/>
    <mergeCell ref="AU24:AU25"/>
    <mergeCell ref="AV24:AV25"/>
    <mergeCell ref="P24:P25"/>
    <mergeCell ref="Q24:Q25"/>
    <mergeCell ref="AG24:AG25"/>
    <mergeCell ref="AI24:AI25"/>
    <mergeCell ref="AJ24:AJ25"/>
    <mergeCell ref="AL24:AL25"/>
    <mergeCell ref="AI26:AI27"/>
    <mergeCell ref="AJ26:AJ27"/>
    <mergeCell ref="AK26:AK27"/>
    <mergeCell ref="H26:H27"/>
    <mergeCell ref="AH26:AH27"/>
    <mergeCell ref="AZ26:AZ27"/>
    <mergeCell ref="BA26:BA27"/>
    <mergeCell ref="A24:A25"/>
    <mergeCell ref="B24:B25"/>
    <mergeCell ref="C24:C25"/>
    <mergeCell ref="D24:D25"/>
    <mergeCell ref="F24:F25"/>
    <mergeCell ref="G24:G25"/>
    <mergeCell ref="H24:H25"/>
    <mergeCell ref="I24:I25"/>
    <mergeCell ref="J24:J25"/>
    <mergeCell ref="AM24:AM25"/>
    <mergeCell ref="N24:N25"/>
    <mergeCell ref="O24:O25"/>
    <mergeCell ref="K24:K25"/>
    <mergeCell ref="L24:L25"/>
    <mergeCell ref="M24:M25"/>
    <mergeCell ref="A21:A23"/>
    <mergeCell ref="B21:B23"/>
    <mergeCell ref="C21:C23"/>
    <mergeCell ref="D21:D23"/>
    <mergeCell ref="F21:F23"/>
    <mergeCell ref="G21:G23"/>
    <mergeCell ref="H21:H23"/>
    <mergeCell ref="I21:I23"/>
    <mergeCell ref="BA19:BA20"/>
    <mergeCell ref="AM21:AM22"/>
    <mergeCell ref="AO21:AO22"/>
    <mergeCell ref="AP21:AP22"/>
    <mergeCell ref="AR21:AR22"/>
    <mergeCell ref="AS21:AS22"/>
    <mergeCell ref="AU21:AU22"/>
    <mergeCell ref="AV21:AV22"/>
    <mergeCell ref="AX21:AX22"/>
    <mergeCell ref="AY21:AY22"/>
    <mergeCell ref="AU19:AU20"/>
    <mergeCell ref="AV19:AV20"/>
    <mergeCell ref="AW19:AW20"/>
    <mergeCell ref="AX19:AX20"/>
    <mergeCell ref="AY19:AY20"/>
    <mergeCell ref="AZ19:AZ20"/>
    <mergeCell ref="AO19:AO20"/>
    <mergeCell ref="AP19:AP20"/>
    <mergeCell ref="AQ19:AQ20"/>
    <mergeCell ref="AR19:AR20"/>
    <mergeCell ref="AS19:AS20"/>
    <mergeCell ref="AT19:AT20"/>
    <mergeCell ref="AM19:AM20"/>
    <mergeCell ref="AN19:AN20"/>
    <mergeCell ref="BA21:BA22"/>
    <mergeCell ref="AL19:AL20"/>
    <mergeCell ref="Q21:Q23"/>
    <mergeCell ref="AG21:AG22"/>
    <mergeCell ref="AJ21:AJ22"/>
    <mergeCell ref="AL21:AL22"/>
    <mergeCell ref="A12:AL13"/>
    <mergeCell ref="C15:AL15"/>
    <mergeCell ref="C16:AL16"/>
    <mergeCell ref="C17:AL17"/>
    <mergeCell ref="A18:J18"/>
    <mergeCell ref="K18:Q18"/>
    <mergeCell ref="R18:Z18"/>
    <mergeCell ref="AA18:AG18"/>
    <mergeCell ref="AI21:AI22"/>
    <mergeCell ref="K21:K23"/>
    <mergeCell ref="L21:L23"/>
    <mergeCell ref="M21:M23"/>
    <mergeCell ref="N21:N23"/>
    <mergeCell ref="O21:O23"/>
    <mergeCell ref="P21:P23"/>
    <mergeCell ref="AK19:AK20"/>
    <mergeCell ref="J21:J23"/>
    <mergeCell ref="AE19:AE20"/>
    <mergeCell ref="AF19:AF20"/>
    <mergeCell ref="AG19:AG20"/>
    <mergeCell ref="AH19:AH20"/>
    <mergeCell ref="AI19:AI20"/>
    <mergeCell ref="AJ19:AJ20"/>
    <mergeCell ref="AA19:AA20"/>
    <mergeCell ref="AB19:AB20"/>
    <mergeCell ref="AC19:AC20"/>
    <mergeCell ref="AD19:AD20"/>
    <mergeCell ref="N19:N20"/>
    <mergeCell ref="O19:O20"/>
    <mergeCell ref="P19:P20"/>
    <mergeCell ref="Q19:Q20"/>
    <mergeCell ref="R19:R20"/>
    <mergeCell ref="S19:S20"/>
    <mergeCell ref="T19:T20"/>
    <mergeCell ref="U19:Z19"/>
    <mergeCell ref="I19:I20"/>
    <mergeCell ref="J19:J20"/>
    <mergeCell ref="K19:K20"/>
    <mergeCell ref="L19:L20"/>
    <mergeCell ref="M19:M20"/>
    <mergeCell ref="A19:A20"/>
    <mergeCell ref="B19:B20"/>
    <mergeCell ref="C19:C20"/>
    <mergeCell ref="D19:D20"/>
    <mergeCell ref="E19:E20"/>
    <mergeCell ref="F19:F20"/>
    <mergeCell ref="G19:G20"/>
    <mergeCell ref="A17:B17"/>
    <mergeCell ref="AH18:AL18"/>
    <mergeCell ref="AK10:AK11"/>
    <mergeCell ref="AL10:AL11"/>
    <mergeCell ref="AM10:AM11"/>
    <mergeCell ref="A15:B15"/>
    <mergeCell ref="P10:P11"/>
    <mergeCell ref="Q10:Q11"/>
    <mergeCell ref="AG10:AG11"/>
    <mergeCell ref="AH10:AH11"/>
    <mergeCell ref="AI10:AI11"/>
    <mergeCell ref="AJ10:AJ11"/>
    <mergeCell ref="J10:J11"/>
    <mergeCell ref="K10:K11"/>
    <mergeCell ref="L10:L11"/>
    <mergeCell ref="M10:M11"/>
    <mergeCell ref="N10:N11"/>
    <mergeCell ref="O10:O11"/>
    <mergeCell ref="A10:A11"/>
    <mergeCell ref="B10:B11"/>
    <mergeCell ref="C10:C11"/>
    <mergeCell ref="D10:D11"/>
    <mergeCell ref="F10:F11"/>
    <mergeCell ref="G10:G11"/>
    <mergeCell ref="H10:H11"/>
    <mergeCell ref="I10:I11"/>
    <mergeCell ref="U8:Z8"/>
    <mergeCell ref="AA8:AA9"/>
    <mergeCell ref="AB8:AB9"/>
    <mergeCell ref="AC8:AC9"/>
    <mergeCell ref="AD8:AD9"/>
    <mergeCell ref="AE8:AE9"/>
    <mergeCell ref="O8:O9"/>
    <mergeCell ref="P8:P9"/>
    <mergeCell ref="T8:T9"/>
    <mergeCell ref="I8:I9"/>
    <mergeCell ref="J8:J9"/>
    <mergeCell ref="K8:K9"/>
    <mergeCell ref="L8:L9"/>
    <mergeCell ref="M8:M9"/>
    <mergeCell ref="N8:N9"/>
    <mergeCell ref="AL8:AL9"/>
    <mergeCell ref="A16:B16"/>
    <mergeCell ref="AL98:AL99"/>
    <mergeCell ref="AM8:AM9"/>
    <mergeCell ref="AG8:AG9"/>
    <mergeCell ref="AH8:AH9"/>
    <mergeCell ref="AI8:AI9"/>
    <mergeCell ref="AJ8:AJ9"/>
    <mergeCell ref="AK8:AK9"/>
    <mergeCell ref="A1:AM2"/>
    <mergeCell ref="A4:B4"/>
    <mergeCell ref="C4:AM4"/>
    <mergeCell ref="A5:B5"/>
    <mergeCell ref="C5:AM5"/>
    <mergeCell ref="A6:B6"/>
    <mergeCell ref="A91:AL92"/>
    <mergeCell ref="A94:B94"/>
    <mergeCell ref="C94:AL94"/>
    <mergeCell ref="A8:A9"/>
    <mergeCell ref="B8:B9"/>
    <mergeCell ref="C8:C9"/>
    <mergeCell ref="D8:D9"/>
    <mergeCell ref="E8:E9"/>
    <mergeCell ref="F8:F9"/>
    <mergeCell ref="C6:AM6"/>
    <mergeCell ref="A7:J7"/>
    <mergeCell ref="K7:Q7"/>
    <mergeCell ref="R7:Z7"/>
    <mergeCell ref="AA7:AG7"/>
    <mergeCell ref="AH7:AM7"/>
    <mergeCell ref="Q8:Q9"/>
    <mergeCell ref="R8:R9"/>
    <mergeCell ref="S8:S9"/>
    <mergeCell ref="AF8:AF9"/>
    <mergeCell ref="K100:K104"/>
    <mergeCell ref="L100:L104"/>
    <mergeCell ref="M100:M104"/>
    <mergeCell ref="N100:N104"/>
    <mergeCell ref="O100:O104"/>
    <mergeCell ref="P100:P104"/>
    <mergeCell ref="Q100:Q104"/>
    <mergeCell ref="E101:E102"/>
    <mergeCell ref="R101:R102"/>
    <mergeCell ref="A95:B95"/>
    <mergeCell ref="C95:AL95"/>
    <mergeCell ref="A96:B96"/>
    <mergeCell ref="C96:AL96"/>
    <mergeCell ref="A98:A99"/>
    <mergeCell ref="B98:B99"/>
    <mergeCell ref="C98:C99"/>
    <mergeCell ref="D98:D99"/>
    <mergeCell ref="E98:E99"/>
    <mergeCell ref="F98:F99"/>
    <mergeCell ref="I98:I99"/>
    <mergeCell ref="J98:J99"/>
    <mergeCell ref="K98:K99"/>
    <mergeCell ref="L98:L99"/>
    <mergeCell ref="M98:M99"/>
    <mergeCell ref="N98:N99"/>
    <mergeCell ref="O98:O99"/>
    <mergeCell ref="P98:P99"/>
    <mergeCell ref="Q98:Q99"/>
    <mergeCell ref="R98:R99"/>
    <mergeCell ref="S98:S99"/>
    <mergeCell ref="T98:T99"/>
    <mergeCell ref="U98:Z98"/>
    <mergeCell ref="AD101:AD102"/>
    <mergeCell ref="AE101:AE102"/>
    <mergeCell ref="AK98:AK99"/>
    <mergeCell ref="AG98:AG99"/>
    <mergeCell ref="AH98:AH99"/>
    <mergeCell ref="AI98:AI99"/>
    <mergeCell ref="AJ98:AJ99"/>
    <mergeCell ref="AF101:AF102"/>
    <mergeCell ref="AG101:AG102"/>
    <mergeCell ref="AH102:AH103"/>
    <mergeCell ref="AI102:AI103"/>
    <mergeCell ref="AJ102:AJ103"/>
    <mergeCell ref="AK102:AK103"/>
    <mergeCell ref="S101:S102"/>
    <mergeCell ref="T101:T102"/>
    <mergeCell ref="U101:U102"/>
    <mergeCell ref="V101:V102"/>
    <mergeCell ref="AB98:AB99"/>
    <mergeCell ref="AC98:AC99"/>
    <mergeCell ref="AD98:AD99"/>
    <mergeCell ref="AE98:AE99"/>
    <mergeCell ref="AF98:AF99"/>
    <mergeCell ref="AA98:AA99"/>
    <mergeCell ref="AL102:AL103"/>
    <mergeCell ref="A105:A106"/>
    <mergeCell ref="B105:B106"/>
    <mergeCell ref="C105:C106"/>
    <mergeCell ref="D105:D106"/>
    <mergeCell ref="F105:F106"/>
    <mergeCell ref="H105:H106"/>
    <mergeCell ref="I105:I106"/>
    <mergeCell ref="J105:J106"/>
    <mergeCell ref="K105:K106"/>
    <mergeCell ref="L105:L106"/>
    <mergeCell ref="M105:M106"/>
    <mergeCell ref="N105:N106"/>
    <mergeCell ref="O105:O106"/>
    <mergeCell ref="P105:P106"/>
    <mergeCell ref="Q105:Q106"/>
    <mergeCell ref="W101:W102"/>
    <mergeCell ref="X101:X102"/>
    <mergeCell ref="A100:A104"/>
    <mergeCell ref="B100:B104"/>
    <mergeCell ref="C100:C104"/>
    <mergeCell ref="D100:D104"/>
    <mergeCell ref="F100:F104"/>
    <mergeCell ref="G100:G106"/>
    <mergeCell ref="H100:H104"/>
    <mergeCell ref="I100:I104"/>
    <mergeCell ref="J100:J104"/>
    <mergeCell ref="Y101:Y102"/>
    <mergeCell ref="Z101:Z102"/>
    <mergeCell ref="AA101:AA102"/>
    <mergeCell ref="AB101:AB102"/>
    <mergeCell ref="AC101:AC102"/>
    <mergeCell ref="A107:AM108"/>
    <mergeCell ref="A110:B110"/>
    <mergeCell ref="C110:AM110"/>
    <mergeCell ref="A111:B111"/>
    <mergeCell ref="C111:AM111"/>
    <mergeCell ref="A112:B112"/>
    <mergeCell ref="C112:AM112"/>
    <mergeCell ref="A113:J113"/>
    <mergeCell ref="K113:Q113"/>
    <mergeCell ref="R113:Z113"/>
    <mergeCell ref="AA113:AG113"/>
    <mergeCell ref="AH113:AM113"/>
    <mergeCell ref="A114:A115"/>
    <mergeCell ref="B114:B115"/>
    <mergeCell ref="C114:C115"/>
    <mergeCell ref="D114:D115"/>
    <mergeCell ref="E114:E115"/>
    <mergeCell ref="F114:F115"/>
    <mergeCell ref="G114:G115"/>
    <mergeCell ref="H114:H115"/>
    <mergeCell ref="I114:I115"/>
    <mergeCell ref="J114:J115"/>
    <mergeCell ref="K114:K115"/>
    <mergeCell ref="L114:L115"/>
    <mergeCell ref="M114:M115"/>
    <mergeCell ref="N114:N115"/>
    <mergeCell ref="O114:O115"/>
    <mergeCell ref="P114:P115"/>
    <mergeCell ref="Q114:Q115"/>
    <mergeCell ref="R114:R115"/>
    <mergeCell ref="S114:S115"/>
    <mergeCell ref="T114:T115"/>
    <mergeCell ref="U114:Z114"/>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116:A118"/>
    <mergeCell ref="B116:B118"/>
    <mergeCell ref="C116:C118"/>
    <mergeCell ref="D116:D118"/>
    <mergeCell ref="F116:F118"/>
    <mergeCell ref="G116:G118"/>
    <mergeCell ref="H116:H118"/>
    <mergeCell ref="I116:I118"/>
    <mergeCell ref="J116:J118"/>
    <mergeCell ref="K116:K118"/>
    <mergeCell ref="L116:L118"/>
    <mergeCell ref="M116:M118"/>
    <mergeCell ref="N116:N118"/>
    <mergeCell ref="O116:O118"/>
    <mergeCell ref="P116:P118"/>
    <mergeCell ref="Q116:Q118"/>
    <mergeCell ref="AB116:AB118"/>
    <mergeCell ref="AC116:AC118"/>
    <mergeCell ref="AD116:AD118"/>
    <mergeCell ref="AE116:AE118"/>
    <mergeCell ref="AF116:AF118"/>
    <mergeCell ref="AG116:AG118"/>
    <mergeCell ref="AI116:AI118"/>
    <mergeCell ref="AJ116:AJ118"/>
    <mergeCell ref="AK116:AK118"/>
    <mergeCell ref="E117:E118"/>
    <mergeCell ref="A119:A120"/>
    <mergeCell ref="B119:B120"/>
    <mergeCell ref="C119:C120"/>
    <mergeCell ref="D119:D120"/>
    <mergeCell ref="F119:F120"/>
    <mergeCell ref="G119:G120"/>
    <mergeCell ref="H119:H120"/>
    <mergeCell ref="I119:I120"/>
    <mergeCell ref="J119:J120"/>
    <mergeCell ref="X119:X120"/>
    <mergeCell ref="Y119:Y120"/>
    <mergeCell ref="Z119:Z120"/>
    <mergeCell ref="AA119:AA120"/>
    <mergeCell ref="AB119:AB120"/>
    <mergeCell ref="AC119:AC120"/>
    <mergeCell ref="K119:K120"/>
    <mergeCell ref="L119:L120"/>
    <mergeCell ref="M119:M120"/>
    <mergeCell ref="N119:N120"/>
    <mergeCell ref="O119:O120"/>
    <mergeCell ref="P119:P120"/>
    <mergeCell ref="Q119:Q120"/>
    <mergeCell ref="S119:S120"/>
    <mergeCell ref="T119:T120"/>
    <mergeCell ref="AD119:AD120"/>
    <mergeCell ref="AE119:AE120"/>
    <mergeCell ref="AF119:AF120"/>
    <mergeCell ref="AG119:AG120"/>
    <mergeCell ref="A121:A122"/>
    <mergeCell ref="B121:B122"/>
    <mergeCell ref="C121:C122"/>
    <mergeCell ref="D121:D122"/>
    <mergeCell ref="E121:E122"/>
    <mergeCell ref="F121:F122"/>
    <mergeCell ref="G121:G122"/>
    <mergeCell ref="H121:H122"/>
    <mergeCell ref="I121:I122"/>
    <mergeCell ref="J121:J122"/>
    <mergeCell ref="K121:K122"/>
    <mergeCell ref="L121:L122"/>
    <mergeCell ref="M121:M122"/>
    <mergeCell ref="O121:O122"/>
    <mergeCell ref="P121:P122"/>
    <mergeCell ref="Q121:Q122"/>
    <mergeCell ref="R121:R122"/>
    <mergeCell ref="U119:U120"/>
    <mergeCell ref="V119:V120"/>
    <mergeCell ref="W119:W120"/>
    <mergeCell ref="A123:AM124"/>
    <mergeCell ref="A126:B126"/>
    <mergeCell ref="C126:AM126"/>
    <mergeCell ref="A127:B127"/>
    <mergeCell ref="C127:AM127"/>
    <mergeCell ref="A128:B128"/>
    <mergeCell ref="C128:AM128"/>
    <mergeCell ref="A129:J129"/>
    <mergeCell ref="K129:Q129"/>
    <mergeCell ref="R129:Z129"/>
    <mergeCell ref="AA129:AG129"/>
    <mergeCell ref="AH129:AM129"/>
    <mergeCell ref="A130:A131"/>
    <mergeCell ref="B130:B131"/>
    <mergeCell ref="C130:C131"/>
    <mergeCell ref="D130:D131"/>
    <mergeCell ref="E130:E131"/>
    <mergeCell ref="F130:F131"/>
    <mergeCell ref="I130:I131"/>
    <mergeCell ref="J130:J131"/>
    <mergeCell ref="K130:K131"/>
    <mergeCell ref="AC130:AC131"/>
    <mergeCell ref="AD130:AD131"/>
    <mergeCell ref="AE130:AE131"/>
    <mergeCell ref="AF130:AF131"/>
    <mergeCell ref="AG130:AG131"/>
    <mergeCell ref="AH130:AH131"/>
    <mergeCell ref="L130:L131"/>
    <mergeCell ref="M130:M131"/>
    <mergeCell ref="N130:N131"/>
    <mergeCell ref="O130:O131"/>
    <mergeCell ref="P130:P131"/>
    <mergeCell ref="Q130:Q131"/>
    <mergeCell ref="R130:R131"/>
    <mergeCell ref="S130:S131"/>
    <mergeCell ref="T130:T131"/>
    <mergeCell ref="A146:J146"/>
    <mergeCell ref="K146:Q146"/>
    <mergeCell ref="R146:Z146"/>
    <mergeCell ref="AA146:AG146"/>
    <mergeCell ref="AH146:AM146"/>
    <mergeCell ref="A147:A148"/>
    <mergeCell ref="B147:B148"/>
    <mergeCell ref="C147:C148"/>
    <mergeCell ref="D147:D148"/>
    <mergeCell ref="E147:E148"/>
    <mergeCell ref="AN130:AN131"/>
    <mergeCell ref="AO132:AO138"/>
    <mergeCell ref="A140:AM141"/>
    <mergeCell ref="A143:B143"/>
    <mergeCell ref="C143:AM143"/>
    <mergeCell ref="A144:B144"/>
    <mergeCell ref="C144:AM144"/>
    <mergeCell ref="A145:B145"/>
    <mergeCell ref="C145:AM145"/>
    <mergeCell ref="B136:B137"/>
    <mergeCell ref="C136:C137"/>
    <mergeCell ref="D136:D137"/>
    <mergeCell ref="F136:F137"/>
    <mergeCell ref="G136:G137"/>
    <mergeCell ref="I136:I137"/>
    <mergeCell ref="N136:N137"/>
    <mergeCell ref="AI130:AI131"/>
    <mergeCell ref="AJ130:AJ131"/>
    <mergeCell ref="AK130:AK131"/>
    <mergeCell ref="AL130:AL131"/>
    <mergeCell ref="AM130:AM131"/>
    <mergeCell ref="U130:Z130"/>
    <mergeCell ref="AA130:AA131"/>
    <mergeCell ref="AB130:AB131"/>
    <mergeCell ref="F147:F148"/>
    <mergeCell ref="I147:I148"/>
    <mergeCell ref="J147:J148"/>
    <mergeCell ref="K147:K148"/>
    <mergeCell ref="L147:L148"/>
    <mergeCell ref="M147:M148"/>
    <mergeCell ref="N147:N148"/>
    <mergeCell ref="O147:O148"/>
    <mergeCell ref="P147:P148"/>
    <mergeCell ref="Q147:Q148"/>
    <mergeCell ref="R147:R148"/>
    <mergeCell ref="S147:S148"/>
    <mergeCell ref="T147:T148"/>
    <mergeCell ref="U147:Z147"/>
    <mergeCell ref="AA147:AA148"/>
    <mergeCell ref="AB147:AB148"/>
    <mergeCell ref="AC147:AC148"/>
    <mergeCell ref="AD147:AD148"/>
    <mergeCell ref="AE147:AE148"/>
    <mergeCell ref="AF147:AF148"/>
    <mergeCell ref="AG147:AG148"/>
    <mergeCell ref="AH147:AH148"/>
    <mergeCell ref="AI147:AI148"/>
    <mergeCell ref="AJ147:AJ148"/>
    <mergeCell ref="AK147:AK148"/>
    <mergeCell ref="AL147:AL148"/>
    <mergeCell ref="Q161:Q162"/>
    <mergeCell ref="AM147:AM148"/>
    <mergeCell ref="K149:K152"/>
    <mergeCell ref="L149:L152"/>
    <mergeCell ref="M149:M152"/>
    <mergeCell ref="N149:N151"/>
    <mergeCell ref="O149:O152"/>
    <mergeCell ref="P149:P151"/>
    <mergeCell ref="Q149:Q152"/>
    <mergeCell ref="F149:F152"/>
    <mergeCell ref="A154:AM155"/>
    <mergeCell ref="A149:A151"/>
    <mergeCell ref="B149:B151"/>
    <mergeCell ref="C149:C151"/>
    <mergeCell ref="D149:D151"/>
    <mergeCell ref="G149:G152"/>
    <mergeCell ref="H149:H152"/>
    <mergeCell ref="I149:I151"/>
    <mergeCell ref="J149:J152"/>
    <mergeCell ref="AB161:AB162"/>
    <mergeCell ref="A157:B157"/>
    <mergeCell ref="C157:AM157"/>
    <mergeCell ref="A158:B158"/>
    <mergeCell ref="C158:AM158"/>
    <mergeCell ref="A159:B159"/>
    <mergeCell ref="C159:AM159"/>
    <mergeCell ref="A160:J160"/>
    <mergeCell ref="K160:Q160"/>
    <mergeCell ref="R160:Z160"/>
    <mergeCell ref="AA160:AG160"/>
    <mergeCell ref="AH160:AM160"/>
    <mergeCell ref="A161:A162"/>
    <mergeCell ref="B161:B162"/>
    <mergeCell ref="C161:C162"/>
    <mergeCell ref="D161:D162"/>
    <mergeCell ref="E161:E162"/>
    <mergeCell ref="F161:F162"/>
    <mergeCell ref="I161:I162"/>
    <mergeCell ref="J161:J162"/>
    <mergeCell ref="K161:K162"/>
    <mergeCell ref="AC161:AC162"/>
    <mergeCell ref="AD161:AD162"/>
    <mergeCell ref="AE161:AE162"/>
    <mergeCell ref="AF161:AF162"/>
    <mergeCell ref="AG161:AG162"/>
    <mergeCell ref="AH161:AH162"/>
    <mergeCell ref="L161:L162"/>
    <mergeCell ref="M161:M162"/>
    <mergeCell ref="N161:N162"/>
    <mergeCell ref="O161:O162"/>
    <mergeCell ref="P161:P162"/>
    <mergeCell ref="P302:P303"/>
    <mergeCell ref="Q302:Q303"/>
    <mergeCell ref="R302:R303"/>
    <mergeCell ref="S302:S303"/>
    <mergeCell ref="T302:T303"/>
    <mergeCell ref="U302:Z302"/>
    <mergeCell ref="R161:R162"/>
    <mergeCell ref="S161:S162"/>
    <mergeCell ref="T161:T162"/>
    <mergeCell ref="AI161:AI162"/>
    <mergeCell ref="AJ161:AJ162"/>
    <mergeCell ref="AK161:AK162"/>
    <mergeCell ref="AL161:AL162"/>
    <mergeCell ref="AM161:AM162"/>
    <mergeCell ref="A163:A166"/>
    <mergeCell ref="B163:B166"/>
    <mergeCell ref="C163:C166"/>
    <mergeCell ref="D163:D166"/>
    <mergeCell ref="F163:F166"/>
    <mergeCell ref="G163:G166"/>
    <mergeCell ref="H163:H166"/>
    <mergeCell ref="I163:I166"/>
    <mergeCell ref="J163:J166"/>
    <mergeCell ref="K163:K166"/>
    <mergeCell ref="L163:L166"/>
    <mergeCell ref="M163:M166"/>
    <mergeCell ref="N163:N166"/>
    <mergeCell ref="O163:O166"/>
    <mergeCell ref="P163:P166"/>
    <mergeCell ref="Q163:Q166"/>
    <mergeCell ref="U161:Z161"/>
    <mergeCell ref="AA161:AA162"/>
    <mergeCell ref="AL302:AL303"/>
    <mergeCell ref="AM302:AM303"/>
    <mergeCell ref="AN302:AN303"/>
    <mergeCell ref="AO302:AO303"/>
    <mergeCell ref="AP302:AP303"/>
    <mergeCell ref="AQ302:AQ303"/>
    <mergeCell ref="A295:AM296"/>
    <mergeCell ref="A298:B298"/>
    <mergeCell ref="C298:AM298"/>
    <mergeCell ref="A299:B299"/>
    <mergeCell ref="C299:AM299"/>
    <mergeCell ref="A300:B300"/>
    <mergeCell ref="C300:AM300"/>
    <mergeCell ref="A301:J301"/>
    <mergeCell ref="K301:Q301"/>
    <mergeCell ref="R301:Z301"/>
    <mergeCell ref="AA301:AG301"/>
    <mergeCell ref="AH301:AM301"/>
    <mergeCell ref="AN301:AS301"/>
    <mergeCell ref="A302:A303"/>
    <mergeCell ref="B302:B303"/>
    <mergeCell ref="C302:C303"/>
    <mergeCell ref="D302:D303"/>
    <mergeCell ref="E302:E303"/>
    <mergeCell ref="F302:F303"/>
    <mergeCell ref="I302:I303"/>
    <mergeCell ref="J302:J303"/>
    <mergeCell ref="K302:K303"/>
    <mergeCell ref="L302:L303"/>
    <mergeCell ref="M302:M303"/>
    <mergeCell ref="N302:N303"/>
    <mergeCell ref="O302:O303"/>
    <mergeCell ref="AR302:AR303"/>
    <mergeCell ref="AS302:AS303"/>
    <mergeCell ref="AT302:AT303"/>
    <mergeCell ref="AU302:AU303"/>
    <mergeCell ref="AV302:AV303"/>
    <mergeCell ref="A304:A308"/>
    <mergeCell ref="B304:B308"/>
    <mergeCell ref="C304:C308"/>
    <mergeCell ref="D304:D308"/>
    <mergeCell ref="F304:F308"/>
    <mergeCell ref="G304:G308"/>
    <mergeCell ref="H304:H308"/>
    <mergeCell ref="I304:I308"/>
    <mergeCell ref="J304:J308"/>
    <mergeCell ref="K304:K308"/>
    <mergeCell ref="L304:L308"/>
    <mergeCell ref="M304:M308"/>
    <mergeCell ref="N304:N308"/>
    <mergeCell ref="O304:O308"/>
    <mergeCell ref="P304:P308"/>
    <mergeCell ref="Q304:Q308"/>
    <mergeCell ref="AA302:AA303"/>
    <mergeCell ref="AB302:AB303"/>
    <mergeCell ref="AC302:AC303"/>
    <mergeCell ref="AD302:AD303"/>
    <mergeCell ref="AE302:AE303"/>
    <mergeCell ref="AF302:AF303"/>
    <mergeCell ref="AG302:AG303"/>
    <mergeCell ref="AH302:AH303"/>
    <mergeCell ref="AI302:AI303"/>
    <mergeCell ref="AJ302:AJ303"/>
    <mergeCell ref="AK302:AK303"/>
  </mergeCells>
  <conditionalFormatting sqref="J116:K116 AB116 AB189:AB194">
    <cfRule type="cellIs" dxfId="562" priority="377" operator="equal">
      <formula>"Media"</formula>
    </cfRule>
    <cfRule type="cellIs" dxfId="561" priority="379" operator="equal">
      <formula>"Muy Baja"</formula>
    </cfRule>
    <cfRule type="cellIs" dxfId="560" priority="375" operator="equal">
      <formula>"Muy Alta"</formula>
    </cfRule>
    <cfRule type="cellIs" dxfId="559" priority="378" operator="equal">
      <formula>"Baja"</formula>
    </cfRule>
    <cfRule type="cellIs" dxfId="558" priority="376" operator="equal">
      <formula>"Alta"</formula>
    </cfRule>
  </conditionalFormatting>
  <conditionalFormatting sqref="K10 AB10:AB11">
    <cfRule type="cellIs" dxfId="557" priority="638" operator="equal">
      <formula>"Muy Baja"</formula>
    </cfRule>
    <cfRule type="cellIs" dxfId="556" priority="636" operator="equal">
      <formula>"Media"</formula>
    </cfRule>
    <cfRule type="cellIs" dxfId="555" priority="634" operator="equal">
      <formula>"Muy Alta"</formula>
    </cfRule>
    <cfRule type="cellIs" dxfId="554" priority="637" operator="equal">
      <formula>"Baja"</formula>
    </cfRule>
    <cfRule type="cellIs" dxfId="553" priority="635" operator="equal">
      <formula>"Alta"</formula>
    </cfRule>
  </conditionalFormatting>
  <conditionalFormatting sqref="K21">
    <cfRule type="cellIs" dxfId="552" priority="605" operator="equal">
      <formula>"Muy Alta"</formula>
    </cfRule>
    <cfRule type="cellIs" dxfId="551" priority="606" operator="equal">
      <formula>"Alta"</formula>
    </cfRule>
    <cfRule type="cellIs" dxfId="550" priority="608" operator="equal">
      <formula>"Baja"</formula>
    </cfRule>
    <cfRule type="cellIs" dxfId="549" priority="607" operator="equal">
      <formula>"Media"</formula>
    </cfRule>
    <cfRule type="cellIs" dxfId="548" priority="609" operator="equal">
      <formula>"Muy Baja"</formula>
    </cfRule>
  </conditionalFormatting>
  <conditionalFormatting sqref="K24 K26">
    <cfRule type="cellIs" dxfId="547" priority="577" operator="equal">
      <formula>"Alta"</formula>
    </cfRule>
    <cfRule type="cellIs" dxfId="546" priority="578" operator="equal">
      <formula>"Media"</formula>
    </cfRule>
    <cfRule type="cellIs" dxfId="545" priority="576" operator="equal">
      <formula>"Muy Alta"</formula>
    </cfRule>
    <cfRule type="cellIs" dxfId="544" priority="580" operator="equal">
      <formula>"Muy Baja"</formula>
    </cfRule>
    <cfRule type="cellIs" dxfId="543" priority="579" operator="equal">
      <formula>"Baja"</formula>
    </cfRule>
  </conditionalFormatting>
  <conditionalFormatting sqref="K37 AB37:AB45 K42 AB86:AB89 AB132:AB138 AB219:AB223 AB234:AB241">
    <cfRule type="cellIs" dxfId="542" priority="572" operator="equal">
      <formula>"Alta"</formula>
    </cfRule>
    <cfRule type="cellIs" dxfId="541" priority="574" operator="equal">
      <formula>"Baja"</formula>
    </cfRule>
    <cfRule type="cellIs" dxfId="540" priority="575" operator="equal">
      <formula>"Muy Baja"</formula>
    </cfRule>
    <cfRule type="cellIs" dxfId="539" priority="571" operator="equal">
      <formula>"Muy Alta"</formula>
    </cfRule>
    <cfRule type="cellIs" dxfId="538" priority="573" operator="equal">
      <formula>"Media"</formula>
    </cfRule>
  </conditionalFormatting>
  <conditionalFormatting sqref="K55">
    <cfRule type="cellIs" dxfId="537" priority="514" operator="equal">
      <formula>"Muy Alta"</formula>
    </cfRule>
    <cfRule type="cellIs" dxfId="536" priority="515" operator="equal">
      <formula>"Alta"</formula>
    </cfRule>
    <cfRule type="cellIs" dxfId="535" priority="516" operator="equal">
      <formula>"Media"</formula>
    </cfRule>
    <cfRule type="cellIs" dxfId="534" priority="517" operator="equal">
      <formula>"Baja"</formula>
    </cfRule>
    <cfRule type="cellIs" dxfId="533" priority="518" operator="equal">
      <formula>"Muy Baja"</formula>
    </cfRule>
  </conditionalFormatting>
  <conditionalFormatting sqref="K57">
    <cfRule type="cellIs" dxfId="532" priority="549" operator="equal">
      <formula>"Media"</formula>
    </cfRule>
    <cfRule type="cellIs" dxfId="531" priority="550" operator="equal">
      <formula>"Baja"</formula>
    </cfRule>
    <cfRule type="cellIs" dxfId="530" priority="551" operator="equal">
      <formula>"Muy Baja"</formula>
    </cfRule>
    <cfRule type="cellIs" dxfId="529" priority="547" operator="equal">
      <formula>"Muy Alta"</formula>
    </cfRule>
    <cfRule type="cellIs" dxfId="528" priority="548" operator="equal">
      <formula>"Alta"</formula>
    </cfRule>
  </conditionalFormatting>
  <conditionalFormatting sqref="K59">
    <cfRule type="cellIs" dxfId="527" priority="552" operator="equal">
      <formula>"Muy Alta"</formula>
    </cfRule>
    <cfRule type="cellIs" dxfId="526" priority="553" operator="equal">
      <formula>"Alta"</formula>
    </cfRule>
    <cfRule type="cellIs" dxfId="525" priority="554" operator="equal">
      <formula>"Media"</formula>
    </cfRule>
    <cfRule type="cellIs" dxfId="524" priority="555" operator="equal">
      <formula>"Baja"</formula>
    </cfRule>
    <cfRule type="cellIs" dxfId="523" priority="556" operator="equal">
      <formula>"Muy Baja"</formula>
    </cfRule>
  </conditionalFormatting>
  <conditionalFormatting sqref="K71">
    <cfRule type="cellIs" dxfId="522" priority="510" operator="equal">
      <formula>"Alta"</formula>
    </cfRule>
    <cfRule type="cellIs" dxfId="521" priority="511" operator="equal">
      <formula>"Media"</formula>
    </cfRule>
    <cfRule type="cellIs" dxfId="520" priority="512" operator="equal">
      <formula>"Baja"</formula>
    </cfRule>
    <cfRule type="cellIs" dxfId="519" priority="513" operator="equal">
      <formula>"Muy Baja"</formula>
    </cfRule>
    <cfRule type="cellIs" dxfId="518" priority="509" operator="equal">
      <formula>"Muy Alta"</formula>
    </cfRule>
  </conditionalFormatting>
  <conditionalFormatting sqref="K86 K88">
    <cfRule type="cellIs" dxfId="517" priority="480" operator="equal">
      <formula>"Muy Alta"</formula>
    </cfRule>
    <cfRule type="cellIs" dxfId="516" priority="484" operator="equal">
      <formula>"Muy Baja"</formula>
    </cfRule>
    <cfRule type="cellIs" dxfId="515" priority="483" operator="equal">
      <formula>"Baja"</formula>
    </cfRule>
    <cfRule type="cellIs" dxfId="514" priority="482" operator="equal">
      <formula>"Media"</formula>
    </cfRule>
    <cfRule type="cellIs" dxfId="513" priority="481" operator="equal">
      <formula>"Alta"</formula>
    </cfRule>
  </conditionalFormatting>
  <conditionalFormatting sqref="K100:K101 K105">
    <cfRule type="cellIs" dxfId="512" priority="450" operator="equal">
      <formula>"Baja"</formula>
    </cfRule>
    <cfRule type="cellIs" dxfId="511" priority="447" operator="equal">
      <formula>"Muy Alta"</formula>
    </cfRule>
    <cfRule type="cellIs" dxfId="510" priority="448" operator="equal">
      <formula>"Alta"</formula>
    </cfRule>
    <cfRule type="cellIs" dxfId="509" priority="449" operator="equal">
      <formula>"Media"</formula>
    </cfRule>
    <cfRule type="cellIs" dxfId="508" priority="451" operator="equal">
      <formula>"Muy Baja"</formula>
    </cfRule>
  </conditionalFormatting>
  <conditionalFormatting sqref="K132:K138">
    <cfRule type="cellIs" dxfId="507" priority="324" operator="equal">
      <formula>"Alta"</formula>
    </cfRule>
    <cfRule type="cellIs" dxfId="506" priority="323" operator="equal">
      <formula>"Muy Alta"</formula>
    </cfRule>
    <cfRule type="cellIs" dxfId="505" priority="327" operator="equal">
      <formula>"Muy Baja"</formula>
    </cfRule>
    <cfRule type="cellIs" dxfId="504" priority="326" operator="equal">
      <formula>"Baja"</formula>
    </cfRule>
    <cfRule type="cellIs" dxfId="503" priority="325" operator="equal">
      <formula>"Media"</formula>
    </cfRule>
  </conditionalFormatting>
  <conditionalFormatting sqref="K149">
    <cfRule type="cellIs" dxfId="502" priority="310" operator="equal">
      <formula>"Alta"</formula>
    </cfRule>
    <cfRule type="cellIs" dxfId="501" priority="311" operator="equal">
      <formula>"Media"</formula>
    </cfRule>
    <cfRule type="cellIs" dxfId="500" priority="309" operator="equal">
      <formula>"Muy Alta"</formula>
    </cfRule>
    <cfRule type="cellIs" dxfId="499" priority="313" operator="equal">
      <formula>"Muy Baja"</formula>
    </cfRule>
    <cfRule type="cellIs" dxfId="498" priority="312" operator="equal">
      <formula>"Baja"</formula>
    </cfRule>
  </conditionalFormatting>
  <conditionalFormatting sqref="K163">
    <cfRule type="cellIs" dxfId="497" priority="280" operator="equal">
      <formula>"Muy Alta"</formula>
    </cfRule>
    <cfRule type="cellIs" dxfId="496" priority="281" operator="equal">
      <formula>"Alta"</formula>
    </cfRule>
    <cfRule type="cellIs" dxfId="495" priority="282" operator="equal">
      <formula>"Media"</formula>
    </cfRule>
    <cfRule type="cellIs" dxfId="494" priority="283" operator="equal">
      <formula>"Baja"</formula>
    </cfRule>
    <cfRule type="cellIs" dxfId="493" priority="284" operator="equal">
      <formula>"Muy Baja"</formula>
    </cfRule>
  </conditionalFormatting>
  <conditionalFormatting sqref="K177 AB177:AB179">
    <cfRule type="cellIs" dxfId="492" priority="251" operator="equal">
      <formula>"Muy Alta"</formula>
    </cfRule>
    <cfRule type="cellIs" dxfId="491" priority="252" operator="equal">
      <formula>"Alta"</formula>
    </cfRule>
    <cfRule type="cellIs" dxfId="490" priority="253" operator="equal">
      <formula>"Media"</formula>
    </cfRule>
    <cfRule type="cellIs" dxfId="489" priority="254" operator="equal">
      <formula>"Baja"</formula>
    </cfRule>
    <cfRule type="cellIs" dxfId="488" priority="255" operator="equal">
      <formula>"Muy Baja"</formula>
    </cfRule>
  </conditionalFormatting>
  <conditionalFormatting sqref="K189 K191 K194 AB196">
    <cfRule type="cellIs" dxfId="487" priority="212" operator="equal">
      <formula>"Muy Baja"</formula>
    </cfRule>
    <cfRule type="cellIs" dxfId="486" priority="211" operator="equal">
      <formula>"Baja"</formula>
    </cfRule>
    <cfRule type="cellIs" dxfId="485" priority="210" operator="equal">
      <formula>"Media"</formula>
    </cfRule>
    <cfRule type="cellIs" dxfId="484" priority="209" operator="equal">
      <formula>"Alta"</formula>
    </cfRule>
    <cfRule type="cellIs" dxfId="483" priority="208" operator="equal">
      <formula>"Muy Alta"</formula>
    </cfRule>
  </conditionalFormatting>
  <conditionalFormatting sqref="K206 AB206:AB209">
    <cfRule type="cellIs" dxfId="482" priority="195" operator="equal">
      <formula>"Media"</formula>
    </cfRule>
    <cfRule type="cellIs" dxfId="481" priority="197" operator="equal">
      <formula>"Muy Baja"</formula>
    </cfRule>
    <cfRule type="cellIs" dxfId="480" priority="194" operator="equal">
      <formula>"Alta"</formula>
    </cfRule>
    <cfRule type="cellIs" dxfId="479" priority="193" operator="equal">
      <formula>"Muy Alta"</formula>
    </cfRule>
    <cfRule type="cellIs" dxfId="478" priority="196" operator="equal">
      <formula>"Baja"</formula>
    </cfRule>
  </conditionalFormatting>
  <conditionalFormatting sqref="K219:K223">
    <cfRule type="cellIs" dxfId="477" priority="189" operator="equal">
      <formula>"Alta"</formula>
    </cfRule>
    <cfRule type="cellIs" dxfId="476" priority="190" operator="equal">
      <formula>"Media"</formula>
    </cfRule>
    <cfRule type="cellIs" dxfId="475" priority="191" operator="equal">
      <formula>"Baja"</formula>
    </cfRule>
    <cfRule type="cellIs" dxfId="474" priority="192" operator="equal">
      <formula>"Muy Baja"</formula>
    </cfRule>
    <cfRule type="cellIs" dxfId="473" priority="188" operator="equal">
      <formula>"Muy Alta"</formula>
    </cfRule>
  </conditionalFormatting>
  <conditionalFormatting sqref="K234 K238 K240:K241">
    <cfRule type="cellIs" dxfId="472" priority="155" operator="equal">
      <formula>"Muy Alta"</formula>
    </cfRule>
    <cfRule type="cellIs" dxfId="471" priority="156" operator="equal">
      <formula>"Alta"</formula>
    </cfRule>
    <cfRule type="cellIs" dxfId="470" priority="159" operator="equal">
      <formula>"Muy Baja"</formula>
    </cfRule>
    <cfRule type="cellIs" dxfId="469" priority="158" operator="equal">
      <formula>"Baja"</formula>
    </cfRule>
    <cfRule type="cellIs" dxfId="468" priority="157" operator="equal">
      <formula>"Media"</formula>
    </cfRule>
  </conditionalFormatting>
  <conditionalFormatting sqref="K251 AB251">
    <cfRule type="cellIs" dxfId="467" priority="120" operator="equal">
      <formula>"Baja"</formula>
    </cfRule>
    <cfRule type="cellIs" dxfId="466" priority="121" operator="equal">
      <formula>"Muy Baja"</formula>
    </cfRule>
    <cfRule type="cellIs" dxfId="465" priority="119" operator="equal">
      <formula>"Media"</formula>
    </cfRule>
    <cfRule type="cellIs" dxfId="464" priority="117" operator="equal">
      <formula>"Muy Alta"</formula>
    </cfRule>
    <cfRule type="cellIs" dxfId="463" priority="118" operator="equal">
      <formula>"Alta"</formula>
    </cfRule>
  </conditionalFormatting>
  <conditionalFormatting sqref="K263 K267">
    <cfRule type="cellIs" dxfId="462" priority="106" operator="equal">
      <formula>"Muy Baja"</formula>
    </cfRule>
    <cfRule type="cellIs" dxfId="461" priority="105" operator="equal">
      <formula>"Baja"</formula>
    </cfRule>
    <cfRule type="cellIs" dxfId="460" priority="103" operator="equal">
      <formula>"Alta"</formula>
    </cfRule>
    <cfRule type="cellIs" dxfId="459" priority="102" operator="equal">
      <formula>"Muy Alta"</formula>
    </cfRule>
    <cfRule type="cellIs" dxfId="458" priority="104" operator="equal">
      <formula>"Media"</formula>
    </cfRule>
  </conditionalFormatting>
  <conditionalFormatting sqref="K270">
    <cfRule type="cellIs" dxfId="457" priority="58" operator="equal">
      <formula>"Media"</formula>
    </cfRule>
    <cfRule type="cellIs" dxfId="456" priority="57" operator="equal">
      <formula>"Alta"</formula>
    </cfRule>
    <cfRule type="cellIs" dxfId="455" priority="60" operator="equal">
      <formula>"Muy Baja"</formula>
    </cfRule>
    <cfRule type="cellIs" dxfId="454" priority="56" operator="equal">
      <formula>"Muy Alta"</formula>
    </cfRule>
    <cfRule type="cellIs" dxfId="453" priority="59" operator="equal">
      <formula>"Baja"</formula>
    </cfRule>
  </conditionalFormatting>
  <conditionalFormatting sqref="K304 AB304:AB308">
    <cfRule type="cellIs" dxfId="452" priority="30" operator="equal">
      <formula>"Muy Baja"</formula>
    </cfRule>
    <cfRule type="cellIs" dxfId="451" priority="26" operator="equal">
      <formula>"Muy Alta"</formula>
    </cfRule>
    <cfRule type="cellIs" dxfId="450" priority="27" operator="equal">
      <formula>"Alta"</formula>
    </cfRule>
    <cfRule type="cellIs" dxfId="449" priority="28" operator="equal">
      <formula>"Media"</formula>
    </cfRule>
    <cfRule type="cellIs" dxfId="448" priority="29" operator="equal">
      <formula>"Baja"</formula>
    </cfRule>
  </conditionalFormatting>
  <conditionalFormatting sqref="M116:N120 N189:N196">
    <cfRule type="containsText" dxfId="447" priority="395" operator="containsText" text="❌">
      <formula>NOT(ISERROR(SEARCH(("❌"),(M116))))</formula>
    </cfRule>
  </conditionalFormatting>
  <conditionalFormatting sqref="N10:N11">
    <cfRule type="containsText" dxfId="446" priority="639" operator="containsText" text="❌">
      <formula>NOT(ISERROR(SEARCH(("❌"),(N10))))</formula>
    </cfRule>
  </conditionalFormatting>
  <conditionalFormatting sqref="N21:N27 N219:N223 N234:N241 N263:N270">
    <cfRule type="containsText" dxfId="445" priority="633" operator="containsText" text="❌">
      <formula>NOT(ISERROR(SEARCH("❌",N21)))</formula>
    </cfRule>
  </conditionalFormatting>
  <conditionalFormatting sqref="N37:N45">
    <cfRule type="containsText" dxfId="444" priority="557" operator="containsText" text="❌">
      <formula>NOT(ISERROR(SEARCH("❌",N37)))</formula>
    </cfRule>
  </conditionalFormatting>
  <conditionalFormatting sqref="N55">
    <cfRule type="containsText" dxfId="443" priority="519" operator="containsText" text="❌">
      <formula>NOT(ISERROR(SEARCH(("❌"),(N55))))</formula>
    </cfRule>
  </conditionalFormatting>
  <conditionalFormatting sqref="N71:N75">
    <cfRule type="containsText" dxfId="442" priority="499" operator="containsText" text="❌">
      <formula>NOT(ISERROR(SEARCH("❌",N71)))</formula>
    </cfRule>
  </conditionalFormatting>
  <conditionalFormatting sqref="N86:N89">
    <cfRule type="containsText" dxfId="441" priority="995" operator="containsText" text="❌">
      <formula>NOT(ISERROR(SEARCH("❌",N86)))</formula>
    </cfRule>
  </conditionalFormatting>
  <conditionalFormatting sqref="N100:N106">
    <cfRule type="containsText" dxfId="440" priority="419" operator="containsText" text="❌">
      <formula>NOT(ISERROR(SEARCH("❌",N100)))</formula>
    </cfRule>
  </conditionalFormatting>
  <conditionalFormatting sqref="N116:N122 M121">
    <cfRule type="containsText" dxfId="439" priority="380" operator="containsText" text="❌">
      <formula>NOT(ISERROR(SEARCH(("❌"),(M116))))</formula>
    </cfRule>
  </conditionalFormatting>
  <conditionalFormatting sqref="N132:N138 M272 M294 M321:M373">
    <cfRule type="containsText" dxfId="438" priority="1010" operator="containsText" text="❌">
      <formula>NOT(ISERROR(SEARCH("❌",M132)))</formula>
    </cfRule>
  </conditionalFormatting>
  <conditionalFormatting sqref="N149:N152">
    <cfRule type="containsText" dxfId="437" priority="299" operator="containsText" text="❌">
      <formula>NOT(ISERROR(SEARCH("❌",N149)))</formula>
    </cfRule>
  </conditionalFormatting>
  <conditionalFormatting sqref="N163:N166">
    <cfRule type="containsText" dxfId="436" priority="270" operator="containsText" text="❌">
      <formula>NOT(ISERROR(SEARCH("❌",N163)))</formula>
    </cfRule>
  </conditionalFormatting>
  <conditionalFormatting sqref="N206:N209">
    <cfRule type="containsText" dxfId="435" priority="198" operator="containsText" text="❌">
      <formula>NOT(ISERROR(SEARCH(("❌"),(N206))))</formula>
    </cfRule>
  </conditionalFormatting>
  <conditionalFormatting sqref="N251:N253">
    <cfRule type="containsText" dxfId="434" priority="107" operator="containsText" text="❌">
      <formula>NOT(ISERROR(SEARCH("❌",N251)))</formula>
    </cfRule>
  </conditionalFormatting>
  <conditionalFormatting sqref="N282:N293">
    <cfRule type="containsText" dxfId="433" priority="31" operator="containsText" text="❌">
      <formula>NOT(ISERROR(SEARCH("❌",N282)))</formula>
    </cfRule>
  </conditionalFormatting>
  <conditionalFormatting sqref="N304:N308">
    <cfRule type="containsText" dxfId="432" priority="16" operator="containsText" text="❌">
      <formula>NOT(ISERROR(SEARCH("❌",N304)))</formula>
    </cfRule>
  </conditionalFormatting>
  <conditionalFormatting sqref="N116:O116 N119:O119 AC119:AD119 AD189:AD194">
    <cfRule type="cellIs" dxfId="431" priority="400" operator="equal">
      <formula>"Leve"</formula>
    </cfRule>
    <cfRule type="cellIs" dxfId="430" priority="399" operator="equal">
      <formula>"Menor"</formula>
    </cfRule>
    <cfRule type="cellIs" dxfId="429" priority="398" operator="equal">
      <formula>"Moderado"</formula>
    </cfRule>
    <cfRule type="cellIs" dxfId="428" priority="397" operator="equal">
      <formula>"Mayor"</formula>
    </cfRule>
    <cfRule type="cellIs" dxfId="427" priority="396" operator="equal">
      <formula>"Catastrófico"</formula>
    </cfRule>
  </conditionalFormatting>
  <conditionalFormatting sqref="O10 AD10:AD11">
    <cfRule type="cellIs" dxfId="426" priority="644" operator="equal">
      <formula>"Leve"</formula>
    </cfRule>
    <cfRule type="cellIs" dxfId="425" priority="640" operator="equal">
      <formula>"Catastrófico"</formula>
    </cfRule>
    <cfRule type="cellIs" dxfId="424" priority="641" operator="equal">
      <formula>"Mayor"</formula>
    </cfRule>
    <cfRule type="cellIs" dxfId="423" priority="642" operator="equal">
      <formula>"Moderado"</formula>
    </cfRule>
    <cfRule type="cellIs" dxfId="422" priority="643" operator="equal">
      <formula>"Menor"</formula>
    </cfRule>
  </conditionalFormatting>
  <conditionalFormatting sqref="O21">
    <cfRule type="cellIs" dxfId="421" priority="614" operator="equal">
      <formula>"Leve"</formula>
    </cfRule>
    <cfRule type="cellIs" dxfId="420" priority="611" operator="equal">
      <formula>"Mayor"</formula>
    </cfRule>
    <cfRule type="cellIs" dxfId="419" priority="612" operator="equal">
      <formula>"Moderado"</formula>
    </cfRule>
    <cfRule type="cellIs" dxfId="418" priority="610" operator="equal">
      <formula>"Catastrófico"</formula>
    </cfRule>
    <cfRule type="cellIs" dxfId="417" priority="613" operator="equal">
      <formula>"Menor"</formula>
    </cfRule>
  </conditionalFormatting>
  <conditionalFormatting sqref="O24 O26">
    <cfRule type="cellIs" dxfId="416" priority="581" operator="equal">
      <formula>"Catastrófico"</formula>
    </cfRule>
    <cfRule type="cellIs" dxfId="415" priority="582" operator="equal">
      <formula>"Mayor"</formula>
    </cfRule>
    <cfRule type="cellIs" dxfId="414" priority="583" operator="equal">
      <formula>"Moderado"</formula>
    </cfRule>
    <cfRule type="cellIs" dxfId="413" priority="584" operator="equal">
      <formula>"Menor"</formula>
    </cfRule>
    <cfRule type="cellIs" dxfId="412" priority="585" operator="equal">
      <formula>"Leve"</formula>
    </cfRule>
  </conditionalFormatting>
  <conditionalFormatting sqref="O37 AD37:AD45 O42 AD86:AD89 AD132:AD138 AD219:AD223 AD234:AD241">
    <cfRule type="cellIs" dxfId="411" priority="569" operator="equal">
      <formula>"Menor"</formula>
    </cfRule>
    <cfRule type="cellIs" dxfId="410" priority="570" operator="equal">
      <formula>"Leve"</formula>
    </cfRule>
    <cfRule type="cellIs" dxfId="409" priority="566" operator="equal">
      <formula>"Catastrófico"</formula>
    </cfRule>
    <cfRule type="cellIs" dxfId="408" priority="568" operator="equal">
      <formula>"Moderado"</formula>
    </cfRule>
    <cfRule type="cellIs" dxfId="407" priority="567" operator="equal">
      <formula>"Mayor"</formula>
    </cfRule>
  </conditionalFormatting>
  <conditionalFormatting sqref="O55">
    <cfRule type="cellIs" dxfId="406" priority="523" operator="equal">
      <formula>"Menor"</formula>
    </cfRule>
    <cfRule type="cellIs" dxfId="405" priority="524" operator="equal">
      <formula>"Leve"</formula>
    </cfRule>
    <cfRule type="cellIs" dxfId="404" priority="520" operator="equal">
      <formula>"Catastrófico"</formula>
    </cfRule>
    <cfRule type="cellIs" dxfId="403" priority="521" operator="equal">
      <formula>"Mayor"</formula>
    </cfRule>
    <cfRule type="cellIs" dxfId="402" priority="522" operator="equal">
      <formula>"Moderado"</formula>
    </cfRule>
  </conditionalFormatting>
  <conditionalFormatting sqref="O71">
    <cfRule type="cellIs" dxfId="401" priority="508" operator="equal">
      <formula>"Leve"</formula>
    </cfRule>
    <cfRule type="cellIs" dxfId="400" priority="507" operator="equal">
      <formula>"Menor"</formula>
    </cfRule>
    <cfRule type="cellIs" dxfId="399" priority="506" operator="equal">
      <formula>"Moderado"</formula>
    </cfRule>
    <cfRule type="cellIs" dxfId="398" priority="504" operator="equal">
      <formula>"Catastrófico"</formula>
    </cfRule>
    <cfRule type="cellIs" dxfId="397" priority="505" operator="equal">
      <formula>"Mayor"</formula>
    </cfRule>
  </conditionalFormatting>
  <conditionalFormatting sqref="O86 O88">
    <cfRule type="cellIs" dxfId="396" priority="479" operator="equal">
      <formula>"Leve"</formula>
    </cfRule>
    <cfRule type="cellIs" dxfId="395" priority="477" operator="equal">
      <formula>"Moderado"</formula>
    </cfRule>
    <cfRule type="cellIs" dxfId="394" priority="476" operator="equal">
      <formula>"Mayor"</formula>
    </cfRule>
    <cfRule type="cellIs" dxfId="393" priority="475" operator="equal">
      <formula>"Catastrófico"</formula>
    </cfRule>
    <cfRule type="cellIs" dxfId="392" priority="478" operator="equal">
      <formula>"Menor"</formula>
    </cfRule>
  </conditionalFormatting>
  <conditionalFormatting sqref="O100:O101 O105">
    <cfRule type="cellIs" dxfId="391" priority="443" operator="equal">
      <formula>"Mayor"</formula>
    </cfRule>
    <cfRule type="cellIs" dxfId="390" priority="444" operator="equal">
      <formula>"Moderado"</formula>
    </cfRule>
    <cfRule type="cellIs" dxfId="389" priority="445" operator="equal">
      <formula>"Menor"</formula>
    </cfRule>
    <cfRule type="cellIs" dxfId="388" priority="446" operator="equal">
      <formula>"Leve"</formula>
    </cfRule>
    <cfRule type="cellIs" dxfId="387" priority="442" operator="equal">
      <formula>"Catastrófico"</formula>
    </cfRule>
  </conditionalFormatting>
  <conditionalFormatting sqref="O116 AC116:AD116">
    <cfRule type="cellIs" dxfId="386" priority="384" operator="equal">
      <formula>"Menor"</formula>
    </cfRule>
    <cfRule type="cellIs" dxfId="385" priority="381" operator="equal">
      <formula>"Catastrófico"</formula>
    </cfRule>
    <cfRule type="cellIs" dxfId="384" priority="382" operator="equal">
      <formula>"Mayor"</formula>
    </cfRule>
    <cfRule type="cellIs" dxfId="383" priority="383" operator="equal">
      <formula>"Moderado"</formula>
    </cfRule>
    <cfRule type="cellIs" dxfId="382" priority="385" operator="equal">
      <formula>"Leve"</formula>
    </cfRule>
  </conditionalFormatting>
  <conditionalFormatting sqref="O132:O138">
    <cfRule type="cellIs" dxfId="381" priority="322" operator="equal">
      <formula>"Leve"</formula>
    </cfRule>
    <cfRule type="cellIs" dxfId="380" priority="321" operator="equal">
      <formula>"Menor"</formula>
    </cfRule>
    <cfRule type="cellIs" dxfId="379" priority="320" operator="equal">
      <formula>"Moderado"</formula>
    </cfRule>
    <cfRule type="cellIs" dxfId="378" priority="319" operator="equal">
      <formula>"Mayor"</formula>
    </cfRule>
    <cfRule type="cellIs" dxfId="377" priority="318" operator="equal">
      <formula>"Catastrófico"</formula>
    </cfRule>
  </conditionalFormatting>
  <conditionalFormatting sqref="O149">
    <cfRule type="cellIs" dxfId="376" priority="307" operator="equal">
      <formula>"Menor"</formula>
    </cfRule>
    <cfRule type="cellIs" dxfId="375" priority="306" operator="equal">
      <formula>"Moderado"</formula>
    </cfRule>
    <cfRule type="cellIs" dxfId="374" priority="305" operator="equal">
      <formula>"Mayor"</formula>
    </cfRule>
    <cfRule type="cellIs" dxfId="373" priority="304" operator="equal">
      <formula>"Catastrófico"</formula>
    </cfRule>
    <cfRule type="cellIs" dxfId="372" priority="308" operator="equal">
      <formula>"Leve"</formula>
    </cfRule>
  </conditionalFormatting>
  <conditionalFormatting sqref="O163">
    <cfRule type="cellIs" dxfId="371" priority="275" operator="equal">
      <formula>"Catastrófico"</formula>
    </cfRule>
    <cfRule type="cellIs" dxfId="370" priority="276" operator="equal">
      <formula>"Mayor"</formula>
    </cfRule>
    <cfRule type="cellIs" dxfId="369" priority="277" operator="equal">
      <formula>"Moderado"</formula>
    </cfRule>
    <cfRule type="cellIs" dxfId="368" priority="279" operator="equal">
      <formula>"Leve"</formula>
    </cfRule>
    <cfRule type="cellIs" dxfId="367" priority="278" operator="equal">
      <formula>"Menor"</formula>
    </cfRule>
  </conditionalFormatting>
  <conditionalFormatting sqref="O177 AD177:AD179">
    <cfRule type="cellIs" dxfId="366" priority="249" operator="equal">
      <formula>"Menor"</formula>
    </cfRule>
    <cfRule type="cellIs" dxfId="365" priority="250" operator="equal">
      <formula>"Leve"</formula>
    </cfRule>
    <cfRule type="cellIs" dxfId="364" priority="248" operator="equal">
      <formula>"Moderado"</formula>
    </cfRule>
    <cfRule type="cellIs" dxfId="363" priority="246" operator="equal">
      <formula>"Catastrófico"</formula>
    </cfRule>
    <cfRule type="cellIs" dxfId="362" priority="247" operator="equal">
      <formula>"Mayor"</formula>
    </cfRule>
  </conditionalFormatting>
  <conditionalFormatting sqref="O189 O191 O194 AD196">
    <cfRule type="cellIs" dxfId="361" priority="218" operator="equal">
      <formula>"Leve"</formula>
    </cfRule>
    <cfRule type="cellIs" dxfId="360" priority="217" operator="equal">
      <formula>"Menor"</formula>
    </cfRule>
    <cfRule type="cellIs" dxfId="359" priority="214" operator="equal">
      <formula>"Catastrófico"</formula>
    </cfRule>
    <cfRule type="cellIs" dxfId="358" priority="215" operator="equal">
      <formula>"Mayor"</formula>
    </cfRule>
    <cfRule type="cellIs" dxfId="357" priority="216" operator="equal">
      <formula>"Moderado"</formula>
    </cfRule>
  </conditionalFormatting>
  <conditionalFormatting sqref="O206 AD206:AD209">
    <cfRule type="cellIs" dxfId="356" priority="200" operator="equal">
      <formula>"Mayor"</formula>
    </cfRule>
    <cfRule type="cellIs" dxfId="355" priority="199" operator="equal">
      <formula>"Catastrófico"</formula>
    </cfRule>
    <cfRule type="cellIs" dxfId="354" priority="201" operator="equal">
      <formula>"Moderado"</formula>
    </cfRule>
    <cfRule type="cellIs" dxfId="353" priority="202" operator="equal">
      <formula>"Menor"</formula>
    </cfRule>
    <cfRule type="cellIs" dxfId="352" priority="203" operator="equal">
      <formula>"Leve"</formula>
    </cfRule>
  </conditionalFormatting>
  <conditionalFormatting sqref="O219 O223">
    <cfRule type="cellIs" dxfId="351" priority="185" operator="equal">
      <formula>"Moderado"</formula>
    </cfRule>
    <cfRule type="cellIs" dxfId="350" priority="186" operator="equal">
      <formula>"Menor"</formula>
    </cfRule>
    <cfRule type="cellIs" dxfId="349" priority="187" operator="equal">
      <formula>"Leve"</formula>
    </cfRule>
    <cfRule type="cellIs" dxfId="348" priority="184" operator="equal">
      <formula>"Mayor"</formula>
    </cfRule>
    <cfRule type="cellIs" dxfId="347" priority="183" operator="equal">
      <formula>"Catastrófico"</formula>
    </cfRule>
  </conditionalFormatting>
  <conditionalFormatting sqref="O234 O238 O240:O241">
    <cfRule type="cellIs" dxfId="346" priority="150" operator="equal">
      <formula>"Catastrófico"</formula>
    </cfRule>
    <cfRule type="cellIs" dxfId="345" priority="151" operator="equal">
      <formula>"Mayor"</formula>
    </cfRule>
    <cfRule type="cellIs" dxfId="344" priority="152" operator="equal">
      <formula>"Moderado"</formula>
    </cfRule>
    <cfRule type="cellIs" dxfId="343" priority="153" operator="equal">
      <formula>"Menor"</formula>
    </cfRule>
    <cfRule type="cellIs" dxfId="342" priority="154" operator="equal">
      <formula>"Leve"</formula>
    </cfRule>
  </conditionalFormatting>
  <conditionalFormatting sqref="O251 AD251">
    <cfRule type="cellIs" dxfId="341" priority="116" operator="equal">
      <formula>"Leve"</formula>
    </cfRule>
    <cfRule type="cellIs" dxfId="340" priority="115" operator="equal">
      <formula>"Menor"</formula>
    </cfRule>
    <cfRule type="cellIs" dxfId="339" priority="114" operator="equal">
      <formula>"Moderado"</formula>
    </cfRule>
    <cfRule type="cellIs" dxfId="338" priority="113" operator="equal">
      <formula>"Mayor"</formula>
    </cfRule>
    <cfRule type="cellIs" dxfId="337" priority="112" operator="equal">
      <formula>"Catastrófico"</formula>
    </cfRule>
  </conditionalFormatting>
  <conditionalFormatting sqref="O263 O267">
    <cfRule type="cellIs" dxfId="336" priority="99" operator="equal">
      <formula>"Moderado"</formula>
    </cfRule>
    <cfRule type="cellIs" dxfId="335" priority="100" operator="equal">
      <formula>"Menor"</formula>
    </cfRule>
    <cfRule type="cellIs" dxfId="334" priority="97" operator="equal">
      <formula>"Catastrófico"</formula>
    </cfRule>
    <cfRule type="cellIs" dxfId="333" priority="101" operator="equal">
      <formula>"Leve"</formula>
    </cfRule>
    <cfRule type="cellIs" dxfId="332" priority="98" operator="equal">
      <formula>"Mayor"</formula>
    </cfRule>
  </conditionalFormatting>
  <conditionalFormatting sqref="O270">
    <cfRule type="cellIs" dxfId="331" priority="53" operator="equal">
      <formula>"Moderado"</formula>
    </cfRule>
    <cfRule type="cellIs" dxfId="330" priority="54" operator="equal">
      <formula>"Menor"</formula>
    </cfRule>
    <cfRule type="cellIs" dxfId="329" priority="51" operator="equal">
      <formula>"Catastrófico"</formula>
    </cfRule>
    <cfRule type="cellIs" dxfId="328" priority="52" operator="equal">
      <formula>"Mayor"</formula>
    </cfRule>
    <cfRule type="cellIs" dxfId="327" priority="55" operator="equal">
      <formula>"Leve"</formula>
    </cfRule>
  </conditionalFormatting>
  <conditionalFormatting sqref="O304 AD304:AD308">
    <cfRule type="cellIs" dxfId="326" priority="25" operator="equal">
      <formula>"Leve"</formula>
    </cfRule>
    <cfRule type="cellIs" dxfId="325" priority="23" operator="equal">
      <formula>"Moderado"</formula>
    </cfRule>
    <cfRule type="cellIs" dxfId="324" priority="22" operator="equal">
      <formula>"Mayor"</formula>
    </cfRule>
    <cfRule type="cellIs" dxfId="323" priority="21" operator="equal">
      <formula>"Catastrófico"</formula>
    </cfRule>
    <cfRule type="cellIs" dxfId="322" priority="24" operator="equal">
      <formula>"Menor"</formula>
    </cfRule>
  </conditionalFormatting>
  <conditionalFormatting sqref="P116:Q116 AE116:AF116 AF189:AF194">
    <cfRule type="cellIs" dxfId="321" priority="387" operator="equal">
      <formula>"Alto"</formula>
    </cfRule>
    <cfRule type="cellIs" dxfId="320" priority="388" operator="equal">
      <formula>"Moderado"</formula>
    </cfRule>
    <cfRule type="cellIs" dxfId="319" priority="389" operator="equal">
      <formula>"Bajo"</formula>
    </cfRule>
    <cfRule type="cellIs" dxfId="318" priority="386" operator="equal">
      <formula>"Extremo"</formula>
    </cfRule>
  </conditionalFormatting>
  <conditionalFormatting sqref="P119:Q119 AE119:AF119">
    <cfRule type="cellIs" dxfId="317" priority="404" operator="equal">
      <formula>"Bajo"</formula>
    </cfRule>
    <cfRule type="cellIs" dxfId="316" priority="403" operator="equal">
      <formula>"Moderado"</formula>
    </cfRule>
    <cfRule type="cellIs" dxfId="315" priority="402" operator="equal">
      <formula>"Alto"</formula>
    </cfRule>
    <cfRule type="cellIs" dxfId="314" priority="401" operator="equal">
      <formula>"Extremo"</formula>
    </cfRule>
  </conditionalFormatting>
  <conditionalFormatting sqref="Q10 AF10:AF11">
    <cfRule type="cellIs" dxfId="313" priority="645" operator="equal">
      <formula>"Extremo"</formula>
    </cfRule>
    <cfRule type="cellIs" dxfId="312" priority="648" operator="equal">
      <formula>"Bajo"</formula>
    </cfRule>
    <cfRule type="cellIs" dxfId="311" priority="647" operator="equal">
      <formula>"Moderado"</formula>
    </cfRule>
    <cfRule type="cellIs" dxfId="310" priority="646" operator="equal">
      <formula>"Alto"</formula>
    </cfRule>
  </conditionalFormatting>
  <conditionalFormatting sqref="Q21">
    <cfRule type="cellIs" dxfId="309" priority="616" operator="equal">
      <formula>"Alto"</formula>
    </cfRule>
    <cfRule type="cellIs" dxfId="308" priority="615" operator="equal">
      <formula>"Extremo"</formula>
    </cfRule>
    <cfRule type="cellIs" dxfId="307" priority="618" operator="equal">
      <formula>"Bajo"</formula>
    </cfRule>
    <cfRule type="cellIs" dxfId="306" priority="617" operator="equal">
      <formula>"Moderado"</formula>
    </cfRule>
  </conditionalFormatting>
  <conditionalFormatting sqref="Q24 Q26">
    <cfRule type="cellIs" dxfId="305" priority="601" operator="equal">
      <formula>"Alto"</formula>
    </cfRule>
    <cfRule type="cellIs" dxfId="304" priority="600" operator="equal">
      <formula>"Extremo"</formula>
    </cfRule>
    <cfRule type="cellIs" dxfId="303" priority="602" operator="equal">
      <formula>"Moderado"</formula>
    </cfRule>
    <cfRule type="cellIs" dxfId="302" priority="603" operator="equal">
      <formula>"Bajo"</formula>
    </cfRule>
  </conditionalFormatting>
  <conditionalFormatting sqref="Q37 AF37:AF45 AF86:AF89 AF132:AF138 AF223 AF234:AF241">
    <cfRule type="cellIs" dxfId="301" priority="565" operator="equal">
      <formula>"Bajo"</formula>
    </cfRule>
    <cfRule type="cellIs" dxfId="300" priority="564" operator="equal">
      <formula>"Moderado"</formula>
    </cfRule>
    <cfRule type="cellIs" dxfId="299" priority="563" operator="equal">
      <formula>"Alto"</formula>
    </cfRule>
    <cfRule type="cellIs" dxfId="298" priority="562" operator="equal">
      <formula>"Extremo"</formula>
    </cfRule>
  </conditionalFormatting>
  <conditionalFormatting sqref="Q42">
    <cfRule type="cellIs" dxfId="297" priority="561" operator="equal">
      <formula>"Bajo"</formula>
    </cfRule>
    <cfRule type="cellIs" dxfId="296" priority="560" operator="equal">
      <formula>"Moderado"</formula>
    </cfRule>
    <cfRule type="cellIs" dxfId="295" priority="559" operator="equal">
      <formula>"Alto"</formula>
    </cfRule>
    <cfRule type="cellIs" dxfId="294" priority="558" operator="equal">
      <formula>"Extremo"</formula>
    </cfRule>
  </conditionalFormatting>
  <conditionalFormatting sqref="Q55">
    <cfRule type="cellIs" dxfId="293" priority="528" operator="equal">
      <formula>"Bajo"</formula>
    </cfRule>
    <cfRule type="cellIs" dxfId="292" priority="527" operator="equal">
      <formula>"Moderado"</formula>
    </cfRule>
    <cfRule type="cellIs" dxfId="291" priority="526" operator="equal">
      <formula>"Alto"</formula>
    </cfRule>
    <cfRule type="cellIs" dxfId="290" priority="525" operator="equal">
      <formula>"Extremo"</formula>
    </cfRule>
  </conditionalFormatting>
  <conditionalFormatting sqref="Q71">
    <cfRule type="cellIs" dxfId="289" priority="501" operator="equal">
      <formula>"Alto"</formula>
    </cfRule>
    <cfRule type="cellIs" dxfId="288" priority="500" operator="equal">
      <formula>"Extremo"</formula>
    </cfRule>
    <cfRule type="cellIs" dxfId="287" priority="502" operator="equal">
      <formula>"Moderado"</formula>
    </cfRule>
    <cfRule type="cellIs" dxfId="286" priority="503" operator="equal">
      <formula>"Bajo"</formula>
    </cfRule>
  </conditionalFormatting>
  <conditionalFormatting sqref="Q86">
    <cfRule type="cellIs" dxfId="285" priority="472" operator="equal">
      <formula>"Alto"</formula>
    </cfRule>
    <cfRule type="cellIs" dxfId="284" priority="473" operator="equal">
      <formula>"Moderado"</formula>
    </cfRule>
    <cfRule type="cellIs" dxfId="283" priority="474" operator="equal">
      <formula>"Bajo"</formula>
    </cfRule>
    <cfRule type="cellIs" dxfId="282" priority="471" operator="equal">
      <formula>"Extremo"</formula>
    </cfRule>
  </conditionalFormatting>
  <conditionalFormatting sqref="Q88">
    <cfRule type="cellIs" dxfId="281" priority="470" operator="equal">
      <formula>"Bajo"</formula>
    </cfRule>
    <cfRule type="cellIs" dxfId="280" priority="468" operator="equal">
      <formula>"Alto"</formula>
    </cfRule>
    <cfRule type="cellIs" dxfId="279" priority="467" operator="equal">
      <formula>"Extremo"</formula>
    </cfRule>
    <cfRule type="cellIs" dxfId="278" priority="469" operator="equal">
      <formula>"Moderado"</formula>
    </cfRule>
  </conditionalFormatting>
  <conditionalFormatting sqref="Q100:Q101">
    <cfRule type="cellIs" dxfId="277" priority="441" operator="equal">
      <formula>"Bajo"</formula>
    </cfRule>
    <cfRule type="cellIs" dxfId="276" priority="438" operator="equal">
      <formula>"Extremo"</formula>
    </cfRule>
    <cfRule type="cellIs" dxfId="275" priority="439" operator="equal">
      <formula>"Alto"</formula>
    </cfRule>
    <cfRule type="cellIs" dxfId="274" priority="440" operator="equal">
      <formula>"Moderado"</formula>
    </cfRule>
  </conditionalFormatting>
  <conditionalFormatting sqref="Q105">
    <cfRule type="cellIs" dxfId="273" priority="420" operator="equal">
      <formula>"Extremo"</formula>
    </cfRule>
    <cfRule type="cellIs" dxfId="272" priority="422" operator="equal">
      <formula>"Moderado"</formula>
    </cfRule>
    <cfRule type="cellIs" dxfId="271" priority="423" operator="equal">
      <formula>"Bajo"</formula>
    </cfRule>
    <cfRule type="cellIs" dxfId="270" priority="421" operator="equal">
      <formula>"Alto"</formula>
    </cfRule>
  </conditionalFormatting>
  <conditionalFormatting sqref="Q132:Q138">
    <cfRule type="cellIs" dxfId="269" priority="314" operator="equal">
      <formula>"Extremo"</formula>
    </cfRule>
    <cfRule type="cellIs" dxfId="268" priority="315" operator="equal">
      <formula>"Alto"</formula>
    </cfRule>
    <cfRule type="cellIs" dxfId="267" priority="316" operator="equal">
      <formula>"Moderado"</formula>
    </cfRule>
    <cfRule type="cellIs" dxfId="266" priority="317" operator="equal">
      <formula>"Bajo"</formula>
    </cfRule>
  </conditionalFormatting>
  <conditionalFormatting sqref="Q149">
    <cfRule type="cellIs" dxfId="265" priority="301" operator="equal">
      <formula>"Alto"</formula>
    </cfRule>
    <cfRule type="cellIs" dxfId="264" priority="302" operator="equal">
      <formula>"Moderado"</formula>
    </cfRule>
    <cfRule type="cellIs" dxfId="263" priority="303" operator="equal">
      <formula>"Bajo"</formula>
    </cfRule>
    <cfRule type="cellIs" dxfId="262" priority="300" operator="equal">
      <formula>"Extremo"</formula>
    </cfRule>
  </conditionalFormatting>
  <conditionalFormatting sqref="Q163">
    <cfRule type="cellIs" dxfId="261" priority="274" operator="equal">
      <formula>"Bajo"</formula>
    </cfRule>
    <cfRule type="cellIs" dxfId="260" priority="271" operator="equal">
      <formula>"Extremo"</formula>
    </cfRule>
    <cfRule type="cellIs" dxfId="259" priority="272" operator="equal">
      <formula>"Alto"</formula>
    </cfRule>
    <cfRule type="cellIs" dxfId="258" priority="273" operator="equal">
      <formula>"Moderado"</formula>
    </cfRule>
  </conditionalFormatting>
  <conditionalFormatting sqref="Q177 AF177:AF179">
    <cfRule type="cellIs" dxfId="257" priority="244" operator="equal">
      <formula>"Moderado"</formula>
    </cfRule>
    <cfRule type="cellIs" dxfId="256" priority="245" operator="equal">
      <formula>"Bajo"</formula>
    </cfRule>
    <cfRule type="cellIs" dxfId="255" priority="243" operator="equal">
      <formula>"Alto"</formula>
    </cfRule>
    <cfRule type="cellIs" dxfId="254" priority="242" operator="equal">
      <formula>"Extremo"</formula>
    </cfRule>
  </conditionalFormatting>
  <conditionalFormatting sqref="Q189 AF196">
    <cfRule type="cellIs" dxfId="253" priority="219" operator="equal">
      <formula>"Extremo"</formula>
    </cfRule>
    <cfRule type="cellIs" dxfId="252" priority="220" operator="equal">
      <formula>"Alto"</formula>
    </cfRule>
    <cfRule type="cellIs" dxfId="251" priority="221" operator="equal">
      <formula>"Moderado"</formula>
    </cfRule>
    <cfRule type="cellIs" dxfId="250" priority="222" operator="equal">
      <formula>"Bajo"</formula>
    </cfRule>
  </conditionalFormatting>
  <conditionalFormatting sqref="Q191 Q194">
    <cfRule type="cellIs" dxfId="249" priority="225" operator="equal">
      <formula>"Moderado"</formula>
    </cfRule>
    <cfRule type="cellIs" dxfId="248" priority="226" operator="equal">
      <formula>"Bajo"</formula>
    </cfRule>
    <cfRule type="cellIs" dxfId="247" priority="224" operator="equal">
      <formula>"Alto"</formula>
    </cfRule>
    <cfRule type="cellIs" dxfId="246" priority="223" operator="equal">
      <formula>"Extremo"</formula>
    </cfRule>
  </conditionalFormatting>
  <conditionalFormatting sqref="Q206 AF206:AF209">
    <cfRule type="cellIs" dxfId="245" priority="207" operator="equal">
      <formula>"Bajo"</formula>
    </cfRule>
    <cfRule type="cellIs" dxfId="244" priority="206" operator="equal">
      <formula>"Moderado"</formula>
    </cfRule>
    <cfRule type="cellIs" dxfId="243" priority="204" operator="equal">
      <formula>"Extremo"</formula>
    </cfRule>
    <cfRule type="cellIs" dxfId="242" priority="205" operator="equal">
      <formula>"Alto"</formula>
    </cfRule>
  </conditionalFormatting>
  <conditionalFormatting sqref="Q219">
    <cfRule type="cellIs" dxfId="241" priority="182" operator="equal">
      <formula>"Bajo"</formula>
    </cfRule>
    <cfRule type="cellIs" dxfId="240" priority="180" operator="equal">
      <formula>"Alto"</formula>
    </cfRule>
    <cfRule type="cellIs" dxfId="239" priority="179" operator="equal">
      <formula>"Extremo"</formula>
    </cfRule>
    <cfRule type="cellIs" dxfId="238" priority="181" operator="equal">
      <formula>"Moderado"</formula>
    </cfRule>
  </conditionalFormatting>
  <conditionalFormatting sqref="Q223">
    <cfRule type="cellIs" dxfId="237" priority="176" operator="equal">
      <formula>"Alto"</formula>
    </cfRule>
    <cfRule type="cellIs" dxfId="236" priority="175" operator="equal">
      <formula>"Extremo"</formula>
    </cfRule>
    <cfRule type="cellIs" dxfId="235" priority="177" operator="equal">
      <formula>"Moderado"</formula>
    </cfRule>
    <cfRule type="cellIs" dxfId="234" priority="178" operator="equal">
      <formula>"Bajo"</formula>
    </cfRule>
  </conditionalFormatting>
  <conditionalFormatting sqref="Q234">
    <cfRule type="cellIs" dxfId="233" priority="148" operator="equal">
      <formula>"Moderado"</formula>
    </cfRule>
    <cfRule type="cellIs" dxfId="232" priority="149" operator="equal">
      <formula>"Bajo"</formula>
    </cfRule>
    <cfRule type="cellIs" dxfId="231" priority="146" operator="equal">
      <formula>"Extremo"</formula>
    </cfRule>
    <cfRule type="cellIs" dxfId="230" priority="147" operator="equal">
      <formula>"Alto"</formula>
    </cfRule>
  </conditionalFormatting>
  <conditionalFormatting sqref="Q238 Q240:Q241">
    <cfRule type="cellIs" dxfId="229" priority="144" operator="equal">
      <formula>"Moderado"</formula>
    </cfRule>
    <cfRule type="cellIs" dxfId="228" priority="145" operator="equal">
      <formula>"Bajo"</formula>
    </cfRule>
    <cfRule type="cellIs" dxfId="227" priority="142" operator="equal">
      <formula>"Extremo"</formula>
    </cfRule>
    <cfRule type="cellIs" dxfId="226" priority="143" operator="equal">
      <formula>"Alto"</formula>
    </cfRule>
  </conditionalFormatting>
  <conditionalFormatting sqref="Q251 AF251">
    <cfRule type="cellIs" dxfId="225" priority="109" operator="equal">
      <formula>"Alto"</formula>
    </cfRule>
    <cfRule type="cellIs" dxfId="224" priority="110" operator="equal">
      <formula>"Moderado"</formula>
    </cfRule>
    <cfRule type="cellIs" dxfId="223" priority="111" operator="equal">
      <formula>"Bajo"</formula>
    </cfRule>
    <cfRule type="cellIs" dxfId="222" priority="108" operator="equal">
      <formula>"Extremo"</formula>
    </cfRule>
  </conditionalFormatting>
  <conditionalFormatting sqref="Q263">
    <cfRule type="cellIs" dxfId="221" priority="96" operator="equal">
      <formula>"Bajo"</formula>
    </cfRule>
    <cfRule type="cellIs" dxfId="220" priority="95" operator="equal">
      <formula>"Moderado"</formula>
    </cfRule>
    <cfRule type="cellIs" dxfId="219" priority="94" operator="equal">
      <formula>"Alto"</formula>
    </cfRule>
    <cfRule type="cellIs" dxfId="218" priority="93" operator="equal">
      <formula>"Extremo"</formula>
    </cfRule>
  </conditionalFormatting>
  <conditionalFormatting sqref="Q267">
    <cfRule type="cellIs" dxfId="217" priority="87" operator="equal">
      <formula>"Bajo"</formula>
    </cfRule>
    <cfRule type="cellIs" dxfId="216" priority="86" operator="equal">
      <formula>"Moderado"</formula>
    </cfRule>
    <cfRule type="cellIs" dxfId="215" priority="84" operator="equal">
      <formula>"Extremo"</formula>
    </cfRule>
    <cfRule type="cellIs" dxfId="214" priority="85" operator="equal">
      <formula>"Alto"</formula>
    </cfRule>
  </conditionalFormatting>
  <conditionalFormatting sqref="Q270">
    <cfRule type="cellIs" dxfId="213" priority="47" operator="equal">
      <formula>"Extremo"</formula>
    </cfRule>
    <cfRule type="cellIs" dxfId="212" priority="48" operator="equal">
      <formula>"Alto"</formula>
    </cfRule>
    <cfRule type="cellIs" dxfId="211" priority="50" operator="equal">
      <formula>"Bajo"</formula>
    </cfRule>
    <cfRule type="cellIs" dxfId="210" priority="49" operator="equal">
      <formula>"Moderado"</formula>
    </cfRule>
  </conditionalFormatting>
  <conditionalFormatting sqref="Q304 AF304:AF308">
    <cfRule type="cellIs" dxfId="209" priority="20" operator="equal">
      <formula>"Bajo"</formula>
    </cfRule>
    <cfRule type="cellIs" dxfId="208" priority="19" operator="equal">
      <formula>"Moderado"</formula>
    </cfRule>
    <cfRule type="cellIs" dxfId="207" priority="18" operator="equal">
      <formula>"Alto"</formula>
    </cfRule>
    <cfRule type="cellIs" dxfId="206" priority="17" operator="equal">
      <formula>"Extremo"</formula>
    </cfRule>
  </conditionalFormatting>
  <conditionalFormatting sqref="AA116:AA119 J119:K119">
    <cfRule type="cellIs" dxfId="205" priority="391" operator="equal">
      <formula>"Alta"</formula>
    </cfRule>
    <cfRule type="cellIs" dxfId="204" priority="392" operator="equal">
      <formula>"Media"</formula>
    </cfRule>
    <cfRule type="cellIs" dxfId="203" priority="393" operator="equal">
      <formula>"Baja"</formula>
    </cfRule>
    <cfRule type="cellIs" dxfId="202" priority="394" operator="equal">
      <formula>"Muy Baja"</formula>
    </cfRule>
    <cfRule type="cellIs" dxfId="201" priority="390" operator="equal">
      <formula>"Muy Alta"</formula>
    </cfRule>
  </conditionalFormatting>
  <conditionalFormatting sqref="AA272 AA294 AA321:AA373">
    <cfRule type="cellIs" dxfId="200" priority="1081" operator="equal">
      <formula>"Media"</formula>
    </cfRule>
    <cfRule type="cellIs" dxfId="199" priority="1077" operator="equal">
      <formula>"Alta"</formula>
    </cfRule>
    <cfRule type="cellIs" dxfId="198" priority="1078" operator="equal">
      <formula>"Muy Alta"</formula>
    </cfRule>
    <cfRule type="cellIs" dxfId="197" priority="1079" operator="equal">
      <formula>"Muy Baja"</formula>
    </cfRule>
    <cfRule type="cellIs" dxfId="196" priority="1080" operator="equal">
      <formula>"Baja"</formula>
    </cfRule>
  </conditionalFormatting>
  <conditionalFormatting sqref="AA121:AB122">
    <cfRule type="cellIs" dxfId="195" priority="361" operator="equal">
      <formula>"Muy Alta"</formula>
    </cfRule>
    <cfRule type="cellIs" dxfId="194" priority="362" operator="equal">
      <formula>"Alta"</formula>
    </cfRule>
    <cfRule type="cellIs" dxfId="193" priority="363" operator="equal">
      <formula>"Media"</formula>
    </cfRule>
    <cfRule type="cellIs" dxfId="192" priority="364" operator="equal">
      <formula>"Baja"</formula>
    </cfRule>
    <cfRule type="cellIs" dxfId="191" priority="365" operator="equal">
      <formula>"Muy Baja"</formula>
    </cfRule>
  </conditionalFormatting>
  <conditionalFormatting sqref="AB21:AB27">
    <cfRule type="cellIs" dxfId="190" priority="621" operator="equal">
      <formula>"Media"</formula>
    </cfRule>
    <cfRule type="cellIs" dxfId="189" priority="620" operator="equal">
      <formula>"Alta"</formula>
    </cfRule>
    <cfRule type="cellIs" dxfId="188" priority="619" operator="equal">
      <formula>"Muy Alta"</formula>
    </cfRule>
    <cfRule type="cellIs" dxfId="187" priority="622" operator="equal">
      <formula>"Baja"</formula>
    </cfRule>
    <cfRule type="cellIs" dxfId="186" priority="623" operator="equal">
      <formula>"Muy Baja"</formula>
    </cfRule>
  </conditionalFormatting>
  <conditionalFormatting sqref="AB55 AB57:AB61">
    <cfRule type="cellIs" dxfId="185" priority="537" operator="equal">
      <formula>"Muy Baja"</formula>
    </cfRule>
    <cfRule type="cellIs" dxfId="184" priority="533" operator="equal">
      <formula>"Muy Alta"</formula>
    </cfRule>
    <cfRule type="cellIs" dxfId="183" priority="534" operator="equal">
      <formula>"Alta"</formula>
    </cfRule>
    <cfRule type="cellIs" dxfId="182" priority="535" operator="equal">
      <formula>"Media"</formula>
    </cfRule>
    <cfRule type="cellIs" dxfId="181" priority="536" operator="equal">
      <formula>"Baja"</formula>
    </cfRule>
  </conditionalFormatting>
  <conditionalFormatting sqref="AB71:AB75">
    <cfRule type="cellIs" dxfId="180" priority="494" operator="equal">
      <formula>"Muy Alta"</formula>
    </cfRule>
    <cfRule type="cellIs" dxfId="179" priority="495" operator="equal">
      <formula>"Alta"</formula>
    </cfRule>
    <cfRule type="cellIs" dxfId="178" priority="496" operator="equal">
      <formula>"Media"</formula>
    </cfRule>
    <cfRule type="cellIs" dxfId="177" priority="497" operator="equal">
      <formula>"Baja"</formula>
    </cfRule>
    <cfRule type="cellIs" dxfId="176" priority="498" operator="equal">
      <formula>"Muy Baja"</formula>
    </cfRule>
  </conditionalFormatting>
  <conditionalFormatting sqref="AB100:AB101">
    <cfRule type="cellIs" dxfId="175" priority="437" operator="equal">
      <formula>"Muy Baja"</formula>
    </cfRule>
    <cfRule type="cellIs" dxfId="174" priority="436" operator="equal">
      <formula>"Baja"</formula>
    </cfRule>
    <cfRule type="cellIs" dxfId="173" priority="435" operator="equal">
      <formula>"Media"</formula>
    </cfRule>
    <cfRule type="cellIs" dxfId="172" priority="434" operator="equal">
      <formula>"Alta"</formula>
    </cfRule>
    <cfRule type="cellIs" dxfId="171" priority="433" operator="equal">
      <formula>"Muy Alta"</formula>
    </cfRule>
  </conditionalFormatting>
  <conditionalFormatting sqref="AB103:AB106">
    <cfRule type="cellIs" dxfId="170" priority="414" operator="equal">
      <formula>"Muy Alta"</formula>
    </cfRule>
    <cfRule type="cellIs" dxfId="169" priority="418" operator="equal">
      <formula>"Muy Baja"</formula>
    </cfRule>
    <cfRule type="cellIs" dxfId="168" priority="417" operator="equal">
      <formula>"Baja"</formula>
    </cfRule>
    <cfRule type="cellIs" dxfId="167" priority="416" operator="equal">
      <formula>"Media"</formula>
    </cfRule>
    <cfRule type="cellIs" dxfId="166" priority="415" operator="equal">
      <formula>"Alta"</formula>
    </cfRule>
  </conditionalFormatting>
  <conditionalFormatting sqref="AB119:AB122">
    <cfRule type="cellIs" dxfId="165" priority="349" operator="equal">
      <formula>"Media"</formula>
    </cfRule>
    <cfRule type="cellIs" dxfId="164" priority="351" operator="equal">
      <formula>"Muy Baja"</formula>
    </cfRule>
    <cfRule type="cellIs" dxfId="163" priority="350" operator="equal">
      <formula>"Baja"</formula>
    </cfRule>
    <cfRule type="cellIs" dxfId="162" priority="348" operator="equal">
      <formula>"Alta"</formula>
    </cfRule>
    <cfRule type="cellIs" dxfId="161" priority="347" operator="equal">
      <formula>"Muy Alta"</formula>
    </cfRule>
  </conditionalFormatting>
  <conditionalFormatting sqref="AB149:AB152">
    <cfRule type="cellIs" dxfId="160" priority="296" operator="equal">
      <formula>"Media"</formula>
    </cfRule>
    <cfRule type="cellIs" dxfId="159" priority="297" operator="equal">
      <formula>"Baja"</formula>
    </cfRule>
    <cfRule type="cellIs" dxfId="158" priority="298" operator="equal">
      <formula>"Muy Baja"</formula>
    </cfRule>
    <cfRule type="cellIs" dxfId="157" priority="294" operator="equal">
      <formula>"Muy Alta"</formula>
    </cfRule>
    <cfRule type="cellIs" dxfId="156" priority="295" operator="equal">
      <formula>"Alta"</formula>
    </cfRule>
  </conditionalFormatting>
  <conditionalFormatting sqref="AB163:AB166">
    <cfRule type="cellIs" dxfId="155" priority="266" operator="equal">
      <formula>"Alta"</formula>
    </cfRule>
    <cfRule type="cellIs" dxfId="154" priority="267" operator="equal">
      <formula>"Media"</formula>
    </cfRule>
    <cfRule type="cellIs" dxfId="153" priority="265" operator="equal">
      <formula>"Muy Alta"</formula>
    </cfRule>
    <cfRule type="cellIs" dxfId="152" priority="269" operator="equal">
      <formula>"Muy Baja"</formula>
    </cfRule>
    <cfRule type="cellIs" dxfId="151" priority="268" operator="equal">
      <formula>"Baja"</formula>
    </cfRule>
  </conditionalFormatting>
  <conditionalFormatting sqref="AB263:AB264">
    <cfRule type="cellIs" dxfId="150" priority="89" operator="equal">
      <formula>"Alta"</formula>
    </cfRule>
    <cfRule type="cellIs" dxfId="149" priority="90" operator="equal">
      <formula>"Media"</formula>
    </cfRule>
    <cfRule type="cellIs" dxfId="148" priority="92" operator="equal">
      <formula>"Muy Baja"</formula>
    </cfRule>
    <cfRule type="cellIs" dxfId="147" priority="91" operator="equal">
      <formula>"Baja"</formula>
    </cfRule>
    <cfRule type="cellIs" dxfId="146" priority="88" operator="equal">
      <formula>"Muy Alta"</formula>
    </cfRule>
  </conditionalFormatting>
  <conditionalFormatting sqref="AB267:AB268">
    <cfRule type="cellIs" dxfId="145" priority="81" operator="equal">
      <formula>"Media"</formula>
    </cfRule>
    <cfRule type="cellIs" dxfId="144" priority="80" operator="equal">
      <formula>"Alta"</formula>
    </cfRule>
    <cfRule type="cellIs" dxfId="143" priority="82" operator="equal">
      <formula>"Baja"</formula>
    </cfRule>
    <cfRule type="cellIs" dxfId="142" priority="79" operator="equal">
      <formula>"Muy Alta"</formula>
    </cfRule>
    <cfRule type="cellIs" dxfId="141" priority="83" operator="equal">
      <formula>"Muy Baja"</formula>
    </cfRule>
  </conditionalFormatting>
  <conditionalFormatting sqref="AB270">
    <cfRule type="cellIs" dxfId="140" priority="46" operator="equal">
      <formula>"Muy Baja"</formula>
    </cfRule>
    <cfRule type="cellIs" dxfId="139" priority="45" operator="equal">
      <formula>"Baja"</formula>
    </cfRule>
    <cfRule type="cellIs" dxfId="138" priority="44" operator="equal">
      <formula>"Media"</formula>
    </cfRule>
    <cfRule type="cellIs" dxfId="137" priority="43" operator="equal">
      <formula>"Alta"</formula>
    </cfRule>
    <cfRule type="cellIs" dxfId="136" priority="42" operator="equal">
      <formula>"Muy Alta"</formula>
    </cfRule>
  </conditionalFormatting>
  <conditionalFormatting sqref="AC272 AC294 AC321:AC373">
    <cfRule type="cellIs" dxfId="135" priority="1075" operator="equal">
      <formula>"Catastrófico"</formula>
    </cfRule>
    <cfRule type="cellIs" dxfId="134" priority="1074" operator="equal">
      <formula>"Mayor"</formula>
    </cfRule>
    <cfRule type="cellIs" dxfId="133" priority="1073" operator="equal">
      <formula>"Moderado"</formula>
    </cfRule>
    <cfRule type="cellIs" dxfId="132" priority="1072" operator="equal">
      <formula>"Menor"</formula>
    </cfRule>
    <cfRule type="cellIs" dxfId="131" priority="1076" operator="equal">
      <formula>"Leve"</formula>
    </cfRule>
  </conditionalFormatting>
  <conditionalFormatting sqref="AC121:AD122">
    <cfRule type="cellIs" dxfId="130" priority="369" operator="equal">
      <formula>"Menor"</formula>
    </cfRule>
    <cfRule type="cellIs" dxfId="129" priority="370" operator="equal">
      <formula>"Leve"</formula>
    </cfRule>
    <cfRule type="cellIs" dxfId="128" priority="366" operator="equal">
      <formula>"Catastrófico"</formula>
    </cfRule>
    <cfRule type="cellIs" dxfId="127" priority="367" operator="equal">
      <formula>"Mayor"</formula>
    </cfRule>
    <cfRule type="cellIs" dxfId="126" priority="368" operator="equal">
      <formula>"Moderado"</formula>
    </cfRule>
  </conditionalFormatting>
  <conditionalFormatting sqref="AD21:AD27">
    <cfRule type="cellIs" dxfId="125" priority="628" operator="equal">
      <formula>"Leve"</formula>
    </cfRule>
    <cfRule type="cellIs" dxfId="124" priority="625" operator="equal">
      <formula>"Mayor"</formula>
    </cfRule>
    <cfRule type="cellIs" dxfId="123" priority="626" operator="equal">
      <formula>"Moderado"</formula>
    </cfRule>
    <cfRule type="cellIs" dxfId="122" priority="627" operator="equal">
      <formula>"Menor"</formula>
    </cfRule>
    <cfRule type="cellIs" dxfId="121" priority="624" operator="equal">
      <formula>"Catastrófico"</formula>
    </cfRule>
  </conditionalFormatting>
  <conditionalFormatting sqref="AD55 AD57:AD61">
    <cfRule type="cellIs" dxfId="120" priority="542" operator="equal">
      <formula>"Leve"</formula>
    </cfRule>
    <cfRule type="cellIs" dxfId="119" priority="538" operator="equal">
      <formula>"Catastrófico"</formula>
    </cfRule>
    <cfRule type="cellIs" dxfId="118" priority="539" operator="equal">
      <formula>"Mayor"</formula>
    </cfRule>
    <cfRule type="cellIs" dxfId="117" priority="540" operator="equal">
      <formula>"Moderado"</formula>
    </cfRule>
    <cfRule type="cellIs" dxfId="116" priority="541" operator="equal">
      <formula>"Menor"</formula>
    </cfRule>
  </conditionalFormatting>
  <conditionalFormatting sqref="AD71:AD75">
    <cfRule type="cellIs" dxfId="115" priority="487" operator="equal">
      <formula>"Moderado"</formula>
    </cfRule>
    <cfRule type="cellIs" dxfId="114" priority="485" operator="equal">
      <formula>"Catastrófico"</formula>
    </cfRule>
    <cfRule type="cellIs" dxfId="113" priority="489" operator="equal">
      <formula>"Leve"</formula>
    </cfRule>
    <cfRule type="cellIs" dxfId="112" priority="488" operator="equal">
      <formula>"Menor"</formula>
    </cfRule>
    <cfRule type="cellIs" dxfId="111" priority="486" operator="equal">
      <formula>"Mayor"</formula>
    </cfRule>
  </conditionalFormatting>
  <conditionalFormatting sqref="AD100:AD101">
    <cfRule type="cellIs" dxfId="110" priority="429" operator="equal">
      <formula>"Mayor"</formula>
    </cfRule>
    <cfRule type="cellIs" dxfId="109" priority="428" operator="equal">
      <formula>"Catastrófico"</formula>
    </cfRule>
    <cfRule type="cellIs" dxfId="108" priority="432" operator="equal">
      <formula>"Leve"</formula>
    </cfRule>
    <cfRule type="cellIs" dxfId="107" priority="430" operator="equal">
      <formula>"Moderado"</formula>
    </cfRule>
    <cfRule type="cellIs" dxfId="106" priority="431" operator="equal">
      <formula>"Menor"</formula>
    </cfRule>
  </conditionalFormatting>
  <conditionalFormatting sqref="AD103:AD106">
    <cfRule type="cellIs" dxfId="105" priority="413" operator="equal">
      <formula>"Leve"</formula>
    </cfRule>
    <cfRule type="cellIs" dxfId="104" priority="412" operator="equal">
      <formula>"Menor"</formula>
    </cfRule>
    <cfRule type="cellIs" dxfId="103" priority="411" operator="equal">
      <formula>"Moderado"</formula>
    </cfRule>
    <cfRule type="cellIs" dxfId="102" priority="410" operator="equal">
      <formula>"Mayor"</formula>
    </cfRule>
    <cfRule type="cellIs" dxfId="101" priority="409" operator="equal">
      <formula>"Catastrófico"</formula>
    </cfRule>
  </conditionalFormatting>
  <conditionalFormatting sqref="AD119:AD122">
    <cfRule type="cellIs" dxfId="100" priority="356" operator="equal">
      <formula>"Leve"</formula>
    </cfRule>
    <cfRule type="cellIs" dxfId="99" priority="355" operator="equal">
      <formula>"Menor"</formula>
    </cfRule>
    <cfRule type="cellIs" dxfId="98" priority="354" operator="equal">
      <formula>"Moderado"</formula>
    </cfRule>
    <cfRule type="cellIs" dxfId="97" priority="353" operator="equal">
      <formula>"Mayor"</formula>
    </cfRule>
    <cfRule type="cellIs" dxfId="96" priority="352" operator="equal">
      <formula>"Catastrófico"</formula>
    </cfRule>
  </conditionalFormatting>
  <conditionalFormatting sqref="AD149:AD152">
    <cfRule type="cellIs" dxfId="95" priority="291" operator="equal">
      <formula>"Moderado"</formula>
    </cfRule>
    <cfRule type="cellIs" dxfId="94" priority="292" operator="equal">
      <formula>"Menor"</formula>
    </cfRule>
    <cfRule type="cellIs" dxfId="93" priority="293" operator="equal">
      <formula>"Leve"</formula>
    </cfRule>
    <cfRule type="cellIs" dxfId="92" priority="290" operator="equal">
      <formula>"Mayor"</formula>
    </cfRule>
    <cfRule type="cellIs" dxfId="91" priority="289" operator="equal">
      <formula>"Catastrófico"</formula>
    </cfRule>
  </conditionalFormatting>
  <conditionalFormatting sqref="AD163:AD166">
    <cfRule type="cellIs" dxfId="90" priority="263" operator="equal">
      <formula>"Menor"</formula>
    </cfRule>
    <cfRule type="cellIs" dxfId="89" priority="261" operator="equal">
      <formula>"Mayor"</formula>
    </cfRule>
    <cfRule type="cellIs" dxfId="88" priority="264" operator="equal">
      <formula>"Leve"</formula>
    </cfRule>
    <cfRule type="cellIs" dxfId="87" priority="262" operator="equal">
      <formula>"Moderado"</formula>
    </cfRule>
    <cfRule type="cellIs" dxfId="86" priority="260" operator="equal">
      <formula>"Catastrófico"</formula>
    </cfRule>
  </conditionalFormatting>
  <conditionalFormatting sqref="AD263:AD264">
    <cfRule type="cellIs" dxfId="85" priority="69" operator="equal">
      <formula>"Leve"</formula>
    </cfRule>
    <cfRule type="cellIs" dxfId="84" priority="66" operator="equal">
      <formula>"Mayor"</formula>
    </cfRule>
    <cfRule type="cellIs" dxfId="83" priority="67" operator="equal">
      <formula>"Moderado"</formula>
    </cfRule>
    <cfRule type="cellIs" dxfId="82" priority="65" operator="equal">
      <formula>"Catastrófico"</formula>
    </cfRule>
    <cfRule type="cellIs" dxfId="81" priority="68" operator="equal">
      <formula>"Menor"</formula>
    </cfRule>
  </conditionalFormatting>
  <conditionalFormatting sqref="AD267:AD268">
    <cfRule type="cellIs" dxfId="80" priority="78" operator="equal">
      <formula>"Leve"</formula>
    </cfRule>
    <cfRule type="cellIs" dxfId="79" priority="76" operator="equal">
      <formula>"Moderado"</formula>
    </cfRule>
    <cfRule type="cellIs" dxfId="78" priority="75" operator="equal">
      <formula>"Mayor"</formula>
    </cfRule>
    <cfRule type="cellIs" dxfId="77" priority="74" operator="equal">
      <formula>"Catastrófico"</formula>
    </cfRule>
    <cfRule type="cellIs" dxfId="76" priority="77" operator="equal">
      <formula>"Menor"</formula>
    </cfRule>
  </conditionalFormatting>
  <conditionalFormatting sqref="AD270">
    <cfRule type="cellIs" dxfId="75" priority="41" operator="equal">
      <formula>"Leve"</formula>
    </cfRule>
    <cfRule type="cellIs" dxfId="74" priority="39" operator="equal">
      <formula>"Moderado"</formula>
    </cfRule>
    <cfRule type="cellIs" dxfId="73" priority="37" operator="equal">
      <formula>"Catastrófico"</formula>
    </cfRule>
    <cfRule type="cellIs" dxfId="72" priority="38" operator="equal">
      <formula>"Mayor"</formula>
    </cfRule>
    <cfRule type="cellIs" dxfId="71" priority="40" operator="equal">
      <formula>"Menor"</formula>
    </cfRule>
  </conditionalFormatting>
  <conditionalFormatting sqref="AE272 AE294 AE321:AE373">
    <cfRule type="cellIs" dxfId="70" priority="1069" operator="equal">
      <formula>"Moderado"</formula>
    </cfRule>
    <cfRule type="cellIs" dxfId="69" priority="1068" operator="equal">
      <formula>"Bajo"</formula>
    </cfRule>
    <cfRule type="cellIs" dxfId="68" priority="1070" operator="equal">
      <formula>"Alto"</formula>
    </cfRule>
    <cfRule type="cellIs" dxfId="67" priority="1071" operator="equal">
      <formula>"Extremo"</formula>
    </cfRule>
  </conditionalFormatting>
  <conditionalFormatting sqref="AE121:AF122">
    <cfRule type="cellIs" dxfId="66" priority="374" operator="equal">
      <formula>"Bajo"</formula>
    </cfRule>
    <cfRule type="cellIs" dxfId="65" priority="373" operator="equal">
      <formula>"Moderado"</formula>
    </cfRule>
    <cfRule type="cellIs" dxfId="64" priority="372" operator="equal">
      <formula>"Alto"</formula>
    </cfRule>
    <cfRule type="cellIs" dxfId="63" priority="371" operator="equal">
      <formula>"Extremo"</formula>
    </cfRule>
  </conditionalFormatting>
  <conditionalFormatting sqref="AF21:AF27">
    <cfRule type="cellIs" dxfId="62" priority="630" operator="equal">
      <formula>"Alto"</formula>
    </cfRule>
    <cfRule type="cellIs" dxfId="61" priority="632" operator="equal">
      <formula>"Bajo"</formula>
    </cfRule>
    <cfRule type="cellIs" dxfId="60" priority="629" operator="equal">
      <formula>"Extremo"</formula>
    </cfRule>
    <cfRule type="cellIs" dxfId="59" priority="631" operator="equal">
      <formula>"Moderado"</formula>
    </cfRule>
  </conditionalFormatting>
  <conditionalFormatting sqref="AF55 AF57:AF61">
    <cfRule type="cellIs" dxfId="58" priority="543" operator="equal">
      <formula>"Extremo"</formula>
    </cfRule>
    <cfRule type="cellIs" dxfId="57" priority="544" operator="equal">
      <formula>"Alto"</formula>
    </cfRule>
    <cfRule type="cellIs" dxfId="56" priority="545" operator="equal">
      <formula>"Moderado"</formula>
    </cfRule>
    <cfRule type="cellIs" dxfId="55" priority="546" operator="equal">
      <formula>"Bajo"</formula>
    </cfRule>
  </conditionalFormatting>
  <conditionalFormatting sqref="AF71:AF75">
    <cfRule type="cellIs" dxfId="54" priority="490" operator="equal">
      <formula>"Extremo"</formula>
    </cfRule>
    <cfRule type="cellIs" dxfId="53" priority="493" operator="equal">
      <formula>"Bajo"</formula>
    </cfRule>
    <cfRule type="cellIs" dxfId="52" priority="492" operator="equal">
      <formula>"Moderado"</formula>
    </cfRule>
    <cfRule type="cellIs" dxfId="51" priority="491" operator="equal">
      <formula>"Alto"</formula>
    </cfRule>
  </conditionalFormatting>
  <conditionalFormatting sqref="AF100:AF101">
    <cfRule type="cellIs" dxfId="50" priority="427" operator="equal">
      <formula>"Bajo"</formula>
    </cfRule>
    <cfRule type="cellIs" dxfId="49" priority="425" operator="equal">
      <formula>"Alto"</formula>
    </cfRule>
    <cfRule type="cellIs" dxfId="48" priority="424" operator="equal">
      <formula>"Extremo"</formula>
    </cfRule>
    <cfRule type="cellIs" dxfId="47" priority="426" operator="equal">
      <formula>"Moderado"</formula>
    </cfRule>
  </conditionalFormatting>
  <conditionalFormatting sqref="AF103:AF106">
    <cfRule type="cellIs" dxfId="46" priority="408" operator="equal">
      <formula>"Bajo"</formula>
    </cfRule>
    <cfRule type="cellIs" dxfId="45" priority="407" operator="equal">
      <formula>"Moderado"</formula>
    </cfRule>
    <cfRule type="cellIs" dxfId="44" priority="406" operator="equal">
      <formula>"Alto"</formula>
    </cfRule>
    <cfRule type="cellIs" dxfId="43" priority="405" operator="equal">
      <formula>"Extremo"</formula>
    </cfRule>
  </conditionalFormatting>
  <conditionalFormatting sqref="AF119:AF122">
    <cfRule type="cellIs" dxfId="42" priority="358" operator="equal">
      <formula>"Alto"</formula>
    </cfRule>
    <cfRule type="cellIs" dxfId="41" priority="359" operator="equal">
      <formula>"Moderado"</formula>
    </cfRule>
    <cfRule type="cellIs" dxfId="40" priority="360" operator="equal">
      <formula>"Bajo"</formula>
    </cfRule>
    <cfRule type="cellIs" dxfId="39" priority="357" operator="equal">
      <formula>"Extremo"</formula>
    </cfRule>
  </conditionalFormatting>
  <conditionalFormatting sqref="AF149:AF152">
    <cfRule type="cellIs" dxfId="38" priority="287" operator="equal">
      <formula>"Moderado"</formula>
    </cfRule>
    <cfRule type="cellIs" dxfId="37" priority="288" operator="equal">
      <formula>"Bajo"</formula>
    </cfRule>
    <cfRule type="cellIs" dxfId="36" priority="285" operator="equal">
      <formula>"Extremo"</formula>
    </cfRule>
    <cfRule type="cellIs" dxfId="35" priority="286" operator="equal">
      <formula>"Alto"</formula>
    </cfRule>
  </conditionalFormatting>
  <conditionalFormatting sqref="AF163:AF166">
    <cfRule type="cellIs" dxfId="34" priority="259" operator="equal">
      <formula>"Bajo"</formula>
    </cfRule>
    <cfRule type="cellIs" dxfId="33" priority="258" operator="equal">
      <formula>"Moderado"</formula>
    </cfRule>
    <cfRule type="cellIs" dxfId="32" priority="257" operator="equal">
      <formula>"Alto"</formula>
    </cfRule>
    <cfRule type="cellIs" dxfId="31" priority="256" operator="equal">
      <formula>"Extremo"</formula>
    </cfRule>
  </conditionalFormatting>
  <conditionalFormatting sqref="AF219">
    <cfRule type="cellIs" dxfId="30" priority="160" operator="equal">
      <formula>"Extremo"</formula>
    </cfRule>
    <cfRule type="cellIs" dxfId="29" priority="163" operator="equal">
      <formula>"Bajo"</formula>
    </cfRule>
    <cfRule type="cellIs" dxfId="28" priority="161" operator="equal">
      <formula>"Alto"</formula>
    </cfRule>
    <cfRule type="cellIs" dxfId="27" priority="162" operator="equal">
      <formula>"Moderado"</formula>
    </cfRule>
  </conditionalFormatting>
  <conditionalFormatting sqref="AF263:AF264">
    <cfRule type="cellIs" dxfId="26" priority="63" operator="equal">
      <formula>"Moderado"</formula>
    </cfRule>
    <cfRule type="cellIs" dxfId="25" priority="62" operator="equal">
      <formula>"Alto"</formula>
    </cfRule>
    <cfRule type="cellIs" dxfId="24" priority="61" operator="equal">
      <formula>"Extremo"</formula>
    </cfRule>
    <cfRule type="cellIs" dxfId="23" priority="64" operator="equal">
      <formula>"Bajo"</formula>
    </cfRule>
  </conditionalFormatting>
  <conditionalFormatting sqref="AF267:AF268">
    <cfRule type="cellIs" dxfId="22" priority="73" operator="equal">
      <formula>"Bajo"</formula>
    </cfRule>
    <cfRule type="cellIs" dxfId="21" priority="71" operator="equal">
      <formula>"Alto"</formula>
    </cfRule>
    <cfRule type="cellIs" dxfId="20" priority="72" operator="equal">
      <formula>"Moderado"</formula>
    </cfRule>
    <cfRule type="cellIs" dxfId="19" priority="70" operator="equal">
      <formula>"Extremo"</formula>
    </cfRule>
  </conditionalFormatting>
  <conditionalFormatting sqref="AF270">
    <cfRule type="cellIs" dxfId="18" priority="33" operator="equal">
      <formula>"Extremo"</formula>
    </cfRule>
    <cfRule type="cellIs" dxfId="17" priority="35" operator="equal">
      <formula>"Moderado"</formula>
    </cfRule>
    <cfRule type="cellIs" dxfId="16" priority="34" operator="equal">
      <formula>"Alto"</formula>
    </cfRule>
    <cfRule type="cellIs" dxfId="15" priority="36" operator="equal">
      <formula>"Bajo"</formula>
    </cfRule>
  </conditionalFormatting>
  <conditionalFormatting sqref="K315:K317 AB315:AB317 K319 AB319">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N315:N320">
    <cfRule type="containsText" dxfId="9" priority="1" operator="containsText" text="❌">
      <formula>NOT(ISERROR(SEARCH("❌",N315)))</formula>
    </cfRule>
  </conditionalFormatting>
  <conditionalFormatting sqref="O315:O317 AD315:AD317 O319 AD319">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Q315:Q317 AF315:AF317 Q319 AF319">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dataValidations count="7">
    <dataValidation type="list" allowBlank="1" showInputMessage="1" showErrorMessage="1" sqref="G42" xr:uid="{5958E32F-3FEA-465C-AD79-42F2B2652E71}">
      <formula1>"Gestion,Fiscal"</formula1>
    </dataValidation>
    <dataValidation type="list" allowBlank="1" showErrorMessage="1" sqref="G10 G21 G24 G26 G55 G57 G59 G71 G116 G119 G121 G189 G191 G194 G206" xr:uid="{4011D1C5-7196-41FA-B4B6-C9AF3F82519F}">
      <formula1>"Gestión,FISCAL"</formula1>
    </dataValidation>
    <dataValidation type="list" allowBlank="1" showInputMessage="1" showErrorMessage="1" sqref="G100:G106" xr:uid="{378C0A35-436F-43AA-83EB-B0A7DBD45558}">
      <formula1>"Gestión,Fiscal"</formula1>
    </dataValidation>
    <dataValidation type="list" allowBlank="1" showInputMessage="1" showErrorMessage="1" sqref="G132:G138 G149 G163:G166 G177 G219:G223 G234:G241 G251:G253 G263 G267 G270 G282:G293 G304:G308 G315:G320" xr:uid="{24BACD08-B0D1-48C8-A200-9930F5CFCC32}">
      <formula1>"Gestión, FISCAL,"</formula1>
    </dataValidation>
    <dataValidation type="custom" allowBlank="1" showInputMessage="1" showErrorMessage="1" error="Recuerde que las acciones se generan bajo la medida de mitigar el riesgo" sqref="AL251:AL253" xr:uid="{717BDC77-E4B8-4F4E-9262-CDD36037824A}">
      <formula1>IF(OR(AG251=#REF!,AG251=#REF!,AG251=#REF!),ISBLANK(AG251),ISTEXT(AG251))</formula1>
    </dataValidation>
    <dataValidation type="custom" allowBlank="1" showInputMessage="1" showErrorMessage="1" error="Recuerde que las acciones se generan bajo la medida de mitigar el riesgo" sqref="AK251:AK253" xr:uid="{5EEB4670-86C2-4108-ADD8-E1692E5A2CCE}">
      <formula1>IF(OR(AG251=#REF!,AG251=#REF!,AG251=#REF!),ISBLANK(AG251),ISTEXT(AG251))</formula1>
    </dataValidation>
    <dataValidation type="custom" allowBlank="1" showInputMessage="1" showErrorMessage="1" error="Recuerde que las acciones se generan bajo la medida de mitigar el riesgo" sqref="AI251:AI253" xr:uid="{7B5E7E7D-F975-4E4A-8240-067371DA6982}">
      <formula1>IF(OR(AG251=#REF!,AG251=#REF!,AG251=#REF!),ISBLANK(AG251),ISTEXT(AG251))</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5"/>
  <sheetViews>
    <sheetView workbookViewId="0"/>
  </sheetViews>
  <sheetFormatPr baseColWidth="10" defaultColWidth="14.44140625" defaultRowHeight="15" customHeight="1" x14ac:dyDescent="0.3"/>
  <cols>
    <col min="1" max="1" width="19.109375" customWidth="1"/>
    <col min="2" max="26" width="10.6640625" customWidth="1"/>
  </cols>
  <sheetData>
    <row r="1" spans="1:1" ht="14.25" customHeight="1" x14ac:dyDescent="0.3">
      <c r="A1" s="33" t="s">
        <v>150</v>
      </c>
    </row>
    <row r="2" spans="1:1" ht="14.25" customHeight="1" x14ac:dyDescent="0.3">
      <c r="A2" s="33" t="s">
        <v>90</v>
      </c>
    </row>
    <row r="3" spans="1:1" ht="14.25" customHeight="1" x14ac:dyDescent="0.3">
      <c r="A3" s="33" t="s">
        <v>93</v>
      </c>
    </row>
    <row r="4" spans="1:1" ht="14.25" customHeight="1" x14ac:dyDescent="0.3">
      <c r="A4" s="33" t="s">
        <v>96</v>
      </c>
    </row>
    <row r="5" spans="1:1" ht="14.25" customHeight="1" x14ac:dyDescent="0.3">
      <c r="A5" s="33" t="s">
        <v>99</v>
      </c>
    </row>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4"/>
  <sheetViews>
    <sheetView workbookViewId="0"/>
  </sheetViews>
  <sheetFormatPr baseColWidth="10" defaultColWidth="14.44140625" defaultRowHeight="15" customHeight="1" x14ac:dyDescent="0.3"/>
  <cols>
    <col min="1" max="1" width="23.109375" customWidth="1"/>
    <col min="2" max="26" width="10.6640625" customWidth="1"/>
  </cols>
  <sheetData>
    <row r="1" spans="1:1" ht="14.25" customHeight="1" x14ac:dyDescent="0.3">
      <c r="A1" s="34" t="s">
        <v>151</v>
      </c>
    </row>
    <row r="2" spans="1:1" ht="14.25" customHeight="1" x14ac:dyDescent="0.3">
      <c r="A2" s="34" t="s">
        <v>144</v>
      </c>
    </row>
    <row r="3" spans="1:1" ht="14.25" customHeight="1" x14ac:dyDescent="0.3">
      <c r="A3" s="34" t="s">
        <v>146</v>
      </c>
    </row>
    <row r="4" spans="1:1" ht="14.25" customHeight="1" x14ac:dyDescent="0.3">
      <c r="A4" s="34" t="s">
        <v>152</v>
      </c>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CONSOLIDADO GESTION FISCAL 3BI </vt:lpstr>
      <vt:lpstr>CONSOLIDADO GESTION FISCAL 4BIM</vt:lpstr>
      <vt:lpstr>CONSOLIDADO GESTION FISCAL 5 BI</vt:lpstr>
      <vt:lpstr>CONSOLIDADO GESTION FISCAL 6BI</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dcterms:created xsi:type="dcterms:W3CDTF">2014-12-30T19:27:19Z</dcterms:created>
  <dcterms:modified xsi:type="dcterms:W3CDTF">2025-05-07T13:15:44Z</dcterms:modified>
</cp:coreProperties>
</file>