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hidePivotFieldList="1" defaultThemeVersion="124226"/>
  <mc:AlternateContent xmlns:mc="http://schemas.openxmlformats.org/markup-compatibility/2006">
    <mc:Choice Requires="x15">
      <x15ac:absPath xmlns:x15ac="http://schemas.microsoft.com/office/spreadsheetml/2010/11/ac" url="C:\Users\EDUARDO HERNANDEZ\OneDrive\Documentos\SECRETARIA DE PLANEACION MPAL\2025\3. MAPA DE RIESGOS\1. MONITOREO RIESGO GEST-CORRUPCION\1. BIM (EN-FEB-25)\8. GEST ESTRAT COMUNIC\ABRIL25\"/>
    </mc:Choice>
  </mc:AlternateContent>
  <xr:revisionPtr revIDLastSave="0" documentId="13_ncr:1_{3568EC88-094E-4A04-BCCE-E292768D129C}" xr6:coauthVersionLast="47" xr6:coauthVersionMax="47" xr10:uidLastSave="{00000000-0000-0000-0000-000000000000}"/>
  <bookViews>
    <workbookView xWindow="-108" yWindow="-108" windowWidth="23256" windowHeight="12456" activeTab="4" xr2:uid="{00000000-000D-0000-FFFF-FFFF00000000}"/>
  </bookViews>
  <sheets>
    <sheet name="Intructivo" sheetId="20" r:id="rId1"/>
    <sheet name="Contexto" sheetId="21" r:id="rId2"/>
    <sheet name="Priorizacion de Causas" sheetId="22" r:id="rId3"/>
    <sheet name="DOFA" sheetId="23"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 r:id="rId14"/>
  </externalReferences>
  <calcPr calcId="191029"/>
  <pivotCaches>
    <pivotCache cacheId="12" r:id="rId1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2" i="1" l="1"/>
  <c r="S10" i="1"/>
  <c r="S11" i="1"/>
  <c r="S31" i="22"/>
  <c r="R31" i="22"/>
  <c r="S12" i="22" l="1"/>
  <c r="S13" i="22"/>
  <c r="S14" i="22"/>
  <c r="S15" i="22"/>
  <c r="S16" i="22"/>
  <c r="S17" i="22"/>
  <c r="S18" i="22"/>
  <c r="S19" i="22"/>
  <c r="S20" i="22"/>
  <c r="S21" i="22"/>
  <c r="S22" i="22"/>
  <c r="S23" i="22"/>
  <c r="S24" i="22"/>
  <c r="S25" i="22"/>
  <c r="S26" i="22"/>
  <c r="S27" i="22"/>
  <c r="S28" i="22"/>
  <c r="S29" i="22"/>
  <c r="S30" i="22"/>
  <c r="S32" i="22"/>
  <c r="S33" i="22"/>
  <c r="S34" i="22"/>
  <c r="S35" i="22"/>
  <c r="S36" i="22"/>
  <c r="S37" i="22"/>
  <c r="S38" i="22"/>
  <c r="S39" i="22"/>
  <c r="S40" i="22"/>
  <c r="S41" i="22"/>
  <c r="S11" i="22"/>
  <c r="R12" i="22"/>
  <c r="R13" i="22"/>
  <c r="R14" i="22"/>
  <c r="R15" i="22"/>
  <c r="R16" i="22"/>
  <c r="R17" i="22"/>
  <c r="R18" i="22"/>
  <c r="R19" i="22"/>
  <c r="R20" i="22"/>
  <c r="R21" i="22"/>
  <c r="R22" i="22"/>
  <c r="R23" i="22"/>
  <c r="R24" i="22"/>
  <c r="R25" i="22"/>
  <c r="R26" i="22"/>
  <c r="R27" i="22"/>
  <c r="R28" i="22"/>
  <c r="R29" i="22"/>
  <c r="R30" i="22"/>
  <c r="R32" i="22"/>
  <c r="R33" i="22"/>
  <c r="R34" i="22"/>
  <c r="R35" i="22"/>
  <c r="R36" i="22"/>
  <c r="R37" i="22"/>
  <c r="R38" i="22"/>
  <c r="R39" i="22"/>
  <c r="R40" i="22"/>
  <c r="R41" i="22"/>
  <c r="R11" i="22"/>
  <c r="A7" i="22" l="1"/>
  <c r="A6" i="22"/>
  <c r="T10" i="1"/>
  <c r="A6" i="23" l="1"/>
  <c r="A1" i="23"/>
  <c r="S42" i="22"/>
  <c r="S43" i="22" s="1"/>
  <c r="W66" i="1" l="1"/>
  <c r="T66" i="1"/>
  <c r="W65" i="1"/>
  <c r="T65" i="1"/>
  <c r="W64" i="1"/>
  <c r="T64" i="1"/>
  <c r="W63" i="1"/>
  <c r="T63" i="1"/>
  <c r="AE64" i="1" s="1"/>
  <c r="AD64" i="1" s="1"/>
  <c r="W62" i="1"/>
  <c r="T62" i="1"/>
  <c r="W61" i="1"/>
  <c r="T61" i="1"/>
  <c r="W60" i="1"/>
  <c r="T60" i="1"/>
  <c r="W59" i="1"/>
  <c r="T59" i="1"/>
  <c r="W58" i="1"/>
  <c r="T58" i="1"/>
  <c r="W57" i="1"/>
  <c r="T57" i="1"/>
  <c r="W56" i="1"/>
  <c r="T56" i="1"/>
  <c r="W55" i="1"/>
  <c r="T55" i="1"/>
  <c r="AE56" i="1" s="1"/>
  <c r="AD56" i="1" s="1"/>
  <c r="W54" i="1"/>
  <c r="T54" i="1"/>
  <c r="W53" i="1"/>
  <c r="T53" i="1"/>
  <c r="W52" i="1"/>
  <c r="T52" i="1"/>
  <c r="W51" i="1"/>
  <c r="T51" i="1"/>
  <c r="AE52" i="1" s="1"/>
  <c r="AD52" i="1" s="1"/>
  <c r="W50" i="1"/>
  <c r="T50" i="1"/>
  <c r="W49" i="1"/>
  <c r="T49" i="1"/>
  <c r="W48" i="1"/>
  <c r="T48" i="1"/>
  <c r="W47" i="1"/>
  <c r="T47" i="1"/>
  <c r="AE48" i="1" s="1"/>
  <c r="AD48" i="1" s="1"/>
  <c r="W46" i="1"/>
  <c r="T46" i="1"/>
  <c r="W45" i="1"/>
  <c r="T45" i="1"/>
  <c r="W44" i="1"/>
  <c r="T44" i="1"/>
  <c r="W43" i="1"/>
  <c r="T43" i="1"/>
  <c r="AE44" i="1" s="1"/>
  <c r="AD44" i="1" s="1"/>
  <c r="W42" i="1"/>
  <c r="T42" i="1"/>
  <c r="W41" i="1"/>
  <c r="T41" i="1"/>
  <c r="W40" i="1"/>
  <c r="T40" i="1"/>
  <c r="W39" i="1"/>
  <c r="T39" i="1"/>
  <c r="AE40" i="1" s="1"/>
  <c r="AD40" i="1" s="1"/>
  <c r="W38" i="1"/>
  <c r="T38" i="1"/>
  <c r="W37" i="1"/>
  <c r="T37" i="1"/>
  <c r="W36" i="1"/>
  <c r="T36" i="1"/>
  <c r="W35" i="1"/>
  <c r="T35" i="1"/>
  <c r="AE36" i="1" s="1"/>
  <c r="AD36" i="1" s="1"/>
  <c r="W34" i="1"/>
  <c r="T34" i="1"/>
  <c r="W33" i="1"/>
  <c r="T33" i="1"/>
  <c r="W32" i="1"/>
  <c r="T32" i="1"/>
  <c r="W31" i="1"/>
  <c r="T31" i="1"/>
  <c r="AE32" i="1" s="1"/>
  <c r="AD32" i="1" s="1"/>
  <c r="W30" i="1"/>
  <c r="T30" i="1"/>
  <c r="W29" i="1"/>
  <c r="T29" i="1"/>
  <c r="W28" i="1"/>
  <c r="T28" i="1"/>
  <c r="W27" i="1"/>
  <c r="T27" i="1"/>
  <c r="AE28" i="1" s="1"/>
  <c r="AD28" i="1" s="1"/>
  <c r="W26" i="1"/>
  <c r="T26" i="1"/>
  <c r="W25" i="1"/>
  <c r="T25" i="1"/>
  <c r="W24" i="1"/>
  <c r="T24" i="1"/>
  <c r="W23" i="1"/>
  <c r="T23" i="1"/>
  <c r="AE24" i="1" s="1"/>
  <c r="AD24" i="1" s="1"/>
  <c r="W22" i="1"/>
  <c r="T22" i="1"/>
  <c r="W21" i="1"/>
  <c r="T21" i="1"/>
  <c r="W20" i="1"/>
  <c r="T20" i="1"/>
  <c r="W19" i="1"/>
  <c r="T19" i="1"/>
  <c r="W18" i="1"/>
  <c r="T18" i="1"/>
  <c r="W17" i="1"/>
  <c r="T17" i="1"/>
  <c r="W16" i="1"/>
  <c r="T16" i="1"/>
  <c r="W15" i="1"/>
  <c r="T15" i="1"/>
  <c r="AE16" i="1" s="1"/>
  <c r="AD16" i="1" s="1"/>
  <c r="W14" i="1"/>
  <c r="T14" i="1"/>
  <c r="W13" i="1"/>
  <c r="T13" i="1"/>
  <c r="AE20" i="1" l="1"/>
  <c r="AD20" i="1" s="1"/>
  <c r="AE15" i="1"/>
  <c r="AD15" i="1" s="1"/>
  <c r="AE17" i="1"/>
  <c r="AD17" i="1" s="1"/>
  <c r="AE21" i="1"/>
  <c r="AD21" i="1" s="1"/>
  <c r="AE27" i="1"/>
  <c r="AD27" i="1" s="1"/>
  <c r="AE29" i="1"/>
  <c r="AD29" i="1" s="1"/>
  <c r="AE33" i="1"/>
  <c r="AD33" i="1" s="1"/>
  <c r="AE35" i="1"/>
  <c r="AD35" i="1" s="1"/>
  <c r="AE39" i="1"/>
  <c r="AD39" i="1" s="1"/>
  <c r="AE41" i="1"/>
  <c r="AD41" i="1" s="1"/>
  <c r="AE45" i="1"/>
  <c r="AD45" i="1" s="1"/>
  <c r="AE47" i="1"/>
  <c r="AD47" i="1" s="1"/>
  <c r="AE51" i="1"/>
  <c r="AD51" i="1" s="1"/>
  <c r="AE59" i="1"/>
  <c r="AD59" i="1" s="1"/>
  <c r="AE23" i="1"/>
  <c r="AD23" i="1" s="1"/>
  <c r="AE63" i="1"/>
  <c r="AD63" i="1" s="1"/>
  <c r="AE60" i="1"/>
  <c r="AD60" i="1" s="1"/>
  <c r="AE53" i="1"/>
  <c r="AD53" i="1" s="1"/>
  <c r="AE57" i="1"/>
  <c r="AD57" i="1" s="1"/>
  <c r="AE65" i="1"/>
  <c r="AD65" i="1" s="1"/>
  <c r="AE14" i="1"/>
  <c r="AD14" i="1" s="1"/>
  <c r="AE18" i="1"/>
  <c r="AD18" i="1" s="1"/>
  <c r="AE22" i="1"/>
  <c r="AD22" i="1" s="1"/>
  <c r="AE26" i="1"/>
  <c r="AD26" i="1" s="1"/>
  <c r="AE30" i="1"/>
  <c r="AD30" i="1" s="1"/>
  <c r="AE34" i="1"/>
  <c r="AD34" i="1" s="1"/>
  <c r="AE38" i="1"/>
  <c r="AD38" i="1" s="1"/>
  <c r="AE42" i="1"/>
  <c r="AD42" i="1" s="1"/>
  <c r="AE46" i="1"/>
  <c r="AD46" i="1" s="1"/>
  <c r="AE50" i="1"/>
  <c r="AD50" i="1" s="1"/>
  <c r="AE54" i="1"/>
  <c r="AD54" i="1" s="1"/>
  <c r="AE58" i="1"/>
  <c r="AD58" i="1" s="1"/>
  <c r="AE62" i="1"/>
  <c r="AD62" i="1" s="1"/>
  <c r="AE66" i="1"/>
  <c r="AD66" i="1" s="1"/>
  <c r="AA61" i="1"/>
  <c r="AA63" i="1"/>
  <c r="AA65" i="1"/>
  <c r="AE61" i="1"/>
  <c r="AD61" i="1" s="1"/>
  <c r="AA62" i="1"/>
  <c r="AA64" i="1"/>
  <c r="AA66" i="1"/>
  <c r="AA55" i="1"/>
  <c r="AA57" i="1"/>
  <c r="AA59" i="1"/>
  <c r="AE55" i="1"/>
  <c r="AD55" i="1" s="1"/>
  <c r="AA56" i="1"/>
  <c r="AA58" i="1"/>
  <c r="AA60" i="1"/>
  <c r="AA49" i="1"/>
  <c r="AA51" i="1"/>
  <c r="AA53" i="1"/>
  <c r="AE49" i="1"/>
  <c r="AD49" i="1" s="1"/>
  <c r="AA50" i="1"/>
  <c r="AA52" i="1"/>
  <c r="AA54" i="1"/>
  <c r="AA43" i="1"/>
  <c r="AA45" i="1"/>
  <c r="AA47" i="1"/>
  <c r="AE43" i="1"/>
  <c r="AD43" i="1" s="1"/>
  <c r="AA44" i="1"/>
  <c r="AA46" i="1"/>
  <c r="AA48" i="1"/>
  <c r="AA37" i="1"/>
  <c r="AA39" i="1"/>
  <c r="AA41" i="1"/>
  <c r="AE37" i="1"/>
  <c r="AD37" i="1" s="1"/>
  <c r="AA38" i="1"/>
  <c r="AA40" i="1"/>
  <c r="AA42" i="1"/>
  <c r="AA31" i="1"/>
  <c r="AA33" i="1"/>
  <c r="AA35" i="1"/>
  <c r="AE31" i="1"/>
  <c r="AD31" i="1" s="1"/>
  <c r="AA32" i="1"/>
  <c r="AA34" i="1"/>
  <c r="AA36" i="1"/>
  <c r="AA25" i="1"/>
  <c r="AA27" i="1"/>
  <c r="AA29" i="1"/>
  <c r="AE25" i="1"/>
  <c r="AD25" i="1" s="1"/>
  <c r="AA26" i="1"/>
  <c r="AA28" i="1"/>
  <c r="AA30" i="1"/>
  <c r="AA19" i="1"/>
  <c r="AA21" i="1"/>
  <c r="AA23" i="1"/>
  <c r="AE19" i="1"/>
  <c r="AD19" i="1" s="1"/>
  <c r="AA20" i="1"/>
  <c r="AA22" i="1"/>
  <c r="AA24" i="1"/>
  <c r="AA13" i="1"/>
  <c r="AA15" i="1"/>
  <c r="AA17" i="1"/>
  <c r="AA14" i="1"/>
  <c r="AA16" i="1"/>
  <c r="AA18" i="1"/>
  <c r="AC66" i="1" l="1"/>
  <c r="AB66" i="1"/>
  <c r="AF66" i="1" s="1"/>
  <c r="AC64" i="1"/>
  <c r="AB64" i="1"/>
  <c r="AF64" i="1" s="1"/>
  <c r="AC62" i="1"/>
  <c r="AB62" i="1"/>
  <c r="AF62" i="1" s="1"/>
  <c r="AC65" i="1"/>
  <c r="AB65" i="1"/>
  <c r="AF65" i="1" s="1"/>
  <c r="AC63" i="1"/>
  <c r="AB63" i="1"/>
  <c r="AF63" i="1" s="1"/>
  <c r="AC61" i="1"/>
  <c r="AB61" i="1"/>
  <c r="AF61" i="1" s="1"/>
  <c r="AC60" i="1"/>
  <c r="AB60" i="1"/>
  <c r="AF60" i="1" s="1"/>
  <c r="AC58" i="1"/>
  <c r="AB58" i="1"/>
  <c r="AF58" i="1" s="1"/>
  <c r="AC56" i="1"/>
  <c r="AB56" i="1"/>
  <c r="AF56" i="1" s="1"/>
  <c r="AC59" i="1"/>
  <c r="AB59" i="1"/>
  <c r="AF59" i="1" s="1"/>
  <c r="AC57" i="1"/>
  <c r="AB57" i="1"/>
  <c r="AF57" i="1" s="1"/>
  <c r="AC55" i="1"/>
  <c r="AB55" i="1"/>
  <c r="AF55" i="1" s="1"/>
  <c r="AC54" i="1"/>
  <c r="AB54" i="1"/>
  <c r="AF54" i="1" s="1"/>
  <c r="AC52" i="1"/>
  <c r="AB52" i="1"/>
  <c r="AF52" i="1" s="1"/>
  <c r="AC50" i="1"/>
  <c r="AB50" i="1"/>
  <c r="AF50" i="1" s="1"/>
  <c r="AC53" i="1"/>
  <c r="AB53" i="1"/>
  <c r="AF53" i="1" s="1"/>
  <c r="AC51" i="1"/>
  <c r="AB51" i="1"/>
  <c r="AF51" i="1" s="1"/>
  <c r="AC49" i="1"/>
  <c r="AB49" i="1"/>
  <c r="AF49" i="1" s="1"/>
  <c r="AC48" i="1"/>
  <c r="AB48" i="1"/>
  <c r="AF48" i="1" s="1"/>
  <c r="AC46" i="1"/>
  <c r="AB46" i="1"/>
  <c r="AF46" i="1" s="1"/>
  <c r="AC44" i="1"/>
  <c r="AB44" i="1"/>
  <c r="AF44" i="1" s="1"/>
  <c r="AC47" i="1"/>
  <c r="AB47" i="1"/>
  <c r="AF47" i="1" s="1"/>
  <c r="AC45" i="1"/>
  <c r="AB45" i="1"/>
  <c r="AF45" i="1" s="1"/>
  <c r="AC43" i="1"/>
  <c r="AB43" i="1"/>
  <c r="AF43" i="1" s="1"/>
  <c r="AC42" i="1"/>
  <c r="AB42" i="1"/>
  <c r="AF42" i="1" s="1"/>
  <c r="AC40" i="1"/>
  <c r="AB40" i="1"/>
  <c r="AF40" i="1" s="1"/>
  <c r="AC38" i="1"/>
  <c r="AB38" i="1"/>
  <c r="AF38" i="1" s="1"/>
  <c r="AC41" i="1"/>
  <c r="AB41" i="1"/>
  <c r="AF41" i="1" s="1"/>
  <c r="AC39" i="1"/>
  <c r="AB39" i="1"/>
  <c r="AF39" i="1" s="1"/>
  <c r="AC37" i="1"/>
  <c r="AB37" i="1"/>
  <c r="AF37" i="1" s="1"/>
  <c r="AC36" i="1"/>
  <c r="AB36" i="1"/>
  <c r="AF36" i="1" s="1"/>
  <c r="AC34" i="1"/>
  <c r="AB34" i="1"/>
  <c r="AF34" i="1" s="1"/>
  <c r="AC32" i="1"/>
  <c r="AB32" i="1"/>
  <c r="AF32" i="1" s="1"/>
  <c r="AB35" i="1"/>
  <c r="AF35" i="1" s="1"/>
  <c r="AC35" i="1"/>
  <c r="AB33" i="1"/>
  <c r="AF33" i="1" s="1"/>
  <c r="AC33" i="1"/>
  <c r="AC31" i="1"/>
  <c r="AB31" i="1"/>
  <c r="AF31" i="1" s="1"/>
  <c r="AC30" i="1"/>
  <c r="AB30" i="1"/>
  <c r="AF30" i="1" s="1"/>
  <c r="AC28" i="1"/>
  <c r="AB28" i="1"/>
  <c r="AF28" i="1" s="1"/>
  <c r="AC26" i="1"/>
  <c r="AB26" i="1"/>
  <c r="AF26" i="1" s="1"/>
  <c r="AC29" i="1"/>
  <c r="AB29" i="1"/>
  <c r="AF29" i="1" s="1"/>
  <c r="AC27" i="1"/>
  <c r="AB27" i="1"/>
  <c r="AF27" i="1" s="1"/>
  <c r="AC25" i="1"/>
  <c r="AB25" i="1"/>
  <c r="AF25" i="1" s="1"/>
  <c r="AC22" i="1"/>
  <c r="AB22" i="1"/>
  <c r="AF22" i="1" s="1"/>
  <c r="AC20" i="1"/>
  <c r="AB20" i="1"/>
  <c r="AF20" i="1" s="1"/>
  <c r="AC23" i="1"/>
  <c r="AB23" i="1"/>
  <c r="AF23" i="1" s="1"/>
  <c r="AC24" i="1"/>
  <c r="AB24" i="1"/>
  <c r="AF24" i="1" s="1"/>
  <c r="AC21" i="1"/>
  <c r="AB21" i="1"/>
  <c r="AF21" i="1" s="1"/>
  <c r="AC19" i="1"/>
  <c r="AB19" i="1"/>
  <c r="AF19" i="1" s="1"/>
  <c r="AC18" i="1"/>
  <c r="AB18" i="1"/>
  <c r="AF18" i="1" s="1"/>
  <c r="AC16" i="1"/>
  <c r="AB16" i="1"/>
  <c r="AF16" i="1" s="1"/>
  <c r="AC17" i="1"/>
  <c r="AB17" i="1"/>
  <c r="AF17" i="1" s="1"/>
  <c r="AC15" i="1"/>
  <c r="AB15" i="1"/>
  <c r="AF15" i="1" s="1"/>
  <c r="AC14" i="1"/>
  <c r="AB14" i="1"/>
  <c r="AF14" i="1" s="1"/>
  <c r="AC13" i="1"/>
  <c r="AB13" i="1"/>
  <c r="K10" i="1" l="1"/>
  <c r="K19" i="1"/>
  <c r="L19" i="1" s="1"/>
  <c r="K25" i="1"/>
  <c r="K31" i="1"/>
  <c r="L31" i="1" s="1"/>
  <c r="K37" i="1"/>
  <c r="L37" i="1" s="1"/>
  <c r="K43" i="1"/>
  <c r="L43" i="1" s="1"/>
  <c r="K49" i="1"/>
  <c r="L49" i="1" s="1"/>
  <c r="K55" i="1"/>
  <c r="L55" i="1" s="1"/>
  <c r="K61" i="1"/>
  <c r="L61" i="1" s="1"/>
  <c r="W12" i="1"/>
  <c r="W11" i="1"/>
  <c r="N60" i="1"/>
  <c r="N34" i="1"/>
  <c r="N29" i="1"/>
  <c r="N41" i="1"/>
  <c r="N66" i="1"/>
  <c r="N22" i="1"/>
  <c r="N47" i="1"/>
  <c r="N42" i="1"/>
  <c r="N39" i="1"/>
  <c r="N20" i="1"/>
  <c r="N57" i="1"/>
  <c r="N40" i="1"/>
  <c r="N62" i="1"/>
  <c r="N26" i="1"/>
  <c r="N48" i="1"/>
  <c r="N65" i="1"/>
  <c r="N32" i="1"/>
  <c r="N46" i="1"/>
  <c r="N50" i="1"/>
  <c r="N54" i="1"/>
  <c r="N24" i="1"/>
  <c r="N56" i="1"/>
  <c r="N21" i="1"/>
  <c r="N52" i="1"/>
  <c r="N35" i="1"/>
  <c r="N44" i="1"/>
  <c r="N63" i="1"/>
  <c r="N53" i="1"/>
  <c r="N30" i="1"/>
  <c r="N38" i="1"/>
  <c r="N59" i="1"/>
  <c r="N58" i="1"/>
  <c r="N33" i="1"/>
  <c r="N36" i="1"/>
  <c r="N23" i="1"/>
  <c r="N28" i="1"/>
  <c r="N64" i="1"/>
  <c r="N51" i="1"/>
  <c r="N27" i="1"/>
  <c r="N45" i="1"/>
  <c r="L25" i="1" l="1"/>
  <c r="T11" i="1" l="1"/>
  <c r="F217" i="13"/>
  <c r="T12" i="1"/>
  <c r="W10" i="1" l="1"/>
  <c r="L10" i="1" l="1"/>
  <c r="N14" i="1"/>
  <c r="N16" i="1"/>
  <c r="N17" i="1"/>
  <c r="N18" i="1"/>
  <c r="N15" i="1"/>
  <c r="F221" i="13" l="1"/>
  <c r="F211" i="13"/>
  <c r="F212" i="13"/>
  <c r="F213" i="13"/>
  <c r="F214" i="13"/>
  <c r="F215" i="13"/>
  <c r="F216" i="13"/>
  <c r="F218" i="13"/>
  <c r="F219" i="13"/>
  <c r="F220" i="13"/>
  <c r="F210" i="13"/>
  <c r="N12" i="1"/>
  <c r="B221" i="13" a="1"/>
  <c r="N11"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K13" i="1" l="1"/>
  <c r="L13" i="1" l="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10" i="1" l="1"/>
  <c r="AB10" i="1" s="1"/>
  <c r="AC10" i="1" l="1"/>
  <c r="AA11" i="1" s="1"/>
  <c r="AC11" i="1" l="1"/>
  <c r="AA12" i="1" s="1"/>
  <c r="AB11"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B12" i="1" l="1"/>
  <c r="AC12"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 r="N19" i="1" l="1"/>
  <c r="O19" i="1" s="1"/>
  <c r="N25" i="1"/>
  <c r="O25" i="1" s="1"/>
  <c r="N49" i="1"/>
  <c r="O49" i="1" s="1"/>
  <c r="N10" i="1"/>
  <c r="O10" i="1" s="1"/>
  <c r="N55" i="1"/>
  <c r="O55" i="1" s="1"/>
  <c r="N43" i="1"/>
  <c r="O43" i="1" s="1"/>
  <c r="N13" i="1"/>
  <c r="O13" i="1" s="1"/>
  <c r="N31" i="1"/>
  <c r="O31" i="1" s="1"/>
  <c r="N61" i="1"/>
  <c r="O61" i="1" s="1"/>
  <c r="N37" i="1"/>
  <c r="O37" i="1" s="1"/>
  <c r="P38" i="18" l="1"/>
  <c r="V22" i="18"/>
  <c r="P6" i="18"/>
  <c r="V14" i="18"/>
  <c r="V38" i="18"/>
  <c r="J14" i="18"/>
  <c r="AB6" i="18"/>
  <c r="J6" i="18"/>
  <c r="AH6" i="18"/>
  <c r="P10" i="1"/>
  <c r="AE10" i="1" s="1"/>
  <c r="P30" i="18"/>
  <c r="P14" i="18"/>
  <c r="AB22" i="18"/>
  <c r="J38" i="18"/>
  <c r="V6" i="18"/>
  <c r="P22" i="18"/>
  <c r="AB38" i="18"/>
  <c r="V30" i="18"/>
  <c r="Q10" i="1"/>
  <c r="AB14" i="18"/>
  <c r="AH38" i="18"/>
  <c r="J22" i="18"/>
  <c r="AH22" i="18"/>
  <c r="AB30" i="18"/>
  <c r="AH30" i="18"/>
  <c r="AH14" i="18"/>
  <c r="J30" i="18"/>
  <c r="R14" i="18"/>
  <c r="L38" i="18"/>
  <c r="AJ30" i="18"/>
  <c r="AD22" i="18"/>
  <c r="L14" i="18"/>
  <c r="AJ22" i="18"/>
  <c r="L6" i="18"/>
  <c r="AD14" i="18"/>
  <c r="AD6" i="18"/>
  <c r="Q13" i="1"/>
  <c r="P13" i="1"/>
  <c r="AE13" i="1" s="1"/>
  <c r="AD13" i="1" s="1"/>
  <c r="X38" i="18"/>
  <c r="X14" i="18"/>
  <c r="X22" i="18"/>
  <c r="AJ38" i="18"/>
  <c r="R6" i="18"/>
  <c r="R30" i="18"/>
  <c r="L30" i="18"/>
  <c r="L22" i="18"/>
  <c r="X6" i="18"/>
  <c r="R38" i="18"/>
  <c r="X30" i="18"/>
  <c r="AJ6" i="18"/>
  <c r="AD38" i="18"/>
  <c r="AJ14" i="18"/>
  <c r="AD30" i="18"/>
  <c r="R22" i="18"/>
  <c r="Q49" i="1"/>
  <c r="AD42" i="18"/>
  <c r="X26" i="18"/>
  <c r="AD18" i="18"/>
  <c r="AJ26" i="18"/>
  <c r="AD26" i="18"/>
  <c r="AD10" i="18"/>
  <c r="P49" i="1"/>
  <c r="R26" i="18"/>
  <c r="R42" i="18"/>
  <c r="AD34" i="18"/>
  <c r="AJ10" i="18"/>
  <c r="R34" i="18"/>
  <c r="X42" i="18"/>
  <c r="R18" i="18"/>
  <c r="R10" i="18"/>
  <c r="X34" i="18"/>
  <c r="L42" i="18"/>
  <c r="AJ34" i="18"/>
  <c r="AJ18" i="18"/>
  <c r="X18" i="18"/>
  <c r="L26" i="18"/>
  <c r="L18" i="18"/>
  <c r="AJ42" i="18"/>
  <c r="L34" i="18"/>
  <c r="X10" i="18"/>
  <c r="L10" i="18"/>
  <c r="AD8" i="18"/>
  <c r="R16" i="18"/>
  <c r="AD16" i="18"/>
  <c r="X8" i="18"/>
  <c r="X16" i="18"/>
  <c r="AD24" i="18"/>
  <c r="Q31" i="1"/>
  <c r="L32" i="18"/>
  <c r="X32" i="18"/>
  <c r="AD40" i="18"/>
  <c r="L16" i="18"/>
  <c r="R32" i="18"/>
  <c r="X24" i="18"/>
  <c r="P31" i="1"/>
  <c r="R40" i="18"/>
  <c r="L24" i="18"/>
  <c r="AJ8" i="18"/>
  <c r="R8" i="18"/>
  <c r="X40" i="18"/>
  <c r="AJ24" i="18"/>
  <c r="L8" i="18"/>
  <c r="R24" i="18"/>
  <c r="AJ16" i="18"/>
  <c r="AJ32" i="18"/>
  <c r="L40" i="18"/>
  <c r="AJ40" i="18"/>
  <c r="AD32" i="18"/>
  <c r="N40" i="18"/>
  <c r="T16" i="18"/>
  <c r="AL40" i="18"/>
  <c r="T40" i="18"/>
  <c r="Z40" i="18"/>
  <c r="AF24" i="18"/>
  <c r="N32" i="18"/>
  <c r="AF32" i="18"/>
  <c r="AF40" i="18"/>
  <c r="Z8" i="18"/>
  <c r="N16" i="18"/>
  <c r="N24" i="18"/>
  <c r="AL32" i="18"/>
  <c r="Q37" i="1"/>
  <c r="AL24" i="18"/>
  <c r="AL8" i="18"/>
  <c r="T32" i="18"/>
  <c r="AF8" i="18"/>
  <c r="Z24" i="18"/>
  <c r="AL16" i="18"/>
  <c r="Z32" i="18"/>
  <c r="N8" i="18"/>
  <c r="T8" i="18"/>
  <c r="T24" i="18"/>
  <c r="AF16" i="18"/>
  <c r="P37" i="1"/>
  <c r="Z16" i="18"/>
  <c r="Q43" i="1"/>
  <c r="J26" i="18"/>
  <c r="V42" i="18"/>
  <c r="AH34" i="18"/>
  <c r="P26" i="18"/>
  <c r="V34" i="18"/>
  <c r="AH42" i="18"/>
  <c r="AB10" i="18"/>
  <c r="AB42" i="18"/>
  <c r="AB18" i="18"/>
  <c r="J42" i="18"/>
  <c r="AH18" i="18"/>
  <c r="AH10" i="18"/>
  <c r="AH26" i="18"/>
  <c r="P18" i="18"/>
  <c r="V10" i="18"/>
  <c r="P42" i="18"/>
  <c r="P10" i="18"/>
  <c r="J34" i="18"/>
  <c r="AB34" i="18"/>
  <c r="V18" i="18"/>
  <c r="J18" i="18"/>
  <c r="P34" i="18"/>
  <c r="J10" i="18"/>
  <c r="AB26" i="18"/>
  <c r="V26" i="18"/>
  <c r="P43" i="1"/>
  <c r="P25" i="1"/>
  <c r="V8" i="18"/>
  <c r="J8" i="18"/>
  <c r="V16" i="18"/>
  <c r="AB16" i="18"/>
  <c r="P32" i="18"/>
  <c r="V40" i="18"/>
  <c r="Q25" i="1"/>
  <c r="AH8" i="18"/>
  <c r="P16" i="18"/>
  <c r="AB32" i="18"/>
  <c r="J24" i="18"/>
  <c r="AH40" i="18"/>
  <c r="AB40" i="18"/>
  <c r="AH24" i="18"/>
  <c r="AH32" i="18"/>
  <c r="V32" i="18"/>
  <c r="AH16" i="18"/>
  <c r="P40" i="18"/>
  <c r="V24" i="18"/>
  <c r="J32" i="18"/>
  <c r="J16" i="18"/>
  <c r="P8" i="18"/>
  <c r="AB8" i="18"/>
  <c r="AB24" i="18"/>
  <c r="J40" i="18"/>
  <c r="P24" i="18"/>
  <c r="V36" i="18"/>
  <c r="J20" i="18"/>
  <c r="P12" i="18"/>
  <c r="AH20" i="18"/>
  <c r="V12" i="18"/>
  <c r="P20" i="18"/>
  <c r="AB44" i="18"/>
  <c r="J12" i="18"/>
  <c r="AB36" i="18"/>
  <c r="P28" i="18"/>
  <c r="V44" i="18"/>
  <c r="V20" i="18"/>
  <c r="AB20" i="18"/>
  <c r="P61" i="1"/>
  <c r="J28" i="18"/>
  <c r="J44" i="18"/>
  <c r="AB12" i="18"/>
  <c r="P36" i="18"/>
  <c r="V28" i="18"/>
  <c r="J36" i="18"/>
  <c r="Q61" i="1"/>
  <c r="AH36" i="18"/>
  <c r="AH12" i="18"/>
  <c r="AB28" i="18"/>
  <c r="AH44" i="18"/>
  <c r="AH28" i="18"/>
  <c r="P44" i="18"/>
  <c r="N18" i="18"/>
  <c r="AL34" i="18"/>
  <c r="AF18" i="18"/>
  <c r="N34" i="18"/>
  <c r="AL26" i="18"/>
  <c r="Z18" i="18"/>
  <c r="P55" i="1"/>
  <c r="N42" i="18"/>
  <c r="AL10" i="18"/>
  <c r="AF10" i="18"/>
  <c r="AF42" i="18"/>
  <c r="T18" i="18"/>
  <c r="Z10" i="18"/>
  <c r="Q55" i="1"/>
  <c r="N10" i="18"/>
  <c r="N26" i="18"/>
  <c r="T10" i="18"/>
  <c r="AL18" i="18"/>
  <c r="T26" i="18"/>
  <c r="T42" i="18"/>
  <c r="AL42" i="18"/>
  <c r="AF34" i="18"/>
  <c r="Z34" i="18"/>
  <c r="Z42" i="18"/>
  <c r="T34" i="18"/>
  <c r="AF26" i="18"/>
  <c r="Z26" i="18"/>
  <c r="Q19" i="1"/>
  <c r="Z6" i="18"/>
  <c r="N30" i="18"/>
  <c r="AF6" i="18"/>
  <c r="T22" i="18"/>
  <c r="AF30" i="18"/>
  <c r="Z30" i="18"/>
  <c r="AF22" i="18"/>
  <c r="AL6" i="18"/>
  <c r="T14" i="18"/>
  <c r="T6" i="18"/>
  <c r="AL38" i="18"/>
  <c r="N38" i="18"/>
  <c r="N22" i="18"/>
  <c r="AF14" i="18"/>
  <c r="Z38" i="18"/>
  <c r="P19" i="1"/>
  <c r="T38" i="18"/>
  <c r="AL30" i="18"/>
  <c r="AL22" i="18"/>
  <c r="Z14" i="18"/>
  <c r="N14" i="18"/>
  <c r="AF38" i="18"/>
  <c r="Z22" i="18"/>
  <c r="AL14" i="18"/>
  <c r="N6" i="18"/>
  <c r="T30" i="18"/>
  <c r="AF13" i="1" l="1"/>
  <c r="AB7" i="19"/>
  <c r="J47" i="19"/>
  <c r="P37" i="19"/>
  <c r="J7" i="19"/>
  <c r="AH17" i="19"/>
  <c r="AB37" i="19"/>
  <c r="V37" i="19"/>
  <c r="P27" i="19"/>
  <c r="V27" i="19"/>
  <c r="J17" i="19"/>
  <c r="V7" i="19"/>
  <c r="AB47" i="19"/>
  <c r="AH47" i="19"/>
  <c r="AH7" i="19"/>
  <c r="AB27" i="19"/>
  <c r="P7" i="19"/>
  <c r="J27" i="19"/>
  <c r="AH37" i="19"/>
  <c r="P17" i="19"/>
  <c r="V47" i="19"/>
  <c r="AB17" i="19"/>
  <c r="J37" i="19"/>
  <c r="V17" i="19"/>
  <c r="P47" i="19"/>
  <c r="AH27" i="19"/>
  <c r="AE11" i="1"/>
  <c r="AD10" i="1"/>
  <c r="AD11" i="1" l="1"/>
  <c r="AC46" i="19" s="1"/>
  <c r="AE12" i="1"/>
  <c r="AD12" i="1" s="1"/>
  <c r="P36" i="19"/>
  <c r="AH46" i="19"/>
  <c r="V46" i="19"/>
  <c r="AH6" i="19"/>
  <c r="J26" i="19"/>
  <c r="P46" i="19"/>
  <c r="AB36" i="19"/>
  <c r="V6" i="19"/>
  <c r="J46" i="19"/>
  <c r="AH36" i="19"/>
  <c r="AB16" i="19"/>
  <c r="J6" i="19"/>
  <c r="P16" i="19"/>
  <c r="V16" i="19"/>
  <c r="AH16" i="19"/>
  <c r="AB46" i="19"/>
  <c r="P26" i="19"/>
  <c r="AB26" i="19"/>
  <c r="V36" i="19"/>
  <c r="AF10" i="1"/>
  <c r="AB6" i="19"/>
  <c r="P6" i="19"/>
  <c r="V26" i="19"/>
  <c r="J16" i="19"/>
  <c r="J36" i="19"/>
  <c r="AH26" i="19"/>
  <c r="W26" i="19" l="1"/>
  <c r="K36" i="19"/>
  <c r="AI26" i="19"/>
  <c r="K6" i="19"/>
  <c r="Q16" i="19"/>
  <c r="W36" i="19"/>
  <c r="AI6" i="19"/>
  <c r="AI46" i="19"/>
  <c r="W16" i="19"/>
  <c r="W6" i="19"/>
  <c r="AC36" i="19"/>
  <c r="AC16" i="19"/>
  <c r="Q6" i="19"/>
  <c r="AI16" i="19"/>
  <c r="Q26" i="19"/>
  <c r="K46" i="19"/>
  <c r="AI36" i="19"/>
  <c r="Q46" i="19"/>
  <c r="AC6" i="19"/>
  <c r="AC26" i="19"/>
  <c r="AF11" i="1"/>
  <c r="K16" i="19"/>
  <c r="Q36" i="19"/>
  <c r="W46" i="19"/>
  <c r="K26" i="19"/>
  <c r="X46" i="19"/>
  <c r="L36" i="19"/>
  <c r="R46" i="19"/>
  <c r="L6" i="19"/>
  <c r="R36" i="19"/>
  <c r="AJ16" i="19"/>
  <c r="AD46" i="19"/>
  <c r="AJ36" i="19"/>
  <c r="AJ26" i="19"/>
  <c r="X6" i="19"/>
  <c r="R6" i="19"/>
  <c r="AF12" i="1"/>
  <c r="X26" i="19"/>
  <c r="X16" i="19"/>
  <c r="AD6" i="19"/>
  <c r="L26" i="19"/>
  <c r="AD16" i="19"/>
  <c r="AJ6" i="19"/>
  <c r="AJ46" i="19"/>
  <c r="AD26" i="19"/>
  <c r="R26" i="19"/>
  <c r="L46" i="19"/>
  <c r="L16" i="19"/>
  <c r="X36" i="19"/>
  <c r="AD36" i="19"/>
  <c r="R16" i="19"/>
</calcChain>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<sst xmlns="http://schemas.openxmlformats.org/spreadsheetml/2006/main" count="579" uniqueCount="379">
  <si>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</si>
  <si>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</si>
  <si>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</si>
  <si>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</si>
  <si>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</si>
  <si>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</si>
  <si>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</si>
  <si>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</si>
  <si>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</si>
  <si>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</si>
  <si>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</si>
  <si>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</si>
  <si>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</si>
  <si>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</si>
  <si>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</si>
  <si>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</si>
  <si>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</si>
  <si>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</si>
  <si>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</si>
  <si>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</si>
  <si>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</si>
  <si>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</si>
  <si>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</si>
  <si>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</si>
  <si>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</si>
  <si>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</si>
  <si>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</si>
  <si>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</si>
  <si>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</si>
  <si>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</si>
  <si>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</si>
  <si>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</si>
  <si>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</si>
  <si>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</si>
  <si>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</si>
  <si>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</si>
  <si>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</si>
  <si>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</si>
  <si>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</si>
  <si>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</si>
  <si>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</si>
  <si>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</si>
  <si>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</si>
  <si>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</si>
  <si>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</si>
  <si>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</si>
  <si>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</si>
  <si>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</si>
  <si>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</si>
  <si>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</si>
  <si>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</si>
  <si>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</si>
  <si>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</si>
  <si>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</si>
  <si>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</si>
  <si>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</si>
  <si>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</si>
  <si>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</si>
  <si>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</si>
  <si>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</si>
  <si>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</si>
  <si>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</si>
  <si>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</si>
  <si>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</si>
  <si>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</si>
  <si>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</si>
  <si>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</si>
  <si>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</si>
  <si>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</si>
  <si>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</si>
  <si>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</si>
  <si>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</si>
  <si>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</si>
  <si>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</si>
  <si>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</si>
  <si>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</si>
  <si>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</si>
  <si>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</si>
  <si>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</si>
  <si>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</si>
  <si>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</si>
  <si>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</si>
  <si>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</si>
  <si>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</si>
  <si>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</si>
  <si>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</si>
  <si>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</si>
  <si>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</si>
  <si>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</si>
  <si>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</si>
  <si>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</si>
  <si>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</si>
  <si>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</si>
  <si>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</si>
  <si>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</si>
  <si>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</si>
  <si>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</si>
  <si>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</si>
  <si>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</si>
  <si>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</si>
  <si>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</si>
  <si>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</si>
  <si>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</si>
  <si>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</si>
  <si>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</si>
  <si>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</si>
  <si>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</si>
  <si>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</si>
  <si>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</si>
  <si>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</si>
  <si>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</si>
  <si>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</si>
  <si>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</si>
  <si>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</si>
  <si>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</si>
  <si>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</si>
  <si>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</si>
  <si>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</si>
  <si>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</si>
  <si>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</si>
  <si>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</si>
  <si>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</si>
  <si>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</si>
  <si>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</si>
  <si>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</si>
  <si>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</si>
  <si>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</si>
  <si>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</si>
  <si>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</si>
  <si>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</si>
  <si>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</si>
  <si>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</si>
  <si>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</si>
  <si>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</si>
  <si>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</si>
  <si>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</si>
  <si>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</si>
  <si>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</si>
  <si>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</si>
  <si>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</si>
  <si>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</si>
  <si>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</si>
  <si>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</si>
  <si>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</si>
  <si>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</si>
  <si>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</si>
  <si>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</si>
  <si>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</si>
  <si>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</si>
  <si>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</si>
  <si>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</si>
  <si>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</si>
  <si>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</si>
  <si>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</si>
  <si>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</si>
  <si>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</si>
  <si>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</si>
  <si>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</si>
  <si>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</si>
  <si>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</si>
  <si>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</si>
  <si>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</si>
  <si>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</si>
  <si>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</si>
  <si>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</si>
  <si>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</si>
  <si>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</si>
  <si>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</si>
  <si>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</si>
  <si>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</si>
  <si>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</si>
  <si>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</si>
  <si>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</si>
  <si>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</si>
  <si>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</si>
  <si>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</si>
  <si>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</si>
  <si>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</si>
  <si>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</si>
  <si>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</si>
  <si>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</si>
  <si>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</si>
  <si>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</si>
  <si>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</si>
  <si>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</si>
  <si>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</si>
  <si>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</si>
  <si>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</si>
  <si>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</si>
  <si>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</si>
  <si>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</si>
  <si>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</si>
  <si>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</si>
  <si>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</si>
  <si>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</si>
  <si>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</si>
  <si>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</si>
  <si>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</si>
  <si>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</si>
  <si>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</si>
  <si>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</si>
  <si>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</si>
  <si>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</si>
  <si>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</si>
  <si>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</si>
  <si>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</si>
  <si>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</si>
  <si>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</si>
  <si>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</si>
  <si>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</si>
  <si>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</si>
  <si>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</si>
  <si>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</si>
  <si>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</si>
  <si>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</si>
  <si>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FORMATO: CONTEXTO ESTRATEGICO</t>
  </si>
  <si>
    <t xml:space="preserve">CONTEXTO ESTRATEGICO </t>
  </si>
  <si>
    <t>FACTORES EXTERNOS</t>
  </si>
  <si>
    <t>CAUSAS</t>
  </si>
  <si>
    <t>FACTORES INTERNOS</t>
  </si>
  <si>
    <t>FACTORES DEL PROCESO</t>
  </si>
  <si>
    <t>POLÍTICOS</t>
  </si>
  <si>
    <t>TECNOLÓGICOS</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</si>
  <si>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</si>
  <si>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</si>
  <si>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</si>
  <si>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</si>
  <si>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</si>
  <si>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</si>
  <si>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</si>
  <si>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</si>
  <si>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</si>
  <si>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</si>
  <si>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</si>
  <si>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</si>
  <si>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</si>
  <si>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</si>
  <si>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</si>
  <si>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</si>
  <si>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</si>
  <si>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</si>
  <si>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</si>
  <si>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</si>
  <si>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</si>
  <si>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</si>
  <si>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</si>
  <si>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</si>
  <si>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</si>
  <si>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</si>
  <si>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</si>
  <si>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</si>
  <si>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</si>
  <si>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</si>
  <si>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</si>
  <si>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</si>
  <si>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</si>
  <si>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</si>
  <si>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Tipo de Riesgos</t>
  </si>
  <si>
    <t xml:space="preserve">PROCESO: SISTEMA INTEGRADO DE GESTIÓN </t>
  </si>
  <si>
    <t>Codigo:FOR-029-PRO-SIG-01</t>
  </si>
  <si>
    <t>Versión: 01</t>
  </si>
  <si>
    <t>Fecha: 21/02/2024</t>
  </si>
  <si>
    <t>Pagina:  1 de 1</t>
  </si>
  <si>
    <t>Fecha:21/02/2024</t>
  </si>
  <si>
    <t>Inadecuada divulgación de las acciones adelantadas por la Administración Municipal.</t>
  </si>
  <si>
    <t>Gestión</t>
  </si>
  <si>
    <t xml:space="preserve">Personal idoneo para la recuperación de las cuentas oficiales ó falta de cambio constante de las claves de acceso como medida de prevención </t>
  </si>
  <si>
    <t>Deficiente control a la seguridad de las vocerías oficiales de la ciudad</t>
  </si>
  <si>
    <t>Ingreso de personal nuevo a la entidad con desconocimiento sobre el manejo adecuado de la información para la difusión</t>
  </si>
  <si>
    <t>Hackeo de las redes o vocerías institucionales</t>
  </si>
  <si>
    <t>PERSONAL DE LA ENTIDAD</t>
  </si>
  <si>
    <t>PROCEDIMIENTOS DEL PROCESO</t>
  </si>
  <si>
    <t>COMUNICACIÓN ENTRE LOS PROCESOS</t>
  </si>
  <si>
    <t xml:space="preserve">Deficiente comunicación interna y aplicación de los controles </t>
  </si>
  <si>
    <t xml:space="preserve"> Cambios en el gabinete municipal.</t>
  </si>
  <si>
    <t>SOCIALES Y CULTURALES</t>
  </si>
  <si>
    <t xml:space="preserve">Acciones de orden público que atenten contra la integridad de los periodistas. </t>
  </si>
  <si>
    <t>Constante innovación tecnológica.</t>
  </si>
  <si>
    <t>LEGALES Y REGLAMENTARIOS</t>
  </si>
  <si>
    <t>Constante cambios de la normatividad.</t>
  </si>
  <si>
    <t xml:space="preserve">Poco acceso a las plataformas tecnológicas en los estratos bajos y zona rural. </t>
  </si>
  <si>
    <t>El nivel de alfabetización de los ciudadanos.</t>
  </si>
  <si>
    <t xml:space="preserve">Poco acceso a la información para las personas con discapacidad.(PCD interpretación en lenguaje de señas. </t>
  </si>
  <si>
    <t>AMBIENTALES</t>
  </si>
  <si>
    <t>Declaración de emergencia por desastres naturales u otros.</t>
  </si>
  <si>
    <t>PERSONAL DE LA ENTIDAD (Capacidad del personal, políticas de manejo del talento humano, idoneidad)</t>
  </si>
  <si>
    <t>Deficiente apropiación de los valores y principios institucionales</t>
  </si>
  <si>
    <t>COMMUNICACIÓN INTERNA</t>
  </si>
  <si>
    <t>Deficientes controles para el manejo de la  información</t>
  </si>
  <si>
    <t xml:space="preserve">Carencia de la interiorización de la información de manera oportuna y veraz. </t>
  </si>
  <si>
    <t>PROCESOS OPERATIVOS</t>
  </si>
  <si>
    <t xml:space="preserve">Cambio en las condiciones de operación del proceso de comunicaciones. </t>
  </si>
  <si>
    <t>TECNOLOGÍA (integridad de datos, disponibilidad de datos y sistemas, desarrollo, producción, mantenimiento de sistemas de información)</t>
  </si>
  <si>
    <t>Los componentes tecnológicos  no son suficientes para el desarrollo del cubrimiento periodístico.</t>
  </si>
  <si>
    <t>Falta de capacitación orientada al personal adscrito a la Oficina de Comunicaciones</t>
  </si>
  <si>
    <t>Poco cuidado de los elementos tecnológicos e imagen institucional.</t>
  </si>
  <si>
    <t xml:space="preserve">Baja adquisición de software propios para diseño y edición de fotografía, vídeo y audio.  </t>
  </si>
  <si>
    <t>Uso inadecuado del manual de imagen de la Alcaldía Municipal.</t>
  </si>
  <si>
    <t>Falta de personal idóneo para adelantar los procesos de contratación.</t>
  </si>
  <si>
    <t>INTERACCIÓN CON LOS PROCESOS</t>
  </si>
  <si>
    <t xml:space="preserve">Baja articulación con otras dependencias e institutos descentralizados. </t>
  </si>
  <si>
    <t xml:space="preserve">Poca coordinación entre las dependencias para la planeación de los eventos institucionales. </t>
  </si>
  <si>
    <t xml:space="preserve">Falta de suministro de información por parte de los secretarios de despacho y directivos. </t>
  </si>
  <si>
    <t xml:space="preserve">1) Profesionales y técnicos con experiencia y conocimiento en el área de comunicaciones y protocolo. </t>
  </si>
  <si>
    <t xml:space="preserve">2) Trabajo en equipo </t>
  </si>
  <si>
    <t xml:space="preserve">3) Buenas relaciones públicas con entidades público-privadas </t>
  </si>
  <si>
    <t xml:space="preserve"> 4) Comunicación asertiva con los medios de comunicación de la ciudad</t>
  </si>
  <si>
    <t xml:space="preserve">5) Conocimiento de las actividades propias de cada dependencia. </t>
  </si>
  <si>
    <t xml:space="preserve"> 1) Mayor apropiación de la  Ley de transparencia como órgano regulador de los procesos de información.</t>
  </si>
  <si>
    <r>
      <rPr>
        <b/>
        <sz val="10"/>
        <color theme="1"/>
        <rFont val="Arial"/>
        <family val="2"/>
      </rPr>
      <t>D1, O1</t>
    </r>
    <r>
      <rPr>
        <sz val="10"/>
        <color theme="1"/>
        <rFont val="Arial"/>
        <family val="2"/>
      </rPr>
      <t xml:space="preserve"> Elaboración de estrategia de comunicación interna que permita una mayor difusión de los valores y principios institucionales de la entidad.</t>
    </r>
  </si>
  <si>
    <r>
      <t xml:space="preserve">F1,O3 </t>
    </r>
    <r>
      <rPr>
        <sz val="10"/>
        <color theme="1"/>
        <rFont val="Arial"/>
        <family val="2"/>
      </rPr>
      <t xml:space="preserve">Coordinar estrategias con los diferentes medios de comunicación que permitan realizar las acciones que ejecuta la entidad. </t>
    </r>
  </si>
  <si>
    <t xml:space="preserve">2) Adquirir nuevas tecnologías que ofrece el mercado para el sector de las comunicaciones. </t>
  </si>
  <si>
    <r>
      <rPr>
        <b/>
        <sz val="10"/>
        <color theme="1"/>
        <rFont val="Arial"/>
        <family val="2"/>
      </rPr>
      <t>D2, D3, O5</t>
    </r>
    <r>
      <rPr>
        <sz val="10"/>
        <color theme="1"/>
        <rFont val="Arial"/>
        <family val="2"/>
      </rPr>
      <t xml:space="preserve"> Socializar los diferentes instructivos, manuales y procedimientos que hacen parte del proceso.</t>
    </r>
  </si>
  <si>
    <r>
      <rPr>
        <b/>
        <sz val="10"/>
        <color theme="1"/>
        <rFont val="Arial"/>
        <family val="2"/>
      </rPr>
      <t>F2,O4</t>
    </r>
    <r>
      <rPr>
        <sz val="10"/>
        <color theme="1"/>
        <rFont val="Arial"/>
        <family val="2"/>
      </rPr>
      <t xml:space="preserve"> Implementar estrategias conjuntas para entregar información oportuna</t>
    </r>
  </si>
  <si>
    <t>3) Posicionar la imagen de la administración municipal en un contexto local, regional y nacional.</t>
  </si>
  <si>
    <r>
      <rPr>
        <b/>
        <sz val="10"/>
        <color theme="1"/>
        <rFont val="Arial"/>
        <family val="2"/>
      </rPr>
      <t>D4, O2</t>
    </r>
    <r>
      <rPr>
        <sz val="10"/>
        <color theme="1"/>
        <rFont val="Arial"/>
        <family val="2"/>
      </rPr>
      <t xml:space="preserve">  Compra y adquisición de equipos tecnológicos y de software que permitan una mayor calidad a la hora de realizar contenidos generados por la Oficina de Comunicaciones.</t>
    </r>
  </si>
  <si>
    <r>
      <rPr>
        <b/>
        <sz val="10"/>
        <color theme="1"/>
        <rFont val="Arial"/>
        <family val="2"/>
      </rPr>
      <t xml:space="preserve">F3, O3 </t>
    </r>
    <r>
      <rPr>
        <sz val="10"/>
        <color theme="1"/>
        <rFont val="Arial"/>
        <family val="2"/>
      </rPr>
      <t xml:space="preserve">Generar estrategias para una mayor participación de las entidades público-privadas en las diferentes acciones desarrolladas por la administración municipal. . </t>
    </r>
  </si>
  <si>
    <t xml:space="preserve">4) Mayor índice de desempeño institucional. </t>
  </si>
  <si>
    <r>
      <rPr>
        <b/>
        <sz val="10"/>
        <color theme="1"/>
        <rFont val="Arial"/>
        <family val="2"/>
      </rPr>
      <t>D5,O5</t>
    </r>
    <r>
      <rPr>
        <sz val="10"/>
        <color theme="1"/>
        <rFont val="Arial"/>
        <family val="2"/>
      </rPr>
      <t xml:space="preserve"> Socializar la estrategia  del proceso con el fin de generar un mayor compromiso por parte de la alta dirección  a la hora de comunicar las acciones a la ciudadanía..</t>
    </r>
  </si>
  <si>
    <r>
      <rPr>
        <b/>
        <sz val="10"/>
        <color theme="1"/>
        <rFont val="Arial"/>
        <family val="2"/>
      </rPr>
      <t>F4, O3</t>
    </r>
    <r>
      <rPr>
        <sz val="10"/>
        <color theme="1"/>
        <rFont val="Arial"/>
        <family val="2"/>
      </rPr>
      <t xml:space="preserve"> Fortalecer la imagen de la administración municipal a nivel local, regional y nacional. </t>
    </r>
  </si>
  <si>
    <t>5) Mejoramiento de los procesos de comunicación interna dentro de la entidad.</t>
  </si>
  <si>
    <r>
      <t xml:space="preserve">D6, O4 </t>
    </r>
    <r>
      <rPr>
        <sz val="11"/>
        <color theme="1"/>
        <rFont val="Arial"/>
        <family val="2"/>
      </rPr>
      <t>Articulación con las dependencias en donde exista personal idoneo para adelantar los procesos contractuales necesarios para el desarrollo de las actividades propias del proceso.</t>
    </r>
  </si>
  <si>
    <r>
      <rPr>
        <b/>
        <sz val="10"/>
        <color theme="1"/>
        <rFont val="Arial"/>
        <family val="2"/>
      </rPr>
      <t>F5, O5</t>
    </r>
    <r>
      <rPr>
        <sz val="10"/>
        <color theme="1"/>
        <rFont val="Arial"/>
        <family val="2"/>
      </rPr>
      <t xml:space="preserve"> Generar estrategias de comunicación interna que permitan una mayor difusión, a los funcionarios, de las actividades adelantadas por la Administración Municipal.</t>
    </r>
  </si>
  <si>
    <r>
      <rPr>
        <b/>
        <sz val="10"/>
        <color theme="1"/>
        <rFont val="Arial"/>
        <family val="2"/>
      </rPr>
      <t xml:space="preserve">D1, A7 </t>
    </r>
    <r>
      <rPr>
        <sz val="10"/>
        <color theme="1"/>
        <rFont val="Arial"/>
        <family val="2"/>
      </rPr>
      <t>Realizar la socialización con todas las dependencias para dar a conocer la forma correcta del uso del manual de imagen corporativo y la hoja de ruta por medio del cual deben ser solicitados  los diseños (pendón, pieza gráfica y demás elementos) ya que, deben ir con la aprobación de la Oficina de Comunicaciones.</t>
    </r>
  </si>
  <si>
    <r>
      <rPr>
        <b/>
        <sz val="10"/>
        <color theme="1"/>
        <rFont val="Arial"/>
        <family val="2"/>
      </rPr>
      <t>F1,F2, A7, A8</t>
    </r>
    <r>
      <rPr>
        <sz val="10"/>
        <color theme="1"/>
        <rFont val="Arial"/>
        <family val="2"/>
      </rPr>
      <t xml:space="preserve"> Garantizar que la información emitida por la Oficina de Comunicaciones se realiza de manera veraz y oportuna. </t>
    </r>
  </si>
  <si>
    <r>
      <rPr>
        <b/>
        <sz val="10"/>
        <color theme="1"/>
        <rFont val="Arial"/>
        <family val="2"/>
      </rPr>
      <t>D2, A3</t>
    </r>
    <r>
      <rPr>
        <sz val="10"/>
        <color theme="1"/>
        <rFont val="Arial"/>
        <family val="2"/>
      </rPr>
      <t xml:space="preserve"> Adquisición los equipos tecnológicos y licencias necesarias para el correcto desarrollo de las actividades adelantadas por la Oficina de Comunicaciones.</t>
    </r>
  </si>
  <si>
    <r>
      <rPr>
        <b/>
        <sz val="10"/>
        <color theme="1"/>
        <rFont val="Arial"/>
        <family val="2"/>
      </rPr>
      <t>F3, A9</t>
    </r>
    <r>
      <rPr>
        <sz val="10"/>
        <color theme="1"/>
        <rFont val="Arial"/>
        <family val="2"/>
      </rPr>
      <t xml:space="preserve"> Establecer un diálogo permanente y asertivo con todos los entes publico-privados de la ciudad para generar una mayor difusión de las acciones adelantadas por la Administración Municipal. </t>
    </r>
  </si>
  <si>
    <r>
      <rPr>
        <b/>
        <sz val="10"/>
        <color theme="1"/>
        <rFont val="Arial"/>
        <family val="2"/>
      </rPr>
      <t>D3, A6</t>
    </r>
    <r>
      <rPr>
        <sz val="10"/>
        <color theme="1"/>
        <rFont val="Arial"/>
        <family val="2"/>
      </rPr>
      <t xml:space="preserve"> Mayor compromiso de parte de las unidades administrativas para socializar las acciones de sus dependencias. </t>
    </r>
  </si>
  <si>
    <r>
      <rPr>
        <b/>
        <sz val="10"/>
        <color theme="1"/>
        <rFont val="Arial"/>
        <family val="2"/>
      </rPr>
      <t>F4, A6</t>
    </r>
    <r>
      <rPr>
        <sz val="10"/>
        <color theme="1"/>
        <rFont val="Arial"/>
        <family val="2"/>
      </rPr>
      <t xml:space="preserve"> Generar articulaciones con canales de información que permitan tener una mayor cercanía con los medios locales. </t>
    </r>
  </si>
  <si>
    <r>
      <rPr>
        <b/>
        <sz val="10"/>
        <color theme="1"/>
        <rFont val="Arial"/>
        <family val="2"/>
      </rPr>
      <t xml:space="preserve">D4, A6 </t>
    </r>
    <r>
      <rPr>
        <sz val="10"/>
        <color theme="1"/>
        <rFont val="Arial"/>
        <family val="2"/>
      </rPr>
      <t>Contratación de personal idóneo para adelantar los procesos de contratación que permita el correcto desarrollo del proyecto de fortalecimiento de la estrategia de comunicación.</t>
    </r>
  </si>
  <si>
    <r>
      <rPr>
        <b/>
        <sz val="10"/>
        <color theme="1"/>
        <rFont val="Arial"/>
        <family val="2"/>
      </rPr>
      <t>F5, A4</t>
    </r>
    <r>
      <rPr>
        <sz val="10"/>
        <color theme="1"/>
        <rFont val="Arial"/>
        <family val="2"/>
      </rPr>
      <t xml:space="preserve"> Generar estrategia de comunicación que permita la difusión de la información en los diferentes sectores con poco acceso a herramientas tecnológicas. </t>
    </r>
  </si>
  <si>
    <r>
      <rPr>
        <b/>
        <sz val="10"/>
        <color theme="1"/>
        <rFont val="Arial"/>
        <family val="2"/>
      </rPr>
      <t xml:space="preserve">D5,A5 </t>
    </r>
    <r>
      <rPr>
        <sz val="10"/>
        <color theme="1"/>
        <rFont val="Arial"/>
        <family val="2"/>
      </rPr>
      <t>Contratación de personal idóneo capacitado en lenguaje de señas para la traducción de los productos audiovisuales que sean requeridos.</t>
    </r>
  </si>
  <si>
    <r>
      <rPr>
        <b/>
        <sz val="10"/>
        <color theme="1"/>
        <rFont val="Arial"/>
        <family val="2"/>
      </rPr>
      <t>F1, A1</t>
    </r>
    <r>
      <rPr>
        <sz val="10"/>
        <color theme="1"/>
        <rFont val="Arial"/>
        <family val="2"/>
      </rPr>
      <t xml:space="preserve"> Realizar la promoción apropiación y socialización del Código de Integridad y Buen Gobierno, para potencializar la política de transparencia al interior del proceso.</t>
    </r>
  </si>
  <si>
    <r>
      <rPr>
        <b/>
        <sz val="10"/>
        <color theme="1"/>
        <rFont val="Arial"/>
        <family val="2"/>
      </rPr>
      <t xml:space="preserve"> D4, A1</t>
    </r>
    <r>
      <rPr>
        <sz val="10"/>
        <color theme="1"/>
        <rFont val="Arial"/>
        <family val="2"/>
      </rPr>
      <t xml:space="preserve"> Presentar las denuncias pertinentes a los entes de control, según proceda y revisar las sanciones administrativas</t>
    </r>
  </si>
  <si>
    <r>
      <rPr>
        <b/>
        <sz val="10"/>
        <color theme="1"/>
        <rFont val="Arial"/>
        <family val="2"/>
      </rPr>
      <t>F2, A1 S</t>
    </r>
    <r>
      <rPr>
        <sz val="10"/>
        <color theme="1"/>
        <rFont val="Arial"/>
        <family val="2"/>
      </rPr>
      <t>ocializar un procedimiento que contenga la información relavante del proceso y los controles establecidos</t>
    </r>
  </si>
  <si>
    <r>
      <rPr>
        <b/>
        <sz val="10"/>
        <color theme="1"/>
        <rFont val="Arial"/>
        <family val="2"/>
      </rPr>
      <t>F4, A9</t>
    </r>
    <r>
      <rPr>
        <sz val="10"/>
        <color theme="1"/>
        <rFont val="Arial"/>
        <family val="2"/>
      </rPr>
      <t xml:space="preserve"> Realizar comunicados de prensa donde se socialice las acciones de la Administración Municipal </t>
    </r>
  </si>
  <si>
    <t>ESTRATEGICO</t>
  </si>
  <si>
    <t>Jefe Oficina Comunicaciones</t>
  </si>
  <si>
    <t>2) Ingreso de personal nuevo a la entidad con desconocimiento sobre el manejo adecuado de la información para la difusión</t>
  </si>
  <si>
    <t>3) Deficiente apropiación de los valores y principios institucionales</t>
  </si>
  <si>
    <t>4) Deficientes controles para el manejo de la  información</t>
  </si>
  <si>
    <t xml:space="preserve">5) Carencia de la interiorización de la información de manera oportuna y veraz. </t>
  </si>
  <si>
    <t xml:space="preserve">6) Cambio en las condiciones de operación del proceso de comunicaciones. </t>
  </si>
  <si>
    <t>7) Los componentes tecnológicos  no son suficientes para el desarrollo del cubrimiento periodístico.</t>
  </si>
  <si>
    <t>8) Falta de capacitación orientada al personal adscrito a la Oficina de Comunicaciones</t>
  </si>
  <si>
    <t>9) Poco cuidado de los elementos tecnológicos e imagen institucional.</t>
  </si>
  <si>
    <t xml:space="preserve">10) Baja adquisición de software propios para diseño y edición de fotografía, vídeo y audio.  </t>
  </si>
  <si>
    <t>11) Uso inadecuado del manual de imagen de la Alcaldía Municipal.</t>
  </si>
  <si>
    <t>12) Falta de personal idóneo para adelantar los procesos de contratación.</t>
  </si>
  <si>
    <t>13) Deficiente control a la seguridad de las vocerías oficiales de la ciudad</t>
  </si>
  <si>
    <t>14) Inadecuada comunicación entre las dependencias y los periodistas asiganados a cada una de ellas</t>
  </si>
  <si>
    <t xml:space="preserve">15) Baja articulación con otras dependencias e institutos descentralizados. </t>
  </si>
  <si>
    <t xml:space="preserve">16) Poca coordinación entre las dependencias para la planeación de los eventos institucionales. </t>
  </si>
  <si>
    <t xml:space="preserve">17) Falta de suministro de información por parte de los secretarios de despacho y directivos. </t>
  </si>
  <si>
    <t>18) Inadecuada divulgación de las acciones adelantadas por la Administración Municipal.</t>
  </si>
  <si>
    <t>GESTIÓN ESTRATÉGICA DE LAS COMUNICACIONES</t>
  </si>
  <si>
    <t>DIFUNDIR DE MANERA PERMANENTE LA GESTIÓN INSTITUCIONAL Y EL DESARROLLO ORGANIZACIONAL A TRAVÉS DE LAS VOCERÍAS OFICIALES EN EL PORTAL WEB, REDES SOCIALES Y MEDIOS DE COMUNICACIÓN, IMPLEMENTANDO ESTRATEGIAS DE COMUNICACIÓN TRANSMEDIA Y MULTIPLATAFORMAS QUE HAGAN USO ADECUADO DE LA IDENTIDAD VISUAL, PARA PROVEER INFORMACIÓN EN UN LENGUAJE CLARO, ACCESIBLE, CONFIABLE, OPORTUNO, EFICIENTE Y
TRANSPARENTE COMO HERRAMIENTA DE INNOVACIÓN PÚBLICA, MECANISMO DE PARTICIPACIÓN CIUDADANA Y RENDICIÓN DE CUENTAS</t>
  </si>
  <si>
    <t>INICIA CON LA PLANEACIÓN DE LAS ESTRATEGIAS DE COMUNICACIÓN TRANSMEDIA Y MULTIPLATAFORMAS, CONTINÚA CON LA EJECUCIÓN DEL PLAN ESTRATÉGICO INSTITUCIONAL DE COMUNICACIONES (PEICO), LA PRODUCCIÓN DE INFORMACIÓN PERIODÍSTICA PARA DIFUSIÓN EN LAS VOCERÍAS OFICIALES DE LA ENTIDAD EN EL PORTAL WEB, REDES SOCIALES Y DISTINTOS MEDIOS DE COMUNICACIÓN, LA ADMINISTRACIÓN DE LA IDENTIDAD VISUAL, EL MANTENIMIENTO Y ACTUALIZACIÓN DE LAS BASES DE DATOS DE GRUPOS DE INTERÉS, LA RENDICIÓN DE CUENTAS Y FINALIZA CON EL SEGUIMIENTO Y EVALUACIÓN DEL PROCESO.</t>
  </si>
  <si>
    <t>PROCESO: GESTIÓN ESTRATÉGICA DE LAS COMUNICACIONES</t>
  </si>
  <si>
    <t>OBJETIVO:  DIFUNDIR DE MANERA PERMANENTE LA GESTIÓN INSTITUCIONAL Y EL DESARROLLO ORGANIZACIONAL A TRAVÉS DE LAS VOCERÍAS OFICIALES EN EL PORTAL WEB, REDES SOCIALES Y MEDIOS DE COMUNICACIÓN, IMPLEMENTANDO ESTRATEGIAS DE COMUNICACIÓN TRANSMEDIA Y MULTIPLATAFORMAS QUE HAGAN USO ADECUADO DE LA IDENTIDAD VISUAL, PARA PROVEER INFORMACIÓN EN UN LENGUAJE CLARO, ACCESIBLE, CONFIABLE, OPORTUNO, EFICIENTE Y TRANSPARENTE COMO HERRAMIENTA DE INNOVACIÓN PÚBLICA, MECANISMO DE PARTICIPACIÓN CIUDADANA Y RENDICIÓN DE CUENTAS</t>
  </si>
  <si>
    <t>Posibilidad de perdida economica y reputacional por el incumplimiento en las metas del plan de desarrollo municipal, debio a la deficiencia en la planeación, ejecución y seguimiento de las metas</t>
  </si>
  <si>
    <t>Incumplimiento en las metas del plan de desarrollo municipall</t>
  </si>
  <si>
    <t>Deficiencia en la planeación, ejecución y seguimiento de las metas</t>
  </si>
  <si>
    <t xml:space="preserve">Falta de apliación  de la política de gestión del conocimiento cuándo se dan cambios de directivos y funcionarios </t>
  </si>
  <si>
    <t xml:space="preserve">Desconocimiento de los instrumentos de planeación para un adecuado seguimiento a la ejecución a las metas del plan de desarrollo municipal. </t>
  </si>
  <si>
    <t xml:space="preserve">FINANCIERO </t>
  </si>
  <si>
    <t xml:space="preserve">Deficiencia en la ejecución presupuestal </t>
  </si>
  <si>
    <t xml:space="preserve">19) Deficiencia en la ejecución presupuestal </t>
  </si>
  <si>
    <t xml:space="preserve">20) Desconocimiento de los instrumentos de planeación para un adecuado seguimiento a la ejecución a las metas del plan de desarrollo municipal. </t>
  </si>
  <si>
    <t>EN LA PLANEACIÓN, EJECUCIÓN Y SEGUIMIENTO A LOS DIFERENTES INSTRUMENTOS DE PLANEACIÓN DE LA ALCALDÍA DE IBAGUÉ Y SEGUIMIENTO A LAS PLATAFORMAS QUE SE IMPLEMENTEN PARA TAL FIN</t>
  </si>
  <si>
    <t xml:space="preserve">Falta de aplicación  de la política de gestión del conocimiento cuándo se dan cambios de directivos </t>
  </si>
  <si>
    <t>Falta de apliación  de la política de gestión del conocimiento cuándo se dan cambios de directivos</t>
  </si>
  <si>
    <t xml:space="preserve">1) Falta de apliación  de la política de gestión del conocimiento cuándo se dan cambios de directivos </t>
  </si>
  <si>
    <t>Realizar la documentación para fortalecer los controles establecidos, según quede en la caracterización de acuerdo a las necesidades del proceso, incluyendo: 1. cronograma y responsables para el cumplimiento de los instrumentos y articulación con el proyecto de inversión. 2. Seguimiento mensual a la ejecución fisíca y financiera del proyecto de inversión dejando evidenciado en el informe mensual que será cargado en el PIIP.</t>
  </si>
  <si>
    <r>
      <rPr>
        <b/>
        <sz val="10"/>
        <rFont val="Arial"/>
        <family val="2"/>
      </rPr>
      <t>D20,O5</t>
    </r>
    <r>
      <rPr>
        <sz val="10"/>
        <rFont val="Arial"/>
        <family val="2"/>
      </rPr>
      <t xml:space="preserve"> El jefe de la Oficina de Comunicaciones, trimestralmente con su equipo de trabajo verificará el cumplimiento de las metas a través de los instrumentos de planeación de la Administración Municipal dejando como evidencia el envió de dichos instrumentos a la Dirección de Planeación de desarrollo; si se identifca desviación o incumplimiento de metas se desarrolla un plan de mejoramiento.</t>
    </r>
  </si>
  <si>
    <r>
      <rPr>
        <b/>
        <sz val="10"/>
        <rFont val="Arial"/>
        <family val="2"/>
      </rPr>
      <t>D1,O1</t>
    </r>
    <r>
      <rPr>
        <sz val="10"/>
        <rFont val="Arial"/>
        <family val="2"/>
      </rPr>
      <t xml:space="preserve"> El jefe de la Oficina de Comunicaciones cuando deja su cargo, deberá realizar informe de entrega y empalme con el funcionario entrante, haciendo especial enfásis en el cumplimiento de metas e instrumentos de planeación, dejando como evidencia el formato establecido por la Procuraduría General de la Nación, si se presentara desviaciones se informara al organismo competente.</t>
    </r>
  </si>
  <si>
    <t>6) Incrementar la adecuada ejecución de los rubros del poyecto de inversión</t>
  </si>
  <si>
    <r>
      <rPr>
        <b/>
        <sz val="10"/>
        <rFont val="Arial"/>
        <family val="2"/>
      </rPr>
      <t xml:space="preserve">D19.O6 </t>
    </r>
    <r>
      <rPr>
        <sz val="10"/>
        <rFont val="Arial"/>
        <family val="2"/>
      </rPr>
      <t>La secretaria de Hacienda mensualmente publicá la ejecución presupuestal por cada uno de los rubros que compone el presupuesto de la entidad con el fin de que los ordenadores del gasto y responsables de cada uno de estos rubros, haga el seguimiento de los mismos dejando como evidencia la publicación de la ejecución en la página web</t>
    </r>
  </si>
  <si>
    <t>1. Se realizó el cronograma en donde se delega las responsabilidades de cada uno de los instrumentos de planeación. 2. Se le hizo seguimiento a la ejecución con los informes mensuales cargados.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</si>
</sst>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b/>
      <sz val="10"/>
      <name val="Arial"/>
      <family val="2"/>
    </font>
    <font>
      <sz val="12"/>
      <name val="Arial"/>
      <family val="2"/>
    </font>
    <font>
      <sz val="12"/>
      <color theme="1"/>
      <name val="Arial"/>
      <family val="2"/>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rgb="FFF2F2F2"/>
        <bgColor rgb="FFF2F2F2"/>
      </patternFill>
    </fill>
    <fill>
      <patternFill patternType="solid">
        <fgColor theme="0"/>
        <bgColor theme="0"/>
      </patternFill>
    </fill>
  </fills>
  <borders count="118">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dashed">
        <color theme="9" tint="-0.249977111117893"/>
      </left>
      <right/>
      <top style="dashed">
        <color theme="9" tint="-0.249977111117893"/>
      </top>
      <bottom style="dashed">
        <color theme="9" tint="-0.249977111117893"/>
      </bottom>
      <diagonal/>
    </border>
    <border>
      <left/>
      <right/>
      <top style="dashed">
        <color theme="9" tint="-0.249977111117893"/>
      </top>
      <bottom style="dashed">
        <color theme="9" tint="-0.249977111117893"/>
      </bottom>
      <diagonal/>
    </border>
    <border>
      <left/>
      <right style="dashed">
        <color theme="9" tint="-0.249977111117893"/>
      </right>
      <top style="dashed">
        <color theme="9" tint="-0.249977111117893"/>
      </top>
      <bottom style="dashed">
        <color theme="9" tint="-0.249977111117893"/>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medium">
        <color indexed="64"/>
      </top>
      <bottom/>
      <diagonal/>
    </border>
    <border>
      <left style="thin">
        <color indexed="64"/>
      </left>
      <right/>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63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61" fillId="0" borderId="78" xfId="0" applyFont="1" applyBorder="1" applyAlignment="1">
      <alignment vertical="center" wrapText="1"/>
    </xf>
    <xf numFmtId="0" fontId="59" fillId="0" borderId="0" xfId="0" applyFont="1" applyAlignment="1">
      <alignment vertical="center" wrapText="1"/>
    </xf>
    <xf numFmtId="0" fontId="61" fillId="0" borderId="0" xfId="0" applyFont="1"/>
    <xf numFmtId="0" fontId="59" fillId="0" borderId="0" xfId="0" applyFont="1" applyAlignment="1">
      <alignment horizontal="center" vertical="center" wrapText="1"/>
    </xf>
    <xf numFmtId="0" fontId="61" fillId="0" borderId="33" xfId="0" applyFont="1" applyBorder="1" applyAlignment="1">
      <alignment vertical="center" wrapText="1"/>
    </xf>
    <xf numFmtId="0" fontId="63" fillId="17" borderId="83" xfId="0" applyFont="1" applyFill="1" applyBorder="1" applyAlignment="1">
      <alignment vertical="center"/>
    </xf>
    <xf numFmtId="0" fontId="63" fillId="17" borderId="84" xfId="0" applyFont="1" applyFill="1" applyBorder="1" applyAlignment="1">
      <alignment horizontal="center" vertical="center"/>
    </xf>
    <xf numFmtId="0" fontId="63" fillId="17" borderId="85" xfId="0" applyFont="1" applyFill="1" applyBorder="1" applyAlignment="1">
      <alignment horizontal="center" vertical="center"/>
    </xf>
    <xf numFmtId="0" fontId="61" fillId="0" borderId="78" xfId="0" applyFont="1" applyBorder="1" applyAlignment="1">
      <alignment horizontal="left" vertical="center" wrapText="1"/>
    </xf>
    <xf numFmtId="0" fontId="61" fillId="18" borderId="78" xfId="0" applyFont="1" applyFill="1" applyBorder="1" applyAlignment="1">
      <alignment vertical="center" wrapText="1"/>
    </xf>
    <xf numFmtId="0" fontId="61" fillId="0" borderId="79" xfId="0" applyFont="1" applyBorder="1" applyAlignment="1">
      <alignment horizontal="left" vertical="center" wrapText="1"/>
    </xf>
    <xf numFmtId="0" fontId="61" fillId="18" borderId="37" xfId="0" applyFont="1" applyFill="1" applyBorder="1" applyAlignment="1">
      <alignment vertical="center" wrapText="1"/>
    </xf>
    <xf numFmtId="0" fontId="61" fillId="18" borderId="33" xfId="0" applyFont="1" applyFill="1" applyBorder="1" applyAlignment="1">
      <alignmen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65" fillId="0" borderId="33" xfId="0" applyFont="1" applyBorder="1" applyAlignment="1">
      <alignment horizontal="left" vertical="center" wrapText="1"/>
    </xf>
    <xf numFmtId="0" fontId="61" fillId="18" borderId="39" xfId="0" applyFont="1" applyFill="1" applyBorder="1" applyAlignment="1">
      <alignment vertical="center" wrapText="1"/>
    </xf>
    <xf numFmtId="0" fontId="61" fillId="0" borderId="40" xfId="0" applyFont="1" applyBorder="1" applyAlignment="1">
      <alignment horizontal="left" vertical="center" wrapText="1"/>
    </xf>
    <xf numFmtId="0" fontId="61" fillId="18" borderId="40" xfId="0" applyFont="1" applyFill="1" applyBorder="1" applyAlignment="1">
      <alignment vertical="center" wrapText="1"/>
    </xf>
    <xf numFmtId="0" fontId="65" fillId="0" borderId="40" xfId="0" applyFont="1" applyBorder="1" applyAlignment="1">
      <alignment horizontal="left" vertical="center" wrapText="1"/>
    </xf>
    <xf numFmtId="0" fontId="61" fillId="0" borderId="41" xfId="0" applyFont="1" applyBorder="1" applyAlignment="1">
      <alignment horizontal="left" vertical="center" wrapText="1"/>
    </xf>
    <xf numFmtId="0" fontId="61" fillId="0" borderId="0" xfId="0" applyFont="1" applyAlignment="1">
      <alignmen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66" fillId="0" borderId="0" xfId="0" applyFont="1" applyAlignment="1">
      <alignment horizontal="left" vertical="center" wrapText="1"/>
    </xf>
    <xf numFmtId="0" fontId="38" fillId="0" borderId="0" xfId="0" applyFont="1" applyAlignment="1">
      <alignment horizontal="left" vertical="center" wrapText="1"/>
    </xf>
    <xf numFmtId="0" fontId="66" fillId="0" borderId="0" xfId="0" applyFont="1" applyAlignment="1">
      <alignment horizontal="left" vertical="center"/>
    </xf>
    <xf numFmtId="0" fontId="38" fillId="0" borderId="0" xfId="0" applyFont="1" applyAlignment="1">
      <alignment horizontal="left" vertical="center"/>
    </xf>
    <xf numFmtId="0" fontId="61" fillId="0" borderId="15" xfId="0" applyFont="1" applyBorder="1" applyAlignment="1">
      <alignment horizontal="left" vertical="center" wrapText="1"/>
    </xf>
    <xf numFmtId="0" fontId="61" fillId="0" borderId="15" xfId="0" applyFont="1" applyBorder="1"/>
    <xf numFmtId="0" fontId="61" fillId="0" borderId="18" xfId="0" applyFont="1" applyBorder="1"/>
    <xf numFmtId="0" fontId="61" fillId="0" borderId="17" xfId="0" applyFont="1" applyBorder="1"/>
    <xf numFmtId="0" fontId="61" fillId="3" borderId="0" xfId="0" applyFont="1" applyFill="1" applyAlignment="1">
      <alignment horizontal="left" vertical="center" wrapText="1"/>
    </xf>
    <xf numFmtId="0" fontId="61" fillId="3" borderId="87" xfId="0" applyFont="1" applyFill="1" applyBorder="1" applyAlignment="1">
      <alignment horizontal="left" vertical="center" wrapText="1"/>
    </xf>
    <xf numFmtId="0" fontId="61" fillId="0" borderId="89" xfId="0" applyFont="1" applyBorder="1"/>
    <xf numFmtId="0" fontId="68" fillId="19" borderId="34" xfId="0" applyFont="1" applyFill="1" applyBorder="1" applyAlignment="1">
      <alignment horizontal="center" vertical="center" wrapText="1"/>
    </xf>
    <xf numFmtId="0" fontId="67" fillId="19" borderId="34" xfId="0" applyFont="1" applyFill="1" applyBorder="1" applyAlignment="1">
      <alignment horizontal="center" vertical="center" wrapText="1"/>
    </xf>
    <xf numFmtId="0" fontId="69" fillId="19" borderId="34" xfId="0" applyFont="1" applyFill="1" applyBorder="1" applyAlignment="1">
      <alignment horizontal="center" vertical="center" wrapText="1"/>
    </xf>
    <xf numFmtId="165" fontId="69" fillId="19" borderId="90" xfId="0" applyNumberFormat="1" applyFont="1" applyFill="1" applyBorder="1" applyAlignment="1">
      <alignment horizontal="center" vertical="center" wrapText="1"/>
    </xf>
    <xf numFmtId="0" fontId="70" fillId="19" borderId="91" xfId="0" applyFont="1" applyFill="1" applyBorder="1" applyAlignment="1">
      <alignment horizontal="center" vertical="center" wrapText="1"/>
    </xf>
    <xf numFmtId="0" fontId="58" fillId="0" borderId="0" xfId="0" applyFont="1" applyAlignment="1">
      <alignment horizontal="center" vertical="center" wrapText="1"/>
    </xf>
    <xf numFmtId="0" fontId="61" fillId="0" borderId="33" xfId="0" applyFont="1" applyBorder="1" applyAlignment="1">
      <alignment horizontal="center" vertical="center"/>
    </xf>
    <xf numFmtId="0" fontId="61" fillId="0" borderId="33" xfId="0" applyFont="1" applyBorder="1" applyAlignment="1" applyProtection="1">
      <alignment horizontal="center" vertical="center"/>
      <protection locked="0"/>
    </xf>
    <xf numFmtId="166" fontId="61" fillId="0" borderId="92" xfId="0" applyNumberFormat="1" applyFont="1" applyBorder="1" applyAlignment="1">
      <alignment horizontal="center" vertical="center"/>
    </xf>
    <xf numFmtId="0" fontId="0" fillId="0" borderId="93" xfId="0" applyBorder="1" applyAlignment="1" applyProtection="1">
      <alignment horizontal="center" vertical="top"/>
      <protection locked="0"/>
    </xf>
    <xf numFmtId="0" fontId="61" fillId="0" borderId="94" xfId="0" applyFont="1" applyBorder="1" applyAlignment="1">
      <alignment horizontal="left" vertical="center" wrapText="1"/>
    </xf>
    <xf numFmtId="0" fontId="61" fillId="0" borderId="94" xfId="0" applyFont="1" applyBorder="1" applyAlignment="1" applyProtection="1">
      <alignment horizontal="center" vertical="center"/>
      <protection locked="0"/>
    </xf>
    <xf numFmtId="165" fontId="61" fillId="20" borderId="79" xfId="0" applyNumberFormat="1" applyFont="1" applyFill="1" applyBorder="1" applyAlignment="1">
      <alignment vertical="center"/>
    </xf>
    <xf numFmtId="165" fontId="61" fillId="8" borderId="41"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38" fillId="3" borderId="0" xfId="0" applyFont="1" applyFill="1" applyAlignment="1">
      <alignment horizontal="left"/>
    </xf>
    <xf numFmtId="0" fontId="4" fillId="3" borderId="75" xfId="0" applyFont="1" applyFill="1" applyBorder="1" applyAlignment="1">
      <alignment horizontal="center" vertical="center" wrapText="1"/>
    </xf>
    <xf numFmtId="0" fontId="61" fillId="18" borderId="78" xfId="0" applyFont="1" applyFill="1" applyBorder="1" applyAlignment="1">
      <alignment horizontal="center" vertical="center" wrapText="1"/>
    </xf>
    <xf numFmtId="0" fontId="0" fillId="21" borderId="105" xfId="0" applyFill="1" applyBorder="1" applyAlignment="1">
      <alignment vertical="center" wrapText="1"/>
    </xf>
    <xf numFmtId="0" fontId="61" fillId="0" borderId="106" xfId="0" applyFont="1" applyBorder="1" applyAlignment="1">
      <alignment horizontal="left" vertical="center" wrapText="1"/>
    </xf>
    <xf numFmtId="0" fontId="0" fillId="21" borderId="107" xfId="0" applyFill="1" applyBorder="1" applyAlignment="1">
      <alignment vertical="center" wrapText="1"/>
    </xf>
    <xf numFmtId="0" fontId="0" fillId="22" borderId="108" xfId="0" applyFill="1" applyBorder="1" applyAlignment="1">
      <alignment horizontal="left" vertical="center" wrapText="1"/>
    </xf>
    <xf numFmtId="0" fontId="0" fillId="0" borderId="108" xfId="0" applyBorder="1" applyAlignment="1">
      <alignment horizontal="left" vertical="center" wrapText="1"/>
    </xf>
    <xf numFmtId="0" fontId="0" fillId="21" borderId="106" xfId="0" applyFill="1" applyBorder="1" applyAlignment="1">
      <alignment vertical="center" wrapText="1"/>
    </xf>
    <xf numFmtId="0" fontId="0" fillId="21" borderId="108" xfId="0" applyFill="1" applyBorder="1" applyAlignment="1">
      <alignment vertical="center" wrapText="1"/>
    </xf>
    <xf numFmtId="0" fontId="61" fillId="0" borderId="108" xfId="0" applyFont="1" applyBorder="1" applyAlignment="1">
      <alignment horizontal="left" vertical="center" wrapText="1"/>
    </xf>
    <xf numFmtId="0" fontId="0" fillId="0" borderId="109" xfId="0" applyBorder="1" applyAlignment="1">
      <alignment horizontal="left" vertical="center" wrapText="1"/>
    </xf>
    <xf numFmtId="0" fontId="0" fillId="21" borderId="106" xfId="0" applyFill="1" applyBorder="1" applyAlignment="1">
      <alignment horizontal="center" vertical="center" wrapText="1"/>
    </xf>
    <xf numFmtId="0" fontId="0" fillId="21" borderId="108" xfId="0" applyFill="1" applyBorder="1" applyAlignment="1">
      <alignment horizontal="center" vertical="center" wrapText="1"/>
    </xf>
    <xf numFmtId="0" fontId="0" fillId="0" borderId="110" xfId="0" applyBorder="1" applyAlignment="1">
      <alignment horizontal="left" vertical="center" wrapText="1"/>
    </xf>
    <xf numFmtId="0" fontId="61" fillId="13" borderId="78" xfId="0" applyFont="1" applyFill="1" applyBorder="1" applyAlignment="1">
      <alignment horizontal="left" vertical="center" wrapText="1"/>
    </xf>
    <xf numFmtId="0" fontId="61" fillId="18" borderId="33" xfId="0" applyFont="1" applyFill="1" applyBorder="1" applyAlignment="1">
      <alignment horizontal="center" vertical="center" wrapText="1"/>
    </xf>
    <xf numFmtId="0" fontId="49" fillId="0" borderId="75" xfId="0" applyFont="1" applyBorder="1" applyAlignment="1" applyProtection="1">
      <alignment horizontal="center" vertical="center" wrapText="1"/>
      <protection locked="0"/>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64" fillId="16" borderId="39" xfId="0" applyFont="1" applyFill="1" applyBorder="1" applyAlignment="1">
      <alignment horizontal="left" vertical="top" wrapText="1"/>
    </xf>
    <xf numFmtId="0" fontId="64" fillId="16" borderId="40" xfId="0" applyFont="1" applyFill="1" applyBorder="1" applyAlignment="1">
      <alignment horizontal="left" vertical="top"/>
    </xf>
    <xf numFmtId="0" fontId="64" fillId="16" borderId="41" xfId="0" applyFont="1" applyFill="1" applyBorder="1" applyAlignment="1">
      <alignment horizontal="left" vertical="top"/>
    </xf>
    <xf numFmtId="0" fontId="64" fillId="3" borderId="0" xfId="0" applyFont="1" applyFill="1" applyAlignment="1">
      <alignment horizontal="center" vertical="center" wrapText="1"/>
    </xf>
    <xf numFmtId="0" fontId="59" fillId="0" borderId="77" xfId="0" applyFont="1" applyBorder="1" applyAlignment="1">
      <alignment vertical="center" wrapText="1"/>
    </xf>
    <xf numFmtId="0" fontId="59" fillId="0" borderId="37" xfId="0" applyFont="1" applyBorder="1" applyAlignment="1">
      <alignment vertical="center" wrapText="1"/>
    </xf>
    <xf numFmtId="0" fontId="60" fillId="0" borderId="78" xfId="0" applyFont="1" applyBorder="1" applyAlignment="1">
      <alignment horizontal="center" vertical="center" wrapText="1"/>
    </xf>
    <xf numFmtId="0" fontId="60" fillId="0" borderId="33" xfId="0" applyFont="1" applyBorder="1" applyAlignment="1">
      <alignment horizontal="center" vertical="center" wrapText="1"/>
    </xf>
    <xf numFmtId="0" fontId="62" fillId="0" borderId="79" xfId="0" applyFont="1" applyBorder="1" applyAlignment="1">
      <alignment horizontal="center" vertical="center" wrapText="1"/>
    </xf>
    <xf numFmtId="0" fontId="62" fillId="0" borderId="38" xfId="0" applyFont="1" applyBorder="1" applyAlignment="1">
      <alignment horizontal="center" vertical="center" wrapText="1"/>
    </xf>
    <xf numFmtId="0" fontId="59" fillId="0" borderId="0" xfId="0" applyFont="1" applyAlignment="1">
      <alignment horizontal="center" vertical="center" wrapText="1"/>
    </xf>
    <xf numFmtId="0" fontId="59" fillId="0" borderId="80" xfId="0" applyFont="1" applyBorder="1" applyAlignment="1">
      <alignment horizontal="center" vertical="center" wrapText="1"/>
    </xf>
    <xf numFmtId="0" fontId="59" fillId="0" borderId="81" xfId="0" applyFont="1" applyBorder="1" applyAlignment="1">
      <alignment horizontal="center" vertical="center" wrapText="1"/>
    </xf>
    <xf numFmtId="0" fontId="59" fillId="0" borderId="82" xfId="0" applyFont="1" applyBorder="1" applyAlignment="1">
      <alignment horizontal="center" vertical="center" wrapText="1"/>
    </xf>
    <xf numFmtId="0" fontId="63" fillId="16" borderId="37" xfId="0" applyFont="1" applyFill="1" applyBorder="1" applyAlignment="1">
      <alignment horizontal="center" vertical="center" wrapText="1"/>
    </xf>
    <xf numFmtId="0" fontId="63" fillId="16" borderId="33" xfId="0" applyFont="1" applyFill="1" applyBorder="1" applyAlignment="1">
      <alignment horizontal="center" vertical="center" wrapText="1"/>
    </xf>
    <xf numFmtId="0" fontId="63" fillId="16" borderId="38" xfId="0" applyFont="1" applyFill="1" applyBorder="1" applyAlignment="1">
      <alignment horizontal="center" vertical="center" wrapText="1"/>
    </xf>
    <xf numFmtId="0" fontId="61" fillId="16" borderId="37" xfId="0" applyFont="1" applyFill="1" applyBorder="1" applyAlignment="1">
      <alignment horizontal="left" vertical="center"/>
    </xf>
    <xf numFmtId="0" fontId="61" fillId="16" borderId="33" xfId="0" applyFont="1" applyFill="1" applyBorder="1" applyAlignment="1">
      <alignment horizontal="left" vertical="center"/>
    </xf>
    <xf numFmtId="0" fontId="61" fillId="16" borderId="38" xfId="0" applyFont="1" applyFill="1" applyBorder="1" applyAlignment="1">
      <alignment horizontal="left" vertical="center"/>
    </xf>
    <xf numFmtId="0" fontId="67" fillId="20" borderId="39" xfId="0" applyFont="1" applyFill="1" applyBorder="1" applyAlignment="1">
      <alignment horizontal="right" vertical="center"/>
    </xf>
    <xf numFmtId="0" fontId="67" fillId="20" borderId="40" xfId="0" applyFont="1" applyFill="1" applyBorder="1" applyAlignment="1">
      <alignment horizontal="right" vertical="center"/>
    </xf>
    <xf numFmtId="0" fontId="0" fillId="0" borderId="19" xfId="0" applyBorder="1" applyAlignment="1">
      <alignment horizontal="center"/>
    </xf>
    <xf numFmtId="0" fontId="0" fillId="0" borderId="0" xfId="0" applyAlignment="1">
      <alignment horizontal="center"/>
    </xf>
    <xf numFmtId="0" fontId="0" fillId="0" borderId="69" xfId="0" applyBorder="1" applyAlignment="1">
      <alignment horizontal="center"/>
    </xf>
    <xf numFmtId="0" fontId="60" fillId="0" borderId="19" xfId="0" applyFont="1" applyBorder="1" applyAlignment="1">
      <alignment horizontal="center" vertical="center" wrapText="1"/>
    </xf>
    <xf numFmtId="0" fontId="60" fillId="0" borderId="86" xfId="0" applyFont="1" applyBorder="1" applyAlignment="1">
      <alignment horizontal="center" vertical="center" wrapText="1"/>
    </xf>
    <xf numFmtId="0" fontId="60" fillId="0" borderId="0" xfId="0" applyFont="1" applyAlignment="1">
      <alignment horizontal="center" vertical="center" wrapText="1"/>
    </xf>
    <xf numFmtId="0" fontId="60" fillId="0" borderId="87" xfId="0" applyFont="1" applyBorder="1" applyAlignment="1">
      <alignment horizontal="center" vertical="center" wrapText="1"/>
    </xf>
    <xf numFmtId="0" fontId="61" fillId="0" borderId="78" xfId="0" applyFont="1" applyBorder="1" applyAlignment="1">
      <alignment horizontal="left" vertical="center" wrapText="1"/>
    </xf>
    <xf numFmtId="0" fontId="61" fillId="0" borderId="79" xfId="0" applyFont="1" applyBorder="1" applyAlignment="1">
      <alignment horizontal="lef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60" fillId="0" borderId="69" xfId="0" applyFont="1" applyBorder="1" applyAlignment="1">
      <alignment horizontal="center" vertical="center" wrapText="1"/>
    </xf>
    <xf numFmtId="0" fontId="60" fillId="0" borderId="88" xfId="0" applyFont="1" applyBorder="1" applyAlignment="1">
      <alignment horizontal="center" vertical="center" wrapText="1"/>
    </xf>
    <xf numFmtId="0" fontId="0" fillId="0" borderId="88" xfId="0" applyBorder="1" applyAlignment="1">
      <alignment horizontal="center"/>
    </xf>
    <xf numFmtId="0" fontId="61" fillId="16" borderId="33" xfId="0" applyFont="1" applyFill="1" applyBorder="1" applyAlignment="1">
      <alignment vertical="center"/>
    </xf>
    <xf numFmtId="0" fontId="61" fillId="16" borderId="40" xfId="0" applyFont="1" applyFill="1" applyBorder="1" applyAlignment="1">
      <alignment horizontal="left" vertical="center" wrapText="1"/>
    </xf>
    <xf numFmtId="0" fontId="67" fillId="19" borderId="36" xfId="0" applyFont="1" applyFill="1" applyBorder="1" applyAlignment="1">
      <alignment horizontal="center" vertical="center" wrapText="1"/>
    </xf>
    <xf numFmtId="0" fontId="67" fillId="19" borderId="47" xfId="0" applyFont="1" applyFill="1" applyBorder="1" applyAlignment="1">
      <alignment horizontal="center" vertical="center" wrapText="1"/>
    </xf>
    <xf numFmtId="0" fontId="67" fillId="20" borderId="12" xfId="0" applyFont="1" applyFill="1" applyBorder="1" applyAlignment="1">
      <alignment horizontal="right" vertical="center"/>
    </xf>
    <xf numFmtId="0" fontId="67" fillId="20" borderId="19" xfId="0" applyFont="1" applyFill="1" applyBorder="1" applyAlignment="1">
      <alignment horizontal="right" vertical="center"/>
    </xf>
    <xf numFmtId="0" fontId="67" fillId="20" borderId="86" xfId="0" applyFont="1" applyFill="1" applyBorder="1" applyAlignment="1">
      <alignment horizontal="right" vertical="center"/>
    </xf>
    <xf numFmtId="0" fontId="61" fillId="0" borderId="0" xfId="0" applyFont="1" applyAlignment="1">
      <alignment horizontal="center"/>
    </xf>
    <xf numFmtId="0" fontId="38" fillId="3" borderId="0" xfId="0" applyFont="1" applyFill="1" applyAlignment="1">
      <alignment horizontal="left"/>
    </xf>
    <xf numFmtId="0" fontId="38" fillId="3" borderId="33" xfId="0" applyFont="1" applyFill="1" applyBorder="1" applyAlignment="1" applyProtection="1">
      <alignment horizontal="left" vertical="center"/>
      <protection locked="0"/>
    </xf>
    <xf numFmtId="0" fontId="38" fillId="3" borderId="92" xfId="0" applyFont="1" applyFill="1" applyBorder="1" applyAlignment="1" applyProtection="1">
      <alignment horizontal="left" vertical="center"/>
      <protection locked="0"/>
    </xf>
    <xf numFmtId="0" fontId="38" fillId="3" borderId="96" xfId="0" applyFont="1" applyFill="1" applyBorder="1" applyAlignment="1" applyProtection="1">
      <alignment horizontal="left" vertical="center"/>
      <protection locked="0"/>
    </xf>
    <xf numFmtId="0" fontId="38" fillId="3" borderId="81" xfId="0" applyFont="1" applyFill="1" applyBorder="1" applyAlignment="1" applyProtection="1">
      <alignment horizontal="left" vertical="center"/>
      <protection locked="0"/>
    </xf>
    <xf numFmtId="0" fontId="38" fillId="3" borderId="92" xfId="0" applyFont="1" applyFill="1" applyBorder="1" applyAlignment="1" applyProtection="1">
      <alignment horizontal="center" vertical="center"/>
      <protection locked="0"/>
    </xf>
    <xf numFmtId="0" fontId="38" fillId="3" borderId="96" xfId="0" applyFont="1" applyFill="1" applyBorder="1" applyAlignment="1" applyProtection="1">
      <alignment horizontal="center" vertical="center"/>
      <protection locked="0"/>
    </xf>
    <xf numFmtId="0" fontId="38" fillId="3" borderId="81" xfId="0" applyFont="1" applyFill="1" applyBorder="1" applyAlignment="1" applyProtection="1">
      <alignment horizontal="center" vertical="center"/>
      <protection locked="0"/>
    </xf>
    <xf numFmtId="0" fontId="66" fillId="22" borderId="111" xfId="0" applyFont="1" applyFill="1" applyBorder="1" applyAlignment="1">
      <alignment horizontal="left" vertical="center" wrapText="1"/>
    </xf>
    <xf numFmtId="0" fontId="65" fillId="0" borderId="112" xfId="0" applyFont="1" applyBorder="1" applyAlignment="1">
      <alignment wrapText="1"/>
    </xf>
    <xf numFmtId="0" fontId="65" fillId="0" borderId="113" xfId="0" applyFont="1" applyBorder="1" applyAlignment="1">
      <alignment wrapText="1"/>
    </xf>
    <xf numFmtId="0" fontId="66" fillId="22" borderId="111" xfId="0" applyFont="1" applyFill="1" applyBorder="1" applyAlignment="1">
      <alignment horizontal="left" vertical="center"/>
    </xf>
    <xf numFmtId="0" fontId="65" fillId="0" borderId="113" xfId="0" applyFont="1" applyBorder="1"/>
    <xf numFmtId="0" fontId="65" fillId="0" borderId="112" xfId="0" applyFont="1" applyBorder="1"/>
    <xf numFmtId="0" fontId="72" fillId="19" borderId="33" xfId="0" applyFont="1" applyFill="1" applyBorder="1" applyAlignment="1">
      <alignment horizontal="center" vertical="center" textRotation="255"/>
    </xf>
    <xf numFmtId="0" fontId="72" fillId="19" borderId="33" xfId="0" applyFont="1" applyFill="1" applyBorder="1" applyAlignment="1">
      <alignment horizontal="center" vertical="center"/>
    </xf>
    <xf numFmtId="0" fontId="72" fillId="19" borderId="33" xfId="0" applyFont="1" applyFill="1" applyBorder="1" applyAlignment="1">
      <alignment horizontal="center" wrapText="1"/>
    </xf>
    <xf numFmtId="0" fontId="72" fillId="19" borderId="33" xfId="0" applyFont="1" applyFill="1" applyBorder="1" applyAlignment="1">
      <alignment horizontal="center"/>
    </xf>
    <xf numFmtId="0" fontId="72" fillId="19" borderId="92" xfId="0" applyFont="1" applyFill="1" applyBorder="1" applyAlignment="1">
      <alignment horizontal="center" vertical="top" wrapText="1"/>
    </xf>
    <xf numFmtId="0" fontId="72" fillId="19" borderId="81" xfId="0" applyFont="1" applyFill="1" applyBorder="1" applyAlignment="1">
      <alignment horizontal="center" vertical="top"/>
    </xf>
    <xf numFmtId="0" fontId="72" fillId="19" borderId="96" xfId="0" applyFont="1" applyFill="1" applyBorder="1" applyAlignment="1">
      <alignment horizontal="center" vertical="top"/>
    </xf>
    <xf numFmtId="0" fontId="38" fillId="3" borderId="92" xfId="0" applyFont="1" applyFill="1" applyBorder="1" applyAlignment="1" applyProtection="1">
      <alignment horizontal="left" vertical="center" wrapText="1"/>
      <protection locked="0"/>
    </xf>
    <xf numFmtId="0" fontId="38" fillId="3" borderId="96" xfId="0" applyFont="1" applyFill="1" applyBorder="1" applyAlignment="1" applyProtection="1">
      <alignment horizontal="left" vertical="center" wrapText="1"/>
      <protection locked="0"/>
    </xf>
    <xf numFmtId="0" fontId="38" fillId="3" borderId="94" xfId="0" applyFont="1" applyFill="1" applyBorder="1" applyAlignment="1" applyProtection="1">
      <alignment horizontal="left" vertical="center"/>
      <protection locked="0"/>
    </xf>
    <xf numFmtId="0" fontId="38" fillId="3" borderId="33" xfId="0" applyFont="1" applyFill="1" applyBorder="1" applyAlignment="1" applyProtection="1">
      <alignment horizontal="left" vertical="center" wrapText="1"/>
      <protection locked="0"/>
    </xf>
    <xf numFmtId="0" fontId="74" fillId="0" borderId="92" xfId="0" applyFont="1" applyBorder="1" applyAlignment="1" applyProtection="1">
      <alignment horizontal="left" vertical="center" wrapText="1"/>
      <protection locked="0"/>
    </xf>
    <xf numFmtId="0" fontId="74" fillId="0" borderId="96" xfId="0" applyFont="1" applyBorder="1" applyAlignment="1" applyProtection="1">
      <alignment horizontal="left" vertical="center" wrapText="1"/>
      <protection locked="0"/>
    </xf>
    <xf numFmtId="0" fontId="74" fillId="0" borderId="92" xfId="0" applyFont="1" applyBorder="1" applyAlignment="1" applyProtection="1">
      <alignment horizontal="left" vertical="center"/>
      <protection locked="0"/>
    </xf>
    <xf numFmtId="0" fontId="74" fillId="0" borderId="81" xfId="0" applyFont="1" applyBorder="1" applyAlignment="1" applyProtection="1">
      <alignment horizontal="left" vertical="center"/>
      <protection locked="0"/>
    </xf>
    <xf numFmtId="0" fontId="74" fillId="0" borderId="96" xfId="0" applyFont="1" applyBorder="1" applyAlignment="1" applyProtection="1">
      <alignment horizontal="left" vertical="center"/>
      <protection locked="0"/>
    </xf>
    <xf numFmtId="0" fontId="74" fillId="0" borderId="92" xfId="0" applyFont="1" applyBorder="1" applyAlignment="1" applyProtection="1">
      <alignment horizontal="center" vertical="center"/>
      <protection locked="0"/>
    </xf>
    <xf numFmtId="0" fontId="74" fillId="0" borderId="81" xfId="0" applyFont="1" applyBorder="1" applyAlignment="1" applyProtection="1">
      <alignment horizontal="center" vertical="center"/>
      <protection locked="0"/>
    </xf>
    <xf numFmtId="0" fontId="74" fillId="0" borderId="96" xfId="0" applyFont="1" applyBorder="1" applyAlignment="1" applyProtection="1">
      <alignment horizontal="center" vertical="center"/>
      <protection locked="0"/>
    </xf>
    <xf numFmtId="0" fontId="72" fillId="19" borderId="33" xfId="0" applyFont="1" applyFill="1" applyBorder="1" applyAlignment="1">
      <alignment horizontal="center" vertical="center" wrapText="1"/>
    </xf>
    <xf numFmtId="0" fontId="72" fillId="19" borderId="92" xfId="0" applyFont="1" applyFill="1" applyBorder="1" applyAlignment="1">
      <alignment horizontal="center" vertical="center" wrapText="1"/>
    </xf>
    <xf numFmtId="0" fontId="72" fillId="19" borderId="81" xfId="0" applyFont="1" applyFill="1" applyBorder="1" applyAlignment="1">
      <alignment horizontal="center" vertical="center"/>
    </xf>
    <xf numFmtId="0" fontId="72" fillId="19" borderId="96" xfId="0" applyFont="1" applyFill="1" applyBorder="1" applyAlignment="1">
      <alignment horizontal="center" vertical="center"/>
    </xf>
    <xf numFmtId="0" fontId="67" fillId="0" borderId="111" xfId="0" applyFont="1" applyBorder="1" applyAlignment="1">
      <alignment horizontal="left" vertical="center" wrapText="1"/>
    </xf>
    <xf numFmtId="0" fontId="0" fillId="0" borderId="113" xfId="0" applyBorder="1" applyAlignment="1">
      <alignment horizontal="left" vertical="center" wrapText="1"/>
    </xf>
    <xf numFmtId="0" fontId="68" fillId="22" borderId="111" xfId="0" applyFont="1" applyFill="1" applyBorder="1" applyAlignment="1">
      <alignment horizontal="left" vertical="center" wrapText="1"/>
    </xf>
    <xf numFmtId="0" fontId="66" fillId="0" borderId="114" xfId="0" applyFont="1" applyBorder="1" applyAlignment="1">
      <alignment horizontal="left" vertical="center" wrapText="1"/>
    </xf>
    <xf numFmtId="0" fontId="66" fillId="0" borderId="115" xfId="0" applyFont="1" applyBorder="1" applyAlignment="1">
      <alignment horizontal="left" vertical="center" wrapText="1"/>
    </xf>
    <xf numFmtId="0" fontId="75" fillId="0" borderId="111" xfId="0" applyFont="1" applyBorder="1" applyAlignment="1">
      <alignment horizontal="left" vertical="center" wrapText="1"/>
    </xf>
    <xf numFmtId="0" fontId="74" fillId="0" borderId="112" xfId="0" applyFont="1" applyBorder="1"/>
    <xf numFmtId="0" fontId="74" fillId="0" borderId="113" xfId="0" applyFont="1" applyBorder="1"/>
    <xf numFmtId="0" fontId="74" fillId="0" borderId="33" xfId="0" applyFont="1" applyBorder="1" applyAlignment="1" applyProtection="1">
      <alignment horizontal="left" vertical="center"/>
      <protection locked="0"/>
    </xf>
    <xf numFmtId="0" fontId="60" fillId="0" borderId="12" xfId="0" applyFont="1" applyBorder="1" applyAlignment="1">
      <alignment horizontal="center" vertical="center" wrapText="1"/>
    </xf>
    <xf numFmtId="0" fontId="60" fillId="0" borderId="14" xfId="0" applyFont="1" applyBorder="1" applyAlignment="1">
      <alignment horizontal="center" vertical="center" wrapText="1"/>
    </xf>
    <xf numFmtId="0" fontId="61" fillId="0" borderId="103" xfId="0" applyFont="1" applyBorder="1" applyAlignment="1">
      <alignment horizontal="left" vertical="center" wrapText="1"/>
    </xf>
    <xf numFmtId="0" fontId="61" fillId="0" borderId="104" xfId="0" applyFont="1" applyBorder="1" applyAlignment="1">
      <alignment horizontal="left" vertical="center" wrapText="1"/>
    </xf>
    <xf numFmtId="0" fontId="61" fillId="0" borderId="85" xfId="0" applyFont="1" applyBorder="1" applyAlignment="1">
      <alignment horizontal="center" vertical="center" wrapText="1"/>
    </xf>
    <xf numFmtId="0" fontId="61" fillId="0" borderId="95" xfId="0" applyFont="1" applyBorder="1" applyAlignment="1">
      <alignment horizontal="center" vertical="center" wrapText="1"/>
    </xf>
    <xf numFmtId="0" fontId="61" fillId="0" borderId="43" xfId="0" applyFont="1" applyBorder="1" applyAlignment="1">
      <alignment horizontal="center" vertical="center" wrapText="1"/>
    </xf>
    <xf numFmtId="0" fontId="61" fillId="0" borderId="92" xfId="0" applyFont="1" applyBorder="1" applyAlignment="1">
      <alignment horizontal="left" vertical="center" wrapText="1"/>
    </xf>
    <xf numFmtId="0" fontId="61" fillId="0" borderId="96" xfId="0" applyFont="1" applyBorder="1" applyAlignment="1">
      <alignment horizontal="left" vertical="center" wrapText="1"/>
    </xf>
    <xf numFmtId="0" fontId="60" fillId="0" borderId="68" xfId="0" applyFont="1" applyBorder="1" applyAlignment="1">
      <alignment horizontal="center" vertical="center" wrapText="1"/>
    </xf>
    <xf numFmtId="0" fontId="60" fillId="0" borderId="80" xfId="0" applyFont="1" applyBorder="1" applyAlignment="1">
      <alignment horizontal="center" vertical="center" wrapText="1"/>
    </xf>
    <xf numFmtId="0" fontId="60" fillId="0" borderId="81" xfId="0" applyFont="1" applyBorder="1" applyAlignment="1">
      <alignment horizontal="center" vertical="center" wrapText="1"/>
    </xf>
    <xf numFmtId="0" fontId="60" fillId="0" borderId="82" xfId="0" applyFont="1" applyBorder="1" applyAlignment="1">
      <alignment horizontal="center" vertical="center" wrapText="1"/>
    </xf>
    <xf numFmtId="0" fontId="71" fillId="19" borderId="116" xfId="0" applyFont="1" applyFill="1" applyBorder="1" applyAlignment="1">
      <alignment horizontal="center" vertical="center" wrapText="1"/>
    </xf>
    <xf numFmtId="0" fontId="71" fillId="19" borderId="19" xfId="0" applyFont="1" applyFill="1" applyBorder="1" applyAlignment="1">
      <alignment horizontal="center" vertical="center" wrapText="1"/>
    </xf>
    <xf numFmtId="0" fontId="71" fillId="19" borderId="86" xfId="0" applyFont="1" applyFill="1" applyBorder="1" applyAlignment="1">
      <alignment horizontal="center" vertical="center" wrapText="1"/>
    </xf>
    <xf numFmtId="0" fontId="71" fillId="19" borderId="117" xfId="0" applyFont="1" applyFill="1" applyBorder="1" applyAlignment="1">
      <alignment horizontal="center" vertical="center" wrapText="1"/>
    </xf>
    <xf numFmtId="0" fontId="71" fillId="19" borderId="0" xfId="0" applyFont="1" applyFill="1" applyAlignment="1">
      <alignment horizontal="center" vertical="center" wrapText="1"/>
    </xf>
    <xf numFmtId="0" fontId="71" fillId="19" borderId="87" xfId="0" applyFont="1" applyFill="1" applyBorder="1" applyAlignment="1">
      <alignment horizontal="center" vertical="center" wrapText="1"/>
    </xf>
    <xf numFmtId="0" fontId="71" fillId="19" borderId="90" xfId="0" applyFont="1" applyFill="1" applyBorder="1" applyAlignment="1">
      <alignment horizontal="center" vertical="center" wrapText="1"/>
    </xf>
    <xf numFmtId="0" fontId="71" fillId="19" borderId="69" xfId="0" applyFont="1" applyFill="1" applyBorder="1" applyAlignment="1">
      <alignment horizontal="center" vertical="center" wrapText="1"/>
    </xf>
    <xf numFmtId="0" fontId="71" fillId="19" borderId="88" xfId="0" applyFont="1" applyFill="1" applyBorder="1" applyAlignment="1">
      <alignment horizontal="center" vertical="center" wrapText="1"/>
    </xf>
    <xf numFmtId="0" fontId="67" fillId="20" borderId="51" xfId="0" applyFont="1" applyFill="1" applyBorder="1" applyAlignment="1">
      <alignment horizontal="left" vertical="center"/>
    </xf>
    <xf numFmtId="0" fontId="67" fillId="20" borderId="52" xfId="0" applyFont="1" applyFill="1" applyBorder="1" applyAlignment="1">
      <alignment horizontal="left" vertical="center"/>
    </xf>
    <xf numFmtId="0" fontId="67" fillId="20" borderId="53" xfId="0" applyFont="1" applyFill="1" applyBorder="1" applyAlignment="1">
      <alignment horizontal="left" vertical="center"/>
    </xf>
    <xf numFmtId="0" fontId="67" fillId="20" borderId="16" xfId="0" applyFont="1" applyFill="1" applyBorder="1" applyAlignment="1">
      <alignment horizontal="left" vertical="center"/>
    </xf>
    <xf numFmtId="0" fontId="67" fillId="20" borderId="18" xfId="0" applyFont="1" applyFill="1" applyBorder="1" applyAlignment="1">
      <alignment horizontal="left" vertical="center"/>
    </xf>
    <xf numFmtId="0" fontId="67" fillId="20" borderId="17" xfId="0" applyFont="1" applyFill="1" applyBorder="1" applyAlignment="1">
      <alignment horizontal="left" vertical="center"/>
    </xf>
    <xf numFmtId="0" fontId="72" fillId="19" borderId="81" xfId="0" applyFont="1" applyFill="1" applyBorder="1" applyAlignment="1">
      <alignment horizontal="center" vertical="center" wrapText="1"/>
    </xf>
    <xf numFmtId="0" fontId="72" fillId="19" borderId="96" xfId="0" applyFont="1" applyFill="1" applyBorder="1" applyAlignment="1">
      <alignment horizontal="center" vertical="center" wrapText="1"/>
    </xf>
    <xf numFmtId="0" fontId="72" fillId="19" borderId="92" xfId="0" applyFont="1" applyFill="1" applyBorder="1" applyAlignment="1">
      <alignment horizontal="center"/>
    </xf>
    <xf numFmtId="0" fontId="72" fillId="19" borderId="81" xfId="0" applyFont="1" applyFill="1" applyBorder="1" applyAlignment="1">
      <alignment horizontal="center"/>
    </xf>
    <xf numFmtId="0" fontId="72" fillId="19" borderId="96" xfId="0" applyFont="1" applyFill="1" applyBorder="1" applyAlignment="1">
      <alignment horizontal="center"/>
    </xf>
    <xf numFmtId="0" fontId="74" fillId="0" borderId="33" xfId="0" applyFont="1" applyBorder="1" applyAlignment="1" applyProtection="1">
      <alignment horizontal="left" vertical="center" wrapText="1"/>
      <protection locked="0"/>
    </xf>
    <xf numFmtId="0" fontId="75" fillId="22" borderId="111" xfId="0" applyFont="1" applyFill="1" applyBorder="1" applyAlignment="1">
      <alignment horizontal="left" vertical="center" wrapText="1"/>
    </xf>
    <xf numFmtId="0" fontId="74" fillId="3" borderId="92" xfId="0" applyFont="1" applyFill="1" applyBorder="1" applyAlignment="1" applyProtection="1">
      <alignment horizontal="left" vertical="center" wrapText="1"/>
      <protection locked="0"/>
    </xf>
    <xf numFmtId="0" fontId="74" fillId="3" borderId="96" xfId="0" applyFont="1" applyFill="1" applyBorder="1" applyAlignment="1" applyProtection="1">
      <alignment horizontal="left" vertical="center" wrapText="1"/>
      <protection locked="0"/>
    </xf>
    <xf numFmtId="0" fontId="27" fillId="3" borderId="100" xfId="0" applyFont="1" applyFill="1" applyBorder="1" applyAlignment="1" applyProtection="1">
      <alignment horizontal="left" vertical="center"/>
      <protection locked="0"/>
    </xf>
    <xf numFmtId="0" fontId="27" fillId="3" borderId="101" xfId="0" applyFont="1" applyFill="1" applyBorder="1" applyAlignment="1" applyProtection="1">
      <alignment horizontal="left" vertical="center"/>
      <protection locked="0"/>
    </xf>
    <xf numFmtId="0" fontId="27" fillId="3" borderId="102" xfId="0" applyFont="1" applyFill="1" applyBorder="1" applyAlignment="1" applyProtection="1">
      <alignment horizontal="left" vertical="center"/>
      <protection locked="0"/>
    </xf>
    <xf numFmtId="0" fontId="27" fillId="3" borderId="100" xfId="0" applyFont="1" applyFill="1" applyBorder="1" applyAlignment="1" applyProtection="1">
      <alignment horizontal="left" vertical="center" wrapText="1"/>
      <protection locked="0"/>
    </xf>
    <xf numFmtId="0" fontId="27" fillId="3" borderId="101" xfId="0" applyFont="1" applyFill="1" applyBorder="1" applyAlignment="1" applyProtection="1">
      <alignment horizontal="left" vertical="center" wrapText="1"/>
      <protection locked="0"/>
    </xf>
    <xf numFmtId="0" fontId="27" fillId="3" borderId="102" xfId="0" applyFont="1" applyFill="1" applyBorder="1" applyAlignment="1" applyProtection="1">
      <alignment horizontal="left" vertical="center"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50" fillId="0" borderId="97" xfId="0" applyFont="1" applyBorder="1" applyAlignment="1" applyProtection="1">
      <alignment horizontal="center" vertical="top" wrapText="1"/>
      <protection locked="0"/>
    </xf>
    <xf numFmtId="0" fontId="50" fillId="0" borderId="98" xfId="0" applyFont="1" applyBorder="1" applyAlignment="1" applyProtection="1">
      <alignment horizontal="center" vertical="top" wrapText="1"/>
      <protection locked="0"/>
    </xf>
    <xf numFmtId="0" fontId="50" fillId="0" borderId="99" xfId="0" applyFont="1" applyBorder="1" applyAlignment="1" applyProtection="1">
      <alignment horizontal="center" vertical="top" wrapText="1"/>
      <protection locked="0"/>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14" fontId="50" fillId="0" borderId="4" xfId="0" applyNumberFormat="1" applyFont="1" applyBorder="1" applyAlignment="1" applyProtection="1">
      <alignment horizontal="center" vertical="center"/>
      <protection locked="0"/>
    </xf>
    <xf numFmtId="14" fontId="50" fillId="0" borderId="8" xfId="0" applyNumberFormat="1" applyFont="1" applyBorder="1" applyAlignment="1" applyProtection="1">
      <alignment horizontal="center" vertical="center"/>
      <protection locked="0"/>
    </xf>
    <xf numFmtId="14" fontId="50" fillId="0" borderId="5" xfId="0" applyNumberFormat="1" applyFont="1" applyBorder="1" applyAlignment="1" applyProtection="1">
      <alignment horizontal="center" vertical="center"/>
      <protection locked="0"/>
    </xf>
    <xf numFmtId="0" fontId="50" fillId="0" borderId="4" xfId="0" applyFont="1" applyBorder="1" applyAlignment="1" applyProtection="1">
      <alignment horizontal="center" vertical="center" wrapText="1"/>
      <protection locked="0"/>
    </xf>
    <xf numFmtId="0" fontId="50" fillId="0" borderId="8" xfId="0" applyFont="1" applyBorder="1" applyAlignment="1" applyProtection="1">
      <alignment horizontal="center" vertical="center" wrapText="1"/>
      <protection locked="0"/>
    </xf>
    <xf numFmtId="0" fontId="50" fillId="0" borderId="5" xfId="0" applyFont="1" applyBorder="1" applyAlignment="1" applyProtection="1">
      <alignment horizontal="center" vertical="center" wrapText="1"/>
      <protection locked="0"/>
    </xf>
    <xf numFmtId="0" fontId="50" fillId="0" borderId="4" xfId="0" applyFont="1" applyBorder="1" applyAlignment="1" applyProtection="1">
      <alignment horizontal="center" vertical="center"/>
      <protection locked="0"/>
    </xf>
    <xf numFmtId="0" fontId="50" fillId="0" borderId="8" xfId="0" applyFont="1" applyBorder="1" applyAlignment="1" applyProtection="1">
      <alignment horizontal="center" vertical="center"/>
      <protection locked="0"/>
    </xf>
    <xf numFmtId="0" fontId="50" fillId="0" borderId="5" xfId="0" applyFont="1" applyBorder="1" applyAlignment="1" applyProtection="1">
      <alignment horizontal="center" vertical="center"/>
      <protection locked="0"/>
    </xf>
    <xf numFmtId="0" fontId="27" fillId="0" borderId="4" xfId="0" applyFont="1" applyBorder="1" applyAlignment="1" applyProtection="1">
      <alignment horizontal="center" vertical="center" textRotation="90"/>
      <protection locked="0"/>
    </xf>
    <xf numFmtId="0" fontId="27" fillId="0" borderId="8" xfId="0" applyFont="1" applyBorder="1" applyAlignment="1" applyProtection="1">
      <alignment horizontal="center" vertical="center" textRotation="90"/>
      <protection locked="0"/>
    </xf>
    <xf numFmtId="0" fontId="27" fillId="0" borderId="5" xfId="0" applyFont="1" applyBorder="1" applyAlignment="1" applyProtection="1">
      <alignment horizontal="center" vertical="center" textRotation="90"/>
      <protection locked="0"/>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5">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110169</xdr:colOff>
      <xdr:row>0</xdr:row>
      <xdr:rowOff>0</xdr:rowOff>
    </xdr:from>
    <xdr:to>
      <xdr:col>0</xdr:col>
      <xdr:colOff>1909591</xdr:colOff>
      <xdr:row>3</xdr:row>
      <xdr:rowOff>161318</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169" y="0"/>
          <a:ext cx="1799422" cy="739704"/>
        </a:xfrm>
        <a:prstGeom prst="rect">
          <a:avLst/>
        </a:prstGeom>
      </xdr:spPr>
    </xdr:pic>
    <xdr:clientData/>
  </xdr:twoCellAnchor>
  <xdr:twoCellAnchor editAs="oneCell">
    <xdr:from>
      <xdr:col>5</xdr:col>
      <xdr:colOff>661011</xdr:colOff>
      <xdr:row>0</xdr:row>
      <xdr:rowOff>0</xdr:rowOff>
    </xdr:from>
    <xdr:to>
      <xdr:col>5</xdr:col>
      <xdr:colOff>1386289</xdr:colOff>
      <xdr:row>4</xdr:row>
      <xdr:rowOff>75406</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72939" y="0"/>
          <a:ext cx="725278" cy="8557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288633</xdr:rowOff>
    </xdr:from>
    <xdr:to>
      <xdr:col>0</xdr:col>
      <xdr:colOff>1</xdr:colOff>
      <xdr:row>40</xdr:row>
      <xdr:rowOff>288634</xdr:rowOff>
    </xdr:to>
    <xdr:sp macro="" textlink="">
      <xdr:nvSpPr>
        <xdr:cNvPr id="3" name="CuadroTexto 2">
          <a:extLst>
            <a:ext uri="{FF2B5EF4-FFF2-40B4-BE49-F238E27FC236}">
              <a16:creationId xmlns:a16="http://schemas.microsoft.com/office/drawing/2014/main" id="{8335E96B-B5F1-48E3-8253-E8FA7A702D9F}"/>
            </a:ext>
          </a:extLst>
        </xdr:cNvPr>
        <xdr:cNvSpPr txBox="1"/>
      </xdr:nvSpPr>
      <xdr:spPr>
        <a:xfrm rot="16200000">
          <a:off x="-3928110" y="16431603"/>
          <a:ext cx="785622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319AEEC8-6C98-49FA-8CBF-0E123D8E50AC}"/>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0</xdr:col>
      <xdr:colOff>0</xdr:colOff>
      <xdr:row>41</xdr:row>
      <xdr:rowOff>0</xdr:rowOff>
    </xdr:from>
    <xdr:to>
      <xdr:col>0</xdr:col>
      <xdr:colOff>2</xdr:colOff>
      <xdr:row>41</xdr:row>
      <xdr:rowOff>0</xdr:rowOff>
    </xdr:to>
    <xdr:sp macro="" textlink="">
      <xdr:nvSpPr>
        <xdr:cNvPr id="6" name="CuadroTexto 5">
          <a:extLst>
            <a:ext uri="{FF2B5EF4-FFF2-40B4-BE49-F238E27FC236}">
              <a16:creationId xmlns:a16="http://schemas.microsoft.com/office/drawing/2014/main" id="{7E56F4DA-FB72-4ABB-A604-DFFDE4AACB60}"/>
            </a:ext>
          </a:extLst>
        </xdr:cNvPr>
        <xdr:cNvSpPr txBox="1"/>
      </xdr:nvSpPr>
      <xdr:spPr>
        <a:xfrm rot="16200000">
          <a:off x="1" y="2070353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editAs="oneCell">
    <xdr:from>
      <xdr:col>1</xdr:col>
      <xdr:colOff>47570</xdr:colOff>
      <xdr:row>0</xdr:row>
      <xdr:rowOff>159660</xdr:rowOff>
    </xdr:from>
    <xdr:to>
      <xdr:col>1</xdr:col>
      <xdr:colOff>1927519</xdr:colOff>
      <xdr:row>3</xdr:row>
      <xdr:rowOff>7620</xdr:rowOff>
    </xdr:to>
    <xdr:pic>
      <xdr:nvPicPr>
        <xdr:cNvPr id="2" name="Imagen 1">
          <a:extLst>
            <a:ext uri="{FF2B5EF4-FFF2-40B4-BE49-F238E27FC236}">
              <a16:creationId xmlns:a16="http://schemas.microsoft.com/office/drawing/2014/main" id="{A776DB7A-1D68-A223-B4D4-E20473259F98}"/>
            </a:ext>
          </a:extLst>
        </xdr:cNvPr>
        <xdr:cNvPicPr>
          <a:picLocks noChangeAspect="1"/>
        </xdr:cNvPicPr>
      </xdr:nvPicPr>
      <xdr:blipFill>
        <a:blip xmlns:r="http://schemas.openxmlformats.org/officeDocument/2006/relationships" r:embed="rId1"/>
        <a:stretch>
          <a:fillRect/>
        </a:stretch>
      </xdr:blipFill>
      <xdr:spPr>
        <a:xfrm>
          <a:off x="398090" y="159660"/>
          <a:ext cx="1879949" cy="747120"/>
        </a:xfrm>
        <a:prstGeom prst="rect">
          <a:avLst/>
        </a:prstGeom>
      </xdr:spPr>
    </xdr:pic>
    <xdr:clientData/>
  </xdr:twoCellAnchor>
  <xdr:twoCellAnchor editAs="oneCell">
    <xdr:from>
      <xdr:col>18</xdr:col>
      <xdr:colOff>48015</xdr:colOff>
      <xdr:row>0</xdr:row>
      <xdr:rowOff>205739</xdr:rowOff>
    </xdr:from>
    <xdr:to>
      <xdr:col>18</xdr:col>
      <xdr:colOff>655321</xdr:colOff>
      <xdr:row>3</xdr:row>
      <xdr:rowOff>53340</xdr:rowOff>
    </xdr:to>
    <xdr:pic>
      <xdr:nvPicPr>
        <xdr:cNvPr id="8" name="Imagen 7">
          <a:extLst>
            <a:ext uri="{FF2B5EF4-FFF2-40B4-BE49-F238E27FC236}">
              <a16:creationId xmlns:a16="http://schemas.microsoft.com/office/drawing/2014/main" id="{ABF6DF7A-4457-BE2A-1C8F-57076D81827B}"/>
            </a:ext>
          </a:extLst>
        </xdr:cNvPr>
        <xdr:cNvPicPr>
          <a:picLocks noChangeAspect="1"/>
        </xdr:cNvPicPr>
      </xdr:nvPicPr>
      <xdr:blipFill>
        <a:blip xmlns:r="http://schemas.openxmlformats.org/officeDocument/2006/relationships" r:embed="rId2"/>
        <a:stretch>
          <a:fillRect/>
        </a:stretch>
      </xdr:blipFill>
      <xdr:spPr>
        <a:xfrm>
          <a:off x="10357875" y="205739"/>
          <a:ext cx="607306" cy="7467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19</xdr:col>
          <xdr:colOff>541020</xdr:colOff>
          <xdr:row>10</xdr:row>
          <xdr:rowOff>342900</xdr:rowOff>
        </xdr:from>
        <xdr:to>
          <xdr:col>19</xdr:col>
          <xdr:colOff>784860</xdr:colOff>
          <xdr:row>10</xdr:row>
          <xdr:rowOff>563880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11</xdr:row>
          <xdr:rowOff>342900</xdr:rowOff>
        </xdr:from>
        <xdr:to>
          <xdr:col>19</xdr:col>
          <xdr:colOff>784860</xdr:colOff>
          <xdr:row>11</xdr:row>
          <xdr:rowOff>563880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12</xdr:row>
          <xdr:rowOff>342900</xdr:rowOff>
        </xdr:from>
        <xdr:to>
          <xdr:col>19</xdr:col>
          <xdr:colOff>784860</xdr:colOff>
          <xdr:row>12</xdr:row>
          <xdr:rowOff>563880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13</xdr:row>
          <xdr:rowOff>342900</xdr:rowOff>
        </xdr:from>
        <xdr:to>
          <xdr:col>19</xdr:col>
          <xdr:colOff>784860</xdr:colOff>
          <xdr:row>14</xdr:row>
          <xdr:rowOff>60960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14</xdr:row>
          <xdr:rowOff>342900</xdr:rowOff>
        </xdr:from>
        <xdr:to>
          <xdr:col>19</xdr:col>
          <xdr:colOff>784860</xdr:colOff>
          <xdr:row>15</xdr:row>
          <xdr:rowOff>60960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15</xdr:row>
          <xdr:rowOff>342900</xdr:rowOff>
        </xdr:from>
        <xdr:to>
          <xdr:col>19</xdr:col>
          <xdr:colOff>784860</xdr:colOff>
          <xdr:row>15</xdr:row>
          <xdr:rowOff>563880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16</xdr:row>
          <xdr:rowOff>342900</xdr:rowOff>
        </xdr:from>
        <xdr:to>
          <xdr:col>19</xdr:col>
          <xdr:colOff>784860</xdr:colOff>
          <xdr:row>17</xdr:row>
          <xdr:rowOff>60960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17</xdr:row>
          <xdr:rowOff>342900</xdr:rowOff>
        </xdr:from>
        <xdr:to>
          <xdr:col>19</xdr:col>
          <xdr:colOff>784860</xdr:colOff>
          <xdr:row>17</xdr:row>
          <xdr:rowOff>563880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18</xdr:row>
          <xdr:rowOff>342900</xdr:rowOff>
        </xdr:from>
        <xdr:to>
          <xdr:col>19</xdr:col>
          <xdr:colOff>784860</xdr:colOff>
          <xdr:row>18</xdr:row>
          <xdr:rowOff>563880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19</xdr:row>
          <xdr:rowOff>342900</xdr:rowOff>
        </xdr:from>
        <xdr:to>
          <xdr:col>19</xdr:col>
          <xdr:colOff>784860</xdr:colOff>
          <xdr:row>19</xdr:row>
          <xdr:rowOff>563880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20</xdr:row>
          <xdr:rowOff>342900</xdr:rowOff>
        </xdr:from>
        <xdr:to>
          <xdr:col>19</xdr:col>
          <xdr:colOff>784860</xdr:colOff>
          <xdr:row>20</xdr:row>
          <xdr:rowOff>563880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21</xdr:row>
          <xdr:rowOff>342900</xdr:rowOff>
        </xdr:from>
        <xdr:to>
          <xdr:col>19</xdr:col>
          <xdr:colOff>784860</xdr:colOff>
          <xdr:row>21</xdr:row>
          <xdr:rowOff>563880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22</xdr:row>
          <xdr:rowOff>342900</xdr:rowOff>
        </xdr:from>
        <xdr:to>
          <xdr:col>19</xdr:col>
          <xdr:colOff>784860</xdr:colOff>
          <xdr:row>22</xdr:row>
          <xdr:rowOff>563880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23</xdr:row>
          <xdr:rowOff>342900</xdr:rowOff>
        </xdr:from>
        <xdr:to>
          <xdr:col>19</xdr:col>
          <xdr:colOff>784860</xdr:colOff>
          <xdr:row>24</xdr:row>
          <xdr:rowOff>60960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24</xdr:row>
          <xdr:rowOff>342900</xdr:rowOff>
        </xdr:from>
        <xdr:to>
          <xdr:col>19</xdr:col>
          <xdr:colOff>784860</xdr:colOff>
          <xdr:row>25</xdr:row>
          <xdr:rowOff>60960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25</xdr:row>
          <xdr:rowOff>342900</xdr:rowOff>
        </xdr:from>
        <xdr:to>
          <xdr:col>19</xdr:col>
          <xdr:colOff>784860</xdr:colOff>
          <xdr:row>25</xdr:row>
          <xdr:rowOff>563880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26</xdr:row>
          <xdr:rowOff>342900</xdr:rowOff>
        </xdr:from>
        <xdr:to>
          <xdr:col>19</xdr:col>
          <xdr:colOff>784860</xdr:colOff>
          <xdr:row>27</xdr:row>
          <xdr:rowOff>60960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27</xdr:row>
          <xdr:rowOff>342900</xdr:rowOff>
        </xdr:from>
        <xdr:to>
          <xdr:col>19</xdr:col>
          <xdr:colOff>784860</xdr:colOff>
          <xdr:row>28</xdr:row>
          <xdr:rowOff>60960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28</xdr:row>
          <xdr:rowOff>342900</xdr:rowOff>
        </xdr:from>
        <xdr:to>
          <xdr:col>19</xdr:col>
          <xdr:colOff>784860</xdr:colOff>
          <xdr:row>28</xdr:row>
          <xdr:rowOff>563880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29</xdr:row>
          <xdr:rowOff>342900</xdr:rowOff>
        </xdr:from>
        <xdr:to>
          <xdr:col>19</xdr:col>
          <xdr:colOff>784860</xdr:colOff>
          <xdr:row>30</xdr:row>
          <xdr:rowOff>60960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31</xdr:row>
          <xdr:rowOff>342900</xdr:rowOff>
        </xdr:from>
        <xdr:to>
          <xdr:col>19</xdr:col>
          <xdr:colOff>784860</xdr:colOff>
          <xdr:row>31</xdr:row>
          <xdr:rowOff>563880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32</xdr:row>
          <xdr:rowOff>342900</xdr:rowOff>
        </xdr:from>
        <xdr:to>
          <xdr:col>19</xdr:col>
          <xdr:colOff>784860</xdr:colOff>
          <xdr:row>33</xdr:row>
          <xdr:rowOff>30480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33</xdr:row>
          <xdr:rowOff>342900</xdr:rowOff>
        </xdr:from>
        <xdr:to>
          <xdr:col>19</xdr:col>
          <xdr:colOff>784860</xdr:colOff>
          <xdr:row>33</xdr:row>
          <xdr:rowOff>563880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34</xdr:row>
          <xdr:rowOff>342900</xdr:rowOff>
        </xdr:from>
        <xdr:to>
          <xdr:col>19</xdr:col>
          <xdr:colOff>784860</xdr:colOff>
          <xdr:row>34</xdr:row>
          <xdr:rowOff>563880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35</xdr:row>
          <xdr:rowOff>342900</xdr:rowOff>
        </xdr:from>
        <xdr:to>
          <xdr:col>19</xdr:col>
          <xdr:colOff>784860</xdr:colOff>
          <xdr:row>36</xdr:row>
          <xdr:rowOff>7620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36</xdr:row>
          <xdr:rowOff>342900</xdr:rowOff>
        </xdr:from>
        <xdr:to>
          <xdr:col>19</xdr:col>
          <xdr:colOff>784860</xdr:colOff>
          <xdr:row>37</xdr:row>
          <xdr:rowOff>22860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37</xdr:row>
          <xdr:rowOff>342900</xdr:rowOff>
        </xdr:from>
        <xdr:to>
          <xdr:col>19</xdr:col>
          <xdr:colOff>784860</xdr:colOff>
          <xdr:row>38</xdr:row>
          <xdr:rowOff>30480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38</xdr:row>
          <xdr:rowOff>342900</xdr:rowOff>
        </xdr:from>
        <xdr:to>
          <xdr:col>19</xdr:col>
          <xdr:colOff>784860</xdr:colOff>
          <xdr:row>39</xdr:row>
          <xdr:rowOff>22860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39</xdr:row>
          <xdr:rowOff>342900</xdr:rowOff>
        </xdr:from>
        <xdr:to>
          <xdr:col>19</xdr:col>
          <xdr:colOff>784860</xdr:colOff>
          <xdr:row>39</xdr:row>
          <xdr:rowOff>563880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40</xdr:row>
          <xdr:rowOff>342900</xdr:rowOff>
        </xdr:from>
        <xdr:to>
          <xdr:col>19</xdr:col>
          <xdr:colOff>784860</xdr:colOff>
          <xdr:row>40</xdr:row>
          <xdr:rowOff>563880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541020</xdr:colOff>
          <xdr:row>30</xdr:row>
          <xdr:rowOff>342900</xdr:rowOff>
        </xdr:from>
        <xdr:to>
          <xdr:col>19</xdr:col>
          <xdr:colOff>784860</xdr:colOff>
          <xdr:row>31</xdr:row>
          <xdr:rowOff>60960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17540</xdr:colOff>
      <xdr:row>0</xdr:row>
      <xdr:rowOff>0</xdr:rowOff>
    </xdr:from>
    <xdr:to>
      <xdr:col>2</xdr:col>
      <xdr:colOff>1013011</xdr:colOff>
      <xdr:row>3</xdr:row>
      <xdr:rowOff>187110</xdr:rowOff>
    </xdr:to>
    <xdr:pic>
      <xdr:nvPicPr>
        <xdr:cNvPr id="3" name="Imagen 2">
          <a:extLst>
            <a:ext uri="{FF2B5EF4-FFF2-40B4-BE49-F238E27FC236}">
              <a16:creationId xmlns:a16="http://schemas.microsoft.com/office/drawing/2014/main" id="{CE4FECEC-3997-76F5-577B-2722B9DDF6FC}"/>
            </a:ext>
          </a:extLst>
        </xdr:cNvPr>
        <xdr:cNvPicPr>
          <a:picLocks noChangeAspect="1"/>
        </xdr:cNvPicPr>
      </xdr:nvPicPr>
      <xdr:blipFill>
        <a:blip xmlns:r="http://schemas.openxmlformats.org/officeDocument/2006/relationships" r:embed="rId1"/>
        <a:stretch>
          <a:fillRect/>
        </a:stretch>
      </xdr:blipFill>
      <xdr:spPr>
        <a:xfrm>
          <a:off x="17540" y="0"/>
          <a:ext cx="1891942" cy="751886"/>
        </a:xfrm>
        <a:prstGeom prst="rect">
          <a:avLst/>
        </a:prstGeom>
      </xdr:spPr>
    </xdr:pic>
    <xdr:clientData/>
  </xdr:twoCellAnchor>
  <xdr:twoCellAnchor editAs="oneCell">
    <xdr:from>
      <xdr:col>9</xdr:col>
      <xdr:colOff>195502</xdr:colOff>
      <xdr:row>0</xdr:row>
      <xdr:rowOff>0</xdr:rowOff>
    </xdr:from>
    <xdr:to>
      <xdr:col>9</xdr:col>
      <xdr:colOff>807911</xdr:colOff>
      <xdr:row>3</xdr:row>
      <xdr:rowOff>188259</xdr:rowOff>
    </xdr:to>
    <xdr:pic>
      <xdr:nvPicPr>
        <xdr:cNvPr id="5" name="Imagen 4">
          <a:extLst>
            <a:ext uri="{FF2B5EF4-FFF2-40B4-BE49-F238E27FC236}">
              <a16:creationId xmlns:a16="http://schemas.microsoft.com/office/drawing/2014/main" id="{F133564C-707F-3594-27A5-08EA85FC2BB1}"/>
            </a:ext>
          </a:extLst>
        </xdr:cNvPr>
        <xdr:cNvPicPr>
          <a:picLocks noChangeAspect="1"/>
        </xdr:cNvPicPr>
      </xdr:nvPicPr>
      <xdr:blipFill>
        <a:blip xmlns:r="http://schemas.openxmlformats.org/officeDocument/2006/relationships" r:embed="rId2"/>
        <a:stretch>
          <a:fillRect/>
        </a:stretch>
      </xdr:blipFill>
      <xdr:spPr>
        <a:xfrm>
          <a:off x="13561878" y="0"/>
          <a:ext cx="612409" cy="7530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20Paula\Downloads\46942-MR-20230216141848(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1">
          <cell r="B1" t="str">
            <v xml:space="preserve">PROCESO: </v>
          </cell>
        </row>
        <row r="8">
          <cell r="A8" t="str">
            <v xml:space="preserve">PROCESO: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1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34">
      <pivotArea type="all" dataOnly="0" outline="0" fieldPosition="0"/>
    </format>
    <format dxfId="33">
      <pivotArea field="0" type="button" dataOnly="0" labelOnly="1" outline="0" axis="axisRow" fieldPosition="0"/>
    </format>
    <format dxfId="32">
      <pivotArea field="1" type="button" dataOnly="0" labelOnly="1" outline="0" axis="axisRow" fieldPosition="1"/>
    </format>
    <format dxfId="31">
      <pivotArea dataOnly="0" labelOnly="1" outline="0" fieldPosition="0">
        <references count="1">
          <reference field="0" count="0"/>
        </references>
      </pivotArea>
    </format>
    <format dxfId="30">
      <pivotArea dataOnly="0" labelOnly="1" outline="0" fieldPosition="0">
        <references count="2">
          <reference field="0" count="1" selected="0">
            <x v="0"/>
          </reference>
          <reference field="1" count="5">
            <x v="0"/>
            <x v="6"/>
            <x v="7"/>
            <x v="8"/>
            <x v="9"/>
          </reference>
        </references>
      </pivotArea>
    </format>
    <format dxfId="29">
      <pivotArea dataOnly="0" labelOnly="1" outline="0" fieldPosition="0">
        <references count="2">
          <reference field="0" count="1" selected="0">
            <x v="1"/>
          </reference>
          <reference field="1" count="5">
            <x v="1"/>
            <x v="2"/>
            <x v="3"/>
            <x v="4"/>
            <x v="5"/>
          </reference>
        </references>
      </pivotArea>
    </format>
    <format dxfId="28">
      <pivotArea type="all" dataOnly="0" outline="0" fieldPosition="0"/>
    </format>
    <format dxfId="27">
      <pivotArea field="0" type="button" dataOnly="0" labelOnly="1" outline="0" axis="axisRow" fieldPosition="0"/>
    </format>
    <format dxfId="26">
      <pivotArea field="1" type="button" dataOnly="0" labelOnly="1" outline="0" axis="axisRow" fieldPosition="1"/>
    </format>
    <format dxfId="25">
      <pivotArea dataOnly="0" labelOnly="1" outline="0" fieldPosition="0">
        <references count="1">
          <reference field="0" count="0"/>
        </references>
      </pivotArea>
    </format>
    <format dxfId="24">
      <pivotArea dataOnly="0" labelOnly="1" outline="0" fieldPosition="0">
        <references count="2">
          <reference field="0" count="1" selected="0">
            <x v="0"/>
          </reference>
          <reference field="1" count="5">
            <x v="10"/>
            <x v="11"/>
            <x v="12"/>
            <x v="13"/>
            <x v="14"/>
          </reference>
        </references>
      </pivotArea>
    </format>
    <format dxfId="23">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2" dataDxfId="21">
  <autoFilter ref="B209:C219" xr:uid="{00000000-0009-0000-0100-000001000000}"/>
  <tableColumns count="2">
    <tableColumn id="1" xr3:uid="{00000000-0010-0000-0000-000001000000}" name="Criterios" dataDxfId="20"/>
    <tableColumn id="2" xr3:uid="{00000000-0010-0000-0000-000002000000}" name="Subcriterios" dataDxfId="1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drawing" Target="../drawings/drawing2.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8"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89" zoomScaleNormal="89" workbookViewId="0">
      <selection activeCell="B4" sqref="B4:H5"/>
    </sheetView>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75" thickBot="1" x14ac:dyDescent="0.3"/>
    <row r="2" spans="2:8" ht="18" x14ac:dyDescent="0.25">
      <c r="B2" s="233" t="s">
        <v>155</v>
      </c>
      <c r="C2" s="234"/>
      <c r="D2" s="234"/>
      <c r="E2" s="234"/>
      <c r="F2" s="234"/>
      <c r="G2" s="234"/>
      <c r="H2" s="235"/>
    </row>
    <row r="3" spans="2:8" ht="15" x14ac:dyDescent="0.25">
      <c r="B3" s="68"/>
      <c r="C3" s="69"/>
      <c r="D3" s="69"/>
      <c r="E3" s="69"/>
      <c r="F3" s="69"/>
      <c r="G3" s="69"/>
      <c r="H3" s="70"/>
    </row>
    <row r="4" spans="2:8" ht="63" customHeight="1" x14ac:dyDescent="0.3">
      <c r="B4" s="236" t="s">
        <v>198</v>
      </c>
      <c r="C4" s="237"/>
      <c r="D4" s="237"/>
      <c r="E4" s="237"/>
      <c r="F4" s="237"/>
      <c r="G4" s="237"/>
      <c r="H4" s="238"/>
    </row>
    <row r="5" spans="2:8" ht="63" customHeight="1" x14ac:dyDescent="0.3">
      <c r="B5" s="239"/>
      <c r="C5" s="240"/>
      <c r="D5" s="240"/>
      <c r="E5" s="240"/>
      <c r="F5" s="240"/>
      <c r="G5" s="240"/>
      <c r="H5" s="241"/>
    </row>
    <row r="6" spans="2:8" ht="16.5" x14ac:dyDescent="0.25">
      <c r="B6" s="242" t="s">
        <v>153</v>
      </c>
      <c r="C6" s="243"/>
      <c r="D6" s="243"/>
      <c r="E6" s="243"/>
      <c r="F6" s="243"/>
      <c r="G6" s="243"/>
      <c r="H6" s="244"/>
    </row>
    <row r="7" spans="2:8" ht="95.25" customHeight="1" x14ac:dyDescent="0.3">
      <c r="B7" s="252" t="s">
        <v>158</v>
      </c>
      <c r="C7" s="253"/>
      <c r="D7" s="253"/>
      <c r="E7" s="253"/>
      <c r="F7" s="253"/>
      <c r="G7" s="253"/>
      <c r="H7" s="254"/>
    </row>
    <row r="8" spans="2:8" ht="16.5" x14ac:dyDescent="0.25">
      <c r="B8" s="102"/>
      <c r="C8" s="103"/>
      <c r="D8" s="103"/>
      <c r="E8" s="103"/>
      <c r="F8" s="103"/>
      <c r="G8" s="103"/>
      <c r="H8" s="104"/>
    </row>
    <row r="9" spans="2:8" ht="16.5" customHeight="1" x14ac:dyDescent="0.3">
      <c r="B9" s="245" t="s">
        <v>191</v>
      </c>
      <c r="C9" s="246"/>
      <c r="D9" s="246"/>
      <c r="E9" s="246"/>
      <c r="F9" s="246"/>
      <c r="G9" s="246"/>
      <c r="H9" s="247"/>
    </row>
    <row r="10" spans="2:8" ht="44.25" customHeight="1" x14ac:dyDescent="0.3">
      <c r="B10" s="245"/>
      <c r="C10" s="246"/>
      <c r="D10" s="246"/>
      <c r="E10" s="246"/>
      <c r="F10" s="246"/>
      <c r="G10" s="246"/>
      <c r="H10" s="247"/>
    </row>
    <row r="11" spans="2:8" ht="15.75" thickBot="1" x14ac:dyDescent="0.3">
      <c r="B11" s="91"/>
      <c r="C11" s="94"/>
      <c r="D11" s="99"/>
      <c r="E11" s="100"/>
      <c r="F11" s="100"/>
      <c r="G11" s="101"/>
      <c r="H11" s="95"/>
    </row>
    <row r="12" spans="2:8" ht="15" thickTop="1" x14ac:dyDescent="0.3">
      <c r="B12" s="91"/>
      <c r="C12" s="248" t="s">
        <v>154</v>
      </c>
      <c r="D12" s="249"/>
      <c r="E12" s="250" t="s">
        <v>192</v>
      </c>
      <c r="F12" s="251"/>
      <c r="G12" s="94"/>
      <c r="H12" s="95"/>
    </row>
    <row r="13" spans="2:8" ht="35.25" customHeight="1" x14ac:dyDescent="0.3">
      <c r="B13" s="91"/>
      <c r="C13" s="220" t="s">
        <v>185</v>
      </c>
      <c r="D13" s="221"/>
      <c r="E13" s="222" t="s">
        <v>190</v>
      </c>
      <c r="F13" s="223"/>
      <c r="G13" s="94"/>
      <c r="H13" s="95"/>
    </row>
    <row r="14" spans="2:8" ht="17.25" customHeight="1" x14ac:dyDescent="0.25">
      <c r="B14" s="91"/>
      <c r="C14" s="220" t="s">
        <v>186</v>
      </c>
      <c r="D14" s="221"/>
      <c r="E14" s="222" t="s">
        <v>188</v>
      </c>
      <c r="F14" s="223"/>
      <c r="G14" s="94"/>
      <c r="H14" s="95"/>
    </row>
    <row r="15" spans="2:8" ht="19.5" customHeight="1" x14ac:dyDescent="0.25">
      <c r="B15" s="91"/>
      <c r="C15" s="220" t="s">
        <v>187</v>
      </c>
      <c r="D15" s="221"/>
      <c r="E15" s="222" t="s">
        <v>189</v>
      </c>
      <c r="F15" s="223"/>
      <c r="G15" s="94"/>
      <c r="H15" s="95"/>
    </row>
    <row r="16" spans="2:8" ht="69.75" customHeight="1" x14ac:dyDescent="0.3">
      <c r="B16" s="91"/>
      <c r="C16" s="220" t="s">
        <v>156</v>
      </c>
      <c r="D16" s="221"/>
      <c r="E16" s="222" t="s">
        <v>157</v>
      </c>
      <c r="F16" s="223"/>
      <c r="G16" s="94"/>
      <c r="H16" s="95"/>
    </row>
    <row r="17" spans="2:8" ht="34.5" customHeight="1" x14ac:dyDescent="0.3">
      <c r="B17" s="91"/>
      <c r="C17" s="224" t="s">
        <v>2</v>
      </c>
      <c r="D17" s="225"/>
      <c r="E17" s="216" t="s">
        <v>199</v>
      </c>
      <c r="F17" s="217"/>
      <c r="G17" s="94"/>
      <c r="H17" s="95"/>
    </row>
    <row r="18" spans="2:8" ht="27.75" customHeight="1" x14ac:dyDescent="0.3">
      <c r="B18" s="91"/>
      <c r="C18" s="224" t="s">
        <v>3</v>
      </c>
      <c r="D18" s="225"/>
      <c r="E18" s="216" t="s">
        <v>200</v>
      </c>
      <c r="F18" s="217"/>
      <c r="G18" s="94"/>
      <c r="H18" s="95"/>
    </row>
    <row r="19" spans="2:8" ht="28.5" customHeight="1" x14ac:dyDescent="0.3">
      <c r="B19" s="91"/>
      <c r="C19" s="224" t="s">
        <v>42</v>
      </c>
      <c r="D19" s="225"/>
      <c r="E19" s="216" t="s">
        <v>201</v>
      </c>
      <c r="F19" s="217"/>
      <c r="G19" s="94"/>
      <c r="H19" s="95"/>
    </row>
    <row r="20" spans="2:8" ht="72.75" customHeight="1" x14ac:dyDescent="0.3">
      <c r="B20" s="91"/>
      <c r="C20" s="224" t="s">
        <v>1</v>
      </c>
      <c r="D20" s="225"/>
      <c r="E20" s="216" t="s">
        <v>202</v>
      </c>
      <c r="F20" s="217"/>
      <c r="G20" s="94"/>
      <c r="H20" s="95"/>
    </row>
    <row r="21" spans="2:8" ht="64.5" customHeight="1" x14ac:dyDescent="0.3">
      <c r="B21" s="91"/>
      <c r="C21" s="224" t="s">
        <v>50</v>
      </c>
      <c r="D21" s="225"/>
      <c r="E21" s="216" t="s">
        <v>160</v>
      </c>
      <c r="F21" s="217"/>
      <c r="G21" s="94"/>
      <c r="H21" s="95"/>
    </row>
    <row r="22" spans="2:8" ht="71.25" customHeight="1" x14ac:dyDescent="0.3">
      <c r="B22" s="91"/>
      <c r="C22" s="224" t="s">
        <v>159</v>
      </c>
      <c r="D22" s="225"/>
      <c r="E22" s="216" t="s">
        <v>161</v>
      </c>
      <c r="F22" s="217"/>
      <c r="G22" s="94"/>
      <c r="H22" s="95"/>
    </row>
    <row r="23" spans="2:8" ht="55.5" customHeight="1" x14ac:dyDescent="0.3">
      <c r="B23" s="91"/>
      <c r="C23" s="218" t="s">
        <v>162</v>
      </c>
      <c r="D23" s="219"/>
      <c r="E23" s="216" t="s">
        <v>163</v>
      </c>
      <c r="F23" s="217"/>
      <c r="G23" s="94"/>
      <c r="H23" s="95"/>
    </row>
    <row r="24" spans="2:8" ht="42" customHeight="1" x14ac:dyDescent="0.3">
      <c r="B24" s="91"/>
      <c r="C24" s="218" t="s">
        <v>48</v>
      </c>
      <c r="D24" s="219"/>
      <c r="E24" s="216" t="s">
        <v>164</v>
      </c>
      <c r="F24" s="217"/>
      <c r="G24" s="94"/>
      <c r="H24" s="95"/>
    </row>
    <row r="25" spans="2:8" ht="59.25" customHeight="1" x14ac:dyDescent="0.3">
      <c r="B25" s="91"/>
      <c r="C25" s="218" t="s">
        <v>152</v>
      </c>
      <c r="D25" s="219"/>
      <c r="E25" s="216" t="s">
        <v>165</v>
      </c>
      <c r="F25" s="217"/>
      <c r="G25" s="94"/>
      <c r="H25" s="95"/>
    </row>
    <row r="26" spans="2:8" ht="23.25" customHeight="1" x14ac:dyDescent="0.3">
      <c r="B26" s="91"/>
      <c r="C26" s="218" t="s">
        <v>12</v>
      </c>
      <c r="D26" s="219"/>
      <c r="E26" s="216" t="s">
        <v>166</v>
      </c>
      <c r="F26" s="217"/>
      <c r="G26" s="94"/>
      <c r="H26" s="95"/>
    </row>
    <row r="27" spans="2:8" ht="30.75" customHeight="1" x14ac:dyDescent="0.3">
      <c r="B27" s="91"/>
      <c r="C27" s="218" t="s">
        <v>170</v>
      </c>
      <c r="D27" s="219"/>
      <c r="E27" s="216" t="s">
        <v>167</v>
      </c>
      <c r="F27" s="217"/>
      <c r="G27" s="94"/>
      <c r="H27" s="95"/>
    </row>
    <row r="28" spans="2:8" ht="35.25" customHeight="1" x14ac:dyDescent="0.3">
      <c r="B28" s="91"/>
      <c r="C28" s="218" t="s">
        <v>171</v>
      </c>
      <c r="D28" s="219"/>
      <c r="E28" s="216" t="s">
        <v>168</v>
      </c>
      <c r="F28" s="217"/>
      <c r="G28" s="94"/>
      <c r="H28" s="95"/>
    </row>
    <row r="29" spans="2:8" ht="33" customHeight="1" x14ac:dyDescent="0.3">
      <c r="B29" s="91"/>
      <c r="C29" s="218" t="s">
        <v>171</v>
      </c>
      <c r="D29" s="219"/>
      <c r="E29" s="216" t="s">
        <v>168</v>
      </c>
      <c r="F29" s="217"/>
      <c r="G29" s="94"/>
      <c r="H29" s="95"/>
    </row>
    <row r="30" spans="2:8" ht="30" customHeight="1" x14ac:dyDescent="0.3">
      <c r="B30" s="91"/>
      <c r="C30" s="218" t="s">
        <v>172</v>
      </c>
      <c r="D30" s="219"/>
      <c r="E30" s="216" t="s">
        <v>169</v>
      </c>
      <c r="F30" s="217"/>
      <c r="G30" s="94"/>
      <c r="H30" s="95"/>
    </row>
    <row r="31" spans="2:8" ht="35.25" customHeight="1" x14ac:dyDescent="0.3">
      <c r="B31" s="91"/>
      <c r="C31" s="218" t="s">
        <v>173</v>
      </c>
      <c r="D31" s="219"/>
      <c r="E31" s="216" t="s">
        <v>174</v>
      </c>
      <c r="F31" s="217"/>
      <c r="G31" s="94"/>
      <c r="H31" s="95"/>
    </row>
    <row r="32" spans="2:8" ht="31.5" customHeight="1" x14ac:dyDescent="0.3">
      <c r="B32" s="91"/>
      <c r="C32" s="218" t="s">
        <v>175</v>
      </c>
      <c r="D32" s="219"/>
      <c r="E32" s="216" t="s">
        <v>176</v>
      </c>
      <c r="F32" s="217"/>
      <c r="G32" s="94"/>
      <c r="H32" s="95"/>
    </row>
    <row r="33" spans="2:8" ht="35.25" customHeight="1" x14ac:dyDescent="0.3">
      <c r="B33" s="91"/>
      <c r="C33" s="218" t="s">
        <v>177</v>
      </c>
      <c r="D33" s="219"/>
      <c r="E33" s="216" t="s">
        <v>178</v>
      </c>
      <c r="F33" s="217"/>
      <c r="G33" s="94"/>
      <c r="H33" s="95"/>
    </row>
    <row r="34" spans="2:8" ht="59.25" customHeight="1" x14ac:dyDescent="0.3">
      <c r="B34" s="91"/>
      <c r="C34" s="218" t="s">
        <v>179</v>
      </c>
      <c r="D34" s="219"/>
      <c r="E34" s="216" t="s">
        <v>180</v>
      </c>
      <c r="F34" s="217"/>
      <c r="G34" s="94"/>
      <c r="H34" s="95"/>
    </row>
    <row r="35" spans="2:8" ht="29.25" customHeight="1" x14ac:dyDescent="0.3">
      <c r="B35" s="91"/>
      <c r="C35" s="218" t="s">
        <v>29</v>
      </c>
      <c r="D35" s="219"/>
      <c r="E35" s="216" t="s">
        <v>181</v>
      </c>
      <c r="F35" s="217"/>
      <c r="G35" s="94"/>
      <c r="H35" s="95"/>
    </row>
    <row r="36" spans="2:8" ht="82.5" customHeight="1" x14ac:dyDescent="0.3">
      <c r="B36" s="91"/>
      <c r="C36" s="218" t="s">
        <v>183</v>
      </c>
      <c r="D36" s="219"/>
      <c r="E36" s="216" t="s">
        <v>182</v>
      </c>
      <c r="F36" s="217"/>
      <c r="G36" s="94"/>
      <c r="H36" s="95"/>
    </row>
    <row r="37" spans="2:8" ht="46.5" customHeight="1" x14ac:dyDescent="0.3">
      <c r="B37" s="91"/>
      <c r="C37" s="218" t="s">
        <v>39</v>
      </c>
      <c r="D37" s="219"/>
      <c r="E37" s="216" t="s">
        <v>184</v>
      </c>
      <c r="F37" s="217"/>
      <c r="G37" s="94"/>
      <c r="H37" s="95"/>
    </row>
    <row r="38" spans="2:8" ht="6.75" customHeight="1" thickBot="1" x14ac:dyDescent="0.35">
      <c r="B38" s="91"/>
      <c r="C38" s="229"/>
      <c r="D38" s="230"/>
      <c r="E38" s="231"/>
      <c r="F38" s="232"/>
      <c r="G38" s="94"/>
      <c r="H38" s="95"/>
    </row>
    <row r="39" spans="2:8" ht="15" thickTop="1" x14ac:dyDescent="0.3">
      <c r="B39" s="91"/>
      <c r="C39" s="92"/>
      <c r="D39" s="92"/>
      <c r="E39" s="93"/>
      <c r="F39" s="93"/>
      <c r="G39" s="94"/>
      <c r="H39" s="95"/>
    </row>
    <row r="40" spans="2:8" ht="21" customHeight="1" x14ac:dyDescent="0.3">
      <c r="B40" s="226" t="s">
        <v>193</v>
      </c>
      <c r="C40" s="227"/>
      <c r="D40" s="227"/>
      <c r="E40" s="227"/>
      <c r="F40" s="227"/>
      <c r="G40" s="227"/>
      <c r="H40" s="228"/>
    </row>
    <row r="41" spans="2:8" ht="20.25" customHeight="1" x14ac:dyDescent="0.3">
      <c r="B41" s="226" t="s">
        <v>194</v>
      </c>
      <c r="C41" s="227"/>
      <c r="D41" s="227"/>
      <c r="E41" s="227"/>
      <c r="F41" s="227"/>
      <c r="G41" s="227"/>
      <c r="H41" s="228"/>
    </row>
    <row r="42" spans="2:8" ht="20.25" customHeight="1" x14ac:dyDescent="0.3">
      <c r="B42" s="226" t="s">
        <v>195</v>
      </c>
      <c r="C42" s="227"/>
      <c r="D42" s="227"/>
      <c r="E42" s="227"/>
      <c r="F42" s="227"/>
      <c r="G42" s="227"/>
      <c r="H42" s="228"/>
    </row>
    <row r="43" spans="2:8" ht="20.25" customHeight="1" x14ac:dyDescent="0.3">
      <c r="B43" s="226" t="s">
        <v>196</v>
      </c>
      <c r="C43" s="227"/>
      <c r="D43" s="227"/>
      <c r="E43" s="227"/>
      <c r="F43" s="227"/>
      <c r="G43" s="227"/>
      <c r="H43" s="228"/>
    </row>
    <row r="44" spans="2:8" x14ac:dyDescent="0.3">
      <c r="B44" s="226" t="s">
        <v>197</v>
      </c>
      <c r="C44" s="227"/>
      <c r="D44" s="227"/>
      <c r="E44" s="227"/>
      <c r="F44" s="227"/>
      <c r="G44" s="227"/>
      <c r="H44" s="228"/>
    </row>
    <row r="45" spans="2:8" ht="15" thickBot="1" x14ac:dyDescent="0.35">
      <c r="B45" s="96"/>
      <c r="C45" s="97"/>
      <c r="D45" s="97"/>
      <c r="E45" s="97"/>
      <c r="F45" s="97"/>
      <c r="G45" s="97"/>
      <c r="H45" s="9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A16" workbookViewId="0"/>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618" t="s">
        <v>77</v>
      </c>
      <c r="C1" s="619"/>
      <c r="D1" s="619"/>
      <c r="E1" s="619"/>
      <c r="F1" s="620"/>
    </row>
    <row r="2" spans="2:6" ht="16.2" thickBot="1" x14ac:dyDescent="0.35">
      <c r="B2" s="73"/>
      <c r="C2" s="73"/>
      <c r="D2" s="73"/>
      <c r="E2" s="73"/>
      <c r="F2" s="73"/>
    </row>
    <row r="3" spans="2:6" ht="16.2" thickBot="1" x14ac:dyDescent="0.35">
      <c r="B3" s="622" t="s">
        <v>63</v>
      </c>
      <c r="C3" s="623"/>
      <c r="D3" s="623"/>
      <c r="E3" s="85" t="s">
        <v>64</v>
      </c>
      <c r="F3" s="86" t="s">
        <v>65</v>
      </c>
    </row>
    <row r="4" spans="2:6" ht="31.2" x14ac:dyDescent="0.3">
      <c r="B4" s="624" t="s">
        <v>66</v>
      </c>
      <c r="C4" s="626" t="s">
        <v>13</v>
      </c>
      <c r="D4" s="74" t="s">
        <v>14</v>
      </c>
      <c r="E4" s="75" t="s">
        <v>67</v>
      </c>
      <c r="F4" s="76">
        <v>0.25</v>
      </c>
    </row>
    <row r="5" spans="2:6" ht="46.8" x14ac:dyDescent="0.3">
      <c r="B5" s="625"/>
      <c r="C5" s="627"/>
      <c r="D5" s="77" t="s">
        <v>15</v>
      </c>
      <c r="E5" s="78" t="s">
        <v>68</v>
      </c>
      <c r="F5" s="79">
        <v>0.15</v>
      </c>
    </row>
    <row r="6" spans="2:6" ht="46.8" x14ac:dyDescent="0.3">
      <c r="B6" s="625"/>
      <c r="C6" s="627"/>
      <c r="D6" s="77" t="s">
        <v>16</v>
      </c>
      <c r="E6" s="78" t="s">
        <v>69</v>
      </c>
      <c r="F6" s="79">
        <v>0.1</v>
      </c>
    </row>
    <row r="7" spans="2:6" ht="62.4" x14ac:dyDescent="0.3">
      <c r="B7" s="625"/>
      <c r="C7" s="627" t="s">
        <v>17</v>
      </c>
      <c r="D7" s="77" t="s">
        <v>10</v>
      </c>
      <c r="E7" s="78" t="s">
        <v>70</v>
      </c>
      <c r="F7" s="79">
        <v>0.25</v>
      </c>
    </row>
    <row r="8" spans="2:6" ht="31.2" x14ac:dyDescent="0.3">
      <c r="B8" s="625"/>
      <c r="C8" s="627"/>
      <c r="D8" s="77" t="s">
        <v>9</v>
      </c>
      <c r="E8" s="78" t="s">
        <v>71</v>
      </c>
      <c r="F8" s="79">
        <v>0.15</v>
      </c>
    </row>
    <row r="9" spans="2:6" ht="46.8" x14ac:dyDescent="0.3">
      <c r="B9" s="625" t="s">
        <v>151</v>
      </c>
      <c r="C9" s="627" t="s">
        <v>18</v>
      </c>
      <c r="D9" s="77" t="s">
        <v>19</v>
      </c>
      <c r="E9" s="78" t="s">
        <v>72</v>
      </c>
      <c r="F9" s="80" t="s">
        <v>73</v>
      </c>
    </row>
    <row r="10" spans="2:6" ht="46.8" x14ac:dyDescent="0.3">
      <c r="B10" s="625"/>
      <c r="C10" s="627"/>
      <c r="D10" s="77" t="s">
        <v>20</v>
      </c>
      <c r="E10" s="78" t="s">
        <v>74</v>
      </c>
      <c r="F10" s="80" t="s">
        <v>73</v>
      </c>
    </row>
    <row r="11" spans="2:6" ht="46.8" x14ac:dyDescent="0.3">
      <c r="B11" s="625"/>
      <c r="C11" s="627" t="s">
        <v>21</v>
      </c>
      <c r="D11" s="77" t="s">
        <v>22</v>
      </c>
      <c r="E11" s="78" t="s">
        <v>75</v>
      </c>
      <c r="F11" s="80" t="s">
        <v>73</v>
      </c>
    </row>
    <row r="12" spans="2:6" ht="46.8" x14ac:dyDescent="0.3">
      <c r="B12" s="625"/>
      <c r="C12" s="627"/>
      <c r="D12" s="77" t="s">
        <v>23</v>
      </c>
      <c r="E12" s="78" t="s">
        <v>76</v>
      </c>
      <c r="F12" s="80" t="s">
        <v>73</v>
      </c>
    </row>
    <row r="13" spans="2:6" ht="31.2" x14ac:dyDescent="0.3">
      <c r="B13" s="625"/>
      <c r="C13" s="627" t="s">
        <v>24</v>
      </c>
      <c r="D13" s="77" t="s">
        <v>114</v>
      </c>
      <c r="E13" s="78" t="s">
        <v>117</v>
      </c>
      <c r="F13" s="80" t="s">
        <v>73</v>
      </c>
    </row>
    <row r="14" spans="2:6" ht="16.2" thickBot="1" x14ac:dyDescent="0.35">
      <c r="B14" s="628"/>
      <c r="C14" s="629"/>
      <c r="D14" s="81" t="s">
        <v>115</v>
      </c>
      <c r="E14" s="82" t="s">
        <v>116</v>
      </c>
      <c r="F14" s="83" t="s">
        <v>73</v>
      </c>
    </row>
    <row r="15" spans="2:6" ht="49.5" customHeight="1" x14ac:dyDescent="0.3">
      <c r="B15" s="621" t="s">
        <v>148</v>
      </c>
      <c r="C15" s="621"/>
      <c r="D15" s="621"/>
      <c r="E15" s="621"/>
      <c r="F15" s="621"/>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19"/>
  <sheetViews>
    <sheetView workbookViewId="0"/>
  </sheetViews>
  <sheetFormatPr baseColWidth="10" defaultRowHeight="14.4" x14ac:dyDescent="0.3"/>
  <sheetData>
    <row r="2" spans="2:5" x14ac:dyDescent="0.3">
      <c r="B2" t="s">
        <v>31</v>
      </c>
      <c r="E2" t="s">
        <v>128</v>
      </c>
    </row>
    <row r="3" spans="2:5" x14ac:dyDescent="0.3">
      <c r="B3" t="s">
        <v>32</v>
      </c>
      <c r="E3" t="s">
        <v>127</v>
      </c>
    </row>
    <row r="4" spans="2:5" x14ac:dyDescent="0.3">
      <c r="B4" t="s">
        <v>132</v>
      </c>
      <c r="E4" t="s">
        <v>129</v>
      </c>
    </row>
    <row r="5" spans="2:5" x14ac:dyDescent="0.3">
      <c r="B5" t="s">
        <v>131</v>
      </c>
    </row>
    <row r="8" spans="2:5" x14ac:dyDescent="0.3">
      <c r="B8" t="s">
        <v>85</v>
      </c>
    </row>
    <row r="9" spans="2:5" x14ac:dyDescent="0.3">
      <c r="B9" t="s">
        <v>40</v>
      </c>
    </row>
    <row r="10" spans="2:5" x14ac:dyDescent="0.3">
      <c r="B10" t="s">
        <v>41</v>
      </c>
    </row>
    <row r="13" spans="2:5" x14ac:dyDescent="0.3">
      <c r="B13" t="s">
        <v>124</v>
      </c>
    </row>
    <row r="14" spans="2:5" x14ac:dyDescent="0.3">
      <c r="B14" t="s">
        <v>118</v>
      </c>
    </row>
    <row r="15" spans="2:5" x14ac:dyDescent="0.3">
      <c r="B15" t="s">
        <v>121</v>
      </c>
    </row>
    <row r="16" spans="2:5" x14ac:dyDescent="0.3">
      <c r="B16" t="s">
        <v>119</v>
      </c>
    </row>
    <row r="17" spans="2:2" x14ac:dyDescent="0.3">
      <c r="B17" t="s">
        <v>120</v>
      </c>
    </row>
    <row r="18" spans="2:2" x14ac:dyDescent="0.3">
      <c r="B18" t="s">
        <v>122</v>
      </c>
    </row>
    <row r="19" spans="2:2" x14ac:dyDescent="0.3">
      <c r="B19" t="s">
        <v>123</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40</v>
      </c>
    </row>
    <row r="21" spans="1:1" x14ac:dyDescent="0.3">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topLeftCell="A6" zoomScale="83" zoomScaleNormal="83" workbookViewId="0">
      <selection activeCell="D12" sqref="D12"/>
    </sheetView>
  </sheetViews>
  <sheetFormatPr baseColWidth="10" defaultColWidth="11.44140625" defaultRowHeight="13.8" x14ac:dyDescent="0.25"/>
  <cols>
    <col min="1" max="1" width="29.44140625" style="148" customWidth="1"/>
    <col min="2" max="2" width="29.109375" style="148" customWidth="1"/>
    <col min="3" max="3" width="30.33203125" style="148" customWidth="1"/>
    <col min="4" max="4" width="31.88671875" style="148" customWidth="1"/>
    <col min="5" max="5" width="32.5546875" style="148" customWidth="1"/>
    <col min="6" max="6" width="32" style="148" customWidth="1"/>
    <col min="7" max="16384" width="11.44140625" style="148"/>
  </cols>
  <sheetData>
    <row r="1" spans="1:10" ht="15" customHeight="1" x14ac:dyDescent="0.25">
      <c r="A1" s="259"/>
      <c r="B1" s="261" t="s">
        <v>258</v>
      </c>
      <c r="C1" s="261"/>
      <c r="D1" s="261"/>
      <c r="E1" s="146" t="s">
        <v>259</v>
      </c>
      <c r="F1" s="263"/>
      <c r="G1" s="147"/>
      <c r="J1" s="265"/>
    </row>
    <row r="2" spans="1:10" ht="15" customHeight="1" x14ac:dyDescent="0.25">
      <c r="A2" s="260"/>
      <c r="B2" s="262"/>
      <c r="C2" s="262"/>
      <c r="D2" s="262"/>
      <c r="E2" s="150" t="s">
        <v>260</v>
      </c>
      <c r="F2" s="264"/>
      <c r="G2" s="147"/>
      <c r="J2" s="265"/>
    </row>
    <row r="3" spans="1:10" ht="15" customHeight="1" x14ac:dyDescent="0.25">
      <c r="A3" s="260"/>
      <c r="B3" s="262" t="s">
        <v>215</v>
      </c>
      <c r="C3" s="262"/>
      <c r="D3" s="262"/>
      <c r="E3" s="150" t="s">
        <v>261</v>
      </c>
      <c r="F3" s="264"/>
      <c r="G3" s="147"/>
      <c r="J3" s="265"/>
    </row>
    <row r="4" spans="1:10" ht="15.75" customHeight="1" x14ac:dyDescent="0.25">
      <c r="A4" s="260"/>
      <c r="B4" s="262"/>
      <c r="C4" s="262"/>
      <c r="D4" s="262"/>
      <c r="E4" s="150" t="s">
        <v>262</v>
      </c>
      <c r="F4" s="264"/>
      <c r="G4" s="147"/>
      <c r="J4" s="265"/>
    </row>
    <row r="5" spans="1:10" ht="15.75" customHeight="1" x14ac:dyDescent="0.25">
      <c r="A5" s="266"/>
      <c r="B5" s="267"/>
      <c r="C5" s="267"/>
      <c r="D5" s="267"/>
      <c r="E5" s="267"/>
      <c r="F5" s="268"/>
      <c r="G5" s="147"/>
      <c r="J5" s="149"/>
    </row>
    <row r="6" spans="1:10" ht="15" customHeight="1" x14ac:dyDescent="0.25">
      <c r="A6" s="269" t="s">
        <v>216</v>
      </c>
      <c r="B6" s="270"/>
      <c r="C6" s="270"/>
      <c r="D6" s="270"/>
      <c r="E6" s="270"/>
      <c r="F6" s="271"/>
    </row>
    <row r="7" spans="1:10" ht="15.75" customHeight="1" x14ac:dyDescent="0.25">
      <c r="A7" s="269"/>
      <c r="B7" s="270"/>
      <c r="C7" s="270"/>
      <c r="D7" s="270"/>
      <c r="E7" s="270"/>
      <c r="F7" s="271"/>
    </row>
    <row r="8" spans="1:10" ht="27" customHeight="1" x14ac:dyDescent="0.25">
      <c r="A8" s="272" t="s">
        <v>358</v>
      </c>
      <c r="B8" s="273"/>
      <c r="C8" s="273"/>
      <c r="D8" s="273"/>
      <c r="E8" s="273"/>
      <c r="F8" s="274"/>
    </row>
    <row r="9" spans="1:10" ht="77.25" customHeight="1" thickBot="1" x14ac:dyDescent="0.3">
      <c r="A9" s="255" t="s">
        <v>359</v>
      </c>
      <c r="B9" s="256"/>
      <c r="C9" s="256"/>
      <c r="D9" s="256"/>
      <c r="E9" s="256"/>
      <c r="F9" s="257"/>
    </row>
    <row r="10" spans="1:10" ht="18.75" customHeight="1" thickBot="1" x14ac:dyDescent="0.3">
      <c r="A10" s="258"/>
      <c r="B10" s="258"/>
      <c r="C10" s="258"/>
      <c r="D10" s="258"/>
      <c r="E10" s="258"/>
      <c r="F10" s="258"/>
    </row>
    <row r="11" spans="1:10" ht="22.5" customHeight="1" thickBot="1" x14ac:dyDescent="0.3">
      <c r="A11" s="151" t="s">
        <v>217</v>
      </c>
      <c r="B11" s="152" t="s">
        <v>218</v>
      </c>
      <c r="C11" s="152" t="s">
        <v>219</v>
      </c>
      <c r="D11" s="152" t="s">
        <v>218</v>
      </c>
      <c r="E11" s="152" t="s">
        <v>220</v>
      </c>
      <c r="F11" s="153" t="s">
        <v>218</v>
      </c>
    </row>
    <row r="12" spans="1:10" ht="96" customHeight="1" thickBot="1" x14ac:dyDescent="0.3">
      <c r="A12" s="157" t="s">
        <v>222</v>
      </c>
      <c r="B12" s="154" t="s">
        <v>269</v>
      </c>
      <c r="C12" s="200" t="s">
        <v>270</v>
      </c>
      <c r="D12" s="154" t="s">
        <v>370</v>
      </c>
      <c r="E12" s="155" t="s">
        <v>271</v>
      </c>
      <c r="F12" s="156" t="s">
        <v>267</v>
      </c>
    </row>
    <row r="13" spans="1:10" ht="79.2" customHeight="1" thickBot="1" x14ac:dyDescent="0.3">
      <c r="A13" s="201" t="s">
        <v>221</v>
      </c>
      <c r="B13" s="202" t="s">
        <v>274</v>
      </c>
      <c r="C13" s="200" t="s">
        <v>270</v>
      </c>
      <c r="D13" s="159" t="s">
        <v>268</v>
      </c>
      <c r="E13" s="158" t="s">
        <v>272</v>
      </c>
      <c r="F13" s="160" t="s">
        <v>364</v>
      </c>
    </row>
    <row r="14" spans="1:10" ht="82.5" customHeight="1" x14ac:dyDescent="0.25">
      <c r="A14" s="203" t="s">
        <v>275</v>
      </c>
      <c r="B14" s="204" t="s">
        <v>276</v>
      </c>
      <c r="C14" s="210" t="s">
        <v>285</v>
      </c>
      <c r="D14" s="202" t="s">
        <v>286</v>
      </c>
      <c r="E14" s="206" t="s">
        <v>299</v>
      </c>
      <c r="F14" s="212" t="s">
        <v>300</v>
      </c>
    </row>
    <row r="15" spans="1:10" ht="73.5" customHeight="1" x14ac:dyDescent="0.25">
      <c r="A15" s="203" t="s">
        <v>222</v>
      </c>
      <c r="B15" s="204" t="s">
        <v>277</v>
      </c>
      <c r="C15" s="211" t="s">
        <v>287</v>
      </c>
      <c r="D15" s="208" t="s">
        <v>288</v>
      </c>
      <c r="E15" s="207" t="s">
        <v>299</v>
      </c>
      <c r="F15" s="209" t="s">
        <v>301</v>
      </c>
    </row>
    <row r="16" spans="1:10" ht="59.25" customHeight="1" x14ac:dyDescent="0.25">
      <c r="A16" s="203" t="s">
        <v>278</v>
      </c>
      <c r="B16" s="205" t="s">
        <v>279</v>
      </c>
      <c r="C16" s="211" t="s">
        <v>285</v>
      </c>
      <c r="D16" s="208" t="s">
        <v>289</v>
      </c>
      <c r="E16" s="207" t="s">
        <v>272</v>
      </c>
      <c r="F16" s="209" t="s">
        <v>302</v>
      </c>
    </row>
    <row r="17" spans="1:6" ht="69.75" customHeight="1" x14ac:dyDescent="0.25">
      <c r="A17" s="203" t="s">
        <v>222</v>
      </c>
      <c r="B17" s="205" t="s">
        <v>280</v>
      </c>
      <c r="C17" s="211" t="s">
        <v>290</v>
      </c>
      <c r="D17" s="205" t="s">
        <v>291</v>
      </c>
      <c r="E17" s="158"/>
      <c r="F17" s="160"/>
    </row>
    <row r="18" spans="1:6" ht="73.95" customHeight="1" x14ac:dyDescent="0.25">
      <c r="A18" s="203" t="s">
        <v>275</v>
      </c>
      <c r="B18" s="205" t="s">
        <v>281</v>
      </c>
      <c r="C18" s="211" t="s">
        <v>292</v>
      </c>
      <c r="D18" s="208" t="s">
        <v>293</v>
      </c>
      <c r="E18" s="158"/>
      <c r="F18" s="160"/>
    </row>
    <row r="19" spans="1:6" ht="73.5" customHeight="1" x14ac:dyDescent="0.25">
      <c r="A19" s="203" t="s">
        <v>275</v>
      </c>
      <c r="B19" s="205" t="s">
        <v>282</v>
      </c>
      <c r="C19" s="211" t="s">
        <v>285</v>
      </c>
      <c r="D19" s="205" t="s">
        <v>294</v>
      </c>
      <c r="E19" s="158"/>
      <c r="F19" s="160"/>
    </row>
    <row r="20" spans="1:6" ht="65.25" customHeight="1" x14ac:dyDescent="0.25">
      <c r="A20" s="203" t="s">
        <v>283</v>
      </c>
      <c r="B20" s="205" t="s">
        <v>284</v>
      </c>
      <c r="C20" s="211" t="s">
        <v>285</v>
      </c>
      <c r="D20" s="205" t="s">
        <v>295</v>
      </c>
      <c r="E20" s="158"/>
      <c r="F20" s="160"/>
    </row>
    <row r="21" spans="1:6" ht="86.4" customHeight="1" x14ac:dyDescent="0.25">
      <c r="A21" s="203"/>
      <c r="B21" s="205"/>
      <c r="C21" s="211" t="s">
        <v>292</v>
      </c>
      <c r="D21" s="209" t="s">
        <v>296</v>
      </c>
      <c r="E21" s="158"/>
      <c r="F21" s="160"/>
    </row>
    <row r="22" spans="1:6" ht="69" customHeight="1" x14ac:dyDescent="0.25">
      <c r="A22" s="157"/>
      <c r="B22" s="159"/>
      <c r="C22" s="211" t="s">
        <v>290</v>
      </c>
      <c r="D22" s="205" t="s">
        <v>297</v>
      </c>
      <c r="E22" s="158"/>
      <c r="F22" s="160"/>
    </row>
    <row r="23" spans="1:6" ht="61.5" customHeight="1" x14ac:dyDescent="0.25">
      <c r="A23" s="157"/>
      <c r="B23" s="159"/>
      <c r="C23" s="211" t="s">
        <v>285</v>
      </c>
      <c r="D23" s="208" t="s">
        <v>298</v>
      </c>
      <c r="E23" s="158"/>
      <c r="F23" s="160"/>
    </row>
    <row r="24" spans="1:6" ht="57.75" customHeight="1" x14ac:dyDescent="0.25">
      <c r="A24" s="157"/>
      <c r="B24" s="159"/>
      <c r="C24" s="211" t="s">
        <v>336</v>
      </c>
      <c r="D24" s="208" t="s">
        <v>264</v>
      </c>
      <c r="E24" s="158"/>
      <c r="F24" s="160"/>
    </row>
    <row r="25" spans="1:6" ht="62.25" customHeight="1" x14ac:dyDescent="0.25">
      <c r="A25" s="157"/>
      <c r="B25" s="159"/>
      <c r="C25" s="214" t="s">
        <v>365</v>
      </c>
      <c r="D25" s="161" t="s">
        <v>366</v>
      </c>
      <c r="E25" s="158"/>
      <c r="F25" s="160"/>
    </row>
    <row r="26" spans="1:6" ht="56.25" customHeight="1" thickBot="1" x14ac:dyDescent="0.3">
      <c r="A26" s="162"/>
      <c r="B26" s="163"/>
      <c r="C26" s="164"/>
      <c r="D26" s="165"/>
      <c r="E26" s="164"/>
      <c r="F26" s="166"/>
    </row>
    <row r="27" spans="1:6" ht="65.25" customHeight="1" x14ac:dyDescent="0.25">
      <c r="A27" s="167"/>
      <c r="B27" s="168"/>
      <c r="C27" s="167"/>
      <c r="D27" s="169"/>
      <c r="E27" s="167"/>
      <c r="F27" s="169"/>
    </row>
    <row r="28" spans="1:6" ht="62.25" customHeight="1" x14ac:dyDescent="0.25">
      <c r="A28" s="167"/>
      <c r="B28" s="168"/>
      <c r="C28" s="167"/>
      <c r="D28" s="169"/>
      <c r="E28" s="167"/>
      <c r="F28" s="169"/>
    </row>
    <row r="29" spans="1:6" ht="63" customHeight="1" x14ac:dyDescent="0.25">
      <c r="A29" s="167"/>
      <c r="B29" s="168"/>
      <c r="C29" s="167"/>
      <c r="D29" s="169"/>
      <c r="E29" s="167"/>
      <c r="F29" s="168"/>
    </row>
    <row r="30" spans="1:6" ht="51.75" customHeight="1" x14ac:dyDescent="0.25">
      <c r="A30" s="167"/>
      <c r="B30" s="168"/>
      <c r="C30" s="167"/>
      <c r="D30" s="169"/>
      <c r="E30" s="167"/>
      <c r="F30" s="168"/>
    </row>
    <row r="31" spans="1:6" ht="52.5" customHeight="1" x14ac:dyDescent="0.25">
      <c r="A31" s="167"/>
      <c r="B31" s="169"/>
      <c r="C31" s="167"/>
      <c r="D31" s="169"/>
      <c r="E31" s="167"/>
      <c r="F31" s="169"/>
    </row>
    <row r="32" spans="1:6" ht="63.75" customHeight="1" x14ac:dyDescent="0.25">
      <c r="A32" s="167"/>
      <c r="B32" s="169"/>
      <c r="C32" s="167"/>
      <c r="D32" s="169"/>
      <c r="E32" s="167"/>
      <c r="F32" s="169"/>
    </row>
    <row r="33" spans="1:6" ht="66" customHeight="1" x14ac:dyDescent="0.25">
      <c r="A33" s="167"/>
      <c r="B33" s="170"/>
      <c r="C33" s="167"/>
      <c r="D33" s="171"/>
      <c r="E33" s="167"/>
      <c r="F33" s="170"/>
    </row>
    <row r="34" spans="1:6" ht="55.5" customHeight="1" x14ac:dyDescent="0.25">
      <c r="A34" s="167"/>
      <c r="B34" s="170"/>
      <c r="C34" s="167"/>
      <c r="D34" s="171"/>
      <c r="E34" s="167"/>
      <c r="F34" s="172"/>
    </row>
    <row r="35" spans="1:6" ht="51.75" customHeight="1" x14ac:dyDescent="0.25">
      <c r="A35" s="167"/>
      <c r="B35" s="172"/>
      <c r="C35" s="167"/>
      <c r="D35" s="173"/>
      <c r="E35" s="167"/>
      <c r="F35" s="172"/>
    </row>
    <row r="36" spans="1:6" ht="55.5" customHeight="1" x14ac:dyDescent="0.25">
      <c r="A36" s="167"/>
      <c r="B36" s="172"/>
      <c r="C36" s="167"/>
      <c r="D36" s="172"/>
      <c r="E36" s="167"/>
      <c r="F36" s="172"/>
    </row>
    <row r="37" spans="1:6" ht="55.5" customHeight="1" x14ac:dyDescent="0.25">
      <c r="A37" s="167"/>
      <c r="B37" s="172"/>
      <c r="C37" s="167"/>
      <c r="D37" s="172"/>
      <c r="E37" s="167"/>
      <c r="F37" s="172"/>
    </row>
    <row r="38" spans="1:6" ht="54.75" customHeight="1" x14ac:dyDescent="0.25">
      <c r="A38" s="167"/>
      <c r="B38" s="172"/>
      <c r="C38" s="167"/>
      <c r="D38" s="172"/>
      <c r="E38" s="167"/>
      <c r="F38" s="172"/>
    </row>
    <row r="39" spans="1:6" ht="56.25" customHeight="1" x14ac:dyDescent="0.25">
      <c r="A39" s="167"/>
      <c r="B39" s="172"/>
      <c r="C39" s="167"/>
      <c r="D39" s="172"/>
      <c r="E39" s="167"/>
      <c r="F39" s="172"/>
    </row>
    <row r="40" spans="1:6" ht="54.75" customHeight="1" x14ac:dyDescent="0.25">
      <c r="A40" s="167"/>
      <c r="B40" s="170"/>
      <c r="C40" s="167"/>
      <c r="D40" s="171"/>
      <c r="E40" s="167"/>
      <c r="F40" s="170"/>
    </row>
    <row r="41" spans="1:6" ht="55.5" customHeight="1" x14ac:dyDescent="0.25">
      <c r="A41" s="167"/>
      <c r="B41" s="170"/>
      <c r="C41" s="167"/>
      <c r="D41" s="171"/>
      <c r="E41" s="167"/>
      <c r="F41" s="172"/>
    </row>
    <row r="42" spans="1:6" ht="54.75" customHeight="1" x14ac:dyDescent="0.25">
      <c r="A42" s="167"/>
      <c r="B42" s="172"/>
      <c r="C42" s="167"/>
      <c r="D42" s="173"/>
      <c r="E42" s="167"/>
      <c r="F42" s="172"/>
    </row>
    <row r="43" spans="1:6" ht="55.5" customHeight="1" x14ac:dyDescent="0.25">
      <c r="A43" s="167"/>
      <c r="B43" s="172"/>
      <c r="C43" s="167"/>
      <c r="D43" s="172"/>
      <c r="E43" s="167"/>
      <c r="F43" s="172"/>
    </row>
    <row r="44" spans="1:6" ht="56.25" customHeight="1" x14ac:dyDescent="0.25">
      <c r="A44" s="167"/>
      <c r="B44" s="172"/>
      <c r="C44" s="167"/>
      <c r="D44" s="172"/>
      <c r="E44" s="167"/>
      <c r="F44" s="172"/>
    </row>
    <row r="45" spans="1:6" ht="59.25" customHeight="1" x14ac:dyDescent="0.25">
      <c r="A45" s="167"/>
      <c r="B45" s="172"/>
      <c r="C45" s="167"/>
      <c r="D45" s="172"/>
      <c r="E45" s="167"/>
      <c r="F45" s="172"/>
    </row>
    <row r="46" spans="1:6" ht="55.5" customHeight="1" x14ac:dyDescent="0.25">
      <c r="A46" s="167"/>
      <c r="B46" s="172"/>
      <c r="C46" s="167"/>
      <c r="D46" s="172"/>
      <c r="E46" s="167"/>
      <c r="F46" s="172"/>
    </row>
    <row r="47" spans="1:6" ht="55.5" customHeight="1" x14ac:dyDescent="0.25">
      <c r="A47" s="167"/>
      <c r="B47" s="170"/>
      <c r="C47" s="167"/>
      <c r="D47" s="171"/>
      <c r="E47" s="167"/>
      <c r="F47" s="170"/>
    </row>
    <row r="48" spans="1:6" ht="56.25" customHeight="1" x14ac:dyDescent="0.25">
      <c r="A48" s="167"/>
      <c r="B48" s="170"/>
      <c r="C48" s="167"/>
      <c r="D48" s="171"/>
      <c r="E48" s="167"/>
      <c r="F48" s="172"/>
    </row>
    <row r="49" spans="1:6" ht="54" customHeight="1" x14ac:dyDescent="0.25">
      <c r="A49" s="167"/>
      <c r="B49" s="172"/>
      <c r="C49" s="167"/>
      <c r="D49" s="173"/>
      <c r="E49" s="167"/>
      <c r="F49" s="172"/>
    </row>
    <row r="50" spans="1:6" ht="56.25" customHeight="1" x14ac:dyDescent="0.25">
      <c r="A50" s="167"/>
      <c r="B50" s="172"/>
      <c r="C50" s="167"/>
      <c r="D50" s="172"/>
      <c r="E50" s="167"/>
      <c r="F50" s="172"/>
    </row>
    <row r="51" spans="1:6" ht="59.25" customHeight="1" x14ac:dyDescent="0.25">
      <c r="A51" s="167"/>
      <c r="B51" s="172"/>
      <c r="C51" s="167"/>
      <c r="D51" s="172"/>
      <c r="E51" s="167"/>
      <c r="F51" s="172"/>
    </row>
    <row r="52" spans="1:6" ht="54.75" customHeight="1" x14ac:dyDescent="0.25">
      <c r="A52" s="167"/>
      <c r="B52" s="172"/>
      <c r="C52" s="167"/>
      <c r="D52" s="172"/>
      <c r="E52" s="167"/>
      <c r="F52" s="172"/>
    </row>
    <row r="53" spans="1:6" ht="55.5" customHeight="1" x14ac:dyDescent="0.25">
      <c r="A53" s="167"/>
      <c r="B53" s="172"/>
      <c r="C53" s="167"/>
      <c r="D53" s="172"/>
      <c r="E53" s="167"/>
      <c r="F53" s="172"/>
    </row>
  </sheetData>
  <mergeCells count="10">
    <mergeCell ref="J1:J4"/>
    <mergeCell ref="B3:D4"/>
    <mergeCell ref="A5:F5"/>
    <mergeCell ref="A6:F7"/>
    <mergeCell ref="A8:F8"/>
    <mergeCell ref="A9:F9"/>
    <mergeCell ref="A10:F10"/>
    <mergeCell ref="A1:A4"/>
    <mergeCell ref="B1:D2"/>
    <mergeCell ref="F1:F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3"/>
  <sheetViews>
    <sheetView topLeftCell="A17" workbookViewId="0">
      <selection activeCell="B21" sqref="B21"/>
    </sheetView>
  </sheetViews>
  <sheetFormatPr baseColWidth="10" defaultColWidth="11.44140625" defaultRowHeight="14.4" x14ac:dyDescent="0.3"/>
  <cols>
    <col min="1" max="1" width="5.109375" style="195" customWidth="1"/>
    <col min="2" max="2" width="40.44140625" style="196" customWidth="1"/>
    <col min="3" max="17" width="6.44140625" style="196" customWidth="1"/>
    <col min="18" max="18" width="8.109375" style="196" customWidth="1"/>
    <col min="19" max="19" width="13" style="197" customWidth="1"/>
    <col min="20" max="20" width="19.6640625" customWidth="1"/>
    <col min="21" max="23" width="11.44140625" hidden="1" customWidth="1"/>
  </cols>
  <sheetData>
    <row r="1" spans="1:24" ht="30.75" customHeight="1" x14ac:dyDescent="0.3">
      <c r="A1" s="277"/>
      <c r="B1" s="280"/>
      <c r="C1" s="280"/>
      <c r="D1" s="280"/>
      <c r="E1" s="280"/>
      <c r="F1" s="280"/>
      <c r="G1" s="280"/>
      <c r="H1" s="280"/>
      <c r="I1" s="280"/>
      <c r="J1" s="280"/>
      <c r="K1" s="280"/>
      <c r="L1" s="280"/>
      <c r="M1" s="280"/>
      <c r="N1" s="280"/>
      <c r="O1" s="280"/>
      <c r="P1" s="280"/>
      <c r="Q1" s="280"/>
      <c r="R1" s="280"/>
      <c r="S1" s="281"/>
      <c r="T1" s="284" t="s">
        <v>259</v>
      </c>
      <c r="U1" s="284"/>
      <c r="V1" s="284"/>
      <c r="W1" s="285"/>
    </row>
    <row r="2" spans="1:24" ht="25.5" customHeight="1" x14ac:dyDescent="0.3">
      <c r="A2" s="278"/>
      <c r="B2" s="282"/>
      <c r="C2" s="282"/>
      <c r="D2" s="282"/>
      <c r="E2" s="282"/>
      <c r="F2" s="282"/>
      <c r="G2" s="282"/>
      <c r="H2" s="282"/>
      <c r="I2" s="282"/>
      <c r="J2" s="282"/>
      <c r="K2" s="282"/>
      <c r="L2" s="282"/>
      <c r="M2" s="282"/>
      <c r="N2" s="282"/>
      <c r="O2" s="282"/>
      <c r="P2" s="282"/>
      <c r="Q2" s="282"/>
      <c r="R2" s="282"/>
      <c r="S2" s="283"/>
      <c r="T2" s="286" t="s">
        <v>260</v>
      </c>
      <c r="U2" s="286"/>
      <c r="V2" s="286"/>
      <c r="W2" s="287"/>
    </row>
    <row r="3" spans="1:24" ht="15" customHeight="1" x14ac:dyDescent="0.3">
      <c r="A3" s="278"/>
      <c r="B3" s="282" t="s">
        <v>223</v>
      </c>
      <c r="C3" s="282"/>
      <c r="D3" s="282"/>
      <c r="E3" s="282"/>
      <c r="F3" s="282"/>
      <c r="G3" s="282"/>
      <c r="H3" s="282"/>
      <c r="I3" s="282"/>
      <c r="J3" s="282"/>
      <c r="K3" s="282"/>
      <c r="L3" s="282"/>
      <c r="M3" s="282"/>
      <c r="N3" s="282"/>
      <c r="O3" s="282"/>
      <c r="P3" s="282"/>
      <c r="Q3" s="282"/>
      <c r="R3" s="282"/>
      <c r="S3" s="283"/>
      <c r="T3" s="286" t="s">
        <v>263</v>
      </c>
      <c r="U3" s="286"/>
      <c r="V3" s="286"/>
      <c r="W3" s="287"/>
    </row>
    <row r="4" spans="1:24" ht="15.75" customHeight="1" x14ac:dyDescent="0.3">
      <c r="A4" s="279"/>
      <c r="B4" s="288"/>
      <c r="C4" s="288"/>
      <c r="D4" s="288"/>
      <c r="E4" s="288"/>
      <c r="F4" s="288"/>
      <c r="G4" s="288"/>
      <c r="H4" s="288"/>
      <c r="I4" s="288"/>
      <c r="J4" s="288"/>
      <c r="K4" s="288"/>
      <c r="L4" s="288"/>
      <c r="M4" s="288"/>
      <c r="N4" s="288"/>
      <c r="O4" s="288"/>
      <c r="P4" s="288"/>
      <c r="Q4" s="288"/>
      <c r="R4" s="288"/>
      <c r="S4" s="289"/>
      <c r="T4" s="286" t="s">
        <v>262</v>
      </c>
      <c r="U4" s="286"/>
      <c r="V4" s="286"/>
      <c r="W4" s="287"/>
    </row>
    <row r="5" spans="1:24" ht="15.75" customHeight="1" x14ac:dyDescent="0.3">
      <c r="A5" s="279"/>
      <c r="B5" s="279"/>
      <c r="C5" s="279"/>
      <c r="D5" s="279"/>
      <c r="E5" s="279"/>
      <c r="F5" s="279"/>
      <c r="G5" s="279"/>
      <c r="H5" s="279"/>
      <c r="I5" s="279"/>
      <c r="J5" s="279"/>
      <c r="K5" s="279"/>
      <c r="L5" s="279"/>
      <c r="M5" s="279"/>
      <c r="N5" s="279"/>
      <c r="O5" s="279"/>
      <c r="P5" s="279"/>
      <c r="Q5" s="279"/>
      <c r="R5" s="279"/>
      <c r="S5" s="279"/>
      <c r="T5" s="290"/>
      <c r="U5" s="168"/>
      <c r="V5" s="168"/>
      <c r="W5" s="174"/>
    </row>
    <row r="6" spans="1:24" s="148" customFormat="1" ht="27" customHeight="1" x14ac:dyDescent="0.25">
      <c r="A6" s="291" t="str">
        <f>+Contexto!A8</f>
        <v>PROCESO: GESTIÓN ESTRATÉGICA DE LAS COMUNICACIONES</v>
      </c>
      <c r="B6" s="291"/>
      <c r="C6" s="291"/>
      <c r="D6" s="291"/>
      <c r="E6" s="291"/>
      <c r="F6" s="291"/>
      <c r="G6" s="291"/>
      <c r="H6" s="291"/>
      <c r="I6" s="291"/>
      <c r="J6" s="291"/>
      <c r="K6" s="291"/>
      <c r="L6" s="291"/>
      <c r="M6" s="291"/>
      <c r="N6" s="291"/>
      <c r="O6" s="291"/>
      <c r="P6" s="291"/>
      <c r="Q6" s="291"/>
      <c r="R6" s="291"/>
      <c r="S6" s="291"/>
      <c r="T6" s="291"/>
      <c r="W6" s="175"/>
    </row>
    <row r="7" spans="1:24" s="148" customFormat="1" ht="81" customHeight="1" thickBot="1" x14ac:dyDescent="0.3">
      <c r="A7" s="292" t="str">
        <f>+Contexto!A9</f>
        <v>OBJETIVO:  DIFUNDIR DE MANERA PERMANENTE LA GESTIÓN INSTITUCIONAL Y EL DESARROLLO ORGANIZACIONAL A TRAVÉS DE LAS VOCERÍAS OFICIALES EN EL PORTAL WEB, REDES SOCIALES Y MEDIOS DE COMUNICACIÓN, IMPLEMENTANDO ESTRATEGIAS DE COMUNICACIÓN TRANSMEDIA Y MULTIPLATAFORMAS QUE HAGAN USO ADECUADO DE LA IDENTIDAD VISUAL, PARA PROVEER INFORMACIÓN EN UN LENGUAJE CLARO, ACCESIBLE, CONFIABLE, OPORTUNO, EFICIENTE Y TRANSPARENTE COMO HERRAMIENTA DE INNOVACIÓN PÚBLICA, MECANISMO DE PARTICIPACIÓN CIUDADANA Y RENDICIÓN DE CUENTAS</v>
      </c>
      <c r="B7" s="292"/>
      <c r="C7" s="292"/>
      <c r="D7" s="292"/>
      <c r="E7" s="292"/>
      <c r="F7" s="292"/>
      <c r="G7" s="292"/>
      <c r="H7" s="292"/>
      <c r="I7" s="292"/>
      <c r="J7" s="292"/>
      <c r="K7" s="292"/>
      <c r="L7" s="292"/>
      <c r="M7" s="292"/>
      <c r="N7" s="292"/>
      <c r="O7" s="292"/>
      <c r="P7" s="292"/>
      <c r="Q7" s="292"/>
      <c r="R7" s="292"/>
      <c r="S7" s="292"/>
      <c r="T7" s="292"/>
      <c r="U7" s="176"/>
      <c r="V7" s="176"/>
      <c r="W7" s="177"/>
    </row>
    <row r="8" spans="1:24" s="148" customFormat="1" ht="26.25" customHeight="1" thickBot="1" x14ac:dyDescent="0.3">
      <c r="A8" s="178"/>
      <c r="B8" s="178"/>
      <c r="C8" s="178"/>
      <c r="D8" s="178"/>
      <c r="E8" s="178"/>
      <c r="F8" s="178"/>
      <c r="G8" s="178"/>
      <c r="H8" s="178"/>
      <c r="I8" s="178"/>
      <c r="J8" s="178"/>
      <c r="K8" s="178"/>
      <c r="L8" s="178"/>
      <c r="M8" s="178"/>
      <c r="N8" s="178"/>
      <c r="O8" s="178"/>
      <c r="P8" s="178"/>
      <c r="Q8" s="178"/>
      <c r="R8" s="178"/>
      <c r="S8" s="178"/>
      <c r="T8" s="179"/>
      <c r="X8" s="180"/>
    </row>
    <row r="9" spans="1:24" s="148" customFormat="1" ht="39.75" customHeight="1" thickBot="1" x14ac:dyDescent="0.3">
      <c r="A9" s="293"/>
      <c r="B9" s="293"/>
      <c r="C9" s="293" t="b">
        <v>0</v>
      </c>
      <c r="D9" s="293"/>
      <c r="E9" s="293"/>
      <c r="F9" s="293"/>
      <c r="G9" s="293"/>
      <c r="H9" s="293"/>
      <c r="I9" s="293"/>
      <c r="J9" s="293"/>
      <c r="K9" s="293"/>
      <c r="L9" s="293"/>
      <c r="M9" s="293"/>
      <c r="N9" s="293"/>
      <c r="O9" s="293"/>
      <c r="P9" s="293"/>
      <c r="Q9" s="293"/>
      <c r="R9" s="293"/>
      <c r="S9" s="293"/>
      <c r="T9" s="294"/>
    </row>
    <row r="10" spans="1:24" s="186" customFormat="1" ht="32.25" customHeight="1" thickBot="1" x14ac:dyDescent="0.35">
      <c r="A10" s="181" t="s">
        <v>224</v>
      </c>
      <c r="B10" s="182" t="s">
        <v>225</v>
      </c>
      <c r="C10" s="182" t="s">
        <v>226</v>
      </c>
      <c r="D10" s="182" t="s">
        <v>227</v>
      </c>
      <c r="E10" s="182" t="s">
        <v>228</v>
      </c>
      <c r="F10" s="182" t="s">
        <v>229</v>
      </c>
      <c r="G10" s="182" t="s">
        <v>230</v>
      </c>
      <c r="H10" s="182" t="s">
        <v>231</v>
      </c>
      <c r="I10" s="182" t="s">
        <v>232</v>
      </c>
      <c r="J10" s="182" t="s">
        <v>233</v>
      </c>
      <c r="K10" s="182" t="s">
        <v>234</v>
      </c>
      <c r="L10" s="182" t="s">
        <v>235</v>
      </c>
      <c r="M10" s="182" t="s">
        <v>236</v>
      </c>
      <c r="N10" s="182" t="s">
        <v>237</v>
      </c>
      <c r="O10" s="182" t="s">
        <v>238</v>
      </c>
      <c r="P10" s="182" t="s">
        <v>239</v>
      </c>
      <c r="Q10" s="182" t="s">
        <v>240</v>
      </c>
      <c r="R10" s="183" t="s">
        <v>241</v>
      </c>
      <c r="S10" s="184" t="s">
        <v>242</v>
      </c>
      <c r="T10" s="185" t="s">
        <v>243</v>
      </c>
    </row>
    <row r="11" spans="1:24" ht="68.400000000000006" customHeight="1" thickBot="1" x14ac:dyDescent="0.35">
      <c r="A11" s="187">
        <v>1</v>
      </c>
      <c r="B11" s="154" t="s">
        <v>269</v>
      </c>
      <c r="C11" s="188">
        <v>1</v>
      </c>
      <c r="D11" s="188">
        <v>2</v>
      </c>
      <c r="E11" s="188">
        <v>1</v>
      </c>
      <c r="F11" s="188">
        <v>1</v>
      </c>
      <c r="G11" s="188"/>
      <c r="H11" s="188"/>
      <c r="I11" s="188"/>
      <c r="J11" s="188"/>
      <c r="K11" s="188"/>
      <c r="L11" s="188"/>
      <c r="M11" s="188"/>
      <c r="N11" s="188"/>
      <c r="O11" s="188"/>
      <c r="P11" s="188"/>
      <c r="Q11" s="188"/>
      <c r="R11" s="187">
        <f>SUM(C11:Q11)</f>
        <v>5</v>
      </c>
      <c r="S11" s="189">
        <f t="shared" ref="S11:S41" si="0">IF(ISERROR(AVERAGE(C11:Q11)),0,AVERAGE(C11:Q11))</f>
        <v>1.25</v>
      </c>
      <c r="T11" s="190"/>
    </row>
    <row r="12" spans="1:24" ht="45.75" customHeight="1" thickBot="1" x14ac:dyDescent="0.35">
      <c r="A12" s="187">
        <v>2</v>
      </c>
      <c r="B12" s="213" t="s">
        <v>274</v>
      </c>
      <c r="C12" s="188">
        <v>2</v>
      </c>
      <c r="D12" s="188">
        <v>1</v>
      </c>
      <c r="E12" s="188">
        <v>2</v>
      </c>
      <c r="F12" s="188">
        <v>1</v>
      </c>
      <c r="G12" s="188"/>
      <c r="H12" s="188"/>
      <c r="I12" s="188"/>
      <c r="J12" s="188"/>
      <c r="K12" s="188"/>
      <c r="L12" s="188"/>
      <c r="M12" s="188"/>
      <c r="N12" s="188"/>
      <c r="O12" s="188"/>
      <c r="P12" s="188"/>
      <c r="Q12" s="188"/>
      <c r="R12" s="187">
        <f t="shared" ref="R12:R41" si="1">SUM(C12:Q12)</f>
        <v>6</v>
      </c>
      <c r="S12" s="189">
        <f t="shared" si="0"/>
        <v>1.5</v>
      </c>
      <c r="T12" s="190"/>
    </row>
    <row r="13" spans="1:24" ht="65.25" customHeight="1" thickBot="1" x14ac:dyDescent="0.35">
      <c r="A13" s="187">
        <v>3</v>
      </c>
      <c r="B13" s="154" t="s">
        <v>276</v>
      </c>
      <c r="C13" s="188">
        <v>2</v>
      </c>
      <c r="D13" s="188">
        <v>2</v>
      </c>
      <c r="E13" s="188">
        <v>1</v>
      </c>
      <c r="F13" s="188">
        <v>1</v>
      </c>
      <c r="G13" s="188"/>
      <c r="H13" s="188"/>
      <c r="I13" s="188"/>
      <c r="J13" s="188"/>
      <c r="K13" s="188"/>
      <c r="L13" s="188"/>
      <c r="M13" s="188"/>
      <c r="N13" s="188"/>
      <c r="O13" s="188"/>
      <c r="P13" s="188"/>
      <c r="Q13" s="188"/>
      <c r="R13" s="187">
        <f t="shared" si="1"/>
        <v>6</v>
      </c>
      <c r="S13" s="189">
        <f t="shared" si="0"/>
        <v>1.5</v>
      </c>
      <c r="T13" s="190"/>
    </row>
    <row r="14" spans="1:24" ht="39.75" customHeight="1" thickBot="1" x14ac:dyDescent="0.35">
      <c r="A14" s="187">
        <v>4</v>
      </c>
      <c r="B14" s="154" t="s">
        <v>277</v>
      </c>
      <c r="C14" s="188">
        <v>2</v>
      </c>
      <c r="D14" s="188">
        <v>1</v>
      </c>
      <c r="E14" s="188">
        <v>2</v>
      </c>
      <c r="F14" s="188">
        <v>1</v>
      </c>
      <c r="G14" s="188"/>
      <c r="H14" s="188"/>
      <c r="I14" s="188"/>
      <c r="J14" s="188"/>
      <c r="K14" s="188"/>
      <c r="L14" s="188"/>
      <c r="M14" s="188"/>
      <c r="N14" s="188"/>
      <c r="O14" s="188"/>
      <c r="P14" s="188"/>
      <c r="Q14" s="188"/>
      <c r="R14" s="187">
        <f t="shared" si="1"/>
        <v>6</v>
      </c>
      <c r="S14" s="189">
        <f t="shared" si="0"/>
        <v>1.5</v>
      </c>
      <c r="T14" s="190"/>
    </row>
    <row r="15" spans="1:24" ht="39.75" customHeight="1" thickBot="1" x14ac:dyDescent="0.35">
      <c r="A15" s="187">
        <v>5</v>
      </c>
      <c r="B15" s="154" t="s">
        <v>279</v>
      </c>
      <c r="C15" s="188">
        <v>1</v>
      </c>
      <c r="D15" s="188">
        <v>1</v>
      </c>
      <c r="E15" s="188">
        <v>2</v>
      </c>
      <c r="F15" s="188">
        <v>1</v>
      </c>
      <c r="G15" s="188"/>
      <c r="H15" s="188"/>
      <c r="I15" s="188"/>
      <c r="J15" s="188"/>
      <c r="K15" s="188"/>
      <c r="L15" s="188"/>
      <c r="M15" s="188"/>
      <c r="N15" s="188"/>
      <c r="O15" s="188"/>
      <c r="P15" s="188"/>
      <c r="Q15" s="188"/>
      <c r="R15" s="187">
        <f t="shared" si="1"/>
        <v>5</v>
      </c>
      <c r="S15" s="189">
        <f t="shared" si="0"/>
        <v>1.25</v>
      </c>
      <c r="T15" s="190"/>
    </row>
    <row r="16" spans="1:24" ht="52.2" customHeight="1" thickBot="1" x14ac:dyDescent="0.35">
      <c r="A16" s="187">
        <v>6</v>
      </c>
      <c r="B16" s="154" t="s">
        <v>280</v>
      </c>
      <c r="C16" s="188">
        <v>2</v>
      </c>
      <c r="D16" s="188">
        <v>1</v>
      </c>
      <c r="E16" s="188">
        <v>1</v>
      </c>
      <c r="F16" s="188">
        <v>1</v>
      </c>
      <c r="G16" s="188"/>
      <c r="H16" s="188"/>
      <c r="I16" s="188"/>
      <c r="J16" s="188"/>
      <c r="K16" s="188"/>
      <c r="L16" s="188"/>
      <c r="M16" s="188"/>
      <c r="N16" s="188"/>
      <c r="O16" s="188"/>
      <c r="P16" s="188"/>
      <c r="Q16" s="188"/>
      <c r="R16" s="187">
        <f t="shared" si="1"/>
        <v>5</v>
      </c>
      <c r="S16" s="189">
        <f t="shared" si="0"/>
        <v>1.25</v>
      </c>
      <c r="T16" s="190"/>
    </row>
    <row r="17" spans="1:20" ht="39.75" customHeight="1" thickBot="1" x14ac:dyDescent="0.35">
      <c r="A17" s="187">
        <v>7</v>
      </c>
      <c r="B17" s="154" t="s">
        <v>281</v>
      </c>
      <c r="C17" s="188">
        <v>1</v>
      </c>
      <c r="D17" s="188">
        <v>1</v>
      </c>
      <c r="E17" s="188">
        <v>1</v>
      </c>
      <c r="F17" s="188">
        <v>2</v>
      </c>
      <c r="G17" s="188"/>
      <c r="H17" s="188"/>
      <c r="I17" s="188"/>
      <c r="J17" s="188"/>
      <c r="K17" s="188"/>
      <c r="L17" s="188"/>
      <c r="M17" s="188"/>
      <c r="N17" s="188"/>
      <c r="O17" s="188"/>
      <c r="P17" s="188"/>
      <c r="Q17" s="188"/>
      <c r="R17" s="187">
        <f t="shared" si="1"/>
        <v>5</v>
      </c>
      <c r="S17" s="189">
        <f t="shared" si="0"/>
        <v>1.25</v>
      </c>
      <c r="T17" s="190"/>
    </row>
    <row r="18" spans="1:20" ht="46.5" customHeight="1" thickBot="1" x14ac:dyDescent="0.35">
      <c r="A18" s="187">
        <v>8</v>
      </c>
      <c r="B18" s="154" t="s">
        <v>282</v>
      </c>
      <c r="C18" s="188">
        <v>1</v>
      </c>
      <c r="D18" s="188">
        <v>1</v>
      </c>
      <c r="E18" s="188">
        <v>1</v>
      </c>
      <c r="F18" s="188">
        <v>2</v>
      </c>
      <c r="G18" s="188"/>
      <c r="H18" s="188"/>
      <c r="I18" s="188"/>
      <c r="J18" s="188"/>
      <c r="K18" s="188"/>
      <c r="L18" s="188"/>
      <c r="M18" s="188"/>
      <c r="N18" s="188"/>
      <c r="O18" s="188"/>
      <c r="P18" s="188"/>
      <c r="Q18" s="188"/>
      <c r="R18" s="187">
        <f t="shared" si="1"/>
        <v>5</v>
      </c>
      <c r="S18" s="189">
        <f t="shared" si="0"/>
        <v>1.25</v>
      </c>
      <c r="T18" s="190"/>
    </row>
    <row r="19" spans="1:20" ht="47.25" customHeight="1" thickBot="1" x14ac:dyDescent="0.35">
      <c r="A19" s="187">
        <v>9</v>
      </c>
      <c r="B19" s="154" t="s">
        <v>284</v>
      </c>
      <c r="C19" s="188">
        <v>2</v>
      </c>
      <c r="D19" s="188">
        <v>1</v>
      </c>
      <c r="E19" s="188">
        <v>2</v>
      </c>
      <c r="F19" s="188">
        <v>1</v>
      </c>
      <c r="G19" s="188"/>
      <c r="H19" s="188"/>
      <c r="I19" s="188"/>
      <c r="J19" s="188"/>
      <c r="K19" s="188"/>
      <c r="L19" s="188"/>
      <c r="M19" s="188"/>
      <c r="N19" s="188"/>
      <c r="O19" s="188"/>
      <c r="P19" s="188"/>
      <c r="Q19" s="188"/>
      <c r="R19" s="187">
        <f t="shared" si="1"/>
        <v>6</v>
      </c>
      <c r="S19" s="189">
        <f t="shared" si="0"/>
        <v>1.5</v>
      </c>
      <c r="T19" s="190"/>
    </row>
    <row r="20" spans="1:20" ht="63.6" customHeight="1" thickBot="1" x14ac:dyDescent="0.35">
      <c r="A20" s="187">
        <v>10</v>
      </c>
      <c r="B20" s="154" t="s">
        <v>371</v>
      </c>
      <c r="C20" s="188">
        <v>4</v>
      </c>
      <c r="D20" s="188">
        <v>5</v>
      </c>
      <c r="E20" s="188">
        <v>4</v>
      </c>
      <c r="F20" s="188">
        <v>5</v>
      </c>
      <c r="G20" s="188"/>
      <c r="H20" s="188"/>
      <c r="I20" s="188"/>
      <c r="J20" s="188"/>
      <c r="K20" s="188"/>
      <c r="L20" s="188"/>
      <c r="M20" s="188"/>
      <c r="N20" s="188"/>
      <c r="O20" s="188"/>
      <c r="P20" s="188"/>
      <c r="Q20" s="188"/>
      <c r="R20" s="187">
        <f t="shared" si="1"/>
        <v>18</v>
      </c>
      <c r="S20" s="189">
        <f t="shared" si="0"/>
        <v>4.5</v>
      </c>
      <c r="T20" s="190"/>
    </row>
    <row r="21" spans="1:20" ht="52.95" customHeight="1" thickBot="1" x14ac:dyDescent="0.35">
      <c r="A21" s="187">
        <v>11</v>
      </c>
      <c r="B21" s="154" t="s">
        <v>268</v>
      </c>
      <c r="C21" s="188">
        <v>2</v>
      </c>
      <c r="D21" s="188">
        <v>1</v>
      </c>
      <c r="E21" s="188">
        <v>2</v>
      </c>
      <c r="F21" s="188">
        <v>1</v>
      </c>
      <c r="G21" s="188"/>
      <c r="H21" s="188"/>
      <c r="I21" s="188"/>
      <c r="J21" s="188"/>
      <c r="K21" s="188"/>
      <c r="L21" s="188"/>
      <c r="M21" s="188"/>
      <c r="N21" s="188"/>
      <c r="O21" s="188"/>
      <c r="P21" s="188"/>
      <c r="Q21" s="188"/>
      <c r="R21" s="187">
        <f t="shared" si="1"/>
        <v>6</v>
      </c>
      <c r="S21" s="189">
        <f t="shared" si="0"/>
        <v>1.5</v>
      </c>
      <c r="T21" s="190"/>
    </row>
    <row r="22" spans="1:20" ht="45.75" customHeight="1" thickBot="1" x14ac:dyDescent="0.35">
      <c r="A22" s="187">
        <v>12</v>
      </c>
      <c r="B22" s="154" t="s">
        <v>286</v>
      </c>
      <c r="C22" s="188">
        <v>2</v>
      </c>
      <c r="D22" s="188">
        <v>2</v>
      </c>
      <c r="E22" s="188">
        <v>1</v>
      </c>
      <c r="F22" s="188">
        <v>1</v>
      </c>
      <c r="G22" s="188"/>
      <c r="H22" s="188"/>
      <c r="I22" s="188"/>
      <c r="J22" s="188"/>
      <c r="K22" s="188"/>
      <c r="L22" s="188"/>
      <c r="M22" s="188"/>
      <c r="N22" s="188"/>
      <c r="O22" s="188"/>
      <c r="P22" s="188"/>
      <c r="Q22" s="188"/>
      <c r="R22" s="187">
        <f t="shared" si="1"/>
        <v>6</v>
      </c>
      <c r="S22" s="189">
        <f t="shared" si="0"/>
        <v>1.5</v>
      </c>
      <c r="T22" s="190"/>
    </row>
    <row r="23" spans="1:20" ht="49.5" customHeight="1" thickBot="1" x14ac:dyDescent="0.35">
      <c r="A23" s="187">
        <v>13</v>
      </c>
      <c r="B23" s="154" t="s">
        <v>288</v>
      </c>
      <c r="C23" s="188">
        <v>2</v>
      </c>
      <c r="D23" s="188">
        <v>1</v>
      </c>
      <c r="E23" s="188">
        <v>1</v>
      </c>
      <c r="F23" s="188">
        <v>2</v>
      </c>
      <c r="G23" s="188"/>
      <c r="H23" s="188"/>
      <c r="I23" s="188"/>
      <c r="J23" s="188"/>
      <c r="K23" s="188"/>
      <c r="L23" s="188"/>
      <c r="M23" s="188"/>
      <c r="N23" s="188"/>
      <c r="O23" s="188"/>
      <c r="P23" s="188"/>
      <c r="Q23" s="188"/>
      <c r="R23" s="187">
        <f t="shared" si="1"/>
        <v>6</v>
      </c>
      <c r="S23" s="189">
        <f t="shared" si="0"/>
        <v>1.5</v>
      </c>
      <c r="T23" s="190"/>
    </row>
    <row r="24" spans="1:20" ht="39.75" customHeight="1" thickBot="1" x14ac:dyDescent="0.35">
      <c r="A24" s="187">
        <v>14</v>
      </c>
      <c r="B24" s="154" t="s">
        <v>289</v>
      </c>
      <c r="C24" s="188">
        <v>1</v>
      </c>
      <c r="D24" s="188">
        <v>1</v>
      </c>
      <c r="E24" s="188">
        <v>1</v>
      </c>
      <c r="F24" s="188">
        <v>2</v>
      </c>
      <c r="G24" s="188"/>
      <c r="H24" s="188"/>
      <c r="I24" s="188"/>
      <c r="J24" s="188"/>
      <c r="K24" s="188"/>
      <c r="L24" s="188"/>
      <c r="M24" s="188"/>
      <c r="N24" s="188"/>
      <c r="O24" s="188"/>
      <c r="P24" s="188"/>
      <c r="Q24" s="188"/>
      <c r="R24" s="187">
        <f t="shared" si="1"/>
        <v>5</v>
      </c>
      <c r="S24" s="189">
        <f t="shared" si="0"/>
        <v>1.25</v>
      </c>
      <c r="T24" s="190"/>
    </row>
    <row r="25" spans="1:20" ht="39.75" customHeight="1" thickBot="1" x14ac:dyDescent="0.35">
      <c r="A25" s="187">
        <v>15</v>
      </c>
      <c r="B25" s="154" t="s">
        <v>291</v>
      </c>
      <c r="C25" s="188">
        <v>1</v>
      </c>
      <c r="D25" s="188">
        <v>1</v>
      </c>
      <c r="E25" s="188">
        <v>1</v>
      </c>
      <c r="F25" s="188">
        <v>2</v>
      </c>
      <c r="G25" s="188"/>
      <c r="H25" s="188"/>
      <c r="I25" s="188"/>
      <c r="J25" s="188"/>
      <c r="K25" s="188"/>
      <c r="L25" s="188"/>
      <c r="M25" s="188"/>
      <c r="N25" s="188"/>
      <c r="O25" s="188"/>
      <c r="P25" s="188"/>
      <c r="Q25" s="188"/>
      <c r="R25" s="187">
        <f t="shared" si="1"/>
        <v>5</v>
      </c>
      <c r="S25" s="189">
        <f t="shared" si="0"/>
        <v>1.25</v>
      </c>
      <c r="T25" s="190"/>
    </row>
    <row r="26" spans="1:20" ht="48.75" customHeight="1" thickBot="1" x14ac:dyDescent="0.35">
      <c r="A26" s="187">
        <v>16</v>
      </c>
      <c r="B26" s="154" t="s">
        <v>293</v>
      </c>
      <c r="C26" s="188">
        <v>1</v>
      </c>
      <c r="D26" s="188">
        <v>1</v>
      </c>
      <c r="E26" s="188">
        <v>1</v>
      </c>
      <c r="F26" s="188">
        <v>2</v>
      </c>
      <c r="G26" s="188"/>
      <c r="H26" s="188"/>
      <c r="I26" s="188"/>
      <c r="J26" s="188"/>
      <c r="K26" s="188"/>
      <c r="L26" s="188"/>
      <c r="M26" s="188"/>
      <c r="N26" s="188"/>
      <c r="O26" s="188"/>
      <c r="P26" s="188"/>
      <c r="Q26" s="188"/>
      <c r="R26" s="187">
        <f t="shared" si="1"/>
        <v>5</v>
      </c>
      <c r="S26" s="189">
        <f t="shared" si="0"/>
        <v>1.25</v>
      </c>
      <c r="T26" s="190"/>
    </row>
    <row r="27" spans="1:20" ht="39.75" customHeight="1" thickBot="1" x14ac:dyDescent="0.35">
      <c r="A27" s="187">
        <v>17</v>
      </c>
      <c r="B27" s="154" t="s">
        <v>294</v>
      </c>
      <c r="C27" s="188">
        <v>2</v>
      </c>
      <c r="D27" s="188">
        <v>2</v>
      </c>
      <c r="E27" s="188">
        <v>1</v>
      </c>
      <c r="F27" s="188">
        <v>1</v>
      </c>
      <c r="G27" s="188"/>
      <c r="H27" s="188"/>
      <c r="I27" s="188"/>
      <c r="J27" s="188"/>
      <c r="K27" s="188"/>
      <c r="L27" s="188"/>
      <c r="M27" s="188"/>
      <c r="N27" s="188"/>
      <c r="O27" s="188"/>
      <c r="P27" s="188"/>
      <c r="Q27" s="188"/>
      <c r="R27" s="187">
        <f t="shared" si="1"/>
        <v>6</v>
      </c>
      <c r="S27" s="189">
        <f t="shared" si="0"/>
        <v>1.5</v>
      </c>
      <c r="T27" s="190"/>
    </row>
    <row r="28" spans="1:20" ht="39.75" customHeight="1" thickBot="1" x14ac:dyDescent="0.35">
      <c r="A28" s="187">
        <v>18</v>
      </c>
      <c r="B28" s="154" t="s">
        <v>295</v>
      </c>
      <c r="C28" s="188">
        <v>1</v>
      </c>
      <c r="D28" s="188">
        <v>1</v>
      </c>
      <c r="E28" s="188">
        <v>2</v>
      </c>
      <c r="F28" s="188">
        <v>1</v>
      </c>
      <c r="G28" s="188"/>
      <c r="H28" s="188"/>
      <c r="I28" s="188"/>
      <c r="J28" s="188"/>
      <c r="K28" s="188"/>
      <c r="L28" s="188"/>
      <c r="M28" s="188"/>
      <c r="N28" s="188"/>
      <c r="O28" s="188"/>
      <c r="P28" s="188"/>
      <c r="Q28" s="188"/>
      <c r="R28" s="187">
        <f t="shared" si="1"/>
        <v>5</v>
      </c>
      <c r="S28" s="189">
        <f t="shared" si="0"/>
        <v>1.25</v>
      </c>
      <c r="T28" s="190"/>
    </row>
    <row r="29" spans="1:20" ht="48" customHeight="1" thickBot="1" x14ac:dyDescent="0.35">
      <c r="A29" s="187">
        <v>19</v>
      </c>
      <c r="B29" s="154" t="s">
        <v>296</v>
      </c>
      <c r="C29" s="188">
        <v>2</v>
      </c>
      <c r="D29" s="188">
        <v>2</v>
      </c>
      <c r="E29" s="188">
        <v>1</v>
      </c>
      <c r="F29" s="188">
        <v>1</v>
      </c>
      <c r="G29" s="188"/>
      <c r="H29" s="188"/>
      <c r="I29" s="188"/>
      <c r="J29" s="188"/>
      <c r="K29" s="188"/>
      <c r="L29" s="188"/>
      <c r="M29" s="188"/>
      <c r="N29" s="188"/>
      <c r="O29" s="188"/>
      <c r="P29" s="188"/>
      <c r="Q29" s="188"/>
      <c r="R29" s="187">
        <f t="shared" si="1"/>
        <v>6</v>
      </c>
      <c r="S29" s="189">
        <f t="shared" si="0"/>
        <v>1.5</v>
      </c>
      <c r="T29" s="190"/>
    </row>
    <row r="30" spans="1:20" ht="39.75" customHeight="1" thickBot="1" x14ac:dyDescent="0.35">
      <c r="A30" s="187">
        <v>20</v>
      </c>
      <c r="B30" s="154" t="s">
        <v>297</v>
      </c>
      <c r="C30" s="188">
        <v>2</v>
      </c>
      <c r="D30" s="188">
        <v>2</v>
      </c>
      <c r="E30" s="188">
        <v>1</v>
      </c>
      <c r="F30" s="188">
        <v>1</v>
      </c>
      <c r="G30" s="188"/>
      <c r="H30" s="188"/>
      <c r="I30" s="188"/>
      <c r="J30" s="188"/>
      <c r="K30" s="188"/>
      <c r="L30" s="188"/>
      <c r="M30" s="188"/>
      <c r="N30" s="188"/>
      <c r="O30" s="188"/>
      <c r="P30" s="188"/>
      <c r="Q30" s="188"/>
      <c r="R30" s="187">
        <f t="shared" si="1"/>
        <v>6</v>
      </c>
      <c r="S30" s="189">
        <f t="shared" si="0"/>
        <v>1.5</v>
      </c>
      <c r="T30" s="190"/>
    </row>
    <row r="31" spans="1:20" ht="39.75" customHeight="1" thickBot="1" x14ac:dyDescent="0.35">
      <c r="A31" s="187">
        <v>21</v>
      </c>
      <c r="B31" s="154" t="s">
        <v>264</v>
      </c>
      <c r="C31" s="188">
        <v>5</v>
      </c>
      <c r="D31" s="188">
        <v>5</v>
      </c>
      <c r="E31" s="188">
        <v>5</v>
      </c>
      <c r="F31" s="188">
        <v>5</v>
      </c>
      <c r="G31" s="188"/>
      <c r="H31" s="188"/>
      <c r="I31" s="188"/>
      <c r="J31" s="188"/>
      <c r="K31" s="188"/>
      <c r="L31" s="188"/>
      <c r="M31" s="188"/>
      <c r="N31" s="188"/>
      <c r="O31" s="188"/>
      <c r="P31" s="188"/>
      <c r="Q31" s="188"/>
      <c r="R31" s="187">
        <f t="shared" ref="R31" si="2">SUM(C31:Q31)</f>
        <v>20</v>
      </c>
      <c r="S31" s="189">
        <f t="shared" ref="S31" si="3">IF(ISERROR(AVERAGE(C31:Q31)),0,AVERAGE(C31:Q31))</f>
        <v>5</v>
      </c>
      <c r="T31" s="190"/>
    </row>
    <row r="32" spans="1:20" ht="49.5" customHeight="1" thickBot="1" x14ac:dyDescent="0.35">
      <c r="A32" s="187">
        <v>22</v>
      </c>
      <c r="B32" s="154" t="s">
        <v>366</v>
      </c>
      <c r="C32" s="188">
        <v>5</v>
      </c>
      <c r="D32" s="188">
        <v>5</v>
      </c>
      <c r="E32" s="188">
        <v>5</v>
      </c>
      <c r="F32" s="188">
        <v>5</v>
      </c>
      <c r="G32" s="188"/>
      <c r="H32" s="188"/>
      <c r="I32" s="188"/>
      <c r="J32" s="188"/>
      <c r="K32" s="188"/>
      <c r="L32" s="188"/>
      <c r="M32" s="188"/>
      <c r="N32" s="188"/>
      <c r="O32" s="188"/>
      <c r="P32" s="188"/>
      <c r="Q32" s="188"/>
      <c r="R32" s="187">
        <f t="shared" si="1"/>
        <v>20</v>
      </c>
      <c r="S32" s="189">
        <f t="shared" si="0"/>
        <v>5</v>
      </c>
      <c r="T32" s="190"/>
    </row>
    <row r="33" spans="1:20" ht="42" customHeight="1" thickBot="1" x14ac:dyDescent="0.35">
      <c r="A33" s="187">
        <v>23</v>
      </c>
      <c r="B33" s="154" t="s">
        <v>267</v>
      </c>
      <c r="C33" s="188">
        <v>2</v>
      </c>
      <c r="D33" s="188">
        <v>1</v>
      </c>
      <c r="E33" s="188">
        <v>1</v>
      </c>
      <c r="F33" s="188">
        <v>2</v>
      </c>
      <c r="G33" s="188"/>
      <c r="H33" s="188"/>
      <c r="I33" s="188"/>
      <c r="J33" s="188"/>
      <c r="K33" s="188"/>
      <c r="L33" s="188"/>
      <c r="M33" s="188"/>
      <c r="N33" s="188"/>
      <c r="O33" s="188"/>
      <c r="P33" s="188"/>
      <c r="Q33" s="188"/>
      <c r="R33" s="187">
        <f t="shared" si="1"/>
        <v>6</v>
      </c>
      <c r="S33" s="189">
        <f t="shared" si="0"/>
        <v>1.5</v>
      </c>
      <c r="T33" s="190"/>
    </row>
    <row r="34" spans="1:20" ht="59.25" customHeight="1" thickBot="1" x14ac:dyDescent="0.35">
      <c r="A34" s="187">
        <v>24</v>
      </c>
      <c r="B34" s="154" t="s">
        <v>364</v>
      </c>
      <c r="C34" s="188">
        <v>5</v>
      </c>
      <c r="D34" s="188">
        <v>5</v>
      </c>
      <c r="E34" s="188">
        <v>5</v>
      </c>
      <c r="F34" s="188">
        <v>5</v>
      </c>
      <c r="G34" s="188"/>
      <c r="H34" s="188"/>
      <c r="I34" s="188"/>
      <c r="J34" s="188"/>
      <c r="K34" s="188"/>
      <c r="L34" s="188"/>
      <c r="M34" s="188"/>
      <c r="N34" s="188"/>
      <c r="O34" s="188"/>
      <c r="P34" s="188"/>
      <c r="Q34" s="188"/>
      <c r="R34" s="187">
        <f t="shared" si="1"/>
        <v>20</v>
      </c>
      <c r="S34" s="189">
        <f t="shared" si="0"/>
        <v>5</v>
      </c>
      <c r="T34" s="190"/>
    </row>
    <row r="35" spans="1:20" ht="46.5" customHeight="1" thickBot="1" x14ac:dyDescent="0.35">
      <c r="A35" s="187">
        <v>25</v>
      </c>
      <c r="B35" s="154" t="s">
        <v>300</v>
      </c>
      <c r="C35" s="188">
        <v>2</v>
      </c>
      <c r="D35" s="188">
        <v>1</v>
      </c>
      <c r="E35" s="188">
        <v>1</v>
      </c>
      <c r="F35" s="188">
        <v>1</v>
      </c>
      <c r="G35" s="188"/>
      <c r="H35" s="188"/>
      <c r="I35" s="188"/>
      <c r="J35" s="188"/>
      <c r="K35" s="188"/>
      <c r="L35" s="188"/>
      <c r="M35" s="188"/>
      <c r="N35" s="188"/>
      <c r="O35" s="188"/>
      <c r="P35" s="188"/>
      <c r="Q35" s="188"/>
      <c r="R35" s="187">
        <f t="shared" si="1"/>
        <v>5</v>
      </c>
      <c r="S35" s="189">
        <f t="shared" si="0"/>
        <v>1.25</v>
      </c>
      <c r="T35" s="190"/>
    </row>
    <row r="36" spans="1:20" ht="44.25" customHeight="1" thickBot="1" x14ac:dyDescent="0.35">
      <c r="A36" s="187">
        <v>26</v>
      </c>
      <c r="B36" s="154" t="s">
        <v>301</v>
      </c>
      <c r="C36" s="188">
        <v>2</v>
      </c>
      <c r="D36" s="188">
        <v>2</v>
      </c>
      <c r="E36" s="188">
        <v>1</v>
      </c>
      <c r="F36" s="188">
        <v>1</v>
      </c>
      <c r="G36" s="188"/>
      <c r="H36" s="188"/>
      <c r="I36" s="188"/>
      <c r="J36" s="188"/>
      <c r="K36" s="188"/>
      <c r="L36" s="188"/>
      <c r="M36" s="188"/>
      <c r="N36" s="188"/>
      <c r="O36" s="188"/>
      <c r="P36" s="188"/>
      <c r="Q36" s="188"/>
      <c r="R36" s="187">
        <f t="shared" si="1"/>
        <v>6</v>
      </c>
      <c r="S36" s="189">
        <f t="shared" si="0"/>
        <v>1.5</v>
      </c>
      <c r="T36" s="190"/>
    </row>
    <row r="37" spans="1:20" ht="42.75" customHeight="1" thickBot="1" x14ac:dyDescent="0.35">
      <c r="A37" s="187">
        <v>27</v>
      </c>
      <c r="B37" s="154" t="s">
        <v>302</v>
      </c>
      <c r="C37" s="188">
        <v>2</v>
      </c>
      <c r="D37" s="188">
        <v>1</v>
      </c>
      <c r="E37" s="188">
        <v>2</v>
      </c>
      <c r="F37" s="188">
        <v>1</v>
      </c>
      <c r="G37" s="188"/>
      <c r="H37" s="188"/>
      <c r="I37" s="188"/>
      <c r="J37" s="188"/>
      <c r="K37" s="188"/>
      <c r="L37" s="188"/>
      <c r="M37" s="188"/>
      <c r="N37" s="188"/>
      <c r="O37" s="188"/>
      <c r="P37" s="188"/>
      <c r="Q37" s="188"/>
      <c r="R37" s="187">
        <f t="shared" si="1"/>
        <v>6</v>
      </c>
      <c r="S37" s="189">
        <f t="shared" si="0"/>
        <v>1.5</v>
      </c>
      <c r="T37" s="190"/>
    </row>
    <row r="38" spans="1:20" ht="42" customHeight="1" thickBot="1" x14ac:dyDescent="0.35">
      <c r="A38" s="187">
        <v>28</v>
      </c>
      <c r="B38" s="159"/>
      <c r="C38" s="188"/>
      <c r="D38" s="188"/>
      <c r="E38" s="188"/>
      <c r="F38" s="188"/>
      <c r="G38" s="188"/>
      <c r="H38" s="188"/>
      <c r="I38" s="188"/>
      <c r="J38" s="188"/>
      <c r="K38" s="188"/>
      <c r="L38" s="188"/>
      <c r="M38" s="188"/>
      <c r="N38" s="188"/>
      <c r="O38" s="188"/>
      <c r="P38" s="188"/>
      <c r="Q38" s="188"/>
      <c r="R38" s="187">
        <f t="shared" si="1"/>
        <v>0</v>
      </c>
      <c r="S38" s="189">
        <f t="shared" si="0"/>
        <v>0</v>
      </c>
      <c r="T38" s="190"/>
    </row>
    <row r="39" spans="1:20" ht="42.75" customHeight="1" thickBot="1" x14ac:dyDescent="0.35">
      <c r="A39" s="187">
        <v>29</v>
      </c>
      <c r="B39" s="159"/>
      <c r="C39" s="188"/>
      <c r="D39" s="188"/>
      <c r="E39" s="188"/>
      <c r="F39" s="188"/>
      <c r="G39" s="188"/>
      <c r="H39" s="188"/>
      <c r="I39" s="188"/>
      <c r="J39" s="188"/>
      <c r="K39" s="188"/>
      <c r="L39" s="188"/>
      <c r="M39" s="188"/>
      <c r="N39" s="188"/>
      <c r="O39" s="188"/>
      <c r="P39" s="188"/>
      <c r="Q39" s="188"/>
      <c r="R39" s="187">
        <f t="shared" si="1"/>
        <v>0</v>
      </c>
      <c r="S39" s="189">
        <f t="shared" si="0"/>
        <v>0</v>
      </c>
      <c r="T39" s="190"/>
    </row>
    <row r="40" spans="1:20" ht="47.25" customHeight="1" thickBot="1" x14ac:dyDescent="0.35">
      <c r="A40" s="187">
        <v>30</v>
      </c>
      <c r="B40" s="159"/>
      <c r="C40" s="188"/>
      <c r="D40" s="188"/>
      <c r="E40" s="188"/>
      <c r="F40" s="188"/>
      <c r="G40" s="188"/>
      <c r="H40" s="188"/>
      <c r="I40" s="188"/>
      <c r="J40" s="188"/>
      <c r="K40" s="188"/>
      <c r="L40" s="188"/>
      <c r="M40" s="188"/>
      <c r="N40" s="188"/>
      <c r="O40" s="188"/>
      <c r="P40" s="188"/>
      <c r="Q40" s="188"/>
      <c r="R40" s="187">
        <f t="shared" si="1"/>
        <v>0</v>
      </c>
      <c r="S40" s="189">
        <f t="shared" si="0"/>
        <v>0</v>
      </c>
      <c r="T40" s="190"/>
    </row>
    <row r="41" spans="1:20" ht="50.25" customHeight="1" thickBot="1" x14ac:dyDescent="0.35">
      <c r="A41" s="187">
        <v>31</v>
      </c>
      <c r="B41" s="191"/>
      <c r="C41" s="192"/>
      <c r="D41" s="192"/>
      <c r="E41" s="192"/>
      <c r="F41" s="192"/>
      <c r="G41" s="192"/>
      <c r="H41" s="192"/>
      <c r="I41" s="192"/>
      <c r="J41" s="192"/>
      <c r="K41" s="192"/>
      <c r="L41" s="192"/>
      <c r="M41" s="192"/>
      <c r="N41" s="192"/>
      <c r="O41" s="192"/>
      <c r="P41" s="192"/>
      <c r="Q41" s="192"/>
      <c r="R41" s="187">
        <f t="shared" si="1"/>
        <v>0</v>
      </c>
      <c r="S41" s="189">
        <f t="shared" si="0"/>
        <v>0</v>
      </c>
      <c r="T41" s="190"/>
    </row>
    <row r="42" spans="1:20" ht="24" customHeight="1" x14ac:dyDescent="0.3">
      <c r="A42" s="295" t="s">
        <v>244</v>
      </c>
      <c r="B42" s="296"/>
      <c r="C42" s="296"/>
      <c r="D42" s="296"/>
      <c r="E42" s="296"/>
      <c r="F42" s="296"/>
      <c r="G42" s="296"/>
      <c r="H42" s="296"/>
      <c r="I42" s="296"/>
      <c r="J42" s="296"/>
      <c r="K42" s="296"/>
      <c r="L42" s="296"/>
      <c r="M42" s="296"/>
      <c r="N42" s="296"/>
      <c r="O42" s="296"/>
      <c r="P42" s="296"/>
      <c r="Q42" s="296"/>
      <c r="R42" s="297"/>
      <c r="S42" s="193">
        <f>SUM(S11:S41)</f>
        <v>51.5</v>
      </c>
    </row>
    <row r="43" spans="1:20" ht="28.5" customHeight="1" thickBot="1" x14ac:dyDescent="0.35">
      <c r="A43" s="275" t="s">
        <v>242</v>
      </c>
      <c r="B43" s="276"/>
      <c r="C43" s="276"/>
      <c r="D43" s="276"/>
      <c r="E43" s="276"/>
      <c r="F43" s="276"/>
      <c r="G43" s="276"/>
      <c r="H43" s="276"/>
      <c r="I43" s="276"/>
      <c r="J43" s="276"/>
      <c r="K43" s="276"/>
      <c r="L43" s="276"/>
      <c r="M43" s="276"/>
      <c r="N43" s="276"/>
      <c r="O43" s="276"/>
      <c r="P43" s="276"/>
      <c r="Q43" s="276"/>
      <c r="R43" s="276"/>
      <c r="S43" s="194">
        <f>S42/A37</f>
        <v>1.9074074074074074</v>
      </c>
    </row>
  </sheetData>
  <mergeCells count="13">
    <mergeCell ref="A43:R43"/>
    <mergeCell ref="A1:A4"/>
    <mergeCell ref="B1:S2"/>
    <mergeCell ref="T1:W1"/>
    <mergeCell ref="T2:W2"/>
    <mergeCell ref="B3:S4"/>
    <mergeCell ref="T3:W3"/>
    <mergeCell ref="T4:W4"/>
    <mergeCell ref="A5:T5"/>
    <mergeCell ref="A6:T6"/>
    <mergeCell ref="A7:T7"/>
    <mergeCell ref="A9:T9"/>
    <mergeCell ref="A42:R42"/>
  </mergeCells>
  <conditionalFormatting sqref="Z14">
    <cfRule type="dataBar" priority="1">
      <dataBar>
        <cfvo type="min"/>
        <cfvo type="max"/>
        <color rgb="FFFFB628"/>
      </dataBar>
      <extLst>
        <ext xmlns:x14="http://schemas.microsoft.com/office/spreadsheetml/2009/9/main" uri="{B025F937-C7B1-47D3-B67F-A62EFF666E3E}">
          <x14:id>{44C003F3-3AF5-4DAF-B4C8-9A1F98737122}</x14:id>
        </ext>
      </extLst>
    </cfRule>
  </conditionalFormatting>
  <dataValidations count="1">
    <dataValidation type="whole" showErrorMessage="1" error="DATO INVÁLIDO_x000a_Tenga en cuenta que la escala de calificación va de 1 a 5" sqref="C11:Q41" xr:uid="{00000000-0002-0000-0200-000000000000}">
      <formula1>1</formula1>
      <formula2>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19</xdr:col>
                    <xdr:colOff>541020</xdr:colOff>
                    <xdr:row>10</xdr:row>
                    <xdr:rowOff>342900</xdr:rowOff>
                  </from>
                  <to>
                    <xdr:col>19</xdr:col>
                    <xdr:colOff>784860</xdr:colOff>
                    <xdr:row>10</xdr:row>
                    <xdr:rowOff>563880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19</xdr:col>
                    <xdr:colOff>541020</xdr:colOff>
                    <xdr:row>11</xdr:row>
                    <xdr:rowOff>342900</xdr:rowOff>
                  </from>
                  <to>
                    <xdr:col>19</xdr:col>
                    <xdr:colOff>784860</xdr:colOff>
                    <xdr:row>11</xdr:row>
                    <xdr:rowOff>563880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19</xdr:col>
                    <xdr:colOff>541020</xdr:colOff>
                    <xdr:row>12</xdr:row>
                    <xdr:rowOff>342900</xdr:rowOff>
                  </from>
                  <to>
                    <xdr:col>19</xdr:col>
                    <xdr:colOff>784860</xdr:colOff>
                    <xdr:row>12</xdr:row>
                    <xdr:rowOff>563880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19</xdr:col>
                    <xdr:colOff>541020</xdr:colOff>
                    <xdr:row>13</xdr:row>
                    <xdr:rowOff>342900</xdr:rowOff>
                  </from>
                  <to>
                    <xdr:col>19</xdr:col>
                    <xdr:colOff>784860</xdr:colOff>
                    <xdr:row>14</xdr:row>
                    <xdr:rowOff>60960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19</xdr:col>
                    <xdr:colOff>541020</xdr:colOff>
                    <xdr:row>14</xdr:row>
                    <xdr:rowOff>342900</xdr:rowOff>
                  </from>
                  <to>
                    <xdr:col>19</xdr:col>
                    <xdr:colOff>784860</xdr:colOff>
                    <xdr:row>15</xdr:row>
                    <xdr:rowOff>60960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19</xdr:col>
                    <xdr:colOff>541020</xdr:colOff>
                    <xdr:row>15</xdr:row>
                    <xdr:rowOff>342900</xdr:rowOff>
                  </from>
                  <to>
                    <xdr:col>19</xdr:col>
                    <xdr:colOff>784860</xdr:colOff>
                    <xdr:row>15</xdr:row>
                    <xdr:rowOff>563880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19</xdr:col>
                    <xdr:colOff>541020</xdr:colOff>
                    <xdr:row>16</xdr:row>
                    <xdr:rowOff>342900</xdr:rowOff>
                  </from>
                  <to>
                    <xdr:col>19</xdr:col>
                    <xdr:colOff>784860</xdr:colOff>
                    <xdr:row>17</xdr:row>
                    <xdr:rowOff>60960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19</xdr:col>
                    <xdr:colOff>541020</xdr:colOff>
                    <xdr:row>17</xdr:row>
                    <xdr:rowOff>342900</xdr:rowOff>
                  </from>
                  <to>
                    <xdr:col>19</xdr:col>
                    <xdr:colOff>784860</xdr:colOff>
                    <xdr:row>17</xdr:row>
                    <xdr:rowOff>563880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19</xdr:col>
                    <xdr:colOff>541020</xdr:colOff>
                    <xdr:row>18</xdr:row>
                    <xdr:rowOff>342900</xdr:rowOff>
                  </from>
                  <to>
                    <xdr:col>19</xdr:col>
                    <xdr:colOff>784860</xdr:colOff>
                    <xdr:row>18</xdr:row>
                    <xdr:rowOff>563880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19</xdr:col>
                    <xdr:colOff>541020</xdr:colOff>
                    <xdr:row>19</xdr:row>
                    <xdr:rowOff>342900</xdr:rowOff>
                  </from>
                  <to>
                    <xdr:col>19</xdr:col>
                    <xdr:colOff>784860</xdr:colOff>
                    <xdr:row>19</xdr:row>
                    <xdr:rowOff>563880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19</xdr:col>
                    <xdr:colOff>541020</xdr:colOff>
                    <xdr:row>20</xdr:row>
                    <xdr:rowOff>342900</xdr:rowOff>
                  </from>
                  <to>
                    <xdr:col>19</xdr:col>
                    <xdr:colOff>784860</xdr:colOff>
                    <xdr:row>20</xdr:row>
                    <xdr:rowOff>563880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19</xdr:col>
                    <xdr:colOff>541020</xdr:colOff>
                    <xdr:row>21</xdr:row>
                    <xdr:rowOff>342900</xdr:rowOff>
                  </from>
                  <to>
                    <xdr:col>19</xdr:col>
                    <xdr:colOff>784860</xdr:colOff>
                    <xdr:row>21</xdr:row>
                    <xdr:rowOff>563880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19</xdr:col>
                    <xdr:colOff>541020</xdr:colOff>
                    <xdr:row>22</xdr:row>
                    <xdr:rowOff>342900</xdr:rowOff>
                  </from>
                  <to>
                    <xdr:col>19</xdr:col>
                    <xdr:colOff>784860</xdr:colOff>
                    <xdr:row>22</xdr:row>
                    <xdr:rowOff>563880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19</xdr:col>
                    <xdr:colOff>541020</xdr:colOff>
                    <xdr:row>23</xdr:row>
                    <xdr:rowOff>342900</xdr:rowOff>
                  </from>
                  <to>
                    <xdr:col>19</xdr:col>
                    <xdr:colOff>784860</xdr:colOff>
                    <xdr:row>24</xdr:row>
                    <xdr:rowOff>60960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19</xdr:col>
                    <xdr:colOff>541020</xdr:colOff>
                    <xdr:row>24</xdr:row>
                    <xdr:rowOff>342900</xdr:rowOff>
                  </from>
                  <to>
                    <xdr:col>19</xdr:col>
                    <xdr:colOff>784860</xdr:colOff>
                    <xdr:row>25</xdr:row>
                    <xdr:rowOff>60960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19</xdr:col>
                    <xdr:colOff>541020</xdr:colOff>
                    <xdr:row>25</xdr:row>
                    <xdr:rowOff>342900</xdr:rowOff>
                  </from>
                  <to>
                    <xdr:col>19</xdr:col>
                    <xdr:colOff>784860</xdr:colOff>
                    <xdr:row>25</xdr:row>
                    <xdr:rowOff>563880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19</xdr:col>
                    <xdr:colOff>541020</xdr:colOff>
                    <xdr:row>26</xdr:row>
                    <xdr:rowOff>342900</xdr:rowOff>
                  </from>
                  <to>
                    <xdr:col>19</xdr:col>
                    <xdr:colOff>784860</xdr:colOff>
                    <xdr:row>27</xdr:row>
                    <xdr:rowOff>60960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19</xdr:col>
                    <xdr:colOff>541020</xdr:colOff>
                    <xdr:row>27</xdr:row>
                    <xdr:rowOff>342900</xdr:rowOff>
                  </from>
                  <to>
                    <xdr:col>19</xdr:col>
                    <xdr:colOff>784860</xdr:colOff>
                    <xdr:row>28</xdr:row>
                    <xdr:rowOff>60960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19</xdr:col>
                    <xdr:colOff>541020</xdr:colOff>
                    <xdr:row>28</xdr:row>
                    <xdr:rowOff>342900</xdr:rowOff>
                  </from>
                  <to>
                    <xdr:col>19</xdr:col>
                    <xdr:colOff>784860</xdr:colOff>
                    <xdr:row>28</xdr:row>
                    <xdr:rowOff>563880</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19</xdr:col>
                    <xdr:colOff>541020</xdr:colOff>
                    <xdr:row>29</xdr:row>
                    <xdr:rowOff>342900</xdr:rowOff>
                  </from>
                  <to>
                    <xdr:col>19</xdr:col>
                    <xdr:colOff>784860</xdr:colOff>
                    <xdr:row>30</xdr:row>
                    <xdr:rowOff>60960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19</xdr:col>
                    <xdr:colOff>541020</xdr:colOff>
                    <xdr:row>31</xdr:row>
                    <xdr:rowOff>342900</xdr:rowOff>
                  </from>
                  <to>
                    <xdr:col>19</xdr:col>
                    <xdr:colOff>784860</xdr:colOff>
                    <xdr:row>31</xdr:row>
                    <xdr:rowOff>563880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19</xdr:col>
                    <xdr:colOff>541020</xdr:colOff>
                    <xdr:row>32</xdr:row>
                    <xdr:rowOff>342900</xdr:rowOff>
                  </from>
                  <to>
                    <xdr:col>19</xdr:col>
                    <xdr:colOff>784860</xdr:colOff>
                    <xdr:row>33</xdr:row>
                    <xdr:rowOff>30480</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19</xdr:col>
                    <xdr:colOff>541020</xdr:colOff>
                    <xdr:row>33</xdr:row>
                    <xdr:rowOff>342900</xdr:rowOff>
                  </from>
                  <to>
                    <xdr:col>19</xdr:col>
                    <xdr:colOff>784860</xdr:colOff>
                    <xdr:row>33</xdr:row>
                    <xdr:rowOff>563880</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19</xdr:col>
                    <xdr:colOff>541020</xdr:colOff>
                    <xdr:row>34</xdr:row>
                    <xdr:rowOff>342900</xdr:rowOff>
                  </from>
                  <to>
                    <xdr:col>19</xdr:col>
                    <xdr:colOff>784860</xdr:colOff>
                    <xdr:row>34</xdr:row>
                    <xdr:rowOff>563880</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19</xdr:col>
                    <xdr:colOff>541020</xdr:colOff>
                    <xdr:row>35</xdr:row>
                    <xdr:rowOff>342900</xdr:rowOff>
                  </from>
                  <to>
                    <xdr:col>19</xdr:col>
                    <xdr:colOff>784860</xdr:colOff>
                    <xdr:row>36</xdr:row>
                    <xdr:rowOff>7620</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19</xdr:col>
                    <xdr:colOff>541020</xdr:colOff>
                    <xdr:row>36</xdr:row>
                    <xdr:rowOff>342900</xdr:rowOff>
                  </from>
                  <to>
                    <xdr:col>19</xdr:col>
                    <xdr:colOff>784860</xdr:colOff>
                    <xdr:row>37</xdr:row>
                    <xdr:rowOff>22860</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19</xdr:col>
                    <xdr:colOff>541020</xdr:colOff>
                    <xdr:row>37</xdr:row>
                    <xdr:rowOff>342900</xdr:rowOff>
                  </from>
                  <to>
                    <xdr:col>19</xdr:col>
                    <xdr:colOff>784860</xdr:colOff>
                    <xdr:row>38</xdr:row>
                    <xdr:rowOff>30480</xdr:rowOff>
                  </to>
                </anchor>
              </controlPr>
            </control>
          </mc:Choice>
        </mc:AlternateContent>
        <mc:AlternateContent xmlns:mc="http://schemas.openxmlformats.org/markup-compatibility/2006">
          <mc:Choice Requires="x14">
            <control shapeId="2076" r:id="rId30" name="Check Box 28">
              <controlPr defaultSize="0" autoFill="0" autoLine="0" autoPict="0">
                <anchor moveWithCells="1">
                  <from>
                    <xdr:col>19</xdr:col>
                    <xdr:colOff>541020</xdr:colOff>
                    <xdr:row>38</xdr:row>
                    <xdr:rowOff>342900</xdr:rowOff>
                  </from>
                  <to>
                    <xdr:col>19</xdr:col>
                    <xdr:colOff>784860</xdr:colOff>
                    <xdr:row>39</xdr:row>
                    <xdr:rowOff>22860</xdr:rowOff>
                  </to>
                </anchor>
              </controlPr>
            </control>
          </mc:Choice>
        </mc:AlternateContent>
        <mc:AlternateContent xmlns:mc="http://schemas.openxmlformats.org/markup-compatibility/2006">
          <mc:Choice Requires="x14">
            <control shapeId="2077" r:id="rId31" name="Check Box 29">
              <controlPr defaultSize="0" autoFill="0" autoLine="0" autoPict="0">
                <anchor moveWithCells="1">
                  <from>
                    <xdr:col>19</xdr:col>
                    <xdr:colOff>541020</xdr:colOff>
                    <xdr:row>39</xdr:row>
                    <xdr:rowOff>342900</xdr:rowOff>
                  </from>
                  <to>
                    <xdr:col>19</xdr:col>
                    <xdr:colOff>784860</xdr:colOff>
                    <xdr:row>39</xdr:row>
                    <xdr:rowOff>563880</xdr:rowOff>
                  </to>
                </anchor>
              </controlPr>
            </control>
          </mc:Choice>
        </mc:AlternateContent>
        <mc:AlternateContent xmlns:mc="http://schemas.openxmlformats.org/markup-compatibility/2006">
          <mc:Choice Requires="x14">
            <control shapeId="2078" r:id="rId32" name="Check Box 30">
              <controlPr defaultSize="0" autoFill="0" autoLine="0" autoPict="0">
                <anchor moveWithCells="1">
                  <from>
                    <xdr:col>19</xdr:col>
                    <xdr:colOff>541020</xdr:colOff>
                    <xdr:row>40</xdr:row>
                    <xdr:rowOff>342900</xdr:rowOff>
                  </from>
                  <to>
                    <xdr:col>19</xdr:col>
                    <xdr:colOff>784860</xdr:colOff>
                    <xdr:row>40</xdr:row>
                    <xdr:rowOff>563880</xdr:rowOff>
                  </to>
                </anchor>
              </controlPr>
            </control>
          </mc:Choice>
        </mc:AlternateContent>
        <mc:AlternateContent xmlns:mc="http://schemas.openxmlformats.org/markup-compatibility/2006">
          <mc:Choice Requires="x14">
            <control shapeId="2079" r:id="rId33" name="Check Box 31">
              <controlPr defaultSize="0" autoFill="0" autoLine="0" autoPict="0">
                <anchor moveWithCells="1">
                  <from>
                    <xdr:col>19</xdr:col>
                    <xdr:colOff>541020</xdr:colOff>
                    <xdr:row>30</xdr:row>
                    <xdr:rowOff>342900</xdr:rowOff>
                  </from>
                  <to>
                    <xdr:col>19</xdr:col>
                    <xdr:colOff>784860</xdr:colOff>
                    <xdr:row>31</xdr:row>
                    <xdr:rowOff>60960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44C003F3-3AF5-4DAF-B4C8-9A1F98737122}">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37"/>
  <sheetViews>
    <sheetView topLeftCell="A34" zoomScale="70" zoomScaleNormal="70" workbookViewId="0">
      <selection activeCell="E40" sqref="E40:F40"/>
    </sheetView>
  </sheetViews>
  <sheetFormatPr baseColWidth="10" defaultColWidth="11.44140625" defaultRowHeight="13.8" x14ac:dyDescent="0.25"/>
  <cols>
    <col min="1" max="2" width="6.5546875" style="148" customWidth="1"/>
    <col min="3" max="3" width="32.6640625" style="148" customWidth="1"/>
    <col min="4" max="4" width="27.5546875" style="148" customWidth="1"/>
    <col min="5" max="5" width="38" style="148" customWidth="1"/>
    <col min="6" max="6" width="30.33203125" style="148" customWidth="1"/>
    <col min="7" max="7" width="18.33203125" style="148" customWidth="1"/>
    <col min="8" max="8" width="15.5546875" style="148" customWidth="1"/>
    <col min="9" max="9" width="19.33203125" style="148" customWidth="1"/>
    <col min="10" max="10" width="14.5546875" style="148" customWidth="1"/>
    <col min="11" max="16384" width="11.44140625" style="148"/>
  </cols>
  <sheetData>
    <row r="1" spans="1:14" ht="15" customHeight="1" x14ac:dyDescent="0.25">
      <c r="A1" s="345" t="str">
        <f>[1]CONTEXTO!B1</f>
        <v xml:space="preserve">PROCESO: </v>
      </c>
      <c r="B1" s="280"/>
      <c r="C1" s="280"/>
      <c r="D1" s="280"/>
      <c r="E1" s="280"/>
      <c r="F1" s="280"/>
      <c r="G1" s="281"/>
      <c r="H1" s="347" t="s">
        <v>259</v>
      </c>
      <c r="I1" s="348"/>
      <c r="J1" s="349"/>
      <c r="K1" s="147"/>
      <c r="N1" s="265"/>
    </row>
    <row r="2" spans="1:14" ht="15" customHeight="1" x14ac:dyDescent="0.25">
      <c r="A2" s="346"/>
      <c r="B2" s="282"/>
      <c r="C2" s="282"/>
      <c r="D2" s="282"/>
      <c r="E2" s="282"/>
      <c r="F2" s="282"/>
      <c r="G2" s="283"/>
      <c r="H2" s="352" t="s">
        <v>260</v>
      </c>
      <c r="I2" s="353"/>
      <c r="J2" s="350"/>
      <c r="K2" s="147"/>
      <c r="N2" s="265"/>
    </row>
    <row r="3" spans="1:14" ht="15" customHeight="1" x14ac:dyDescent="0.25">
      <c r="A3" s="346" t="s">
        <v>245</v>
      </c>
      <c r="B3" s="282"/>
      <c r="C3" s="282"/>
      <c r="D3" s="282"/>
      <c r="E3" s="282"/>
      <c r="F3" s="282"/>
      <c r="G3" s="283"/>
      <c r="H3" s="352" t="s">
        <v>263</v>
      </c>
      <c r="I3" s="353"/>
      <c r="J3" s="350"/>
      <c r="K3" s="147"/>
      <c r="N3" s="265"/>
    </row>
    <row r="4" spans="1:14" ht="15.75" customHeight="1" x14ac:dyDescent="0.25">
      <c r="A4" s="354"/>
      <c r="B4" s="288"/>
      <c r="C4" s="288"/>
      <c r="D4" s="288"/>
      <c r="E4" s="288"/>
      <c r="F4" s="288"/>
      <c r="G4" s="289"/>
      <c r="H4" s="352" t="s">
        <v>262</v>
      </c>
      <c r="I4" s="353"/>
      <c r="J4" s="351"/>
      <c r="K4" s="147"/>
      <c r="N4" s="265"/>
    </row>
    <row r="5" spans="1:14" ht="15.75" customHeight="1" x14ac:dyDescent="0.25">
      <c r="A5" s="355"/>
      <c r="B5" s="356"/>
      <c r="C5" s="356"/>
      <c r="D5" s="356"/>
      <c r="E5" s="356"/>
      <c r="F5" s="356"/>
      <c r="G5" s="356"/>
      <c r="H5" s="356"/>
      <c r="I5" s="356"/>
      <c r="J5" s="357"/>
      <c r="K5" s="147"/>
      <c r="N5" s="149"/>
    </row>
    <row r="6" spans="1:14" ht="15" customHeight="1" x14ac:dyDescent="0.25">
      <c r="A6" s="367" t="str">
        <f>[1]CONTEXTO!A8</f>
        <v xml:space="preserve">PROCESO: </v>
      </c>
      <c r="B6" s="368"/>
      <c r="C6" s="368"/>
      <c r="D6" s="368"/>
      <c r="E6" s="368"/>
      <c r="F6" s="368"/>
      <c r="G6" s="368"/>
      <c r="H6" s="368"/>
      <c r="I6" s="368"/>
      <c r="J6" s="369"/>
    </row>
    <row r="7" spans="1:14" ht="32.25" customHeight="1" thickBot="1" x14ac:dyDescent="0.3">
      <c r="A7" s="370"/>
      <c r="B7" s="371"/>
      <c r="C7" s="371"/>
      <c r="D7" s="371"/>
      <c r="E7" s="371"/>
      <c r="F7" s="371"/>
      <c r="G7" s="371"/>
      <c r="H7" s="371"/>
      <c r="I7" s="371"/>
      <c r="J7" s="372"/>
    </row>
    <row r="8" spans="1:14" ht="23.25" customHeight="1" x14ac:dyDescent="0.25">
      <c r="A8" s="358" t="s">
        <v>246</v>
      </c>
      <c r="B8" s="359"/>
      <c r="C8" s="359"/>
      <c r="D8" s="360"/>
      <c r="E8" s="333" t="s">
        <v>219</v>
      </c>
      <c r="F8" s="373"/>
      <c r="G8" s="373"/>
      <c r="H8" s="373"/>
      <c r="I8" s="373"/>
      <c r="J8" s="374"/>
    </row>
    <row r="9" spans="1:14" ht="23.25" customHeight="1" x14ac:dyDescent="0.25">
      <c r="A9" s="361"/>
      <c r="B9" s="362"/>
      <c r="C9" s="362"/>
      <c r="D9" s="363"/>
      <c r="E9" s="332" t="s">
        <v>247</v>
      </c>
      <c r="F9" s="332"/>
      <c r="G9" s="332" t="s">
        <v>248</v>
      </c>
      <c r="H9" s="332"/>
      <c r="I9" s="332"/>
      <c r="J9" s="332"/>
    </row>
    <row r="10" spans="1:14" ht="23.25" customHeight="1" x14ac:dyDescent="0.3">
      <c r="A10" s="361"/>
      <c r="B10" s="362"/>
      <c r="C10" s="362"/>
      <c r="D10" s="363"/>
      <c r="E10" s="314" t="s">
        <v>249</v>
      </c>
      <c r="F10" s="314"/>
      <c r="G10" s="375" t="s">
        <v>250</v>
      </c>
      <c r="H10" s="376"/>
      <c r="I10" s="376"/>
      <c r="J10" s="377"/>
    </row>
    <row r="11" spans="1:14" ht="59.4" customHeight="1" x14ac:dyDescent="0.25">
      <c r="A11" s="361"/>
      <c r="B11" s="362"/>
      <c r="C11" s="362"/>
      <c r="D11" s="363"/>
      <c r="E11" s="324" t="s">
        <v>372</v>
      </c>
      <c r="F11" s="325" t="s">
        <v>266</v>
      </c>
      <c r="G11" s="341" t="s">
        <v>303</v>
      </c>
      <c r="H11" s="342"/>
      <c r="I11" s="342"/>
      <c r="J11" s="343"/>
    </row>
    <row r="12" spans="1:14" ht="43.5" customHeight="1" x14ac:dyDescent="0.25">
      <c r="A12" s="361"/>
      <c r="B12" s="362"/>
      <c r="C12" s="362"/>
      <c r="D12" s="363"/>
      <c r="E12" s="324" t="s">
        <v>338</v>
      </c>
      <c r="F12" s="325" t="s">
        <v>268</v>
      </c>
      <c r="G12" s="341" t="s">
        <v>304</v>
      </c>
      <c r="H12" s="342"/>
      <c r="I12" s="342"/>
      <c r="J12" s="343"/>
    </row>
    <row r="13" spans="1:14" ht="43.5" customHeight="1" x14ac:dyDescent="0.25">
      <c r="A13" s="361"/>
      <c r="B13" s="362"/>
      <c r="C13" s="362"/>
      <c r="D13" s="363"/>
      <c r="E13" s="324" t="s">
        <v>339</v>
      </c>
      <c r="F13" s="325" t="s">
        <v>286</v>
      </c>
      <c r="G13" s="379" t="s">
        <v>305</v>
      </c>
      <c r="H13" s="342"/>
      <c r="I13" s="342"/>
      <c r="J13" s="343"/>
    </row>
    <row r="14" spans="1:14" ht="43.5" customHeight="1" x14ac:dyDescent="0.25">
      <c r="A14" s="361"/>
      <c r="B14" s="362"/>
      <c r="C14" s="362"/>
      <c r="D14" s="363"/>
      <c r="E14" s="380" t="s">
        <v>340</v>
      </c>
      <c r="F14" s="381" t="s">
        <v>288</v>
      </c>
      <c r="G14" s="341" t="s">
        <v>306</v>
      </c>
      <c r="H14" s="342"/>
      <c r="I14" s="342"/>
      <c r="J14" s="343"/>
    </row>
    <row r="15" spans="1:14" ht="49.5" customHeight="1" x14ac:dyDescent="0.25">
      <c r="A15" s="361"/>
      <c r="B15" s="362"/>
      <c r="C15" s="362"/>
      <c r="D15" s="363"/>
      <c r="E15" s="324" t="s">
        <v>341</v>
      </c>
      <c r="F15" s="325" t="s">
        <v>289</v>
      </c>
      <c r="G15" s="341" t="s">
        <v>307</v>
      </c>
      <c r="H15" s="342"/>
      <c r="I15" s="342"/>
      <c r="J15" s="343"/>
    </row>
    <row r="16" spans="1:14" ht="49.5" customHeight="1" x14ac:dyDescent="0.25">
      <c r="A16" s="361"/>
      <c r="B16" s="362"/>
      <c r="C16" s="362"/>
      <c r="D16" s="363"/>
      <c r="E16" s="324" t="s">
        <v>342</v>
      </c>
      <c r="F16" s="325" t="s">
        <v>291</v>
      </c>
      <c r="G16" s="378"/>
      <c r="H16" s="378"/>
      <c r="I16" s="378"/>
      <c r="J16" s="378"/>
    </row>
    <row r="17" spans="1:10" ht="54.75" customHeight="1" x14ac:dyDescent="0.25">
      <c r="A17" s="361"/>
      <c r="B17" s="362"/>
      <c r="C17" s="362"/>
      <c r="D17" s="363"/>
      <c r="E17" s="324" t="s">
        <v>343</v>
      </c>
      <c r="F17" s="325" t="s">
        <v>293</v>
      </c>
      <c r="G17" s="344"/>
      <c r="H17" s="344"/>
      <c r="I17" s="344"/>
      <c r="J17" s="344"/>
    </row>
    <row r="18" spans="1:10" ht="48.75" customHeight="1" x14ac:dyDescent="0.25">
      <c r="A18" s="361"/>
      <c r="B18" s="362"/>
      <c r="C18" s="362"/>
      <c r="D18" s="363"/>
      <c r="E18" s="324" t="s">
        <v>344</v>
      </c>
      <c r="F18" s="325" t="s">
        <v>294</v>
      </c>
      <c r="G18" s="344"/>
      <c r="H18" s="344"/>
      <c r="I18" s="344"/>
      <c r="J18" s="344"/>
    </row>
    <row r="19" spans="1:10" ht="54.75" customHeight="1" x14ac:dyDescent="0.25">
      <c r="A19" s="361"/>
      <c r="B19" s="362"/>
      <c r="C19" s="362"/>
      <c r="D19" s="363"/>
      <c r="E19" s="324" t="s">
        <v>345</v>
      </c>
      <c r="F19" s="325" t="s">
        <v>295</v>
      </c>
      <c r="G19" s="344"/>
      <c r="H19" s="344"/>
      <c r="I19" s="344"/>
      <c r="J19" s="344"/>
    </row>
    <row r="20" spans="1:10" ht="59.25" customHeight="1" x14ac:dyDescent="0.25">
      <c r="A20" s="361"/>
      <c r="B20" s="362"/>
      <c r="C20" s="362"/>
      <c r="D20" s="363"/>
      <c r="E20" s="324" t="s">
        <v>346</v>
      </c>
      <c r="F20" s="325" t="s">
        <v>296</v>
      </c>
      <c r="G20" s="344"/>
      <c r="H20" s="344"/>
      <c r="I20" s="344"/>
      <c r="J20" s="344"/>
    </row>
    <row r="21" spans="1:10" ht="49.5" customHeight="1" x14ac:dyDescent="0.25">
      <c r="A21" s="361"/>
      <c r="B21" s="362"/>
      <c r="C21" s="362"/>
      <c r="D21" s="363"/>
      <c r="E21" s="324" t="s">
        <v>347</v>
      </c>
      <c r="F21" s="325" t="s">
        <v>297</v>
      </c>
      <c r="G21" s="329"/>
      <c r="H21" s="330"/>
      <c r="I21" s="330"/>
      <c r="J21" s="331"/>
    </row>
    <row r="22" spans="1:10" ht="49.5" customHeight="1" x14ac:dyDescent="0.25">
      <c r="A22" s="361"/>
      <c r="B22" s="362"/>
      <c r="C22" s="362"/>
      <c r="D22" s="363"/>
      <c r="E22" s="324" t="s">
        <v>348</v>
      </c>
      <c r="F22" s="325" t="s">
        <v>298</v>
      </c>
      <c r="G22" s="329"/>
      <c r="H22" s="330"/>
      <c r="I22" s="330"/>
      <c r="J22" s="331"/>
    </row>
    <row r="23" spans="1:10" ht="49.5" customHeight="1" x14ac:dyDescent="0.25">
      <c r="A23" s="361"/>
      <c r="B23" s="362"/>
      <c r="C23" s="362"/>
      <c r="D23" s="363"/>
      <c r="E23" s="324" t="s">
        <v>349</v>
      </c>
      <c r="F23" s="325" t="s">
        <v>267</v>
      </c>
      <c r="G23" s="329"/>
      <c r="H23" s="330"/>
      <c r="I23" s="330"/>
      <c r="J23" s="331"/>
    </row>
    <row r="24" spans="1:10" ht="49.5" customHeight="1" x14ac:dyDescent="0.25">
      <c r="A24" s="361"/>
      <c r="B24" s="362"/>
      <c r="C24" s="362"/>
      <c r="D24" s="363"/>
      <c r="E24" s="324" t="s">
        <v>350</v>
      </c>
      <c r="F24" s="325" t="s">
        <v>273</v>
      </c>
      <c r="G24" s="329"/>
      <c r="H24" s="330"/>
      <c r="I24" s="330"/>
      <c r="J24" s="331"/>
    </row>
    <row r="25" spans="1:10" ht="49.5" customHeight="1" x14ac:dyDescent="0.25">
      <c r="A25" s="361"/>
      <c r="B25" s="362"/>
      <c r="C25" s="362"/>
      <c r="D25" s="363"/>
      <c r="E25" s="324" t="s">
        <v>351</v>
      </c>
      <c r="F25" s="325" t="s">
        <v>300</v>
      </c>
      <c r="G25" s="329"/>
      <c r="H25" s="330"/>
      <c r="I25" s="330"/>
      <c r="J25" s="331"/>
    </row>
    <row r="26" spans="1:10" ht="49.5" customHeight="1" x14ac:dyDescent="0.25">
      <c r="A26" s="361"/>
      <c r="B26" s="362"/>
      <c r="C26" s="362"/>
      <c r="D26" s="363"/>
      <c r="E26" s="324" t="s">
        <v>352</v>
      </c>
      <c r="F26" s="325" t="s">
        <v>301</v>
      </c>
      <c r="G26" s="329"/>
      <c r="H26" s="330"/>
      <c r="I26" s="330"/>
      <c r="J26" s="331"/>
    </row>
    <row r="27" spans="1:10" ht="49.5" customHeight="1" x14ac:dyDescent="0.25">
      <c r="A27" s="361"/>
      <c r="B27" s="362"/>
      <c r="C27" s="362"/>
      <c r="D27" s="363"/>
      <c r="E27" s="324" t="s">
        <v>353</v>
      </c>
      <c r="F27" s="325" t="s">
        <v>302</v>
      </c>
      <c r="G27" s="326"/>
      <c r="H27" s="327"/>
      <c r="I27" s="327"/>
      <c r="J27" s="328"/>
    </row>
    <row r="28" spans="1:10" ht="49.5" customHeight="1" x14ac:dyDescent="0.25">
      <c r="A28" s="361"/>
      <c r="B28" s="362"/>
      <c r="C28" s="362"/>
      <c r="D28" s="363"/>
      <c r="E28" s="324" t="s">
        <v>354</v>
      </c>
      <c r="F28" s="325"/>
      <c r="G28" s="329"/>
      <c r="H28" s="330"/>
      <c r="I28" s="330"/>
      <c r="J28" s="331"/>
    </row>
    <row r="29" spans="1:10" ht="49.5" customHeight="1" x14ac:dyDescent="0.25">
      <c r="A29" s="361"/>
      <c r="B29" s="362"/>
      <c r="C29" s="362"/>
      <c r="D29" s="363"/>
      <c r="E29" s="324" t="s">
        <v>367</v>
      </c>
      <c r="F29" s="325"/>
      <c r="G29" s="329"/>
      <c r="H29" s="330"/>
      <c r="I29" s="330"/>
      <c r="J29" s="331"/>
    </row>
    <row r="30" spans="1:10" ht="49.5" customHeight="1" x14ac:dyDescent="0.25">
      <c r="A30" s="364"/>
      <c r="B30" s="365"/>
      <c r="C30" s="365"/>
      <c r="D30" s="366"/>
      <c r="E30" s="324" t="s">
        <v>368</v>
      </c>
      <c r="F30" s="325"/>
      <c r="G30" s="329"/>
      <c r="H30" s="330"/>
      <c r="I30" s="330"/>
      <c r="J30" s="331"/>
    </row>
    <row r="31" spans="1:10" ht="51.75" customHeight="1" x14ac:dyDescent="0.25">
      <c r="A31" s="313" t="s">
        <v>217</v>
      </c>
      <c r="B31" s="313" t="s">
        <v>248</v>
      </c>
      <c r="C31" s="314" t="s">
        <v>251</v>
      </c>
      <c r="D31" s="314"/>
      <c r="E31" s="332" t="s">
        <v>252</v>
      </c>
      <c r="F31" s="314"/>
      <c r="G31" s="333" t="s">
        <v>253</v>
      </c>
      <c r="H31" s="334"/>
      <c r="I31" s="334"/>
      <c r="J31" s="335"/>
    </row>
    <row r="32" spans="1:10" ht="48.75" customHeight="1" x14ac:dyDescent="0.25">
      <c r="A32" s="313"/>
      <c r="B32" s="313"/>
      <c r="C32" s="307" t="s">
        <v>308</v>
      </c>
      <c r="D32" s="311"/>
      <c r="E32" s="307" t="s">
        <v>309</v>
      </c>
      <c r="F32" s="311"/>
      <c r="G32" s="338" t="s">
        <v>310</v>
      </c>
      <c r="H32" s="312"/>
      <c r="I32" s="312"/>
      <c r="J32" s="311"/>
    </row>
    <row r="33" spans="1:10" ht="51" customHeight="1" x14ac:dyDescent="0.25">
      <c r="A33" s="313"/>
      <c r="B33" s="313"/>
      <c r="C33" s="307" t="s">
        <v>311</v>
      </c>
      <c r="D33" s="311"/>
      <c r="E33" s="307" t="s">
        <v>312</v>
      </c>
      <c r="F33" s="311"/>
      <c r="G33" s="307" t="s">
        <v>313</v>
      </c>
      <c r="H33" s="312"/>
      <c r="I33" s="312"/>
      <c r="J33" s="311"/>
    </row>
    <row r="34" spans="1:10" ht="54.75" customHeight="1" x14ac:dyDescent="0.25">
      <c r="A34" s="313"/>
      <c r="B34" s="313"/>
      <c r="C34" s="307" t="s">
        <v>314</v>
      </c>
      <c r="D34" s="311"/>
      <c r="E34" s="339" t="s">
        <v>315</v>
      </c>
      <c r="F34" s="340"/>
      <c r="G34" s="307" t="s">
        <v>316</v>
      </c>
      <c r="H34" s="312"/>
      <c r="I34" s="312"/>
      <c r="J34" s="311"/>
    </row>
    <row r="35" spans="1:10" ht="49.5" customHeight="1" x14ac:dyDescent="0.25">
      <c r="A35" s="313"/>
      <c r="B35" s="313"/>
      <c r="C35" s="307" t="s">
        <v>317</v>
      </c>
      <c r="D35" s="311"/>
      <c r="E35" s="307" t="s">
        <v>318</v>
      </c>
      <c r="F35" s="311"/>
      <c r="G35" s="307" t="s">
        <v>319</v>
      </c>
      <c r="H35" s="312"/>
      <c r="I35" s="312"/>
      <c r="J35" s="311"/>
    </row>
    <row r="36" spans="1:10" ht="51" customHeight="1" x14ac:dyDescent="0.25">
      <c r="A36" s="313"/>
      <c r="B36" s="313"/>
      <c r="C36" s="307" t="s">
        <v>320</v>
      </c>
      <c r="D36" s="311"/>
      <c r="E36" s="336" t="s">
        <v>321</v>
      </c>
      <c r="F36" s="337"/>
      <c r="G36" s="307" t="s">
        <v>322</v>
      </c>
      <c r="H36" s="312"/>
      <c r="I36" s="312"/>
      <c r="J36" s="311"/>
    </row>
    <row r="37" spans="1:10" ht="84.75" customHeight="1" x14ac:dyDescent="0.25">
      <c r="A37" s="313"/>
      <c r="B37" s="313"/>
      <c r="C37" s="323" t="s">
        <v>376</v>
      </c>
      <c r="D37" s="323"/>
      <c r="E37" s="320" t="s">
        <v>374</v>
      </c>
      <c r="F37" s="321"/>
      <c r="G37" s="300"/>
      <c r="H37" s="300"/>
      <c r="I37" s="300"/>
      <c r="J37" s="300"/>
    </row>
    <row r="38" spans="1:10" ht="86.25" customHeight="1" x14ac:dyDescent="0.25">
      <c r="A38" s="313"/>
      <c r="B38" s="313"/>
      <c r="C38" s="300"/>
      <c r="D38" s="300"/>
      <c r="E38" s="320" t="s">
        <v>375</v>
      </c>
      <c r="F38" s="321"/>
      <c r="G38" s="301"/>
      <c r="H38" s="303"/>
      <c r="I38" s="303"/>
      <c r="J38" s="302"/>
    </row>
    <row r="39" spans="1:10" ht="73.5" customHeight="1" x14ac:dyDescent="0.25">
      <c r="A39" s="313"/>
      <c r="B39" s="313"/>
      <c r="C39" s="300"/>
      <c r="D39" s="300"/>
      <c r="E39" s="323" t="s">
        <v>377</v>
      </c>
      <c r="F39" s="323"/>
      <c r="G39" s="300"/>
      <c r="H39" s="300"/>
      <c r="I39" s="300"/>
      <c r="J39" s="300"/>
    </row>
    <row r="40" spans="1:10" ht="51" customHeight="1" x14ac:dyDescent="0.25">
      <c r="A40" s="313"/>
      <c r="B40" s="313"/>
      <c r="C40" s="323"/>
      <c r="D40" s="323"/>
      <c r="E40" s="300"/>
      <c r="F40" s="300"/>
      <c r="G40" s="300"/>
      <c r="H40" s="300"/>
      <c r="I40" s="300"/>
      <c r="J40" s="300"/>
    </row>
    <row r="41" spans="1:10" ht="51" customHeight="1" x14ac:dyDescent="0.25">
      <c r="A41" s="313"/>
      <c r="B41" s="313"/>
      <c r="C41" s="320"/>
      <c r="D41" s="321"/>
      <c r="E41" s="301"/>
      <c r="F41" s="302"/>
      <c r="G41" s="301"/>
      <c r="H41" s="303"/>
      <c r="I41" s="303"/>
      <c r="J41" s="302"/>
    </row>
    <row r="42" spans="1:10" ht="45.75" customHeight="1" x14ac:dyDescent="0.25">
      <c r="A42" s="313"/>
      <c r="B42" s="313"/>
      <c r="C42" s="320"/>
      <c r="D42" s="321"/>
      <c r="E42" s="301"/>
      <c r="F42" s="302"/>
      <c r="G42" s="301"/>
      <c r="H42" s="303"/>
      <c r="I42" s="303"/>
      <c r="J42" s="302"/>
    </row>
    <row r="43" spans="1:10" ht="41.25" customHeight="1" x14ac:dyDescent="0.25">
      <c r="A43" s="313"/>
      <c r="B43" s="313"/>
      <c r="C43" s="300"/>
      <c r="D43" s="300"/>
      <c r="E43" s="322"/>
      <c r="F43" s="322"/>
      <c r="G43" s="322"/>
      <c r="H43" s="322"/>
      <c r="I43" s="322"/>
      <c r="J43" s="322"/>
    </row>
    <row r="44" spans="1:10" ht="66" customHeight="1" x14ac:dyDescent="0.3">
      <c r="A44" s="313"/>
      <c r="B44" s="313" t="s">
        <v>247</v>
      </c>
      <c r="C44" s="314" t="s">
        <v>254</v>
      </c>
      <c r="D44" s="314"/>
      <c r="E44" s="315" t="s">
        <v>255</v>
      </c>
      <c r="F44" s="316"/>
      <c r="G44" s="317" t="s">
        <v>256</v>
      </c>
      <c r="H44" s="318"/>
      <c r="I44" s="318"/>
      <c r="J44" s="319"/>
    </row>
    <row r="45" spans="1:10" ht="72" customHeight="1" x14ac:dyDescent="0.25">
      <c r="A45" s="313"/>
      <c r="B45" s="313"/>
      <c r="C45" s="320" t="s">
        <v>269</v>
      </c>
      <c r="D45" s="321" t="s">
        <v>269</v>
      </c>
      <c r="E45" s="307" t="s">
        <v>323</v>
      </c>
      <c r="F45" s="311"/>
      <c r="G45" s="307" t="s">
        <v>324</v>
      </c>
      <c r="H45" s="312"/>
      <c r="I45" s="312"/>
      <c r="J45" s="311"/>
    </row>
    <row r="46" spans="1:10" ht="47.25" customHeight="1" x14ac:dyDescent="0.25">
      <c r="A46" s="313"/>
      <c r="B46" s="313"/>
      <c r="C46" s="320" t="s">
        <v>274</v>
      </c>
      <c r="D46" s="321" t="s">
        <v>274</v>
      </c>
      <c r="E46" s="307" t="s">
        <v>325</v>
      </c>
      <c r="F46" s="311"/>
      <c r="G46" s="307" t="s">
        <v>326</v>
      </c>
      <c r="H46" s="312"/>
      <c r="I46" s="312"/>
      <c r="J46" s="311"/>
    </row>
    <row r="47" spans="1:10" ht="49.5" customHeight="1" x14ac:dyDescent="0.25">
      <c r="A47" s="313"/>
      <c r="B47" s="313"/>
      <c r="C47" s="320" t="s">
        <v>276</v>
      </c>
      <c r="D47" s="321" t="s">
        <v>276</v>
      </c>
      <c r="E47" s="307" t="s">
        <v>327</v>
      </c>
      <c r="F47" s="311"/>
      <c r="G47" s="307" t="s">
        <v>328</v>
      </c>
      <c r="H47" s="312"/>
      <c r="I47" s="312"/>
      <c r="J47" s="311"/>
    </row>
    <row r="48" spans="1:10" ht="48" customHeight="1" x14ac:dyDescent="0.25">
      <c r="A48" s="313"/>
      <c r="B48" s="313"/>
      <c r="C48" s="301" t="s">
        <v>277</v>
      </c>
      <c r="D48" s="302" t="s">
        <v>277</v>
      </c>
      <c r="E48" s="307" t="s">
        <v>329</v>
      </c>
      <c r="F48" s="311"/>
      <c r="G48" s="307" t="s">
        <v>330</v>
      </c>
      <c r="H48" s="312"/>
      <c r="I48" s="312"/>
      <c r="J48" s="311"/>
    </row>
    <row r="49" spans="1:10" ht="45.75" customHeight="1" x14ac:dyDescent="0.25">
      <c r="A49" s="313"/>
      <c r="B49" s="313"/>
      <c r="C49" s="301" t="s">
        <v>279</v>
      </c>
      <c r="D49" s="302" t="s">
        <v>279</v>
      </c>
      <c r="E49" s="307" t="s">
        <v>331</v>
      </c>
      <c r="F49" s="311"/>
      <c r="G49" s="307" t="s">
        <v>332</v>
      </c>
      <c r="H49" s="312"/>
      <c r="I49" s="312"/>
      <c r="J49" s="311"/>
    </row>
    <row r="50" spans="1:10" ht="45.75" customHeight="1" x14ac:dyDescent="0.25">
      <c r="A50" s="313"/>
      <c r="B50" s="313"/>
      <c r="C50" s="301" t="s">
        <v>280</v>
      </c>
      <c r="D50" s="302" t="s">
        <v>280</v>
      </c>
      <c r="E50" s="307" t="s">
        <v>333</v>
      </c>
      <c r="F50" s="311"/>
      <c r="G50" s="307" t="s">
        <v>334</v>
      </c>
      <c r="H50" s="308"/>
      <c r="I50" s="308"/>
      <c r="J50" s="309"/>
    </row>
    <row r="51" spans="1:10" ht="45" customHeight="1" x14ac:dyDescent="0.25">
      <c r="A51" s="313"/>
      <c r="B51" s="313"/>
      <c r="C51" s="301" t="s">
        <v>281</v>
      </c>
      <c r="D51" s="302" t="s">
        <v>281</v>
      </c>
      <c r="E51" s="310"/>
      <c r="F51" s="311"/>
      <c r="G51" s="307" t="s">
        <v>335</v>
      </c>
      <c r="H51" s="308"/>
      <c r="I51" s="308"/>
      <c r="J51" s="309"/>
    </row>
    <row r="52" spans="1:10" ht="50.25" customHeight="1" x14ac:dyDescent="0.25">
      <c r="A52" s="313"/>
      <c r="B52" s="313"/>
      <c r="C52" s="301" t="s">
        <v>282</v>
      </c>
      <c r="D52" s="302" t="s">
        <v>282</v>
      </c>
      <c r="E52" s="301"/>
      <c r="F52" s="302"/>
      <c r="G52" s="301"/>
      <c r="H52" s="303"/>
      <c r="I52" s="303"/>
      <c r="J52" s="302"/>
    </row>
    <row r="53" spans="1:10" ht="52.5" customHeight="1" x14ac:dyDescent="0.25">
      <c r="A53" s="313"/>
      <c r="B53" s="313"/>
      <c r="C53" s="301" t="s">
        <v>284</v>
      </c>
      <c r="D53" s="302" t="s">
        <v>284</v>
      </c>
      <c r="E53" s="304"/>
      <c r="F53" s="305"/>
      <c r="G53" s="304"/>
      <c r="H53" s="306"/>
      <c r="I53" s="306"/>
      <c r="J53" s="305"/>
    </row>
    <row r="54" spans="1:10" ht="48" customHeight="1" x14ac:dyDescent="0.25">
      <c r="A54" s="313"/>
      <c r="B54" s="313"/>
      <c r="C54" s="301"/>
      <c r="D54" s="302"/>
      <c r="E54" s="301"/>
      <c r="F54" s="302"/>
      <c r="G54" s="301"/>
      <c r="H54" s="303"/>
      <c r="I54" s="303"/>
      <c r="J54" s="302"/>
    </row>
    <row r="55" spans="1:10" ht="46.5" customHeight="1" x14ac:dyDescent="0.25">
      <c r="A55" s="313"/>
      <c r="B55" s="313"/>
      <c r="C55" s="301"/>
      <c r="D55" s="302"/>
      <c r="E55" s="304"/>
      <c r="F55" s="305"/>
      <c r="G55" s="304"/>
      <c r="H55" s="306"/>
      <c r="I55" s="306"/>
      <c r="J55" s="305"/>
    </row>
    <row r="56" spans="1:10" ht="48" customHeight="1" x14ac:dyDescent="0.25">
      <c r="A56" s="313"/>
      <c r="B56" s="313"/>
      <c r="C56" s="301"/>
      <c r="D56" s="302"/>
      <c r="E56" s="301"/>
      <c r="F56" s="302"/>
      <c r="G56" s="301"/>
      <c r="H56" s="303"/>
      <c r="I56" s="303"/>
      <c r="J56" s="302"/>
    </row>
    <row r="57" spans="1:10" ht="53.25" customHeight="1" x14ac:dyDescent="0.25">
      <c r="A57" s="313"/>
      <c r="B57" s="313"/>
      <c r="C57" s="301"/>
      <c r="D57" s="302"/>
      <c r="E57" s="301"/>
      <c r="F57" s="302"/>
      <c r="G57" s="301"/>
      <c r="H57" s="303"/>
      <c r="I57" s="303"/>
      <c r="J57" s="302"/>
    </row>
    <row r="58" spans="1:10" ht="43.5" customHeight="1" x14ac:dyDescent="0.25">
      <c r="A58" s="313"/>
      <c r="B58" s="313"/>
      <c r="C58" s="300"/>
      <c r="D58" s="300"/>
      <c r="E58" s="300"/>
      <c r="F58" s="300"/>
      <c r="G58" s="300"/>
      <c r="H58" s="300"/>
      <c r="I58" s="300"/>
      <c r="J58" s="300"/>
    </row>
    <row r="59" spans="1:10" ht="48.75" customHeight="1" x14ac:dyDescent="0.25">
      <c r="A59" s="313"/>
      <c r="B59" s="313"/>
      <c r="C59" s="300"/>
      <c r="D59" s="300"/>
      <c r="E59" s="300"/>
      <c r="F59" s="300"/>
      <c r="G59" s="300"/>
      <c r="H59" s="300"/>
      <c r="I59" s="300"/>
      <c r="J59" s="300"/>
    </row>
    <row r="60" spans="1:10" x14ac:dyDescent="0.25">
      <c r="C60" s="198"/>
      <c r="D60" s="198"/>
      <c r="E60" s="299"/>
      <c r="F60" s="299"/>
      <c r="G60" s="299"/>
      <c r="H60" s="299"/>
      <c r="I60" s="299"/>
      <c r="J60" s="299"/>
    </row>
    <row r="61" spans="1:10" x14ac:dyDescent="0.25">
      <c r="C61" s="198"/>
      <c r="D61" s="198"/>
      <c r="E61" s="299"/>
      <c r="F61" s="299"/>
      <c r="G61" s="299"/>
      <c r="H61" s="299"/>
      <c r="I61" s="299"/>
      <c r="J61" s="299"/>
    </row>
    <row r="62" spans="1:10" x14ac:dyDescent="0.25">
      <c r="E62" s="298"/>
      <c r="F62" s="298"/>
      <c r="G62" s="298"/>
      <c r="H62" s="298"/>
      <c r="I62" s="298"/>
      <c r="J62" s="298"/>
    </row>
    <row r="63" spans="1:10" x14ac:dyDescent="0.25">
      <c r="E63" s="298"/>
      <c r="F63" s="298"/>
      <c r="G63" s="298"/>
      <c r="H63" s="298"/>
      <c r="I63" s="298"/>
      <c r="J63" s="298"/>
    </row>
    <row r="64" spans="1:10" x14ac:dyDescent="0.25">
      <c r="E64" s="298"/>
      <c r="F64" s="298"/>
      <c r="G64" s="298"/>
      <c r="H64" s="298"/>
      <c r="I64" s="298"/>
      <c r="J64" s="298"/>
    </row>
    <row r="65" spans="5:10" x14ac:dyDescent="0.25">
      <c r="E65" s="298"/>
      <c r="F65" s="298"/>
      <c r="G65" s="298"/>
      <c r="H65" s="298"/>
      <c r="I65" s="298"/>
      <c r="J65" s="298"/>
    </row>
    <row r="66" spans="5:10" x14ac:dyDescent="0.25">
      <c r="E66" s="298"/>
      <c r="F66" s="298"/>
      <c r="G66" s="298"/>
      <c r="H66" s="298"/>
      <c r="I66" s="298"/>
      <c r="J66" s="298"/>
    </row>
    <row r="67" spans="5:10" x14ac:dyDescent="0.25">
      <c r="E67" s="298"/>
      <c r="F67" s="298"/>
      <c r="G67" s="298"/>
      <c r="H67" s="298"/>
      <c r="I67" s="298"/>
      <c r="J67" s="298"/>
    </row>
    <row r="68" spans="5:10" x14ac:dyDescent="0.25">
      <c r="E68" s="298"/>
      <c r="F68" s="298"/>
      <c r="G68" s="298"/>
      <c r="H68" s="298"/>
      <c r="I68" s="298"/>
      <c r="J68" s="298"/>
    </row>
    <row r="69" spans="5:10" x14ac:dyDescent="0.25">
      <c r="E69" s="298"/>
      <c r="F69" s="298"/>
      <c r="G69" s="298"/>
      <c r="H69" s="298"/>
      <c r="I69" s="298"/>
      <c r="J69" s="298"/>
    </row>
    <row r="70" spans="5:10" x14ac:dyDescent="0.25">
      <c r="E70" s="298"/>
      <c r="F70" s="298"/>
      <c r="G70" s="298"/>
      <c r="H70" s="298"/>
      <c r="I70" s="298"/>
      <c r="J70" s="298"/>
    </row>
    <row r="71" spans="5:10" x14ac:dyDescent="0.25">
      <c r="E71" s="298"/>
      <c r="F71" s="298"/>
      <c r="G71" s="298"/>
      <c r="H71" s="298"/>
      <c r="I71" s="298"/>
      <c r="J71" s="298"/>
    </row>
    <row r="72" spans="5:10" x14ac:dyDescent="0.25">
      <c r="E72" s="298"/>
      <c r="F72" s="298"/>
      <c r="G72" s="298"/>
      <c r="H72" s="298"/>
      <c r="I72" s="298"/>
      <c r="J72" s="298"/>
    </row>
    <row r="73" spans="5:10" x14ac:dyDescent="0.25">
      <c r="E73" s="298"/>
      <c r="F73" s="298"/>
      <c r="G73" s="298"/>
      <c r="H73" s="298"/>
      <c r="I73" s="298"/>
      <c r="J73" s="298"/>
    </row>
    <row r="74" spans="5:10" x14ac:dyDescent="0.25">
      <c r="E74" s="298"/>
      <c r="F74" s="298"/>
      <c r="G74" s="298"/>
      <c r="H74" s="298"/>
      <c r="I74" s="298"/>
      <c r="J74" s="298"/>
    </row>
    <row r="75" spans="5:10" x14ac:dyDescent="0.25">
      <c r="E75" s="298"/>
      <c r="F75" s="298"/>
      <c r="G75" s="298"/>
      <c r="H75" s="298"/>
      <c r="I75" s="298"/>
      <c r="J75" s="298"/>
    </row>
    <row r="76" spans="5:10" x14ac:dyDescent="0.25">
      <c r="E76" s="298"/>
      <c r="F76" s="298"/>
      <c r="G76" s="298"/>
      <c r="H76" s="298"/>
      <c r="I76" s="298"/>
      <c r="J76" s="298"/>
    </row>
    <row r="77" spans="5:10" x14ac:dyDescent="0.25">
      <c r="E77" s="298"/>
      <c r="F77" s="298"/>
      <c r="G77" s="298"/>
      <c r="H77" s="298"/>
      <c r="I77" s="298"/>
      <c r="J77" s="298"/>
    </row>
    <row r="78" spans="5:10" x14ac:dyDescent="0.25">
      <c r="E78" s="298"/>
      <c r="F78" s="298"/>
      <c r="G78" s="298"/>
      <c r="H78" s="298"/>
      <c r="I78" s="298"/>
      <c r="J78" s="298"/>
    </row>
    <row r="79" spans="5:10" x14ac:dyDescent="0.25">
      <c r="E79" s="298"/>
      <c r="F79" s="298"/>
      <c r="G79" s="298"/>
      <c r="H79" s="298"/>
      <c r="I79" s="298"/>
      <c r="J79" s="298"/>
    </row>
    <row r="80" spans="5:10" x14ac:dyDescent="0.25">
      <c r="E80" s="298"/>
      <c r="F80" s="298"/>
      <c r="G80" s="298"/>
      <c r="H80" s="298"/>
      <c r="I80" s="298"/>
      <c r="J80" s="298"/>
    </row>
    <row r="81" spans="5:10" x14ac:dyDescent="0.25">
      <c r="E81" s="298"/>
      <c r="F81" s="298"/>
      <c r="G81" s="298"/>
      <c r="H81" s="298"/>
      <c r="I81" s="298"/>
      <c r="J81" s="298"/>
    </row>
    <row r="82" spans="5:10" x14ac:dyDescent="0.25">
      <c r="E82" s="298"/>
      <c r="F82" s="298"/>
      <c r="G82" s="298"/>
      <c r="H82" s="298"/>
      <c r="I82" s="298"/>
      <c r="J82" s="298"/>
    </row>
    <row r="83" spans="5:10" x14ac:dyDescent="0.25">
      <c r="E83" s="298"/>
      <c r="F83" s="298"/>
      <c r="G83" s="298"/>
      <c r="H83" s="298"/>
      <c r="I83" s="298"/>
      <c r="J83" s="298"/>
    </row>
    <row r="84" spans="5:10" x14ac:dyDescent="0.25">
      <c r="E84" s="298"/>
      <c r="F84" s="298"/>
      <c r="G84" s="298"/>
      <c r="H84" s="298"/>
      <c r="I84" s="298"/>
      <c r="J84" s="298"/>
    </row>
    <row r="85" spans="5:10" x14ac:dyDescent="0.25">
      <c r="E85" s="298"/>
      <c r="F85" s="298"/>
      <c r="G85" s="298"/>
      <c r="H85" s="298"/>
      <c r="I85" s="298"/>
      <c r="J85" s="298"/>
    </row>
    <row r="86" spans="5:10" x14ac:dyDescent="0.25">
      <c r="E86" s="298"/>
      <c r="F86" s="298"/>
      <c r="G86" s="298"/>
      <c r="H86" s="298"/>
      <c r="I86" s="298"/>
      <c r="J86" s="298"/>
    </row>
    <row r="87" spans="5:10" x14ac:dyDescent="0.25">
      <c r="E87" s="298"/>
      <c r="F87" s="298"/>
      <c r="G87" s="298"/>
      <c r="H87" s="298"/>
      <c r="I87" s="298"/>
      <c r="J87" s="298"/>
    </row>
    <row r="88" spans="5:10" x14ac:dyDescent="0.25">
      <c r="E88" s="298"/>
      <c r="F88" s="298"/>
      <c r="G88" s="298"/>
      <c r="H88" s="298"/>
      <c r="I88" s="298"/>
      <c r="J88" s="298"/>
    </row>
    <row r="89" spans="5:10" x14ac:dyDescent="0.25">
      <c r="E89" s="298"/>
      <c r="F89" s="298"/>
      <c r="G89" s="298"/>
      <c r="H89" s="298"/>
      <c r="I89" s="298"/>
      <c r="J89" s="298"/>
    </row>
    <row r="90" spans="5:10" x14ac:dyDescent="0.25">
      <c r="E90" s="298"/>
      <c r="F90" s="298"/>
      <c r="G90" s="298"/>
      <c r="H90" s="298"/>
      <c r="I90" s="298"/>
      <c r="J90" s="298"/>
    </row>
    <row r="91" spans="5:10" x14ac:dyDescent="0.25">
      <c r="E91" s="298"/>
      <c r="F91" s="298"/>
      <c r="G91" s="298"/>
      <c r="H91" s="298"/>
      <c r="I91" s="298"/>
      <c r="J91" s="298"/>
    </row>
    <row r="92" spans="5:10" x14ac:dyDescent="0.25">
      <c r="E92" s="298"/>
      <c r="F92" s="298"/>
      <c r="G92" s="298"/>
      <c r="H92" s="298"/>
      <c r="I92" s="298"/>
      <c r="J92" s="298"/>
    </row>
    <row r="93" spans="5:10" x14ac:dyDescent="0.25">
      <c r="E93" s="298"/>
      <c r="F93" s="298"/>
      <c r="G93" s="298"/>
      <c r="H93" s="298"/>
      <c r="I93" s="298"/>
      <c r="J93" s="298"/>
    </row>
    <row r="94" spans="5:10" x14ac:dyDescent="0.25">
      <c r="E94" s="298"/>
      <c r="F94" s="298"/>
      <c r="G94" s="298"/>
      <c r="H94" s="298"/>
      <c r="I94" s="298"/>
      <c r="J94" s="298"/>
    </row>
    <row r="95" spans="5:10" x14ac:dyDescent="0.25">
      <c r="E95" s="298"/>
      <c r="F95" s="298"/>
      <c r="G95" s="298"/>
      <c r="H95" s="298"/>
      <c r="I95" s="298"/>
      <c r="J95" s="298"/>
    </row>
    <row r="96" spans="5:10" x14ac:dyDescent="0.25">
      <c r="E96" s="298"/>
      <c r="F96" s="298"/>
      <c r="G96" s="298"/>
      <c r="H96" s="298"/>
      <c r="I96" s="298"/>
      <c r="J96" s="298"/>
    </row>
    <row r="97" spans="5:10" x14ac:dyDescent="0.25">
      <c r="E97" s="298"/>
      <c r="F97" s="298"/>
      <c r="G97" s="298"/>
      <c r="H97" s="298"/>
      <c r="I97" s="298"/>
      <c r="J97" s="298"/>
    </row>
    <row r="98" spans="5:10" x14ac:dyDescent="0.25">
      <c r="E98" s="298"/>
      <c r="F98" s="298"/>
      <c r="G98" s="298"/>
      <c r="H98" s="298"/>
      <c r="I98" s="298"/>
      <c r="J98" s="298"/>
    </row>
    <row r="99" spans="5:10" x14ac:dyDescent="0.25">
      <c r="E99" s="298"/>
      <c r="F99" s="298"/>
      <c r="G99" s="298"/>
      <c r="H99" s="298"/>
      <c r="I99" s="298"/>
      <c r="J99" s="298"/>
    </row>
    <row r="100" spans="5:10" x14ac:dyDescent="0.25">
      <c r="E100" s="298"/>
      <c r="F100" s="298"/>
      <c r="G100" s="298"/>
      <c r="H100" s="298"/>
      <c r="I100" s="298"/>
      <c r="J100" s="298"/>
    </row>
    <row r="101" spans="5:10" x14ac:dyDescent="0.25">
      <c r="E101" s="298"/>
      <c r="F101" s="298"/>
      <c r="G101" s="298"/>
      <c r="H101" s="298"/>
      <c r="I101" s="298"/>
      <c r="J101" s="298"/>
    </row>
    <row r="102" spans="5:10" x14ac:dyDescent="0.25">
      <c r="E102" s="298"/>
      <c r="F102" s="298"/>
      <c r="G102" s="298"/>
      <c r="H102" s="298"/>
      <c r="I102" s="298"/>
      <c r="J102" s="298"/>
    </row>
    <row r="103" spans="5:10" x14ac:dyDescent="0.25">
      <c r="E103" s="298"/>
      <c r="F103" s="298"/>
      <c r="G103" s="298"/>
      <c r="H103" s="298"/>
      <c r="I103" s="298"/>
      <c r="J103" s="298"/>
    </row>
    <row r="104" spans="5:10" x14ac:dyDescent="0.25">
      <c r="E104" s="298"/>
      <c r="F104" s="298"/>
      <c r="G104" s="298"/>
      <c r="H104" s="298"/>
      <c r="I104" s="298"/>
      <c r="J104" s="298"/>
    </row>
    <row r="105" spans="5:10" x14ac:dyDescent="0.25">
      <c r="E105" s="298"/>
      <c r="F105" s="298"/>
      <c r="G105" s="298"/>
      <c r="H105" s="298"/>
      <c r="I105" s="298"/>
      <c r="J105" s="298"/>
    </row>
    <row r="106" spans="5:10" x14ac:dyDescent="0.25">
      <c r="E106" s="298"/>
      <c r="F106" s="298"/>
      <c r="G106" s="298"/>
      <c r="H106" s="298"/>
      <c r="I106" s="298"/>
      <c r="J106" s="298"/>
    </row>
    <row r="107" spans="5:10" x14ac:dyDescent="0.25">
      <c r="E107" s="298"/>
      <c r="F107" s="298"/>
      <c r="G107" s="298"/>
      <c r="H107" s="298"/>
      <c r="I107" s="298"/>
      <c r="J107" s="298"/>
    </row>
    <row r="108" spans="5:10" x14ac:dyDescent="0.25">
      <c r="E108" s="298"/>
      <c r="F108" s="298"/>
      <c r="G108" s="298"/>
      <c r="H108" s="298"/>
      <c r="I108" s="298"/>
      <c r="J108" s="298"/>
    </row>
    <row r="109" spans="5:10" x14ac:dyDescent="0.25">
      <c r="E109" s="298"/>
      <c r="F109" s="298"/>
      <c r="G109" s="298"/>
      <c r="H109" s="298"/>
      <c r="I109" s="298"/>
      <c r="J109" s="298"/>
    </row>
    <row r="110" spans="5:10" x14ac:dyDescent="0.25">
      <c r="E110" s="298"/>
      <c r="F110" s="298"/>
      <c r="G110" s="298"/>
      <c r="H110" s="298"/>
      <c r="I110" s="298"/>
      <c r="J110" s="298"/>
    </row>
    <row r="111" spans="5:10" x14ac:dyDescent="0.25">
      <c r="E111" s="298"/>
      <c r="F111" s="298"/>
      <c r="G111" s="298"/>
      <c r="H111" s="298"/>
      <c r="I111" s="298"/>
      <c r="J111" s="298"/>
    </row>
    <row r="112" spans="5:10" x14ac:dyDescent="0.25">
      <c r="E112" s="298"/>
      <c r="F112" s="298"/>
      <c r="G112" s="298"/>
      <c r="H112" s="298"/>
      <c r="I112" s="298"/>
      <c r="J112" s="298"/>
    </row>
    <row r="113" spans="5:10" x14ac:dyDescent="0.25">
      <c r="E113" s="298"/>
      <c r="F113" s="298"/>
      <c r="G113" s="298"/>
      <c r="H113" s="298"/>
      <c r="I113" s="298"/>
      <c r="J113" s="298"/>
    </row>
    <row r="114" spans="5:10" x14ac:dyDescent="0.25">
      <c r="E114" s="298"/>
      <c r="F114" s="298"/>
      <c r="G114" s="298"/>
      <c r="H114" s="298"/>
      <c r="I114" s="298"/>
      <c r="J114" s="298"/>
    </row>
    <row r="115" spans="5:10" x14ac:dyDescent="0.25">
      <c r="E115" s="298"/>
      <c r="F115" s="298"/>
      <c r="G115" s="298"/>
      <c r="H115" s="298"/>
      <c r="I115" s="298"/>
      <c r="J115" s="298"/>
    </row>
    <row r="116" spans="5:10" x14ac:dyDescent="0.25">
      <c r="E116" s="298"/>
      <c r="F116" s="298"/>
      <c r="G116" s="298"/>
      <c r="H116" s="298"/>
      <c r="I116" s="298"/>
      <c r="J116" s="298"/>
    </row>
    <row r="117" spans="5:10" x14ac:dyDescent="0.25">
      <c r="E117" s="298"/>
      <c r="F117" s="298"/>
      <c r="G117" s="298"/>
      <c r="H117" s="298"/>
      <c r="I117" s="298"/>
      <c r="J117" s="298"/>
    </row>
    <row r="118" spans="5:10" x14ac:dyDescent="0.25">
      <c r="E118" s="298"/>
      <c r="F118" s="298"/>
      <c r="G118" s="298"/>
      <c r="H118" s="298"/>
      <c r="I118" s="298"/>
      <c r="J118" s="298"/>
    </row>
    <row r="119" spans="5:10" x14ac:dyDescent="0.25">
      <c r="E119" s="298"/>
      <c r="F119" s="298"/>
      <c r="G119" s="298"/>
      <c r="H119" s="298"/>
      <c r="I119" s="298"/>
      <c r="J119" s="298"/>
    </row>
    <row r="120" spans="5:10" x14ac:dyDescent="0.25">
      <c r="E120" s="298"/>
      <c r="F120" s="298"/>
      <c r="G120" s="298"/>
      <c r="H120" s="298"/>
      <c r="I120" s="298"/>
      <c r="J120" s="298"/>
    </row>
    <row r="121" spans="5:10" x14ac:dyDescent="0.25">
      <c r="E121" s="298"/>
      <c r="F121" s="298"/>
      <c r="G121" s="298"/>
      <c r="H121" s="298"/>
      <c r="I121" s="298"/>
      <c r="J121" s="298"/>
    </row>
    <row r="122" spans="5:10" x14ac:dyDescent="0.25">
      <c r="E122" s="298"/>
      <c r="F122" s="298"/>
      <c r="G122" s="298"/>
      <c r="H122" s="298"/>
      <c r="I122" s="298"/>
      <c r="J122" s="298"/>
    </row>
    <row r="123" spans="5:10" x14ac:dyDescent="0.25">
      <c r="E123" s="298"/>
      <c r="F123" s="298"/>
      <c r="G123" s="298"/>
      <c r="H123" s="298"/>
      <c r="I123" s="298"/>
      <c r="J123" s="298"/>
    </row>
    <row r="124" spans="5:10" x14ac:dyDescent="0.25">
      <c r="E124" s="298"/>
      <c r="F124" s="298"/>
      <c r="G124" s="298"/>
      <c r="H124" s="298"/>
      <c r="I124" s="298"/>
      <c r="J124" s="298"/>
    </row>
    <row r="125" spans="5:10" x14ac:dyDescent="0.25">
      <c r="E125" s="298"/>
      <c r="F125" s="298"/>
      <c r="G125" s="298"/>
      <c r="H125" s="298"/>
      <c r="I125" s="298"/>
      <c r="J125" s="298"/>
    </row>
    <row r="126" spans="5:10" x14ac:dyDescent="0.25">
      <c r="E126" s="298"/>
      <c r="F126" s="298"/>
      <c r="G126" s="298"/>
      <c r="H126" s="298"/>
      <c r="I126" s="298"/>
      <c r="J126" s="298"/>
    </row>
    <row r="127" spans="5:10" x14ac:dyDescent="0.25">
      <c r="E127" s="298"/>
      <c r="F127" s="298"/>
      <c r="G127" s="298"/>
      <c r="H127" s="298"/>
      <c r="I127" s="298"/>
      <c r="J127" s="298"/>
    </row>
    <row r="128" spans="5:10" x14ac:dyDescent="0.25">
      <c r="E128" s="298"/>
      <c r="F128" s="298"/>
      <c r="G128" s="298"/>
      <c r="H128" s="298"/>
      <c r="I128" s="298"/>
      <c r="J128" s="298"/>
    </row>
    <row r="129" spans="5:10" x14ac:dyDescent="0.25">
      <c r="E129" s="298"/>
      <c r="F129" s="298"/>
      <c r="G129" s="298"/>
      <c r="H129" s="298"/>
      <c r="I129" s="298"/>
      <c r="J129" s="298"/>
    </row>
    <row r="130" spans="5:10" x14ac:dyDescent="0.25">
      <c r="E130" s="298"/>
      <c r="F130" s="298"/>
      <c r="G130" s="298"/>
      <c r="H130" s="298"/>
      <c r="I130" s="298"/>
      <c r="J130" s="298"/>
    </row>
    <row r="131" spans="5:10" x14ac:dyDescent="0.25">
      <c r="E131" s="298"/>
      <c r="F131" s="298"/>
      <c r="G131" s="298"/>
      <c r="H131" s="298"/>
      <c r="I131" s="298"/>
      <c r="J131" s="298"/>
    </row>
    <row r="132" spans="5:10" x14ac:dyDescent="0.25">
      <c r="E132" s="298"/>
      <c r="F132" s="298"/>
      <c r="G132" s="298"/>
      <c r="H132" s="298"/>
      <c r="I132" s="298"/>
      <c r="J132" s="298"/>
    </row>
    <row r="133" spans="5:10" x14ac:dyDescent="0.25">
      <c r="E133" s="298"/>
      <c r="F133" s="298"/>
      <c r="G133" s="298"/>
      <c r="H133" s="298"/>
      <c r="I133" s="298"/>
      <c r="J133" s="298"/>
    </row>
    <row r="134" spans="5:10" x14ac:dyDescent="0.25">
      <c r="E134" s="298"/>
      <c r="F134" s="298"/>
      <c r="G134" s="298"/>
      <c r="H134" s="298"/>
      <c r="I134" s="298"/>
      <c r="J134" s="298"/>
    </row>
    <row r="135" spans="5:10" x14ac:dyDescent="0.25">
      <c r="E135" s="298"/>
      <c r="F135" s="298"/>
      <c r="G135" s="298"/>
      <c r="H135" s="298"/>
      <c r="I135" s="298"/>
      <c r="J135" s="298"/>
    </row>
    <row r="136" spans="5:10" x14ac:dyDescent="0.25">
      <c r="E136" s="298"/>
      <c r="F136" s="298"/>
      <c r="G136" s="298"/>
      <c r="H136" s="298"/>
      <c r="I136" s="298"/>
      <c r="J136" s="298"/>
    </row>
    <row r="137" spans="5:10" x14ac:dyDescent="0.25">
      <c r="E137" s="298"/>
      <c r="F137" s="298"/>
      <c r="G137" s="298"/>
      <c r="H137" s="298"/>
      <c r="I137" s="298"/>
      <c r="J137" s="298"/>
    </row>
  </sheetData>
  <mergeCells count="302">
    <mergeCell ref="E30:F30"/>
    <mergeCell ref="E29:F29"/>
    <mergeCell ref="G29:J29"/>
    <mergeCell ref="G30:J30"/>
    <mergeCell ref="A8:D30"/>
    <mergeCell ref="A6:J7"/>
    <mergeCell ref="E8:J8"/>
    <mergeCell ref="E9:F9"/>
    <mergeCell ref="G9:J9"/>
    <mergeCell ref="E10:F10"/>
    <mergeCell ref="G10:J10"/>
    <mergeCell ref="E11:F11"/>
    <mergeCell ref="G11:J11"/>
    <mergeCell ref="E15:F15"/>
    <mergeCell ref="G15:J15"/>
    <mergeCell ref="E16:F16"/>
    <mergeCell ref="G16:J16"/>
    <mergeCell ref="E17:F17"/>
    <mergeCell ref="G17:J17"/>
    <mergeCell ref="E12:F12"/>
    <mergeCell ref="G12:J12"/>
    <mergeCell ref="E13:F13"/>
    <mergeCell ref="G13:J13"/>
    <mergeCell ref="E14:F14"/>
    <mergeCell ref="A1:G2"/>
    <mergeCell ref="H1:I1"/>
    <mergeCell ref="J1:J4"/>
    <mergeCell ref="N1:N4"/>
    <mergeCell ref="H2:I2"/>
    <mergeCell ref="A3:G4"/>
    <mergeCell ref="H3:I3"/>
    <mergeCell ref="H4:I4"/>
    <mergeCell ref="A5:J5"/>
    <mergeCell ref="G14:J14"/>
    <mergeCell ref="E21:F21"/>
    <mergeCell ref="G21:J21"/>
    <mergeCell ref="E22:F22"/>
    <mergeCell ref="G22:J22"/>
    <mergeCell ref="E26:F26"/>
    <mergeCell ref="G26:J26"/>
    <mergeCell ref="E18:F18"/>
    <mergeCell ref="G18:J18"/>
    <mergeCell ref="E19:F19"/>
    <mergeCell ref="G19:J19"/>
    <mergeCell ref="E20:F20"/>
    <mergeCell ref="G20:J20"/>
    <mergeCell ref="E24:F24"/>
    <mergeCell ref="E25:F25"/>
    <mergeCell ref="G24:J24"/>
    <mergeCell ref="G25:J25"/>
    <mergeCell ref="E23:F23"/>
    <mergeCell ref="G23:J23"/>
    <mergeCell ref="E27:F27"/>
    <mergeCell ref="G27:J27"/>
    <mergeCell ref="E28:F28"/>
    <mergeCell ref="G28:J28"/>
    <mergeCell ref="A31:A59"/>
    <mergeCell ref="B31:B43"/>
    <mergeCell ref="C31:D31"/>
    <mergeCell ref="E31:F31"/>
    <mergeCell ref="G31:J31"/>
    <mergeCell ref="C32:D32"/>
    <mergeCell ref="C35:D35"/>
    <mergeCell ref="E35:F35"/>
    <mergeCell ref="G35:J35"/>
    <mergeCell ref="C36:D36"/>
    <mergeCell ref="E36:F36"/>
    <mergeCell ref="G36:J36"/>
    <mergeCell ref="E32:F32"/>
    <mergeCell ref="G32:J32"/>
    <mergeCell ref="C33:D33"/>
    <mergeCell ref="E33:F33"/>
    <mergeCell ref="G33:J33"/>
    <mergeCell ref="C34:D34"/>
    <mergeCell ref="E34:F34"/>
    <mergeCell ref="G34:J34"/>
    <mergeCell ref="C39:D39"/>
    <mergeCell ref="E39:F39"/>
    <mergeCell ref="G39:J39"/>
    <mergeCell ref="C40:D40"/>
    <mergeCell ref="E40:F40"/>
    <mergeCell ref="G40:J40"/>
    <mergeCell ref="C37:D37"/>
    <mergeCell ref="E37:F37"/>
    <mergeCell ref="G37:J37"/>
    <mergeCell ref="C38:D38"/>
    <mergeCell ref="E38:F38"/>
    <mergeCell ref="G38:J38"/>
    <mergeCell ref="B44:B59"/>
    <mergeCell ref="C44:D44"/>
    <mergeCell ref="E44:F44"/>
    <mergeCell ref="G44:J44"/>
    <mergeCell ref="C45:D45"/>
    <mergeCell ref="E45:F45"/>
    <mergeCell ref="G45:J45"/>
    <mergeCell ref="C41:D41"/>
    <mergeCell ref="E41:F41"/>
    <mergeCell ref="G41:J41"/>
    <mergeCell ref="C42:D42"/>
    <mergeCell ref="E42:F42"/>
    <mergeCell ref="G42:J42"/>
    <mergeCell ref="C46:D46"/>
    <mergeCell ref="E46:F46"/>
    <mergeCell ref="G46:J46"/>
    <mergeCell ref="C47:D47"/>
    <mergeCell ref="E47:F47"/>
    <mergeCell ref="G47:J47"/>
    <mergeCell ref="C43:D43"/>
    <mergeCell ref="E43:F43"/>
    <mergeCell ref="G43:J43"/>
    <mergeCell ref="C50:D50"/>
    <mergeCell ref="E50:F50"/>
    <mergeCell ref="G50:J50"/>
    <mergeCell ref="C51:D51"/>
    <mergeCell ref="E51:F51"/>
    <mergeCell ref="G51:J51"/>
    <mergeCell ref="C48:D48"/>
    <mergeCell ref="E48:F48"/>
    <mergeCell ref="G48:J48"/>
    <mergeCell ref="C49:D49"/>
    <mergeCell ref="E49:F49"/>
    <mergeCell ref="G49:J49"/>
    <mergeCell ref="C54:D54"/>
    <mergeCell ref="E54:F54"/>
    <mergeCell ref="G54:J54"/>
    <mergeCell ref="C55:D55"/>
    <mergeCell ref="E55:F55"/>
    <mergeCell ref="G55:J55"/>
    <mergeCell ref="C52:D52"/>
    <mergeCell ref="E52:F52"/>
    <mergeCell ref="G52:J52"/>
    <mergeCell ref="C53:D53"/>
    <mergeCell ref="E53:F53"/>
    <mergeCell ref="G53:J53"/>
    <mergeCell ref="C58:D58"/>
    <mergeCell ref="E58:F58"/>
    <mergeCell ref="G58:J58"/>
    <mergeCell ref="C59:D59"/>
    <mergeCell ref="E59:F59"/>
    <mergeCell ref="G59:J59"/>
    <mergeCell ref="C56:D56"/>
    <mergeCell ref="E56:F56"/>
    <mergeCell ref="G56:J56"/>
    <mergeCell ref="C57:D57"/>
    <mergeCell ref="E57:F57"/>
    <mergeCell ref="G57:J57"/>
    <mergeCell ref="E63:F63"/>
    <mergeCell ref="G63:J63"/>
    <mergeCell ref="E64:F64"/>
    <mergeCell ref="G64:J64"/>
    <mergeCell ref="E65:F65"/>
    <mergeCell ref="G65:J65"/>
    <mergeCell ref="E60:F60"/>
    <mergeCell ref="G60:J60"/>
    <mergeCell ref="E61:F61"/>
    <mergeCell ref="G61:J61"/>
    <mergeCell ref="E62:F62"/>
    <mergeCell ref="G62:J62"/>
    <mergeCell ref="E69:F69"/>
    <mergeCell ref="G69:J69"/>
    <mergeCell ref="E70:F70"/>
    <mergeCell ref="G70:J70"/>
    <mergeCell ref="E71:F71"/>
    <mergeCell ref="G71:J71"/>
    <mergeCell ref="E66:F66"/>
    <mergeCell ref="G66:J66"/>
    <mergeCell ref="E67:F67"/>
    <mergeCell ref="G67:J67"/>
    <mergeCell ref="E68:F68"/>
    <mergeCell ref="G68:J68"/>
    <mergeCell ref="E75:F75"/>
    <mergeCell ref="G75:J75"/>
    <mergeCell ref="E76:F76"/>
    <mergeCell ref="G76:J76"/>
    <mergeCell ref="E77:F77"/>
    <mergeCell ref="G77:J77"/>
    <mergeCell ref="E72:F72"/>
    <mergeCell ref="G72:J72"/>
    <mergeCell ref="E73:F73"/>
    <mergeCell ref="G73:J73"/>
    <mergeCell ref="E74:F74"/>
    <mergeCell ref="G74:J74"/>
    <mergeCell ref="E81:F81"/>
    <mergeCell ref="G81:J81"/>
    <mergeCell ref="E82:F82"/>
    <mergeCell ref="G82:J82"/>
    <mergeCell ref="E83:F83"/>
    <mergeCell ref="G83:J83"/>
    <mergeCell ref="E78:F78"/>
    <mergeCell ref="G78:J78"/>
    <mergeCell ref="E79:F79"/>
    <mergeCell ref="G79:J79"/>
    <mergeCell ref="E80:F80"/>
    <mergeCell ref="G80:J80"/>
    <mergeCell ref="E87:F87"/>
    <mergeCell ref="G87:J87"/>
    <mergeCell ref="E88:F88"/>
    <mergeCell ref="G88:J88"/>
    <mergeCell ref="E89:F89"/>
    <mergeCell ref="G89:J89"/>
    <mergeCell ref="E84:F84"/>
    <mergeCell ref="G84:J84"/>
    <mergeCell ref="E85:F85"/>
    <mergeCell ref="G85:J85"/>
    <mergeCell ref="E86:F86"/>
    <mergeCell ref="G86:J86"/>
    <mergeCell ref="E93:F93"/>
    <mergeCell ref="G93:J93"/>
    <mergeCell ref="E94:F94"/>
    <mergeCell ref="G94:J94"/>
    <mergeCell ref="E95:F95"/>
    <mergeCell ref="G95:J95"/>
    <mergeCell ref="E90:F90"/>
    <mergeCell ref="G90:J90"/>
    <mergeCell ref="E91:F91"/>
    <mergeCell ref="G91:J91"/>
    <mergeCell ref="E92:F92"/>
    <mergeCell ref="G92:J92"/>
    <mergeCell ref="E99:F99"/>
    <mergeCell ref="G99:J99"/>
    <mergeCell ref="E100:F100"/>
    <mergeCell ref="G100:J100"/>
    <mergeCell ref="E101:F101"/>
    <mergeCell ref="G101:J101"/>
    <mergeCell ref="E96:F96"/>
    <mergeCell ref="G96:J96"/>
    <mergeCell ref="E97:F97"/>
    <mergeCell ref="G97:J97"/>
    <mergeCell ref="E98:F98"/>
    <mergeCell ref="G98:J98"/>
    <mergeCell ref="E105:F105"/>
    <mergeCell ref="G105:J105"/>
    <mergeCell ref="E106:F106"/>
    <mergeCell ref="G106:J106"/>
    <mergeCell ref="E107:F107"/>
    <mergeCell ref="G107:J107"/>
    <mergeCell ref="E102:F102"/>
    <mergeCell ref="G102:J102"/>
    <mergeCell ref="E103:F103"/>
    <mergeCell ref="G103:J103"/>
    <mergeCell ref="E104:F104"/>
    <mergeCell ref="G104:J104"/>
    <mergeCell ref="E111:F111"/>
    <mergeCell ref="G111:J111"/>
    <mergeCell ref="E112:F112"/>
    <mergeCell ref="G112:J112"/>
    <mergeCell ref="E113:F113"/>
    <mergeCell ref="G113:J113"/>
    <mergeCell ref="E108:F108"/>
    <mergeCell ref="G108:J108"/>
    <mergeCell ref="E109:F109"/>
    <mergeCell ref="G109:J109"/>
    <mergeCell ref="E110:F110"/>
    <mergeCell ref="G110:J110"/>
    <mergeCell ref="E117:F117"/>
    <mergeCell ref="G117:J117"/>
    <mergeCell ref="E118:F118"/>
    <mergeCell ref="G118:J118"/>
    <mergeCell ref="E119:F119"/>
    <mergeCell ref="G119:J119"/>
    <mergeCell ref="E114:F114"/>
    <mergeCell ref="G114:J114"/>
    <mergeCell ref="E115:F115"/>
    <mergeCell ref="G115:J115"/>
    <mergeCell ref="E116:F116"/>
    <mergeCell ref="G116:J116"/>
    <mergeCell ref="E123:F123"/>
    <mergeCell ref="G123:J123"/>
    <mergeCell ref="E124:F124"/>
    <mergeCell ref="G124:J124"/>
    <mergeCell ref="E125:F125"/>
    <mergeCell ref="G125:J125"/>
    <mergeCell ref="E120:F120"/>
    <mergeCell ref="G120:J120"/>
    <mergeCell ref="E121:F121"/>
    <mergeCell ref="G121:J121"/>
    <mergeCell ref="E122:F122"/>
    <mergeCell ref="G122:J122"/>
    <mergeCell ref="E129:F129"/>
    <mergeCell ref="G129:J129"/>
    <mergeCell ref="E130:F130"/>
    <mergeCell ref="G130:J130"/>
    <mergeCell ref="E131:F131"/>
    <mergeCell ref="G131:J131"/>
    <mergeCell ref="E126:F126"/>
    <mergeCell ref="G126:J126"/>
    <mergeCell ref="E127:F127"/>
    <mergeCell ref="G127:J127"/>
    <mergeCell ref="E128:F128"/>
    <mergeCell ref="G128:J128"/>
    <mergeCell ref="E135:F135"/>
    <mergeCell ref="G135:J135"/>
    <mergeCell ref="E136:F136"/>
    <mergeCell ref="G136:J136"/>
    <mergeCell ref="E137:F137"/>
    <mergeCell ref="G137:J137"/>
    <mergeCell ref="E132:F132"/>
    <mergeCell ref="G132:J132"/>
    <mergeCell ref="E133:F133"/>
    <mergeCell ref="G133:J133"/>
    <mergeCell ref="E134:F134"/>
    <mergeCell ref="G134:J13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BS69"/>
  <sheetViews>
    <sheetView tabSelected="1" topLeftCell="A7" zoomScale="80" zoomScaleNormal="80" workbookViewId="0">
      <selection activeCell="AM10" sqref="AM10:AM12"/>
    </sheetView>
  </sheetViews>
  <sheetFormatPr baseColWidth="10" defaultColWidth="11.44140625" defaultRowHeight="13.8" x14ac:dyDescent="0.25"/>
  <cols>
    <col min="1" max="1" width="4" style="2" bestFit="1" customWidth="1"/>
    <col min="2" max="2" width="14.109375" style="2" customWidth="1"/>
    <col min="3" max="3" width="13.109375" style="2" customWidth="1"/>
    <col min="4" max="4" width="16.109375" style="2" customWidth="1"/>
    <col min="5" max="5" width="32.33203125" style="2" customWidth="1"/>
    <col min="6" max="8" width="35" style="1" customWidth="1"/>
    <col min="9" max="9" width="18.109375" style="5" customWidth="1"/>
    <col min="10" max="10" width="14.33203125" style="1" customWidth="1"/>
    <col min="11" max="11" width="12" style="1" customWidth="1"/>
    <col min="12" max="12" width="6.33203125" style="1" bestFit="1" customWidth="1"/>
    <col min="13" max="13" width="24.44140625" style="1" bestFit="1" customWidth="1"/>
    <col min="14" max="14" width="28.33203125" style="1" hidden="1" customWidth="1"/>
    <col min="15" max="15" width="17.5546875" style="1" customWidth="1"/>
    <col min="16" max="16" width="6.33203125" style="1" bestFit="1" customWidth="1"/>
    <col min="17" max="17" width="16" style="1" customWidth="1"/>
    <col min="18" max="18" width="5.88671875" style="1" customWidth="1"/>
    <col min="19" max="19" width="55" style="1" customWidth="1"/>
    <col min="20" max="20" width="15.109375" style="1" bestFit="1" customWidth="1"/>
    <col min="21" max="21" width="6.88671875" style="1" customWidth="1"/>
    <col min="22" max="22" width="5" style="1" customWidth="1"/>
    <col min="23" max="23" width="5.5546875" style="1" customWidth="1"/>
    <col min="24" max="24" width="7.109375" style="1" customWidth="1"/>
    <col min="25" max="25" width="6.6640625" style="1" customWidth="1"/>
    <col min="26" max="26" width="4.6640625" style="1" bestFit="1" customWidth="1"/>
    <col min="27" max="27" width="38.5546875" style="1" bestFit="1" customWidth="1"/>
    <col min="28" max="28" width="8.6640625" style="1" customWidth="1"/>
    <col min="29" max="29" width="10.44140625" style="1" customWidth="1"/>
    <col min="30" max="30" width="9.33203125" style="1" customWidth="1"/>
    <col min="31" max="31" width="9.109375" style="1" customWidth="1"/>
    <col min="32" max="32" width="8.44140625" style="1" customWidth="1"/>
    <col min="33" max="33" width="7.33203125" style="1" customWidth="1"/>
    <col min="34" max="34" width="32.44140625" style="1" customWidth="1"/>
    <col min="35" max="35" width="18.88671875" style="1" customWidth="1"/>
    <col min="36" max="36" width="16.88671875" style="1" customWidth="1"/>
    <col min="37" max="37" width="14.88671875" style="1" customWidth="1"/>
    <col min="38" max="38" width="38.5546875" style="1" customWidth="1"/>
    <col min="39" max="39" width="21" style="1" customWidth="1"/>
    <col min="40" max="16384" width="11.44140625" style="1"/>
  </cols>
  <sheetData>
    <row r="1" spans="1:71" ht="16.5" customHeight="1" x14ac:dyDescent="0.25">
      <c r="A1" s="388" t="s">
        <v>139</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89"/>
      <c r="AM1" s="390"/>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ht="24" customHeight="1" x14ac:dyDescent="0.25">
      <c r="A2" s="391"/>
      <c r="B2" s="392"/>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392"/>
      <c r="AL2" s="392"/>
      <c r="AM2" s="393"/>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1" x14ac:dyDescent="0.25">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71" ht="36" customHeight="1" x14ac:dyDescent="0.25">
      <c r="A4" s="399" t="s">
        <v>43</v>
      </c>
      <c r="B4" s="400"/>
      <c r="C4" s="382" t="s">
        <v>355</v>
      </c>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384"/>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1:71" ht="44.25" customHeight="1" x14ac:dyDescent="0.25">
      <c r="A5" s="399" t="s">
        <v>125</v>
      </c>
      <c r="B5" s="400"/>
      <c r="C5" s="385" t="s">
        <v>356</v>
      </c>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6"/>
      <c r="AG5" s="386"/>
      <c r="AH5" s="386"/>
      <c r="AI5" s="386"/>
      <c r="AJ5" s="386"/>
      <c r="AK5" s="386"/>
      <c r="AL5" s="386"/>
      <c r="AM5" s="387"/>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1:71" ht="49.5" customHeight="1" x14ac:dyDescent="0.25">
      <c r="A6" s="399" t="s">
        <v>44</v>
      </c>
      <c r="B6" s="400"/>
      <c r="C6" s="385" t="s">
        <v>357</v>
      </c>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6"/>
      <c r="AH6" s="386"/>
      <c r="AI6" s="386"/>
      <c r="AJ6" s="386"/>
      <c r="AK6" s="386"/>
      <c r="AL6" s="386"/>
      <c r="AM6" s="387"/>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row>
    <row r="7" spans="1:71" x14ac:dyDescent="0.25">
      <c r="A7" s="394" t="s">
        <v>134</v>
      </c>
      <c r="B7" s="395"/>
      <c r="C7" s="396"/>
      <c r="D7" s="396"/>
      <c r="E7" s="396"/>
      <c r="F7" s="396"/>
      <c r="G7" s="396"/>
      <c r="H7" s="396"/>
      <c r="I7" s="396"/>
      <c r="J7" s="397"/>
      <c r="K7" s="398" t="s">
        <v>135</v>
      </c>
      <c r="L7" s="396"/>
      <c r="M7" s="396"/>
      <c r="N7" s="396"/>
      <c r="O7" s="396"/>
      <c r="P7" s="396"/>
      <c r="Q7" s="397"/>
      <c r="R7" s="398" t="s">
        <v>136</v>
      </c>
      <c r="S7" s="396"/>
      <c r="T7" s="396"/>
      <c r="U7" s="396"/>
      <c r="V7" s="396"/>
      <c r="W7" s="396"/>
      <c r="X7" s="396"/>
      <c r="Y7" s="396"/>
      <c r="Z7" s="397"/>
      <c r="AA7" s="398" t="s">
        <v>137</v>
      </c>
      <c r="AB7" s="396"/>
      <c r="AC7" s="396"/>
      <c r="AD7" s="396"/>
      <c r="AE7" s="396"/>
      <c r="AF7" s="396"/>
      <c r="AG7" s="397"/>
      <c r="AH7" s="398" t="s">
        <v>34</v>
      </c>
      <c r="AI7" s="396"/>
      <c r="AJ7" s="396"/>
      <c r="AK7" s="396"/>
      <c r="AL7" s="396"/>
      <c r="AM7" s="397"/>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ht="16.5" customHeight="1" x14ac:dyDescent="0.25">
      <c r="A8" s="438" t="s">
        <v>0</v>
      </c>
      <c r="B8" s="448" t="s">
        <v>2</v>
      </c>
      <c r="C8" s="440" t="s">
        <v>3</v>
      </c>
      <c r="D8" s="440" t="s">
        <v>42</v>
      </c>
      <c r="E8" s="436" t="s">
        <v>203</v>
      </c>
      <c r="F8" s="441" t="s">
        <v>1</v>
      </c>
      <c r="G8" s="136"/>
      <c r="H8" s="136"/>
      <c r="I8" s="436" t="s">
        <v>50</v>
      </c>
      <c r="J8" s="440" t="s">
        <v>130</v>
      </c>
      <c r="K8" s="437" t="s">
        <v>33</v>
      </c>
      <c r="L8" s="446" t="s">
        <v>5</v>
      </c>
      <c r="M8" s="436" t="s">
        <v>86</v>
      </c>
      <c r="N8" s="436" t="s">
        <v>91</v>
      </c>
      <c r="O8" s="447" t="s">
        <v>45</v>
      </c>
      <c r="P8" s="446" t="s">
        <v>5</v>
      </c>
      <c r="Q8" s="440" t="s">
        <v>48</v>
      </c>
      <c r="R8" s="443" t="s">
        <v>11</v>
      </c>
      <c r="S8" s="435" t="s">
        <v>152</v>
      </c>
      <c r="T8" s="436" t="s">
        <v>12</v>
      </c>
      <c r="U8" s="435" t="s">
        <v>8</v>
      </c>
      <c r="V8" s="435"/>
      <c r="W8" s="435"/>
      <c r="X8" s="435"/>
      <c r="Y8" s="435"/>
      <c r="Z8" s="435"/>
      <c r="AA8" s="445" t="s">
        <v>133</v>
      </c>
      <c r="AB8" s="445" t="s">
        <v>46</v>
      </c>
      <c r="AC8" s="445" t="s">
        <v>5</v>
      </c>
      <c r="AD8" s="445" t="s">
        <v>47</v>
      </c>
      <c r="AE8" s="445" t="s">
        <v>5</v>
      </c>
      <c r="AF8" s="445" t="s">
        <v>49</v>
      </c>
      <c r="AG8" s="443" t="s">
        <v>29</v>
      </c>
      <c r="AH8" s="435" t="s">
        <v>34</v>
      </c>
      <c r="AI8" s="435" t="s">
        <v>35</v>
      </c>
      <c r="AJ8" s="435" t="s">
        <v>36</v>
      </c>
      <c r="AK8" s="435" t="s">
        <v>38</v>
      </c>
      <c r="AL8" s="435" t="s">
        <v>37</v>
      </c>
      <c r="AM8" s="435" t="s">
        <v>39</v>
      </c>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s="4" customFormat="1" ht="94.5" customHeight="1" x14ac:dyDescent="0.3">
      <c r="A9" s="439"/>
      <c r="B9" s="448"/>
      <c r="C9" s="435"/>
      <c r="D9" s="435"/>
      <c r="E9" s="437"/>
      <c r="F9" s="442"/>
      <c r="G9" s="136" t="s">
        <v>257</v>
      </c>
      <c r="H9" s="136" t="s">
        <v>204</v>
      </c>
      <c r="I9" s="440"/>
      <c r="J9" s="435"/>
      <c r="K9" s="440"/>
      <c r="L9" s="398"/>
      <c r="M9" s="440"/>
      <c r="N9" s="440"/>
      <c r="O9" s="398"/>
      <c r="P9" s="398"/>
      <c r="Q9" s="435"/>
      <c r="R9" s="444"/>
      <c r="S9" s="435"/>
      <c r="T9" s="440"/>
      <c r="U9" s="7" t="s">
        <v>13</v>
      </c>
      <c r="V9" s="7" t="s">
        <v>17</v>
      </c>
      <c r="W9" s="7" t="s">
        <v>28</v>
      </c>
      <c r="X9" s="7" t="s">
        <v>18</v>
      </c>
      <c r="Y9" s="7" t="s">
        <v>21</v>
      </c>
      <c r="Z9" s="7" t="s">
        <v>24</v>
      </c>
      <c r="AA9" s="445"/>
      <c r="AB9" s="445"/>
      <c r="AC9" s="445"/>
      <c r="AD9" s="445"/>
      <c r="AE9" s="445"/>
      <c r="AF9" s="445"/>
      <c r="AG9" s="444"/>
      <c r="AH9" s="435"/>
      <c r="AI9" s="435"/>
      <c r="AJ9" s="435"/>
      <c r="AK9" s="435"/>
      <c r="AL9" s="435"/>
      <c r="AM9" s="43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row>
    <row r="10" spans="1:71" s="3" customFormat="1" ht="102.75" customHeight="1" x14ac:dyDescent="0.3">
      <c r="A10" s="410">
        <v>1</v>
      </c>
      <c r="B10" s="449" t="s">
        <v>129</v>
      </c>
      <c r="C10" s="449" t="s">
        <v>361</v>
      </c>
      <c r="D10" s="451" t="s">
        <v>362</v>
      </c>
      <c r="E10" s="199" t="s">
        <v>364</v>
      </c>
      <c r="F10" s="453" t="s">
        <v>360</v>
      </c>
      <c r="G10" s="462" t="s">
        <v>265</v>
      </c>
      <c r="H10" s="453" t="s">
        <v>369</v>
      </c>
      <c r="I10" s="465" t="s">
        <v>118</v>
      </c>
      <c r="J10" s="467">
        <v>16</v>
      </c>
      <c r="K10" s="460" t="str">
        <f>IF(J10&lt;=0,"",IF(J10&lt;=2,"Muy Baja",IF(J10&lt;=24,"Baja",IF(J10&lt;=500,"Media",IF(J10&lt;=5000,"Alta","Muy Alta")))))</f>
        <v>Baja</v>
      </c>
      <c r="L10" s="456">
        <f>IF(K10="","",IF(K10="Muy Baja",0.2,IF(K10="Baja",0.4,IF(K10="Media",0.6,IF(K10="Alta",0.8,IF(K10="Muy Alta",1,))))))</f>
        <v>0.4</v>
      </c>
      <c r="M10" s="458" t="s">
        <v>146</v>
      </c>
      <c r="N10" s="456" t="str">
        <f>IF(NOT(ISERROR(MATCH(M10,'Tabla Impacto'!$B$221:$B$223,0))),'Tabla Impacto'!$F$223&amp;"Por favor no seleccionar los criterios de impacto(Afectación Económica o presupuestal y Pérdida Reputacional)",M10)</f>
        <v xml:space="preserve">     El riesgo afecta la imagen de de la entidad con efecto publicitario sostenido a nivel de sector administrativo, nivel departamental o municipal</v>
      </c>
      <c r="O10" s="460" t="str">
        <f>IF(OR(N10='Tabla Impacto'!$C$11,N10='Tabla Impacto'!$D$11),"Leve",IF(OR(N10='Tabla Impacto'!$C$12,N10='Tabla Impacto'!$D$12),"Menor",IF(OR(N10='Tabla Impacto'!$C$13,N10='Tabla Impacto'!$D$13),"Moderado",IF(OR(N10='Tabla Impacto'!$C$14,N10='Tabla Impacto'!$D$14),"Mayor",IF(OR(N10='Tabla Impacto'!$C$15,N10='Tabla Impacto'!$D$15),"Catastrófico","")))))</f>
        <v>Mayor</v>
      </c>
      <c r="P10" s="456">
        <f>IF(O10="","",IF(O10="Leve",0.2,IF(O10="Menor",0.4,IF(O10="Moderado",0.6,IF(O10="Mayor",0.8,IF(O10="Catastrófico",1,))))))</f>
        <v>0.8</v>
      </c>
      <c r="Q10" s="454"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Alto</v>
      </c>
      <c r="R10" s="105">
        <v>1</v>
      </c>
      <c r="S10" s="113" t="str">
        <f>+DOFA!E37</f>
        <v>D20,O5 El jefe de la Oficina de Comunicaciones, trimestralmente con su equipo de trabajo verificará el cumplimiento de las metas a través de los instrumentos de planeación de la Administración Municipal dejando como evidencia el envió de dichos instrumentos a la Dirección de Planeación de desarrollo; si se identifca desviación o incumplimiento de metas se desarrolla un plan de mejoramiento.</v>
      </c>
      <c r="T10" s="107" t="str">
        <f>IF(OR(U10="Preventivo",U10="Detectivo"),"Probabilidad",IF(U10="Correctivo","Impacto",""))</f>
        <v>Probabilidad</v>
      </c>
      <c r="U10" s="114" t="s">
        <v>14</v>
      </c>
      <c r="V10" s="114" t="s">
        <v>9</v>
      </c>
      <c r="W10" s="115" t="str">
        <f>IF(AND(U10="Preventivo",V10="Automático"),"50%",IF(AND(U10="Preventivo",V10="Manual"),"40%",IF(AND(U10="Detectivo",V10="Automático"),"40%",IF(AND(U10="Detectivo",V10="Manual"),"30%",IF(AND(U10="Correctivo",V10="Automático"),"35%",IF(AND(U10="Correctivo",V10="Manual"),"25%",""))))))</f>
        <v>40%</v>
      </c>
      <c r="X10" s="114" t="s">
        <v>19</v>
      </c>
      <c r="Y10" s="114" t="s">
        <v>22</v>
      </c>
      <c r="Z10" s="114" t="s">
        <v>114</v>
      </c>
      <c r="AA10" s="108">
        <f>IFERROR(IF(T10="Probabilidad",(L10-(+L10*W10)),IF(T10="Impacto",L10,"")),"")</f>
        <v>0.24</v>
      </c>
      <c r="AB10" s="116" t="str">
        <f>IFERROR(IF(AA10="","",IF(AA10&lt;=0.2,"Muy Baja",IF(AA10&lt;=0.4,"Baja",IF(AA10&lt;=0.6,"Media",IF(AA10&lt;=0.8,"Alta","Muy Alta"))))),"")</f>
        <v>Baja</v>
      </c>
      <c r="AC10" s="117">
        <f>+AA10</f>
        <v>0.24</v>
      </c>
      <c r="AD10" s="116" t="str">
        <f>IFERROR(IF(AE10="","",IF(AE10&lt;=0.2,"Leve",IF(AE10&lt;=0.4,"Menor",IF(AE10&lt;=0.6,"Moderado",IF(AE10&lt;=0.8,"Mayor","Catastrófico"))))),"")</f>
        <v>Mayor</v>
      </c>
      <c r="AE10" s="117">
        <f>IFERROR(IF(T10="Impacto",(P10-(+P10*W10)),IF(T10="Probabilidad",P10,"")),"")</f>
        <v>0.8</v>
      </c>
      <c r="AF10" s="118"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Alto</v>
      </c>
      <c r="AG10" s="478" t="s">
        <v>131</v>
      </c>
      <c r="AH10" s="472" t="s">
        <v>373</v>
      </c>
      <c r="AI10" s="472" t="s">
        <v>337</v>
      </c>
      <c r="AJ10" s="469">
        <v>45691</v>
      </c>
      <c r="AK10" s="469">
        <v>45751</v>
      </c>
      <c r="AL10" s="472" t="s">
        <v>378</v>
      </c>
      <c r="AM10" s="475" t="s">
        <v>40</v>
      </c>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row>
    <row r="11" spans="1:71" ht="120.75" customHeight="1" x14ac:dyDescent="0.25">
      <c r="A11" s="411"/>
      <c r="B11" s="450"/>
      <c r="C11" s="450"/>
      <c r="D11" s="452"/>
      <c r="E11" s="199" t="s">
        <v>363</v>
      </c>
      <c r="F11" s="453"/>
      <c r="G11" s="463"/>
      <c r="H11" s="453"/>
      <c r="I11" s="466"/>
      <c r="J11" s="468"/>
      <c r="K11" s="461"/>
      <c r="L11" s="457"/>
      <c r="M11" s="459"/>
      <c r="N11" s="457">
        <f>IF(NOT(ISERROR(MATCH(M11,_xlfn.ANCHORARRAY(F19),0))),L21&amp;"Por favor no seleccionar los criterios de impacto",M11)</f>
        <v>0</v>
      </c>
      <c r="O11" s="461"/>
      <c r="P11" s="457"/>
      <c r="Q11" s="455"/>
      <c r="R11" s="105">
        <v>2</v>
      </c>
      <c r="S11" s="113" t="str">
        <f>+DOFA!E38</f>
        <v>D1,O1 El jefe de la Oficina de Comunicaciones cuando deja su cargo, deberá realizar informe de entrega y empalme con el funcionario entrante, haciendo especial enfásis en el cumplimiento de metas e instrumentos de planeación, dejando como evidencia el formato establecido por la Procuraduría General de la Nación, si se presentara desviaciones se informara al organismo competente.</v>
      </c>
      <c r="T11" s="107" t="str">
        <f>IF(OR(U11="Preventivo",U11="Detectivo"),"Probabilidad",IF(U11="Correctivo","Impacto",""))</f>
        <v>Probabilidad</v>
      </c>
      <c r="U11" s="114" t="s">
        <v>14</v>
      </c>
      <c r="V11" s="114" t="s">
        <v>9</v>
      </c>
      <c r="W11" s="115" t="str">
        <f t="shared" ref="W11" si="0">IF(AND(U11="Preventivo",V11="Automático"),"50%",IF(AND(U11="Preventivo",V11="Manual"),"40%",IF(AND(U11="Detectivo",V11="Automático"),"40%",IF(AND(U11="Detectivo",V11="Manual"),"30%",IF(AND(U11="Correctivo",V11="Automático"),"35%",IF(AND(U11="Correctivo",V11="Manual"),"25%",""))))))</f>
        <v>40%</v>
      </c>
      <c r="X11" s="114" t="s">
        <v>19</v>
      </c>
      <c r="Y11" s="114" t="s">
        <v>22</v>
      </c>
      <c r="Z11" s="114" t="s">
        <v>114</v>
      </c>
      <c r="AA11" s="108">
        <f>IFERROR(IF(AND(T10="Probabilidad",T11="Probabilidad"),(AC10-(+AC10*W11)),IF(AND(T10="Impacto",T11="Probabilidad"),(L10-(+L10*W11)),IF(T11="Impacto",AC10,""))),"")</f>
        <v>0.14399999999999999</v>
      </c>
      <c r="AB11" s="116" t="str">
        <f t="shared" ref="AB11" si="1">IFERROR(IF(AA11="","",IF(AA11&lt;=0.2,"Muy Baja",IF(AA11&lt;=0.4,"Baja",IF(AA11&lt;=0.6,"Media",IF(AA11&lt;=0.8,"Alta","Muy Alta"))))),"")</f>
        <v>Muy Baja</v>
      </c>
      <c r="AC11" s="117">
        <f>+AA11</f>
        <v>0.14399999999999999</v>
      </c>
      <c r="AD11" s="116" t="str">
        <f t="shared" ref="AD11" si="2">IFERROR(IF(AE11="","",IF(AE11&lt;=0.2,"Leve",IF(AE11&lt;=0.4,"Menor",IF(AE11&lt;=0.6,"Moderado",IF(AE11&lt;=0.8,"Mayor","Catastrófico"))))),"")</f>
        <v>Mayor</v>
      </c>
      <c r="AE11" s="117">
        <f>IFERROR(IF(AND(T10="Impacto",T11="Impacto"),(AE10-(+AE10*W11)),IF(AND(T10="Probabilidad",T11="Impacto"),(P10-(+P10*W11)),IF(T11="Probabilidad",AE10,""))),"")</f>
        <v>0.8</v>
      </c>
      <c r="AF11" s="118" t="str">
        <f t="shared" ref="AF11" si="3">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Alto</v>
      </c>
      <c r="AG11" s="479"/>
      <c r="AH11" s="473"/>
      <c r="AI11" s="473"/>
      <c r="AJ11" s="470"/>
      <c r="AK11" s="470"/>
      <c r="AL11" s="473"/>
      <c r="AM11" s="476"/>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row>
    <row r="12" spans="1:71" ht="87" customHeight="1" x14ac:dyDescent="0.25">
      <c r="A12" s="411"/>
      <c r="B12" s="450"/>
      <c r="C12" s="450"/>
      <c r="D12" s="452"/>
      <c r="E12" s="215" t="s">
        <v>366</v>
      </c>
      <c r="F12" s="453"/>
      <c r="G12" s="463"/>
      <c r="H12" s="453"/>
      <c r="I12" s="466"/>
      <c r="J12" s="468"/>
      <c r="K12" s="461"/>
      <c r="L12" s="457"/>
      <c r="M12" s="459"/>
      <c r="N12" s="457">
        <f>IF(NOT(ISERROR(MATCH(M12,_xlfn.ANCHORARRAY(F20),0))),L22&amp;"Por favor no seleccionar los criterios de impacto",M12)</f>
        <v>0</v>
      </c>
      <c r="O12" s="461"/>
      <c r="P12" s="457"/>
      <c r="Q12" s="455"/>
      <c r="R12" s="105">
        <v>3</v>
      </c>
      <c r="S12" s="112" t="str">
        <f>DOFA!E39</f>
        <v>D19.O6 La secretaria de Hacienda mensualmente publicá la ejecución presupuestal por cada uno de los rubros que compone el presupuesto de la entidad con el fin de que los ordenadores del gasto y responsables de cada uno de estos rubros, haga el seguimiento de los mismos dejando como evidencia la publicación de la ejecución en la página web</v>
      </c>
      <c r="T12" s="107" t="str">
        <f t="shared" ref="T12" si="4">IF(OR(U12="Preventivo",U12="Detectivo"),"Probabilidad",IF(U12="Correctivo","Impacto",""))</f>
        <v>Probabilidad</v>
      </c>
      <c r="U12" s="114" t="s">
        <v>14</v>
      </c>
      <c r="V12" s="114" t="s">
        <v>9</v>
      </c>
      <c r="W12" s="115" t="str">
        <f t="shared" ref="W12" si="5">IF(AND(U12="Preventivo",V12="Automático"),"50%",IF(AND(U12="Preventivo",V12="Manual"),"40%",IF(AND(U12="Detectivo",V12="Automático"),"40%",IF(AND(U12="Detectivo",V12="Manual"),"30%",IF(AND(U12="Correctivo",V12="Automático"),"35%",IF(AND(U12="Correctivo",V12="Manual"),"25%",""))))))</f>
        <v>40%</v>
      </c>
      <c r="X12" s="114" t="s">
        <v>19</v>
      </c>
      <c r="Y12" s="114" t="s">
        <v>22</v>
      </c>
      <c r="Z12" s="114" t="s">
        <v>114</v>
      </c>
      <c r="AA12" s="108">
        <f>IFERROR(IF(AND(T11="Probabilidad",T12="Probabilidad"),(AC11-(+AC11*W12)),IF(AND(T11="Impacto",T12="Probabilidad"),(AC10-(+AC10*W12)),IF(T12="Impacto",AC11,""))),"")</f>
        <v>8.6399999999999991E-2</v>
      </c>
      <c r="AB12" s="116" t="str">
        <f t="shared" ref="AB12" si="6">IFERROR(IF(AA12="","",IF(AA12&lt;=0.2,"Muy Baja",IF(AA12&lt;=0.4,"Baja",IF(AA12&lt;=0.6,"Media",IF(AA12&lt;=0.8,"Alta","Muy Alta"))))),"")</f>
        <v>Muy Baja</v>
      </c>
      <c r="AC12" s="117">
        <f t="shared" ref="AC12" si="7">+AA12</f>
        <v>8.6399999999999991E-2</v>
      </c>
      <c r="AD12" s="116" t="str">
        <f t="shared" ref="AD12" si="8">IFERROR(IF(AE12="","",IF(AE12&lt;=0.2,"Leve",IF(AE12&lt;=0.4,"Menor",IF(AE12&lt;=0.6,"Moderado",IF(AE12&lt;=0.8,"Mayor","Catastrófico"))))),"")</f>
        <v>Mayor</v>
      </c>
      <c r="AE12" s="117">
        <f t="shared" ref="AE12" si="9">IFERROR(IF(AND(T11="Impacto",T12="Impacto"),(AE11-(+AE11*W12)),IF(AND(T11="Probabilidad",T12="Impacto"),(AE10-(+AE10*W12)),IF(T12="Probabilidad",AE11,""))),"")</f>
        <v>0.8</v>
      </c>
      <c r="AF12" s="118" t="str">
        <f t="shared" ref="AF12" si="10">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Alto</v>
      </c>
      <c r="AG12" s="480"/>
      <c r="AH12" s="474"/>
      <c r="AI12" s="474"/>
      <c r="AJ12" s="471"/>
      <c r="AK12" s="471"/>
      <c r="AL12" s="474"/>
      <c r="AM12" s="477"/>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row>
    <row r="13" spans="1:71" ht="71.25" customHeight="1" x14ac:dyDescent="0.25">
      <c r="A13" s="410">
        <v>2</v>
      </c>
      <c r="B13" s="413"/>
      <c r="C13" s="413"/>
      <c r="D13" s="428"/>
      <c r="E13" s="137"/>
      <c r="F13" s="431"/>
      <c r="G13" s="462"/>
      <c r="H13" s="138"/>
      <c r="I13" s="432"/>
      <c r="J13" s="419"/>
      <c r="K13" s="422" t="str">
        <f>IF(J13&lt;=0,"",IF(J13&lt;=2,"Muy Baja",IF(J13&lt;=24,"Baja",IF(J13&lt;=500,"Media",IF(J13&lt;=5000,"Alta","Muy Alta")))))</f>
        <v/>
      </c>
      <c r="L13" s="404" t="str">
        <f>IF(K13="","",IF(K13="Muy Baja",0.2,IF(K13="Baja",0.4,IF(K13="Media",0.6,IF(K13="Alta",0.8,IF(K13="Muy Alta",1,))))))</f>
        <v/>
      </c>
      <c r="M13" s="425"/>
      <c r="N13" s="404">
        <f>IF(NOT(ISERROR(MATCH(M13,'Tabla Impacto'!$B$221:$B$223,0))),'Tabla Impacto'!$F$223&amp;"Por favor no seleccionar los criterios de impacto(Afectación Económica o presupuestal y Pérdida Reputacional)",M13)</f>
        <v>0</v>
      </c>
      <c r="O13" s="422" t="str">
        <f>IF(OR(N13='Tabla Impacto'!$C$11,N13='Tabla Impacto'!$D$11),"Leve",IF(OR(N13='Tabla Impacto'!$C$12,N13='Tabla Impacto'!$D$12),"Menor",IF(OR(N13='Tabla Impacto'!$C$13,N13='Tabla Impacto'!$D$13),"Moderado",IF(OR(N13='Tabla Impacto'!$C$14,N13='Tabla Impacto'!$D$14),"Mayor",IF(OR(N13='Tabla Impacto'!$C$15,N13='Tabla Impacto'!$D$15),"Catastrófico","")))))</f>
        <v/>
      </c>
      <c r="P13" s="404" t="str">
        <f>IF(O13="","",IF(O13="Leve",0.2,IF(O13="Menor",0.4,IF(O13="Moderado",0.6,IF(O13="Mayor",0.8,IF(O13="Catastrófico",1,))))))</f>
        <v/>
      </c>
      <c r="Q13" s="407" t="str">
        <f>IF(OR(AND(K13="Muy Baja",O13="Leve"),AND(K13="Muy Baja",O13="Menor"),AND(K13="Baja",O13="Leve")),"Bajo",IF(OR(AND(K13="Muy baja",O13="Moderado"),AND(K13="Baja",O13="Menor"),AND(K13="Baja",O13="Moderado"),AND(K13="Media",O13="Leve"),AND(K13="Media",O13="Menor"),AND(K13="Media",O13="Moderado"),AND(K13="Alta",O13="Leve"),AND(K13="Alta",O13="Menor")),"Moderado",IF(OR(AND(K13="Muy Baja",O13="Mayor"),AND(K13="Baja",O13="Mayor"),AND(K13="Media",O13="Mayor"),AND(K13="Alta",O13="Moderado"),AND(K13="Alta",O13="Mayor"),AND(K13="Muy Alta",O13="Leve"),AND(K13="Muy Alta",O13="Menor"),AND(K13="Muy Alta",O13="Moderado"),AND(K13="Muy Alta",O13="Mayor")),"Alto",IF(OR(AND(K13="Muy Baja",O13="Catastrófico"),AND(K13="Baja",O13="Catastrófico"),AND(K13="Media",O13="Catastrófico"),AND(K13="Alta",O13="Catastrófico"),AND(K13="Muy Alta",O13="Catastrófico")),"Extremo",""))))</f>
        <v/>
      </c>
      <c r="R13" s="105">
        <v>1</v>
      </c>
      <c r="S13" s="106"/>
      <c r="T13" s="107" t="str">
        <f>IF(OR(U13="Preventivo",U13="Detectivo"),"Probabilidad",IF(U13="Correctivo","Impacto",""))</f>
        <v/>
      </c>
      <c r="U13" s="114"/>
      <c r="V13" s="114"/>
      <c r="W13" s="115" t="str">
        <f>IF(AND(U13="Preventivo",V13="Automático"),"50%",IF(AND(U13="Preventivo",V13="Manual"),"40%",IF(AND(U13="Detectivo",V13="Automático"),"40%",IF(AND(U13="Detectivo",V13="Manual"),"30%",IF(AND(U13="Correctivo",V13="Automático"),"35%",IF(AND(U13="Correctivo",V13="Manual"),"25%",""))))))</f>
        <v/>
      </c>
      <c r="X13" s="114"/>
      <c r="Y13" s="114"/>
      <c r="Z13" s="114"/>
      <c r="AA13" s="108" t="str">
        <f>IFERROR(IF(T13="Probabilidad",(L13-(+L13*W13)),IF(T13="Impacto",L13,"")),"")</f>
        <v/>
      </c>
      <c r="AB13" s="116" t="str">
        <f>IFERROR(IF(AA13="","",IF(AA13&lt;=0.2,"Muy Baja",IF(AA13&lt;=0.4,"Baja",IF(AA13&lt;=0.6,"Media",IF(AA13&lt;=0.8,"Alta","Muy Alta"))))),"")</f>
        <v/>
      </c>
      <c r="AC13" s="117" t="str">
        <f>+AA13</f>
        <v/>
      </c>
      <c r="AD13" s="116" t="str">
        <f>IFERROR(IF(AE13="","",IF(AE13&lt;=0.2,"Leve",IF(AE13&lt;=0.4,"Menor",IF(AE13&lt;=0.6,"Moderado",IF(AE13&lt;=0.8,"Mayor","Catastrófico"))))),"")</f>
        <v/>
      </c>
      <c r="AE13" s="117" t="str">
        <f>IFERROR(IF(T13="Impacto",(P13-(+P13*W13)),IF(T13="Probabilidad",P13,"")),"")</f>
        <v/>
      </c>
      <c r="AF13" s="118" t="str">
        <f>IFERROR(IF(OR(AND(AB13="Muy Baja",AD13="Leve"),AND(AB13="Muy Baja",AD13="Menor"),AND(AB13="Baja",AD13="Leve")),"Bajo",IF(OR(AND(AB13="Muy baja",AD13="Moderado"),AND(AB13="Baja",AD13="Menor"),AND(AB13="Baja",AD13="Moderado"),AND(AB13="Media",AD13="Leve"),AND(AB13="Media",AD13="Menor"),AND(AB13="Media",AD13="Moderado"),AND(AB13="Alta",AD13="Leve"),AND(AB13="Alta",AD13="Menor")),"Moderado",IF(OR(AND(AB13="Muy Baja",AD13="Mayor"),AND(AB13="Baja",AD13="Mayor"),AND(AB13="Media",AD13="Mayor"),AND(AB13="Alta",AD13="Moderado"),AND(AB13="Alta",AD13="Mayor"),AND(AB13="Muy Alta",AD13="Leve"),AND(AB13="Muy Alta",AD13="Menor"),AND(AB13="Muy Alta",AD13="Moderado"),AND(AB13="Muy Alta",AD13="Mayor")),"Alto",IF(OR(AND(AB13="Muy Baja",AD13="Catastrófico"),AND(AB13="Baja",AD13="Catastrófico"),AND(AB13="Media",AD13="Catastrófico"),AND(AB13="Alta",AD13="Catastrófico"),AND(AB13="Muy Alta",AD13="Catastrófico")),"Extremo","")))),"")</f>
        <v/>
      </c>
      <c r="AG13" s="119"/>
      <c r="AH13" s="109"/>
      <c r="AI13" s="110"/>
      <c r="AJ13" s="111"/>
      <c r="AK13" s="111"/>
      <c r="AL13" s="109"/>
      <c r="AM13" s="110"/>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row>
    <row r="14" spans="1:71" ht="30" customHeight="1" x14ac:dyDescent="0.25">
      <c r="A14" s="411"/>
      <c r="B14" s="414"/>
      <c r="C14" s="414"/>
      <c r="D14" s="429"/>
      <c r="E14" s="137"/>
      <c r="F14" s="431"/>
      <c r="G14" s="463"/>
      <c r="H14" s="138"/>
      <c r="I14" s="433"/>
      <c r="J14" s="420"/>
      <c r="K14" s="423"/>
      <c r="L14" s="405"/>
      <c r="M14" s="426"/>
      <c r="N14" s="405">
        <f>IF(NOT(ISERROR(MATCH(M14,_xlfn.ANCHORARRAY(F25),0))),L27&amp;"Por favor no seleccionar los criterios de impacto",M14)</f>
        <v>0</v>
      </c>
      <c r="O14" s="423"/>
      <c r="P14" s="405"/>
      <c r="Q14" s="408"/>
      <c r="R14" s="105">
        <v>2</v>
      </c>
      <c r="S14" s="106"/>
      <c r="T14" s="107" t="str">
        <f>IF(OR(U14="Preventivo",U14="Detectivo"),"Probabilidad",IF(U14="Correctivo","Impacto",""))</f>
        <v/>
      </c>
      <c r="U14" s="114"/>
      <c r="V14" s="114"/>
      <c r="W14" s="115" t="str">
        <f t="shared" ref="W14:W18" si="11">IF(AND(U14="Preventivo",V14="Automático"),"50%",IF(AND(U14="Preventivo",V14="Manual"),"40%",IF(AND(U14="Detectivo",V14="Automático"),"40%",IF(AND(U14="Detectivo",V14="Manual"),"30%",IF(AND(U14="Correctivo",V14="Automático"),"35%",IF(AND(U14="Correctivo",V14="Manual"),"25%",""))))))</f>
        <v/>
      </c>
      <c r="X14" s="114"/>
      <c r="Y14" s="114"/>
      <c r="Z14" s="114"/>
      <c r="AA14" s="108" t="str">
        <f>IFERROR(IF(AND(T13="Probabilidad",T14="Probabilidad"),(AC13-(+AC13*W14)),IF(AND(T13="Impacto",T14="Probabilidad"),(L13-(+L13*W14)),IF(T14="Impacto",AC13,""))),"")</f>
        <v/>
      </c>
      <c r="AB14" s="116" t="str">
        <f t="shared" ref="AB14:AB18" si="12">IFERROR(IF(AA14="","",IF(AA14&lt;=0.2,"Muy Baja",IF(AA14&lt;=0.4,"Baja",IF(AA14&lt;=0.6,"Media",IF(AA14&lt;=0.8,"Alta","Muy Alta"))))),"")</f>
        <v/>
      </c>
      <c r="AC14" s="117" t="str">
        <f>+AA14</f>
        <v/>
      </c>
      <c r="AD14" s="116" t="str">
        <f t="shared" ref="AD14:AD18" si="13">IFERROR(IF(AE14="","",IF(AE14&lt;=0.2,"Leve",IF(AE14&lt;=0.4,"Menor",IF(AE14&lt;=0.6,"Moderado",IF(AE14&lt;=0.8,"Mayor","Catastrófico"))))),"")</f>
        <v/>
      </c>
      <c r="AE14" s="117" t="str">
        <f>IFERROR(IF(AND(T13="Impacto",T14="Impacto"),(AE13-(+AE13*W14)),IF(AND(T13="Probabilidad",T14="Impacto"),(P13-(+P13*W14)),IF(T14="Probabilidad",AE13,""))),"")</f>
        <v/>
      </c>
      <c r="AF14" s="118" t="str">
        <f t="shared" ref="AF14:AF18" si="14">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
      </c>
      <c r="AG14" s="119"/>
      <c r="AH14" s="109"/>
      <c r="AI14" s="110"/>
      <c r="AJ14" s="111"/>
      <c r="AK14" s="111"/>
      <c r="AL14" s="109"/>
      <c r="AM14" s="110"/>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row>
    <row r="15" spans="1:71" ht="25.5" customHeight="1" x14ac:dyDescent="0.25">
      <c r="A15" s="411"/>
      <c r="B15" s="414"/>
      <c r="C15" s="414"/>
      <c r="D15" s="429"/>
      <c r="E15" s="137"/>
      <c r="F15" s="431"/>
      <c r="G15" s="463"/>
      <c r="H15" s="138"/>
      <c r="I15" s="433"/>
      <c r="J15" s="420"/>
      <c r="K15" s="423"/>
      <c r="L15" s="405"/>
      <c r="M15" s="426"/>
      <c r="N15" s="405">
        <f>IF(NOT(ISERROR(MATCH(M15,_xlfn.ANCHORARRAY(F26),0))),L28&amp;"Por favor no seleccionar los criterios de impacto",M15)</f>
        <v>0</v>
      </c>
      <c r="O15" s="423"/>
      <c r="P15" s="405"/>
      <c r="Q15" s="408"/>
      <c r="R15" s="105">
        <v>3</v>
      </c>
      <c r="S15" s="112"/>
      <c r="T15" s="107" t="str">
        <f t="shared" ref="T15:T18" si="15">IF(OR(U15="Preventivo",U15="Detectivo"),"Probabilidad",IF(U15="Correctivo","Impacto",""))</f>
        <v/>
      </c>
      <c r="U15" s="114"/>
      <c r="V15" s="114"/>
      <c r="W15" s="115" t="str">
        <f t="shared" si="11"/>
        <v/>
      </c>
      <c r="X15" s="114"/>
      <c r="Y15" s="114"/>
      <c r="Z15" s="114"/>
      <c r="AA15" s="108" t="str">
        <f>IFERROR(IF(AND(T14="Probabilidad",T15="Probabilidad"),(AC14-(+AC14*W15)),IF(AND(T14="Impacto",T15="Probabilidad"),(AC13-(+AC13*W15)),IF(T15="Impacto",AC14,""))),"")</f>
        <v/>
      </c>
      <c r="AB15" s="116" t="str">
        <f t="shared" si="12"/>
        <v/>
      </c>
      <c r="AC15" s="117" t="str">
        <f t="shared" ref="AC15:AC18" si="16">+AA15</f>
        <v/>
      </c>
      <c r="AD15" s="116" t="str">
        <f t="shared" si="13"/>
        <v/>
      </c>
      <c r="AE15" s="117" t="str">
        <f t="shared" ref="AE15:AE18" si="17">IFERROR(IF(AND(T14="Impacto",T15="Impacto"),(AE14-(+AE14*W15)),IF(AND(T14="Probabilidad",T15="Impacto"),(AE13-(+AE13*W15)),IF(T15="Probabilidad",AE14,""))),"")</f>
        <v/>
      </c>
      <c r="AF15" s="118" t="str">
        <f t="shared" si="14"/>
        <v/>
      </c>
      <c r="AG15" s="119"/>
      <c r="AH15" s="109"/>
      <c r="AI15" s="110"/>
      <c r="AJ15" s="111"/>
      <c r="AK15" s="111"/>
      <c r="AL15" s="109"/>
      <c r="AM15" s="110"/>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1" ht="25.5" customHeight="1" x14ac:dyDescent="0.25">
      <c r="A16" s="411"/>
      <c r="B16" s="414"/>
      <c r="C16" s="414"/>
      <c r="D16" s="429"/>
      <c r="E16" s="137"/>
      <c r="F16" s="431"/>
      <c r="G16" s="463"/>
      <c r="H16" s="138"/>
      <c r="I16" s="433"/>
      <c r="J16" s="420"/>
      <c r="K16" s="423"/>
      <c r="L16" s="405"/>
      <c r="M16" s="426"/>
      <c r="N16" s="405">
        <f>IF(NOT(ISERROR(MATCH(M16,_xlfn.ANCHORARRAY(F27),0))),L29&amp;"Por favor no seleccionar los criterios de impacto",M16)</f>
        <v>0</v>
      </c>
      <c r="O16" s="423"/>
      <c r="P16" s="405"/>
      <c r="Q16" s="408"/>
      <c r="R16" s="105">
        <v>4</v>
      </c>
      <c r="S16" s="106"/>
      <c r="T16" s="107" t="str">
        <f t="shared" si="15"/>
        <v/>
      </c>
      <c r="U16" s="114"/>
      <c r="V16" s="114"/>
      <c r="W16" s="115" t="str">
        <f t="shared" si="11"/>
        <v/>
      </c>
      <c r="X16" s="114"/>
      <c r="Y16" s="114"/>
      <c r="Z16" s="114"/>
      <c r="AA16" s="108" t="str">
        <f t="shared" ref="AA16:AA18" si="18">IFERROR(IF(AND(T15="Probabilidad",T16="Probabilidad"),(AC15-(+AC15*W16)),IF(AND(T15="Impacto",T16="Probabilidad"),(AC14-(+AC14*W16)),IF(T16="Impacto",AC15,""))),"")</f>
        <v/>
      </c>
      <c r="AB16" s="116" t="str">
        <f t="shared" si="12"/>
        <v/>
      </c>
      <c r="AC16" s="117" t="str">
        <f t="shared" si="16"/>
        <v/>
      </c>
      <c r="AD16" s="116" t="str">
        <f t="shared" si="13"/>
        <v/>
      </c>
      <c r="AE16" s="117" t="str">
        <f t="shared" si="17"/>
        <v/>
      </c>
      <c r="AF16" s="118" t="str">
        <f t="shared" si="14"/>
        <v/>
      </c>
      <c r="AG16" s="119"/>
      <c r="AH16" s="109"/>
      <c r="AI16" s="110"/>
      <c r="AJ16" s="111"/>
      <c r="AK16" s="111"/>
      <c r="AL16" s="109"/>
      <c r="AM16" s="110"/>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row>
    <row r="17" spans="1:71" ht="24" customHeight="1" x14ac:dyDescent="0.25">
      <c r="A17" s="411"/>
      <c r="B17" s="414"/>
      <c r="C17" s="414"/>
      <c r="D17" s="429"/>
      <c r="E17" s="137"/>
      <c r="F17" s="431"/>
      <c r="G17" s="463"/>
      <c r="H17" s="138"/>
      <c r="I17" s="433"/>
      <c r="J17" s="420"/>
      <c r="K17" s="423"/>
      <c r="L17" s="405"/>
      <c r="M17" s="426"/>
      <c r="N17" s="405">
        <f>IF(NOT(ISERROR(MATCH(M17,_xlfn.ANCHORARRAY(F28),0))),L30&amp;"Por favor no seleccionar los criterios de impacto",M17)</f>
        <v>0</v>
      </c>
      <c r="O17" s="423"/>
      <c r="P17" s="405"/>
      <c r="Q17" s="408"/>
      <c r="R17" s="105">
        <v>5</v>
      </c>
      <c r="S17" s="106"/>
      <c r="T17" s="107" t="str">
        <f t="shared" si="15"/>
        <v/>
      </c>
      <c r="U17" s="114"/>
      <c r="V17" s="114"/>
      <c r="W17" s="115" t="str">
        <f t="shared" si="11"/>
        <v/>
      </c>
      <c r="X17" s="114"/>
      <c r="Y17" s="114"/>
      <c r="Z17" s="114"/>
      <c r="AA17" s="108" t="str">
        <f t="shared" si="18"/>
        <v/>
      </c>
      <c r="AB17" s="116" t="str">
        <f t="shared" si="12"/>
        <v/>
      </c>
      <c r="AC17" s="117" t="str">
        <f t="shared" si="16"/>
        <v/>
      </c>
      <c r="AD17" s="116" t="str">
        <f t="shared" si="13"/>
        <v/>
      </c>
      <c r="AE17" s="117" t="str">
        <f t="shared" si="17"/>
        <v/>
      </c>
      <c r="AF17" s="118" t="str">
        <f t="shared" si="14"/>
        <v/>
      </c>
      <c r="AG17" s="119"/>
      <c r="AH17" s="109"/>
      <c r="AI17" s="110"/>
      <c r="AJ17" s="111"/>
      <c r="AK17" s="111"/>
      <c r="AL17" s="109"/>
      <c r="AM17" s="110"/>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row>
    <row r="18" spans="1:71" ht="25.5" customHeight="1" x14ac:dyDescent="0.25">
      <c r="A18" s="412"/>
      <c r="B18" s="415"/>
      <c r="C18" s="415"/>
      <c r="D18" s="430"/>
      <c r="E18" s="137"/>
      <c r="F18" s="431"/>
      <c r="G18" s="464"/>
      <c r="H18" s="138"/>
      <c r="I18" s="434"/>
      <c r="J18" s="421"/>
      <c r="K18" s="424"/>
      <c r="L18" s="406"/>
      <c r="M18" s="427"/>
      <c r="N18" s="406">
        <f>IF(NOT(ISERROR(MATCH(M18,_xlfn.ANCHORARRAY(F29),0))),L31&amp;"Por favor no seleccionar los criterios de impacto",M18)</f>
        <v>0</v>
      </c>
      <c r="O18" s="424"/>
      <c r="P18" s="406"/>
      <c r="Q18" s="409"/>
      <c r="R18" s="105">
        <v>6</v>
      </c>
      <c r="S18" s="106"/>
      <c r="T18" s="107" t="str">
        <f t="shared" si="15"/>
        <v/>
      </c>
      <c r="U18" s="114"/>
      <c r="V18" s="114"/>
      <c r="W18" s="115" t="str">
        <f t="shared" si="11"/>
        <v/>
      </c>
      <c r="X18" s="114"/>
      <c r="Y18" s="114"/>
      <c r="Z18" s="114"/>
      <c r="AA18" s="108" t="str">
        <f t="shared" si="18"/>
        <v/>
      </c>
      <c r="AB18" s="116" t="str">
        <f t="shared" si="12"/>
        <v/>
      </c>
      <c r="AC18" s="117" t="str">
        <f t="shared" si="16"/>
        <v/>
      </c>
      <c r="AD18" s="116" t="str">
        <f t="shared" si="13"/>
        <v/>
      </c>
      <c r="AE18" s="117" t="str">
        <f t="shared" si="17"/>
        <v/>
      </c>
      <c r="AF18" s="118" t="str">
        <f t="shared" si="14"/>
        <v/>
      </c>
      <c r="AG18" s="119"/>
      <c r="AH18" s="109"/>
      <c r="AI18" s="110"/>
      <c r="AJ18" s="111"/>
      <c r="AK18" s="111"/>
      <c r="AL18" s="109"/>
      <c r="AM18" s="110"/>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row>
    <row r="19" spans="1:71" ht="30.75" customHeight="1" x14ac:dyDescent="0.25">
      <c r="A19" s="410">
        <v>3</v>
      </c>
      <c r="B19" s="413"/>
      <c r="C19" s="413"/>
      <c r="D19" s="428"/>
      <c r="E19" s="137"/>
      <c r="F19" s="431"/>
      <c r="G19" s="462"/>
      <c r="H19" s="138"/>
      <c r="I19" s="432"/>
      <c r="J19" s="419"/>
      <c r="K19" s="422" t="str">
        <f t="shared" ref="K19" si="19">IF(J19&lt;=0,"",IF(J19&lt;=2,"Muy Baja",IF(J19&lt;=24,"Baja",IF(J19&lt;=500,"Media",IF(J19&lt;=5000,"Alta","Muy Alta")))))</f>
        <v/>
      </c>
      <c r="L19" s="404" t="str">
        <f t="shared" ref="L19" si="20">IF(K19="","",IF(K19="Muy Baja",0.2,IF(K19="Baja",0.4,IF(K19="Media",0.6,IF(K19="Alta",0.8,IF(K19="Muy Alta",1,))))))</f>
        <v/>
      </c>
      <c r="M19" s="425"/>
      <c r="N19" s="404">
        <f>IF(NOT(ISERROR(MATCH(M19,'Tabla Impacto'!$B$221:$B$223,0))),'Tabla Impacto'!$F$223&amp;"Por favor no seleccionar los criterios de impacto(Afectación Económica o presupuestal y Pérdida Reputacional)",M19)</f>
        <v>0</v>
      </c>
      <c r="O19" s="422" t="str">
        <f>IF(OR(N19='Tabla Impacto'!$C$11,N19='Tabla Impacto'!$D$11),"Leve",IF(OR(N19='Tabla Impacto'!$C$12,N19='Tabla Impacto'!$D$12),"Menor",IF(OR(N19='Tabla Impacto'!$C$13,N19='Tabla Impacto'!$D$13),"Moderado",IF(OR(N19='Tabla Impacto'!$C$14,N19='Tabla Impacto'!$D$14),"Mayor",IF(OR(N19='Tabla Impacto'!$C$15,N19='Tabla Impacto'!$D$15),"Catastrófico","")))))</f>
        <v/>
      </c>
      <c r="P19" s="404" t="str">
        <f t="shared" ref="P19" si="21">IF(O19="","",IF(O19="Leve",0.2,IF(O19="Menor",0.4,IF(O19="Moderado",0.6,IF(O19="Mayor",0.8,IF(O19="Catastrófico",1,))))))</f>
        <v/>
      </c>
      <c r="Q19" s="407" t="str">
        <f t="shared" ref="Q19" si="22">IF(OR(AND(K19="Muy Baja",O19="Leve"),AND(K19="Muy Baja",O19="Menor"),AND(K19="Baja",O19="Leve")),"Bajo",IF(OR(AND(K19="Muy baja",O19="Moderado"),AND(K19="Baja",O19="Menor"),AND(K19="Baja",O19="Moderado"),AND(K19="Media",O19="Leve"),AND(K19="Media",O19="Menor"),AND(K19="Media",O19="Moderado"),AND(K19="Alta",O19="Leve"),AND(K19="Alta",O19="Menor")),"Moderado",IF(OR(AND(K19="Muy Baja",O19="Mayor"),AND(K19="Baja",O19="Mayor"),AND(K19="Media",O19="Mayor"),AND(K19="Alta",O19="Moderado"),AND(K19="Alta",O19="Mayor"),AND(K19="Muy Alta",O19="Leve"),AND(K19="Muy Alta",O19="Menor"),AND(K19="Muy Alta",O19="Moderado"),AND(K19="Muy Alta",O19="Mayor")),"Alto",IF(OR(AND(K19="Muy Baja",O19="Catastrófico"),AND(K19="Baja",O19="Catastrófico"),AND(K19="Media",O19="Catastrófico"),AND(K19="Alta",O19="Catastrófico"),AND(K19="Muy Alta",O19="Catastrófico")),"Extremo",""))))</f>
        <v/>
      </c>
      <c r="R19" s="105">
        <v>1</v>
      </c>
      <c r="S19" s="106"/>
      <c r="T19" s="107" t="str">
        <f>IF(OR(U19="Preventivo",U19="Detectivo"),"Probabilidad",IF(U19="Correctivo","Impacto",""))</f>
        <v/>
      </c>
      <c r="U19" s="114"/>
      <c r="V19" s="114"/>
      <c r="W19" s="115" t="str">
        <f>IF(AND(U19="Preventivo",V19="Automático"),"50%",IF(AND(U19="Preventivo",V19="Manual"),"40%",IF(AND(U19="Detectivo",V19="Automático"),"40%",IF(AND(U19="Detectivo",V19="Manual"),"30%",IF(AND(U19="Correctivo",V19="Automático"),"35%",IF(AND(U19="Correctivo",V19="Manual"),"25%",""))))))</f>
        <v/>
      </c>
      <c r="X19" s="114"/>
      <c r="Y19" s="114"/>
      <c r="Z19" s="114"/>
      <c r="AA19" s="108" t="str">
        <f>IFERROR(IF(T19="Probabilidad",(L19-(+L19*W19)),IF(T19="Impacto",L19,"")),"")</f>
        <v/>
      </c>
      <c r="AB19" s="116" t="str">
        <f>IFERROR(IF(AA19="","",IF(AA19&lt;=0.2,"Muy Baja",IF(AA19&lt;=0.4,"Baja",IF(AA19&lt;=0.6,"Media",IF(AA19&lt;=0.8,"Alta","Muy Alta"))))),"")</f>
        <v/>
      </c>
      <c r="AC19" s="117" t="str">
        <f>+AA19</f>
        <v/>
      </c>
      <c r="AD19" s="116" t="str">
        <f>IFERROR(IF(AE19="","",IF(AE19&lt;=0.2,"Leve",IF(AE19&lt;=0.4,"Menor",IF(AE19&lt;=0.6,"Moderado",IF(AE19&lt;=0.8,"Mayor","Catastrófico"))))),"")</f>
        <v/>
      </c>
      <c r="AE19" s="117" t="str">
        <f>IFERROR(IF(T19="Impacto",(P19-(+P19*W19)),IF(T19="Probabilidad",P19,"")),"")</f>
        <v/>
      </c>
      <c r="AF19" s="118" t="str">
        <f>IFERROR(IF(OR(AND(AB19="Muy Baja",AD19="Leve"),AND(AB19="Muy Baja",AD19="Menor"),AND(AB19="Baja",AD19="Leve")),"Bajo",IF(OR(AND(AB19="Muy baja",AD19="Moderado"),AND(AB19="Baja",AD19="Menor"),AND(AB19="Baja",AD19="Moderado"),AND(AB19="Media",AD19="Leve"),AND(AB19="Media",AD19="Menor"),AND(AB19="Media",AD19="Moderado"),AND(AB19="Alta",AD19="Leve"),AND(AB19="Alta",AD19="Menor")),"Moderado",IF(OR(AND(AB19="Muy Baja",AD19="Mayor"),AND(AB19="Baja",AD19="Mayor"),AND(AB19="Media",AD19="Mayor"),AND(AB19="Alta",AD19="Moderado"),AND(AB19="Alta",AD19="Mayor"),AND(AB19="Muy Alta",AD19="Leve"),AND(AB19="Muy Alta",AD19="Menor"),AND(AB19="Muy Alta",AD19="Moderado"),AND(AB19="Muy Alta",AD19="Mayor")),"Alto",IF(OR(AND(AB19="Muy Baja",AD19="Catastrófico"),AND(AB19="Baja",AD19="Catastrófico"),AND(AB19="Media",AD19="Catastrófico"),AND(AB19="Alta",AD19="Catastrófico"),AND(AB19="Muy Alta",AD19="Catastrófico")),"Extremo","")))),"")</f>
        <v/>
      </c>
      <c r="AG19" s="119"/>
      <c r="AH19" s="109"/>
      <c r="AI19" s="110"/>
      <c r="AJ19" s="111"/>
      <c r="AK19" s="111"/>
      <c r="AL19" s="109"/>
      <c r="AM19" s="110"/>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row>
    <row r="20" spans="1:71" ht="26.25" customHeight="1" x14ac:dyDescent="0.25">
      <c r="A20" s="411"/>
      <c r="B20" s="414"/>
      <c r="C20" s="414"/>
      <c r="D20" s="429"/>
      <c r="E20" s="137"/>
      <c r="F20" s="431"/>
      <c r="G20" s="463"/>
      <c r="H20" s="138"/>
      <c r="I20" s="433"/>
      <c r="J20" s="420"/>
      <c r="K20" s="423"/>
      <c r="L20" s="405"/>
      <c r="M20" s="426"/>
      <c r="N20" s="405">
        <f>IF(NOT(ISERROR(MATCH(M20,_xlfn.ANCHORARRAY(F31),0))),L33&amp;"Por favor no seleccionar los criterios de impacto",M20)</f>
        <v>0</v>
      </c>
      <c r="O20" s="423"/>
      <c r="P20" s="405"/>
      <c r="Q20" s="408"/>
      <c r="R20" s="105">
        <v>2</v>
      </c>
      <c r="S20" s="106"/>
      <c r="T20" s="107" t="str">
        <f>IF(OR(U20="Preventivo",U20="Detectivo"),"Probabilidad",IF(U20="Correctivo","Impacto",""))</f>
        <v/>
      </c>
      <c r="U20" s="114"/>
      <c r="V20" s="114"/>
      <c r="W20" s="115" t="str">
        <f t="shared" ref="W20:W24" si="23">IF(AND(U20="Preventivo",V20="Automático"),"50%",IF(AND(U20="Preventivo",V20="Manual"),"40%",IF(AND(U20="Detectivo",V20="Automático"),"40%",IF(AND(U20="Detectivo",V20="Manual"),"30%",IF(AND(U20="Correctivo",V20="Automático"),"35%",IF(AND(U20="Correctivo",V20="Manual"),"25%",""))))))</f>
        <v/>
      </c>
      <c r="X20" s="114"/>
      <c r="Y20" s="114"/>
      <c r="Z20" s="114"/>
      <c r="AA20" s="108" t="str">
        <f>IFERROR(IF(AND(T19="Probabilidad",T20="Probabilidad"),(AC19-(+AC19*W20)),IF(AND(T19="Impacto",T20="Probabilidad"),(L19-(+L19*W20)),IF(T20="Impacto",AC19,""))),"")</f>
        <v/>
      </c>
      <c r="AB20" s="116" t="str">
        <f t="shared" ref="AB20:AB24" si="24">IFERROR(IF(AA20="","",IF(AA20&lt;=0.2,"Muy Baja",IF(AA20&lt;=0.4,"Baja",IF(AA20&lt;=0.6,"Media",IF(AA20&lt;=0.8,"Alta","Muy Alta"))))),"")</f>
        <v/>
      </c>
      <c r="AC20" s="117" t="str">
        <f>+AA20</f>
        <v/>
      </c>
      <c r="AD20" s="116" t="str">
        <f t="shared" ref="AD20:AD24" si="25">IFERROR(IF(AE20="","",IF(AE20&lt;=0.2,"Leve",IF(AE20&lt;=0.4,"Menor",IF(AE20&lt;=0.6,"Moderado",IF(AE20&lt;=0.8,"Mayor","Catastrófico"))))),"")</f>
        <v/>
      </c>
      <c r="AE20" s="117" t="str">
        <f>IFERROR(IF(AND(T19="Impacto",T20="Impacto"),(AE19-(+AE19*W20)),IF(AND(T19="Probabilidad",T20="Impacto"),(P19-(+P19*W20)),IF(T20="Probabilidad",AE19,""))),"")</f>
        <v/>
      </c>
      <c r="AF20" s="118" t="str">
        <f t="shared" ref="AF20:AF24" si="26">IFERROR(IF(OR(AND(AB20="Muy Baja",AD20="Leve"),AND(AB20="Muy Baja",AD20="Menor"),AND(AB20="Baja",AD20="Leve")),"Bajo",IF(OR(AND(AB20="Muy baja",AD20="Moderado"),AND(AB20="Baja",AD20="Menor"),AND(AB20="Baja",AD20="Moderado"),AND(AB20="Media",AD20="Leve"),AND(AB20="Media",AD20="Menor"),AND(AB20="Media",AD20="Moderado"),AND(AB20="Alta",AD20="Leve"),AND(AB20="Alta",AD20="Menor")),"Moderado",IF(OR(AND(AB20="Muy Baja",AD20="Mayor"),AND(AB20="Baja",AD20="Mayor"),AND(AB20="Media",AD20="Mayor"),AND(AB20="Alta",AD20="Moderado"),AND(AB20="Alta",AD20="Mayor"),AND(AB20="Muy Alta",AD20="Leve"),AND(AB20="Muy Alta",AD20="Menor"),AND(AB20="Muy Alta",AD20="Moderado"),AND(AB20="Muy Alta",AD20="Mayor")),"Alto",IF(OR(AND(AB20="Muy Baja",AD20="Catastrófico"),AND(AB20="Baja",AD20="Catastrófico"),AND(AB20="Media",AD20="Catastrófico"),AND(AB20="Alta",AD20="Catastrófico"),AND(AB20="Muy Alta",AD20="Catastrófico")),"Extremo","")))),"")</f>
        <v/>
      </c>
      <c r="AG20" s="119"/>
      <c r="AH20" s="109"/>
      <c r="AI20" s="110"/>
      <c r="AJ20" s="111"/>
      <c r="AK20" s="111"/>
      <c r="AL20" s="109"/>
      <c r="AM20" s="110"/>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row>
    <row r="21" spans="1:71" ht="26.25" customHeight="1" x14ac:dyDescent="0.25">
      <c r="A21" s="411"/>
      <c r="B21" s="414"/>
      <c r="C21" s="414"/>
      <c r="D21" s="429"/>
      <c r="E21" s="137"/>
      <c r="F21" s="431"/>
      <c r="G21" s="463"/>
      <c r="H21" s="138"/>
      <c r="I21" s="433"/>
      <c r="J21" s="420"/>
      <c r="K21" s="423"/>
      <c r="L21" s="405"/>
      <c r="M21" s="426"/>
      <c r="N21" s="405">
        <f>IF(NOT(ISERROR(MATCH(M21,_xlfn.ANCHORARRAY(F32),0))),L34&amp;"Por favor no seleccionar los criterios de impacto",M21)</f>
        <v>0</v>
      </c>
      <c r="O21" s="423"/>
      <c r="P21" s="405"/>
      <c r="Q21" s="408"/>
      <c r="R21" s="105">
        <v>3</v>
      </c>
      <c r="S21" s="112"/>
      <c r="T21" s="107" t="str">
        <f t="shared" ref="T21:T24" si="27">IF(OR(U21="Preventivo",U21="Detectivo"),"Probabilidad",IF(U21="Correctivo","Impacto",""))</f>
        <v/>
      </c>
      <c r="U21" s="114"/>
      <c r="V21" s="114"/>
      <c r="W21" s="115" t="str">
        <f t="shared" si="23"/>
        <v/>
      </c>
      <c r="X21" s="114"/>
      <c r="Y21" s="114"/>
      <c r="Z21" s="114"/>
      <c r="AA21" s="108" t="str">
        <f>IFERROR(IF(AND(T20="Probabilidad",T21="Probabilidad"),(AC20-(+AC20*W21)),IF(AND(T20="Impacto",T21="Probabilidad"),(AC19-(+AC19*W21)),IF(T21="Impacto",AC20,""))),"")</f>
        <v/>
      </c>
      <c r="AB21" s="116" t="str">
        <f t="shared" si="24"/>
        <v/>
      </c>
      <c r="AC21" s="117" t="str">
        <f t="shared" ref="AC21:AC24" si="28">+AA21</f>
        <v/>
      </c>
      <c r="AD21" s="116" t="str">
        <f t="shared" si="25"/>
        <v/>
      </c>
      <c r="AE21" s="117" t="str">
        <f t="shared" ref="AE21:AE24" si="29">IFERROR(IF(AND(T20="Impacto",T21="Impacto"),(AE20-(+AE20*W21)),IF(AND(T20="Probabilidad",T21="Impacto"),(AE19-(+AE19*W21)),IF(T21="Probabilidad",AE20,""))),"")</f>
        <v/>
      </c>
      <c r="AF21" s="118" t="str">
        <f t="shared" si="26"/>
        <v/>
      </c>
      <c r="AG21" s="119"/>
      <c r="AH21" s="109"/>
      <c r="AI21" s="110"/>
      <c r="AJ21" s="111"/>
      <c r="AK21" s="111"/>
      <c r="AL21" s="109"/>
      <c r="AM21" s="110"/>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row>
    <row r="22" spans="1:71" ht="26.25" customHeight="1" x14ac:dyDescent="0.25">
      <c r="A22" s="411"/>
      <c r="B22" s="414"/>
      <c r="C22" s="414"/>
      <c r="D22" s="429"/>
      <c r="E22" s="137"/>
      <c r="F22" s="431"/>
      <c r="G22" s="463"/>
      <c r="H22" s="138"/>
      <c r="I22" s="433"/>
      <c r="J22" s="420"/>
      <c r="K22" s="423"/>
      <c r="L22" s="405"/>
      <c r="M22" s="426"/>
      <c r="N22" s="405">
        <f>IF(NOT(ISERROR(MATCH(M22,_xlfn.ANCHORARRAY(F33),0))),L35&amp;"Por favor no seleccionar los criterios de impacto",M22)</f>
        <v>0</v>
      </c>
      <c r="O22" s="423"/>
      <c r="P22" s="405"/>
      <c r="Q22" s="408"/>
      <c r="R22" s="105">
        <v>4</v>
      </c>
      <c r="S22" s="106"/>
      <c r="T22" s="107" t="str">
        <f t="shared" si="27"/>
        <v/>
      </c>
      <c r="U22" s="114"/>
      <c r="V22" s="114"/>
      <c r="W22" s="115" t="str">
        <f t="shared" si="23"/>
        <v/>
      </c>
      <c r="X22" s="114"/>
      <c r="Y22" s="114"/>
      <c r="Z22" s="114"/>
      <c r="AA22" s="108" t="str">
        <f t="shared" ref="AA22:AA24" si="30">IFERROR(IF(AND(T21="Probabilidad",T22="Probabilidad"),(AC21-(+AC21*W22)),IF(AND(T21="Impacto",T22="Probabilidad"),(AC20-(+AC20*W22)),IF(T22="Impacto",AC21,""))),"")</f>
        <v/>
      </c>
      <c r="AB22" s="116" t="str">
        <f t="shared" si="24"/>
        <v/>
      </c>
      <c r="AC22" s="117" t="str">
        <f t="shared" si="28"/>
        <v/>
      </c>
      <c r="AD22" s="116" t="str">
        <f t="shared" si="25"/>
        <v/>
      </c>
      <c r="AE22" s="117" t="str">
        <f t="shared" si="29"/>
        <v/>
      </c>
      <c r="AF22" s="118" t="str">
        <f t="shared" si="26"/>
        <v/>
      </c>
      <c r="AG22" s="119"/>
      <c r="AH22" s="109"/>
      <c r="AI22" s="110"/>
      <c r="AJ22" s="111"/>
      <c r="AK22" s="111"/>
      <c r="AL22" s="109"/>
      <c r="AM22" s="110"/>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row>
    <row r="23" spans="1:71" ht="26.25" customHeight="1" x14ac:dyDescent="0.25">
      <c r="A23" s="411"/>
      <c r="B23" s="414"/>
      <c r="C23" s="414"/>
      <c r="D23" s="429"/>
      <c r="E23" s="137"/>
      <c r="F23" s="431"/>
      <c r="G23" s="463"/>
      <c r="H23" s="138"/>
      <c r="I23" s="433"/>
      <c r="J23" s="420"/>
      <c r="K23" s="423"/>
      <c r="L23" s="405"/>
      <c r="M23" s="426"/>
      <c r="N23" s="405">
        <f>IF(NOT(ISERROR(MATCH(M23,_xlfn.ANCHORARRAY(F34),0))),L36&amp;"Por favor no seleccionar los criterios de impacto",M23)</f>
        <v>0</v>
      </c>
      <c r="O23" s="423"/>
      <c r="P23" s="405"/>
      <c r="Q23" s="408"/>
      <c r="R23" s="105">
        <v>5</v>
      </c>
      <c r="S23" s="106"/>
      <c r="T23" s="107" t="str">
        <f t="shared" si="27"/>
        <v/>
      </c>
      <c r="U23" s="114"/>
      <c r="V23" s="114"/>
      <c r="W23" s="115" t="str">
        <f t="shared" si="23"/>
        <v/>
      </c>
      <c r="X23" s="114"/>
      <c r="Y23" s="114"/>
      <c r="Z23" s="114"/>
      <c r="AA23" s="108" t="str">
        <f t="shared" si="30"/>
        <v/>
      </c>
      <c r="AB23" s="116" t="str">
        <f t="shared" si="24"/>
        <v/>
      </c>
      <c r="AC23" s="117" t="str">
        <f t="shared" si="28"/>
        <v/>
      </c>
      <c r="AD23" s="116" t="str">
        <f t="shared" si="25"/>
        <v/>
      </c>
      <c r="AE23" s="117" t="str">
        <f t="shared" si="29"/>
        <v/>
      </c>
      <c r="AF23" s="118" t="str">
        <f t="shared" si="26"/>
        <v/>
      </c>
      <c r="AG23" s="119"/>
      <c r="AH23" s="109"/>
      <c r="AI23" s="110"/>
      <c r="AJ23" s="111"/>
      <c r="AK23" s="111"/>
      <c r="AL23" s="109"/>
      <c r="AM23" s="110"/>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row>
    <row r="24" spans="1:71" ht="26.25" customHeight="1" x14ac:dyDescent="0.25">
      <c r="A24" s="412"/>
      <c r="B24" s="415"/>
      <c r="C24" s="415"/>
      <c r="D24" s="430"/>
      <c r="E24" s="137"/>
      <c r="F24" s="431"/>
      <c r="G24" s="464"/>
      <c r="H24" s="138"/>
      <c r="I24" s="434"/>
      <c r="J24" s="421"/>
      <c r="K24" s="424"/>
      <c r="L24" s="406"/>
      <c r="M24" s="427"/>
      <c r="N24" s="406">
        <f>IF(NOT(ISERROR(MATCH(M24,_xlfn.ANCHORARRAY(F35),0))),L37&amp;"Por favor no seleccionar los criterios de impacto",M24)</f>
        <v>0</v>
      </c>
      <c r="O24" s="424"/>
      <c r="P24" s="406"/>
      <c r="Q24" s="409"/>
      <c r="R24" s="105">
        <v>6</v>
      </c>
      <c r="S24" s="106"/>
      <c r="T24" s="107" t="str">
        <f t="shared" si="27"/>
        <v/>
      </c>
      <c r="U24" s="114"/>
      <c r="V24" s="114"/>
      <c r="W24" s="115" t="str">
        <f t="shared" si="23"/>
        <v/>
      </c>
      <c r="X24" s="114"/>
      <c r="Y24" s="114"/>
      <c r="Z24" s="114"/>
      <c r="AA24" s="108" t="str">
        <f t="shared" si="30"/>
        <v/>
      </c>
      <c r="AB24" s="116" t="str">
        <f t="shared" si="24"/>
        <v/>
      </c>
      <c r="AC24" s="117" t="str">
        <f t="shared" si="28"/>
        <v/>
      </c>
      <c r="AD24" s="116" t="str">
        <f t="shared" si="25"/>
        <v/>
      </c>
      <c r="AE24" s="117" t="str">
        <f t="shared" si="29"/>
        <v/>
      </c>
      <c r="AF24" s="118" t="str">
        <f t="shared" si="26"/>
        <v/>
      </c>
      <c r="AG24" s="119"/>
      <c r="AH24" s="109"/>
      <c r="AI24" s="110"/>
      <c r="AJ24" s="111"/>
      <c r="AK24" s="111"/>
      <c r="AL24" s="109"/>
      <c r="AM24" s="110"/>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row>
    <row r="25" spans="1:71" ht="26.25" customHeight="1" x14ac:dyDescent="0.25">
      <c r="A25" s="410">
        <v>4</v>
      </c>
      <c r="B25" s="413"/>
      <c r="C25" s="413"/>
      <c r="D25" s="428"/>
      <c r="E25" s="137"/>
      <c r="F25" s="431"/>
      <c r="G25" s="462"/>
      <c r="H25" s="138"/>
      <c r="I25" s="432"/>
      <c r="J25" s="419"/>
      <c r="K25" s="422" t="str">
        <f t="shared" ref="K25" si="31">IF(J25&lt;=0,"",IF(J25&lt;=2,"Muy Baja",IF(J25&lt;=24,"Baja",IF(J25&lt;=500,"Media",IF(J25&lt;=5000,"Alta","Muy Alta")))))</f>
        <v/>
      </c>
      <c r="L25" s="404" t="str">
        <f t="shared" ref="L25" si="32">IF(K25="","",IF(K25="Muy Baja",0.2,IF(K25="Baja",0.4,IF(K25="Media",0.6,IF(K25="Alta",0.8,IF(K25="Muy Alta",1,))))))</f>
        <v/>
      </c>
      <c r="M25" s="425"/>
      <c r="N25" s="404">
        <f>IF(NOT(ISERROR(MATCH(M25,'Tabla Impacto'!$B$221:$B$223,0))),'Tabla Impacto'!$F$223&amp;"Por favor no seleccionar los criterios de impacto(Afectación Económica o presupuestal y Pérdida Reputacional)",M25)</f>
        <v>0</v>
      </c>
      <c r="O25" s="422" t="str">
        <f>IF(OR(N25='Tabla Impacto'!$C$11,N25='Tabla Impacto'!$D$11),"Leve",IF(OR(N25='Tabla Impacto'!$C$12,N25='Tabla Impacto'!$D$12),"Menor",IF(OR(N25='Tabla Impacto'!$C$13,N25='Tabla Impacto'!$D$13),"Moderado",IF(OR(N25='Tabla Impacto'!$C$14,N25='Tabla Impacto'!$D$14),"Mayor",IF(OR(N25='Tabla Impacto'!$C$15,N25='Tabla Impacto'!$D$15),"Catastrófico","")))))</f>
        <v/>
      </c>
      <c r="P25" s="404" t="str">
        <f t="shared" ref="P25" si="33">IF(O25="","",IF(O25="Leve",0.2,IF(O25="Menor",0.4,IF(O25="Moderado",0.6,IF(O25="Mayor",0.8,IF(O25="Catastrófico",1,))))))</f>
        <v/>
      </c>
      <c r="Q25" s="407" t="str">
        <f t="shared" ref="Q25" si="34">IF(OR(AND(K25="Muy Baja",O25="Leve"),AND(K25="Muy Baja",O25="Menor"),AND(K25="Baja",O25="Leve")),"Bajo",IF(OR(AND(K25="Muy baja",O25="Moderado"),AND(K25="Baja",O25="Menor"),AND(K25="Baja",O25="Moderado"),AND(K25="Media",O25="Leve"),AND(K25="Media",O25="Menor"),AND(K25="Media",O25="Moderado"),AND(K25="Alta",O25="Leve"),AND(K25="Alta",O25="Menor")),"Moderado",IF(OR(AND(K25="Muy Baja",O25="Mayor"),AND(K25="Baja",O25="Mayor"),AND(K25="Media",O25="Mayor"),AND(K25="Alta",O25="Moderado"),AND(K25="Alta",O25="Mayor"),AND(K25="Muy Alta",O25="Leve"),AND(K25="Muy Alta",O25="Menor"),AND(K25="Muy Alta",O25="Moderado"),AND(K25="Muy Alta",O25="Mayor")),"Alto",IF(OR(AND(K25="Muy Baja",O25="Catastrófico"),AND(K25="Baja",O25="Catastrófico"),AND(K25="Media",O25="Catastrófico"),AND(K25="Alta",O25="Catastrófico"),AND(K25="Muy Alta",O25="Catastrófico")),"Extremo",""))))</f>
        <v/>
      </c>
      <c r="R25" s="105">
        <v>1</v>
      </c>
      <c r="S25" s="106"/>
      <c r="T25" s="107" t="str">
        <f>IF(OR(U25="Preventivo",U25="Detectivo"),"Probabilidad",IF(U25="Correctivo","Impacto",""))</f>
        <v/>
      </c>
      <c r="U25" s="114"/>
      <c r="V25" s="114"/>
      <c r="W25" s="115" t="str">
        <f>IF(AND(U25="Preventivo",V25="Automático"),"50%",IF(AND(U25="Preventivo",V25="Manual"),"40%",IF(AND(U25="Detectivo",V25="Automático"),"40%",IF(AND(U25="Detectivo",V25="Manual"),"30%",IF(AND(U25="Correctivo",V25="Automático"),"35%",IF(AND(U25="Correctivo",V25="Manual"),"25%",""))))))</f>
        <v/>
      </c>
      <c r="X25" s="114"/>
      <c r="Y25" s="114"/>
      <c r="Z25" s="114"/>
      <c r="AA25" s="108" t="str">
        <f>IFERROR(IF(T25="Probabilidad",(L25-(+L25*W25)),IF(T25="Impacto",L25,"")),"")</f>
        <v/>
      </c>
      <c r="AB25" s="116" t="str">
        <f>IFERROR(IF(AA25="","",IF(AA25&lt;=0.2,"Muy Baja",IF(AA25&lt;=0.4,"Baja",IF(AA25&lt;=0.6,"Media",IF(AA25&lt;=0.8,"Alta","Muy Alta"))))),"")</f>
        <v/>
      </c>
      <c r="AC25" s="117" t="str">
        <f>+AA25</f>
        <v/>
      </c>
      <c r="AD25" s="116" t="str">
        <f>IFERROR(IF(AE25="","",IF(AE25&lt;=0.2,"Leve",IF(AE25&lt;=0.4,"Menor",IF(AE25&lt;=0.6,"Moderado",IF(AE25&lt;=0.8,"Mayor","Catastrófico"))))),"")</f>
        <v/>
      </c>
      <c r="AE25" s="117" t="str">
        <f>IFERROR(IF(T25="Impacto",(P25-(+P25*W25)),IF(T25="Probabilidad",P25,"")),"")</f>
        <v/>
      </c>
      <c r="AF25" s="118" t="str">
        <f>IFERROR(IF(OR(AND(AB25="Muy Baja",AD25="Leve"),AND(AB25="Muy Baja",AD25="Menor"),AND(AB25="Baja",AD25="Leve")),"Bajo",IF(OR(AND(AB25="Muy baja",AD25="Moderado"),AND(AB25="Baja",AD25="Menor"),AND(AB25="Baja",AD25="Moderado"),AND(AB25="Media",AD25="Leve"),AND(AB25="Media",AD25="Menor"),AND(AB25="Media",AD25="Moderado"),AND(AB25="Alta",AD25="Leve"),AND(AB25="Alta",AD25="Menor")),"Moderado",IF(OR(AND(AB25="Muy Baja",AD25="Mayor"),AND(AB25="Baja",AD25="Mayor"),AND(AB25="Media",AD25="Mayor"),AND(AB25="Alta",AD25="Moderado"),AND(AB25="Alta",AD25="Mayor"),AND(AB25="Muy Alta",AD25="Leve"),AND(AB25="Muy Alta",AD25="Menor"),AND(AB25="Muy Alta",AD25="Moderado"),AND(AB25="Muy Alta",AD25="Mayor")),"Alto",IF(OR(AND(AB25="Muy Baja",AD25="Catastrófico"),AND(AB25="Baja",AD25="Catastrófico"),AND(AB25="Media",AD25="Catastrófico"),AND(AB25="Alta",AD25="Catastrófico"),AND(AB25="Muy Alta",AD25="Catastrófico")),"Extremo","")))),"")</f>
        <v/>
      </c>
      <c r="AG25" s="119"/>
      <c r="AH25" s="109"/>
      <c r="AI25" s="110"/>
      <c r="AJ25" s="111"/>
      <c r="AK25" s="111"/>
      <c r="AL25" s="109"/>
      <c r="AM25" s="110"/>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1" ht="26.25" customHeight="1" x14ac:dyDescent="0.25">
      <c r="A26" s="411"/>
      <c r="B26" s="414"/>
      <c r="C26" s="414"/>
      <c r="D26" s="429"/>
      <c r="E26" s="137"/>
      <c r="F26" s="431"/>
      <c r="G26" s="463"/>
      <c r="H26" s="138"/>
      <c r="I26" s="433"/>
      <c r="J26" s="420"/>
      <c r="K26" s="423"/>
      <c r="L26" s="405"/>
      <c r="M26" s="426"/>
      <c r="N26" s="405">
        <f>IF(NOT(ISERROR(MATCH(M26,_xlfn.ANCHORARRAY(F37),0))),L39&amp;"Por favor no seleccionar los criterios de impacto",M26)</f>
        <v>0</v>
      </c>
      <c r="O26" s="423"/>
      <c r="P26" s="405"/>
      <c r="Q26" s="408"/>
      <c r="R26" s="105">
        <v>2</v>
      </c>
      <c r="S26" s="106"/>
      <c r="T26" s="107" t="str">
        <f>IF(OR(U26="Preventivo",U26="Detectivo"),"Probabilidad",IF(U26="Correctivo","Impacto",""))</f>
        <v/>
      </c>
      <c r="U26" s="114"/>
      <c r="V26" s="114"/>
      <c r="W26" s="115" t="str">
        <f t="shared" ref="W26:W30" si="35">IF(AND(U26="Preventivo",V26="Automático"),"50%",IF(AND(U26="Preventivo",V26="Manual"),"40%",IF(AND(U26="Detectivo",V26="Automático"),"40%",IF(AND(U26="Detectivo",V26="Manual"),"30%",IF(AND(U26="Correctivo",V26="Automático"),"35%",IF(AND(U26="Correctivo",V26="Manual"),"25%",""))))))</f>
        <v/>
      </c>
      <c r="X26" s="114"/>
      <c r="Y26" s="114"/>
      <c r="Z26" s="114"/>
      <c r="AA26" s="108" t="str">
        <f>IFERROR(IF(AND(T25="Probabilidad",T26="Probabilidad"),(AC25-(+AC25*W26)),IF(AND(T25="Impacto",T26="Probabilidad"),(L25-(+L25*W26)),IF(T26="Impacto",AC25,""))),"")</f>
        <v/>
      </c>
      <c r="AB26" s="116" t="str">
        <f t="shared" ref="AB26:AB30" si="36">IFERROR(IF(AA26="","",IF(AA26&lt;=0.2,"Muy Baja",IF(AA26&lt;=0.4,"Baja",IF(AA26&lt;=0.6,"Media",IF(AA26&lt;=0.8,"Alta","Muy Alta"))))),"")</f>
        <v/>
      </c>
      <c r="AC26" s="117" t="str">
        <f>+AA26</f>
        <v/>
      </c>
      <c r="AD26" s="116" t="str">
        <f t="shared" ref="AD26:AD30" si="37">IFERROR(IF(AE26="","",IF(AE26&lt;=0.2,"Leve",IF(AE26&lt;=0.4,"Menor",IF(AE26&lt;=0.6,"Moderado",IF(AE26&lt;=0.8,"Mayor","Catastrófico"))))),"")</f>
        <v/>
      </c>
      <c r="AE26" s="117" t="str">
        <f>IFERROR(IF(AND(T25="Impacto",T26="Impacto"),(AE25-(+AE25*W26)),IF(AND(T25="Probabilidad",T26="Impacto"),(P25-(+P25*W26)),IF(T26="Probabilidad",AE25,""))),"")</f>
        <v/>
      </c>
      <c r="AF26" s="118" t="str">
        <f t="shared" ref="AF26:AF30" si="38">IFERROR(IF(OR(AND(AB26="Muy Baja",AD26="Leve"),AND(AB26="Muy Baja",AD26="Menor"),AND(AB26="Baja",AD26="Leve")),"Bajo",IF(OR(AND(AB26="Muy baja",AD26="Moderado"),AND(AB26="Baja",AD26="Menor"),AND(AB26="Baja",AD26="Moderado"),AND(AB26="Media",AD26="Leve"),AND(AB26="Media",AD26="Menor"),AND(AB26="Media",AD26="Moderado"),AND(AB26="Alta",AD26="Leve"),AND(AB26="Alta",AD26="Menor")),"Moderado",IF(OR(AND(AB26="Muy Baja",AD26="Mayor"),AND(AB26="Baja",AD26="Mayor"),AND(AB26="Media",AD26="Mayor"),AND(AB26="Alta",AD26="Moderado"),AND(AB26="Alta",AD26="Mayor"),AND(AB26="Muy Alta",AD26="Leve"),AND(AB26="Muy Alta",AD26="Menor"),AND(AB26="Muy Alta",AD26="Moderado"),AND(AB26="Muy Alta",AD26="Mayor")),"Alto",IF(OR(AND(AB26="Muy Baja",AD26="Catastrófico"),AND(AB26="Baja",AD26="Catastrófico"),AND(AB26="Media",AD26="Catastrófico"),AND(AB26="Alta",AD26="Catastrófico"),AND(AB26="Muy Alta",AD26="Catastrófico")),"Extremo","")))),"")</f>
        <v/>
      </c>
      <c r="AG26" s="119"/>
      <c r="AH26" s="109"/>
      <c r="AI26" s="110"/>
      <c r="AJ26" s="111"/>
      <c r="AK26" s="111"/>
      <c r="AL26" s="109"/>
      <c r="AM26" s="110"/>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1" ht="26.25" customHeight="1" x14ac:dyDescent="0.25">
      <c r="A27" s="411"/>
      <c r="B27" s="414"/>
      <c r="C27" s="414"/>
      <c r="D27" s="429"/>
      <c r="E27" s="137"/>
      <c r="F27" s="431"/>
      <c r="G27" s="463"/>
      <c r="H27" s="138"/>
      <c r="I27" s="433"/>
      <c r="J27" s="420"/>
      <c r="K27" s="423"/>
      <c r="L27" s="405"/>
      <c r="M27" s="426"/>
      <c r="N27" s="405">
        <f>IF(NOT(ISERROR(MATCH(M27,_xlfn.ANCHORARRAY(F38),0))),L40&amp;"Por favor no seleccionar los criterios de impacto",M27)</f>
        <v>0</v>
      </c>
      <c r="O27" s="423"/>
      <c r="P27" s="405"/>
      <c r="Q27" s="408"/>
      <c r="R27" s="105">
        <v>3</v>
      </c>
      <c r="S27" s="112"/>
      <c r="T27" s="107" t="str">
        <f t="shared" ref="T27:T30" si="39">IF(OR(U27="Preventivo",U27="Detectivo"),"Probabilidad",IF(U27="Correctivo","Impacto",""))</f>
        <v/>
      </c>
      <c r="U27" s="114"/>
      <c r="V27" s="114"/>
      <c r="W27" s="115" t="str">
        <f t="shared" si="35"/>
        <v/>
      </c>
      <c r="X27" s="114"/>
      <c r="Y27" s="114"/>
      <c r="Z27" s="114"/>
      <c r="AA27" s="108" t="str">
        <f>IFERROR(IF(AND(T26="Probabilidad",T27="Probabilidad"),(AC26-(+AC26*W27)),IF(AND(T26="Impacto",T27="Probabilidad"),(AC25-(+AC25*W27)),IF(T27="Impacto",AC26,""))),"")</f>
        <v/>
      </c>
      <c r="AB27" s="116" t="str">
        <f t="shared" si="36"/>
        <v/>
      </c>
      <c r="AC27" s="117" t="str">
        <f t="shared" ref="AC27:AC30" si="40">+AA27</f>
        <v/>
      </c>
      <c r="AD27" s="116" t="str">
        <f t="shared" si="37"/>
        <v/>
      </c>
      <c r="AE27" s="117" t="str">
        <f t="shared" ref="AE27:AE30" si="41">IFERROR(IF(AND(T26="Impacto",T27="Impacto"),(AE26-(+AE26*W27)),IF(AND(T26="Probabilidad",T27="Impacto"),(AE25-(+AE25*W27)),IF(T27="Probabilidad",AE26,""))),"")</f>
        <v/>
      </c>
      <c r="AF27" s="118" t="str">
        <f t="shared" si="38"/>
        <v/>
      </c>
      <c r="AG27" s="119"/>
      <c r="AH27" s="109"/>
      <c r="AI27" s="110"/>
      <c r="AJ27" s="111"/>
      <c r="AK27" s="111"/>
      <c r="AL27" s="109"/>
      <c r="AM27" s="110"/>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row>
    <row r="28" spans="1:71" ht="26.25" customHeight="1" x14ac:dyDescent="0.25">
      <c r="A28" s="411"/>
      <c r="B28" s="414"/>
      <c r="C28" s="414"/>
      <c r="D28" s="429"/>
      <c r="E28" s="137"/>
      <c r="F28" s="431"/>
      <c r="G28" s="463"/>
      <c r="H28" s="138"/>
      <c r="I28" s="433"/>
      <c r="J28" s="420"/>
      <c r="K28" s="423"/>
      <c r="L28" s="405"/>
      <c r="M28" s="426"/>
      <c r="N28" s="405">
        <f>IF(NOT(ISERROR(MATCH(M28,_xlfn.ANCHORARRAY(F39),0))),L41&amp;"Por favor no seleccionar los criterios de impacto",M28)</f>
        <v>0</v>
      </c>
      <c r="O28" s="423"/>
      <c r="P28" s="405"/>
      <c r="Q28" s="408"/>
      <c r="R28" s="105">
        <v>4</v>
      </c>
      <c r="S28" s="106"/>
      <c r="T28" s="107" t="str">
        <f t="shared" si="39"/>
        <v/>
      </c>
      <c r="U28" s="114"/>
      <c r="V28" s="114"/>
      <c r="W28" s="115" t="str">
        <f t="shared" si="35"/>
        <v/>
      </c>
      <c r="X28" s="114"/>
      <c r="Y28" s="114"/>
      <c r="Z28" s="114"/>
      <c r="AA28" s="108" t="str">
        <f t="shared" ref="AA28:AA30" si="42">IFERROR(IF(AND(T27="Probabilidad",T28="Probabilidad"),(AC27-(+AC27*W28)),IF(AND(T27="Impacto",T28="Probabilidad"),(AC26-(+AC26*W28)),IF(T28="Impacto",AC27,""))),"")</f>
        <v/>
      </c>
      <c r="AB28" s="116" t="str">
        <f t="shared" si="36"/>
        <v/>
      </c>
      <c r="AC28" s="117" t="str">
        <f t="shared" si="40"/>
        <v/>
      </c>
      <c r="AD28" s="116" t="str">
        <f t="shared" si="37"/>
        <v/>
      </c>
      <c r="AE28" s="117" t="str">
        <f t="shared" si="41"/>
        <v/>
      </c>
      <c r="AF28" s="118" t="str">
        <f t="shared" si="38"/>
        <v/>
      </c>
      <c r="AG28" s="119"/>
      <c r="AH28" s="109"/>
      <c r="AI28" s="110"/>
      <c r="AJ28" s="111"/>
      <c r="AK28" s="111"/>
      <c r="AL28" s="109"/>
      <c r="AM28" s="110"/>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ht="26.25" customHeight="1" x14ac:dyDescent="0.25">
      <c r="A29" s="411"/>
      <c r="B29" s="414"/>
      <c r="C29" s="414"/>
      <c r="D29" s="429"/>
      <c r="E29" s="137"/>
      <c r="F29" s="431"/>
      <c r="G29" s="463"/>
      <c r="H29" s="138"/>
      <c r="I29" s="433"/>
      <c r="J29" s="420"/>
      <c r="K29" s="423"/>
      <c r="L29" s="405"/>
      <c r="M29" s="426"/>
      <c r="N29" s="405">
        <f>IF(NOT(ISERROR(MATCH(M29,_xlfn.ANCHORARRAY(F40),0))),L42&amp;"Por favor no seleccionar los criterios de impacto",M29)</f>
        <v>0</v>
      </c>
      <c r="O29" s="423"/>
      <c r="P29" s="405"/>
      <c r="Q29" s="408"/>
      <c r="R29" s="105">
        <v>5</v>
      </c>
      <c r="S29" s="106"/>
      <c r="T29" s="107" t="str">
        <f t="shared" si="39"/>
        <v/>
      </c>
      <c r="U29" s="114"/>
      <c r="V29" s="114"/>
      <c r="W29" s="115" t="str">
        <f t="shared" si="35"/>
        <v/>
      </c>
      <c r="X29" s="114"/>
      <c r="Y29" s="114"/>
      <c r="Z29" s="114"/>
      <c r="AA29" s="108" t="str">
        <f t="shared" si="42"/>
        <v/>
      </c>
      <c r="AB29" s="116" t="str">
        <f t="shared" si="36"/>
        <v/>
      </c>
      <c r="AC29" s="117" t="str">
        <f t="shared" si="40"/>
        <v/>
      </c>
      <c r="AD29" s="116" t="str">
        <f t="shared" si="37"/>
        <v/>
      </c>
      <c r="AE29" s="117" t="str">
        <f t="shared" si="41"/>
        <v/>
      </c>
      <c r="AF29" s="118" t="str">
        <f t="shared" si="38"/>
        <v/>
      </c>
      <c r="AG29" s="119"/>
      <c r="AH29" s="109"/>
      <c r="AI29" s="110"/>
      <c r="AJ29" s="111"/>
      <c r="AK29" s="111"/>
      <c r="AL29" s="109"/>
      <c r="AM29" s="110"/>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row>
    <row r="30" spans="1:71" ht="26.25" customHeight="1" x14ac:dyDescent="0.25">
      <c r="A30" s="412"/>
      <c r="B30" s="415"/>
      <c r="C30" s="415"/>
      <c r="D30" s="430"/>
      <c r="E30" s="137"/>
      <c r="F30" s="431"/>
      <c r="G30" s="464"/>
      <c r="H30" s="138"/>
      <c r="I30" s="434"/>
      <c r="J30" s="421"/>
      <c r="K30" s="424"/>
      <c r="L30" s="406"/>
      <c r="M30" s="427"/>
      <c r="N30" s="406">
        <f>IF(NOT(ISERROR(MATCH(M30,_xlfn.ANCHORARRAY(F41),0))),L43&amp;"Por favor no seleccionar los criterios de impacto",M30)</f>
        <v>0</v>
      </c>
      <c r="O30" s="424"/>
      <c r="P30" s="406"/>
      <c r="Q30" s="409"/>
      <c r="R30" s="105">
        <v>6</v>
      </c>
      <c r="S30" s="106"/>
      <c r="T30" s="107" t="str">
        <f t="shared" si="39"/>
        <v/>
      </c>
      <c r="U30" s="114"/>
      <c r="V30" s="114"/>
      <c r="W30" s="115" t="str">
        <f t="shared" si="35"/>
        <v/>
      </c>
      <c r="X30" s="114"/>
      <c r="Y30" s="114"/>
      <c r="Z30" s="114"/>
      <c r="AA30" s="108" t="str">
        <f t="shared" si="42"/>
        <v/>
      </c>
      <c r="AB30" s="116" t="str">
        <f t="shared" si="36"/>
        <v/>
      </c>
      <c r="AC30" s="117" t="str">
        <f t="shared" si="40"/>
        <v/>
      </c>
      <c r="AD30" s="116" t="str">
        <f t="shared" si="37"/>
        <v/>
      </c>
      <c r="AE30" s="117" t="str">
        <f t="shared" si="41"/>
        <v/>
      </c>
      <c r="AF30" s="118" t="str">
        <f t="shared" si="38"/>
        <v/>
      </c>
      <c r="AG30" s="119"/>
      <c r="AH30" s="109"/>
      <c r="AI30" s="110"/>
      <c r="AJ30" s="111"/>
      <c r="AK30" s="111"/>
      <c r="AL30" s="109"/>
      <c r="AM30" s="110"/>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row>
    <row r="31" spans="1:71" ht="26.25" customHeight="1" x14ac:dyDescent="0.25">
      <c r="A31" s="410">
        <v>5</v>
      </c>
      <c r="B31" s="413"/>
      <c r="C31" s="413"/>
      <c r="D31" s="428"/>
      <c r="E31" s="137"/>
      <c r="F31" s="431"/>
      <c r="G31" s="462"/>
      <c r="H31" s="138"/>
      <c r="I31" s="432"/>
      <c r="J31" s="419"/>
      <c r="K31" s="422" t="str">
        <f t="shared" ref="K31" si="43">IF(J31&lt;=0,"",IF(J31&lt;=2,"Muy Baja",IF(J31&lt;=24,"Baja",IF(J31&lt;=500,"Media",IF(J31&lt;=5000,"Alta","Muy Alta")))))</f>
        <v/>
      </c>
      <c r="L31" s="404" t="str">
        <f t="shared" ref="L31" si="44">IF(K31="","",IF(K31="Muy Baja",0.2,IF(K31="Baja",0.4,IF(K31="Media",0.6,IF(K31="Alta",0.8,IF(K31="Muy Alta",1,))))))</f>
        <v/>
      </c>
      <c r="M31" s="425"/>
      <c r="N31" s="404">
        <f>IF(NOT(ISERROR(MATCH(M31,'Tabla Impacto'!$B$221:$B$223,0))),'Tabla Impacto'!$F$223&amp;"Por favor no seleccionar los criterios de impacto(Afectación Económica o presupuestal y Pérdida Reputacional)",M31)</f>
        <v>0</v>
      </c>
      <c r="O31" s="422" t="str">
        <f>IF(OR(N31='Tabla Impacto'!$C$11,N31='Tabla Impacto'!$D$11),"Leve",IF(OR(N31='Tabla Impacto'!$C$12,N31='Tabla Impacto'!$D$12),"Menor",IF(OR(N31='Tabla Impacto'!$C$13,N31='Tabla Impacto'!$D$13),"Moderado",IF(OR(N31='Tabla Impacto'!$C$14,N31='Tabla Impacto'!$D$14),"Mayor",IF(OR(N31='Tabla Impacto'!$C$15,N31='Tabla Impacto'!$D$15),"Catastrófico","")))))</f>
        <v/>
      </c>
      <c r="P31" s="404" t="str">
        <f t="shared" ref="P31" si="45">IF(O31="","",IF(O31="Leve",0.2,IF(O31="Menor",0.4,IF(O31="Moderado",0.6,IF(O31="Mayor",0.8,IF(O31="Catastrófico",1,))))))</f>
        <v/>
      </c>
      <c r="Q31" s="407" t="str">
        <f t="shared" ref="Q31" si="46">IF(OR(AND(K31="Muy Baja",O31="Leve"),AND(K31="Muy Baja",O31="Menor"),AND(K31="Baja",O31="Leve")),"Bajo",IF(OR(AND(K31="Muy baja",O31="Moderado"),AND(K31="Baja",O31="Menor"),AND(K31="Baja",O31="Moderado"),AND(K31="Media",O31="Leve"),AND(K31="Media",O31="Menor"),AND(K31="Media",O31="Moderado"),AND(K31="Alta",O31="Leve"),AND(K31="Alta",O31="Menor")),"Moderado",IF(OR(AND(K31="Muy Baja",O31="Mayor"),AND(K31="Baja",O31="Mayor"),AND(K31="Media",O31="Mayor"),AND(K31="Alta",O31="Moderado"),AND(K31="Alta",O31="Mayor"),AND(K31="Muy Alta",O31="Leve"),AND(K31="Muy Alta",O31="Menor"),AND(K31="Muy Alta",O31="Moderado"),AND(K31="Muy Alta",O31="Mayor")),"Alto",IF(OR(AND(K31="Muy Baja",O31="Catastrófico"),AND(K31="Baja",O31="Catastrófico"),AND(K31="Media",O31="Catastrófico"),AND(K31="Alta",O31="Catastrófico"),AND(K31="Muy Alta",O31="Catastrófico")),"Extremo",""))))</f>
        <v/>
      </c>
      <c r="R31" s="105">
        <v>1</v>
      </c>
      <c r="S31" s="106"/>
      <c r="T31" s="107" t="str">
        <f>IF(OR(U31="Preventivo",U31="Detectivo"),"Probabilidad",IF(U31="Correctivo","Impacto",""))</f>
        <v/>
      </c>
      <c r="U31" s="114"/>
      <c r="V31" s="114"/>
      <c r="W31" s="115" t="str">
        <f>IF(AND(U31="Preventivo",V31="Automático"),"50%",IF(AND(U31="Preventivo",V31="Manual"),"40%",IF(AND(U31="Detectivo",V31="Automático"),"40%",IF(AND(U31="Detectivo",V31="Manual"),"30%",IF(AND(U31="Correctivo",V31="Automático"),"35%",IF(AND(U31="Correctivo",V31="Manual"),"25%",""))))))</f>
        <v/>
      </c>
      <c r="X31" s="114"/>
      <c r="Y31" s="114"/>
      <c r="Z31" s="114"/>
      <c r="AA31" s="108" t="str">
        <f>IFERROR(IF(T31="Probabilidad",(L31-(+L31*W31)),IF(T31="Impacto",L31,"")),"")</f>
        <v/>
      </c>
      <c r="AB31" s="116" t="str">
        <f>IFERROR(IF(AA31="","",IF(AA31&lt;=0.2,"Muy Baja",IF(AA31&lt;=0.4,"Baja",IF(AA31&lt;=0.6,"Media",IF(AA31&lt;=0.8,"Alta","Muy Alta"))))),"")</f>
        <v/>
      </c>
      <c r="AC31" s="117" t="str">
        <f>+AA31</f>
        <v/>
      </c>
      <c r="AD31" s="116" t="str">
        <f>IFERROR(IF(AE31="","",IF(AE31&lt;=0.2,"Leve",IF(AE31&lt;=0.4,"Menor",IF(AE31&lt;=0.6,"Moderado",IF(AE31&lt;=0.8,"Mayor","Catastrófico"))))),"")</f>
        <v/>
      </c>
      <c r="AE31" s="117" t="str">
        <f>IFERROR(IF(T31="Impacto",(P31-(+P31*W31)),IF(T31="Probabilidad",P31,"")),"")</f>
        <v/>
      </c>
      <c r="AF31" s="118" t="str">
        <f>IFERROR(IF(OR(AND(AB31="Muy Baja",AD31="Leve"),AND(AB31="Muy Baja",AD31="Menor"),AND(AB31="Baja",AD31="Leve")),"Bajo",IF(OR(AND(AB31="Muy baja",AD31="Moderado"),AND(AB31="Baja",AD31="Menor"),AND(AB31="Baja",AD31="Moderado"),AND(AB31="Media",AD31="Leve"),AND(AB31="Media",AD31="Menor"),AND(AB31="Media",AD31="Moderado"),AND(AB31="Alta",AD31="Leve"),AND(AB31="Alta",AD31="Menor")),"Moderado",IF(OR(AND(AB31="Muy Baja",AD31="Mayor"),AND(AB31="Baja",AD31="Mayor"),AND(AB31="Media",AD31="Mayor"),AND(AB31="Alta",AD31="Moderado"),AND(AB31="Alta",AD31="Mayor"),AND(AB31="Muy Alta",AD31="Leve"),AND(AB31="Muy Alta",AD31="Menor"),AND(AB31="Muy Alta",AD31="Moderado"),AND(AB31="Muy Alta",AD31="Mayor")),"Alto",IF(OR(AND(AB31="Muy Baja",AD31="Catastrófico"),AND(AB31="Baja",AD31="Catastrófico"),AND(AB31="Media",AD31="Catastrófico"),AND(AB31="Alta",AD31="Catastrófico"),AND(AB31="Muy Alta",AD31="Catastrófico")),"Extremo","")))),"")</f>
        <v/>
      </c>
      <c r="AG31" s="119"/>
      <c r="AH31" s="109"/>
      <c r="AI31" s="110"/>
      <c r="AJ31" s="111"/>
      <c r="AK31" s="111"/>
      <c r="AL31" s="109"/>
      <c r="AM31" s="110"/>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1" ht="26.25" customHeight="1" x14ac:dyDescent="0.25">
      <c r="A32" s="411"/>
      <c r="B32" s="414"/>
      <c r="C32" s="414"/>
      <c r="D32" s="429"/>
      <c r="E32" s="137"/>
      <c r="F32" s="431"/>
      <c r="G32" s="463"/>
      <c r="H32" s="138"/>
      <c r="I32" s="433"/>
      <c r="J32" s="420"/>
      <c r="K32" s="423"/>
      <c r="L32" s="405"/>
      <c r="M32" s="426"/>
      <c r="N32" s="405">
        <f>IF(NOT(ISERROR(MATCH(M32,_xlfn.ANCHORARRAY(F43),0))),L45&amp;"Por favor no seleccionar los criterios de impacto",M32)</f>
        <v>0</v>
      </c>
      <c r="O32" s="423"/>
      <c r="P32" s="405"/>
      <c r="Q32" s="408"/>
      <c r="R32" s="105">
        <v>2</v>
      </c>
      <c r="S32" s="106"/>
      <c r="T32" s="107" t="str">
        <f>IF(OR(U32="Preventivo",U32="Detectivo"),"Probabilidad",IF(U32="Correctivo","Impacto",""))</f>
        <v/>
      </c>
      <c r="U32" s="114"/>
      <c r="V32" s="114"/>
      <c r="W32" s="115" t="str">
        <f t="shared" ref="W32:W36" si="47">IF(AND(U32="Preventivo",V32="Automático"),"50%",IF(AND(U32="Preventivo",V32="Manual"),"40%",IF(AND(U32="Detectivo",V32="Automático"),"40%",IF(AND(U32="Detectivo",V32="Manual"),"30%",IF(AND(U32="Correctivo",V32="Automático"),"35%",IF(AND(U32="Correctivo",V32="Manual"),"25%",""))))))</f>
        <v/>
      </c>
      <c r="X32" s="114"/>
      <c r="Y32" s="114"/>
      <c r="Z32" s="114"/>
      <c r="AA32" s="108" t="str">
        <f>IFERROR(IF(AND(T31="Probabilidad",T32="Probabilidad"),(AC31-(+AC31*W32)),IF(AND(T31="Impacto",T32="Probabilidad"),(L31-(+L31*W32)),IF(T32="Impacto",AC31,""))),"")</f>
        <v/>
      </c>
      <c r="AB32" s="116" t="str">
        <f t="shared" ref="AB32:AB36" si="48">IFERROR(IF(AA32="","",IF(AA32&lt;=0.2,"Muy Baja",IF(AA32&lt;=0.4,"Baja",IF(AA32&lt;=0.6,"Media",IF(AA32&lt;=0.8,"Alta","Muy Alta"))))),"")</f>
        <v/>
      </c>
      <c r="AC32" s="117" t="str">
        <f>+AA32</f>
        <v/>
      </c>
      <c r="AD32" s="116" t="str">
        <f t="shared" ref="AD32:AD36" si="49">IFERROR(IF(AE32="","",IF(AE32&lt;=0.2,"Leve",IF(AE32&lt;=0.4,"Menor",IF(AE32&lt;=0.6,"Moderado",IF(AE32&lt;=0.8,"Mayor","Catastrófico"))))),"")</f>
        <v/>
      </c>
      <c r="AE32" s="117" t="str">
        <f>IFERROR(IF(AND(T31="Impacto",T32="Impacto"),(AE31-(+AE31*W32)),IF(AND(T31="Probabilidad",T32="Impacto"),(P31-(+P31*W32)),IF(T32="Probabilidad",AE31,""))),"")</f>
        <v/>
      </c>
      <c r="AF32" s="118" t="str">
        <f t="shared" ref="AF32:AF36" si="50">IFERROR(IF(OR(AND(AB32="Muy Baja",AD32="Leve"),AND(AB32="Muy Baja",AD32="Menor"),AND(AB32="Baja",AD32="Leve")),"Bajo",IF(OR(AND(AB32="Muy baja",AD32="Moderado"),AND(AB32="Baja",AD32="Menor"),AND(AB32="Baja",AD32="Moderado"),AND(AB32="Media",AD32="Leve"),AND(AB32="Media",AD32="Menor"),AND(AB32="Media",AD32="Moderado"),AND(AB32="Alta",AD32="Leve"),AND(AB32="Alta",AD32="Menor")),"Moderado",IF(OR(AND(AB32="Muy Baja",AD32="Mayor"),AND(AB32="Baja",AD32="Mayor"),AND(AB32="Media",AD32="Mayor"),AND(AB32="Alta",AD32="Moderado"),AND(AB32="Alta",AD32="Mayor"),AND(AB32="Muy Alta",AD32="Leve"),AND(AB32="Muy Alta",AD32="Menor"),AND(AB32="Muy Alta",AD32="Moderado"),AND(AB32="Muy Alta",AD32="Mayor")),"Alto",IF(OR(AND(AB32="Muy Baja",AD32="Catastrófico"),AND(AB32="Baja",AD32="Catastrófico"),AND(AB32="Media",AD32="Catastrófico"),AND(AB32="Alta",AD32="Catastrófico"),AND(AB32="Muy Alta",AD32="Catastrófico")),"Extremo","")))),"")</f>
        <v/>
      </c>
      <c r="AG32" s="119"/>
      <c r="AH32" s="109"/>
      <c r="AI32" s="110"/>
      <c r="AJ32" s="111"/>
      <c r="AK32" s="111"/>
      <c r="AL32" s="109"/>
      <c r="AM32" s="110"/>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row>
    <row r="33" spans="1:71" ht="26.25" customHeight="1" x14ac:dyDescent="0.25">
      <c r="A33" s="411"/>
      <c r="B33" s="414"/>
      <c r="C33" s="414"/>
      <c r="D33" s="429"/>
      <c r="E33" s="137"/>
      <c r="F33" s="431"/>
      <c r="G33" s="463"/>
      <c r="H33" s="138"/>
      <c r="I33" s="433"/>
      <c r="J33" s="420"/>
      <c r="K33" s="423"/>
      <c r="L33" s="405"/>
      <c r="M33" s="426"/>
      <c r="N33" s="405">
        <f>IF(NOT(ISERROR(MATCH(M33,_xlfn.ANCHORARRAY(F44),0))),L46&amp;"Por favor no seleccionar los criterios de impacto",M33)</f>
        <v>0</v>
      </c>
      <c r="O33" s="423"/>
      <c r="P33" s="405"/>
      <c r="Q33" s="408"/>
      <c r="R33" s="105">
        <v>3</v>
      </c>
      <c r="S33" s="112"/>
      <c r="T33" s="107" t="str">
        <f t="shared" ref="T33:T36" si="51">IF(OR(U33="Preventivo",U33="Detectivo"),"Probabilidad",IF(U33="Correctivo","Impacto",""))</f>
        <v/>
      </c>
      <c r="U33" s="114"/>
      <c r="V33" s="114"/>
      <c r="W33" s="115" t="str">
        <f t="shared" si="47"/>
        <v/>
      </c>
      <c r="X33" s="114"/>
      <c r="Y33" s="114"/>
      <c r="Z33" s="114"/>
      <c r="AA33" s="108" t="str">
        <f>IFERROR(IF(AND(T32="Probabilidad",T33="Probabilidad"),(AC32-(+AC32*W33)),IF(AND(T32="Impacto",T33="Probabilidad"),(AC31-(+AC31*W33)),IF(T33="Impacto",AC32,""))),"")</f>
        <v/>
      </c>
      <c r="AB33" s="116" t="str">
        <f t="shared" si="48"/>
        <v/>
      </c>
      <c r="AC33" s="117" t="str">
        <f t="shared" ref="AC33:AC36" si="52">+AA33</f>
        <v/>
      </c>
      <c r="AD33" s="116" t="str">
        <f t="shared" si="49"/>
        <v/>
      </c>
      <c r="AE33" s="117" t="str">
        <f t="shared" ref="AE33:AE36" si="53">IFERROR(IF(AND(T32="Impacto",T33="Impacto"),(AE32-(+AE32*W33)),IF(AND(T32="Probabilidad",T33="Impacto"),(AE31-(+AE31*W33)),IF(T33="Probabilidad",AE32,""))),"")</f>
        <v/>
      </c>
      <c r="AF33" s="118" t="str">
        <f t="shared" si="50"/>
        <v/>
      </c>
      <c r="AG33" s="119"/>
      <c r="AH33" s="109"/>
      <c r="AI33" s="110"/>
      <c r="AJ33" s="111"/>
      <c r="AK33" s="111"/>
      <c r="AL33" s="109"/>
      <c r="AM33" s="110"/>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row>
    <row r="34" spans="1:71" ht="26.25" customHeight="1" x14ac:dyDescent="0.25">
      <c r="A34" s="411"/>
      <c r="B34" s="414"/>
      <c r="C34" s="414"/>
      <c r="D34" s="429"/>
      <c r="E34" s="137"/>
      <c r="F34" s="431"/>
      <c r="G34" s="463"/>
      <c r="H34" s="138"/>
      <c r="I34" s="433"/>
      <c r="J34" s="420"/>
      <c r="K34" s="423"/>
      <c r="L34" s="405"/>
      <c r="M34" s="426"/>
      <c r="N34" s="405">
        <f>IF(NOT(ISERROR(MATCH(M34,_xlfn.ANCHORARRAY(F45),0))),L47&amp;"Por favor no seleccionar los criterios de impacto",M34)</f>
        <v>0</v>
      </c>
      <c r="O34" s="423"/>
      <c r="P34" s="405"/>
      <c r="Q34" s="408"/>
      <c r="R34" s="105">
        <v>4</v>
      </c>
      <c r="S34" s="106"/>
      <c r="T34" s="107" t="str">
        <f t="shared" si="51"/>
        <v/>
      </c>
      <c r="U34" s="114"/>
      <c r="V34" s="114"/>
      <c r="W34" s="115" t="str">
        <f t="shared" si="47"/>
        <v/>
      </c>
      <c r="X34" s="114"/>
      <c r="Y34" s="114"/>
      <c r="Z34" s="114"/>
      <c r="AA34" s="108" t="str">
        <f t="shared" ref="AA34:AA36" si="54">IFERROR(IF(AND(T33="Probabilidad",T34="Probabilidad"),(AC33-(+AC33*W34)),IF(AND(T33="Impacto",T34="Probabilidad"),(AC32-(+AC32*W34)),IF(T34="Impacto",AC33,""))),"")</f>
        <v/>
      </c>
      <c r="AB34" s="116" t="str">
        <f t="shared" si="48"/>
        <v/>
      </c>
      <c r="AC34" s="117" t="str">
        <f t="shared" si="52"/>
        <v/>
      </c>
      <c r="AD34" s="116" t="str">
        <f t="shared" si="49"/>
        <v/>
      </c>
      <c r="AE34" s="117" t="str">
        <f t="shared" si="53"/>
        <v/>
      </c>
      <c r="AF34" s="118" t="str">
        <f t="shared" si="50"/>
        <v/>
      </c>
      <c r="AG34" s="119"/>
      <c r="AH34" s="109"/>
      <c r="AI34" s="110"/>
      <c r="AJ34" s="111"/>
      <c r="AK34" s="111"/>
      <c r="AL34" s="109"/>
      <c r="AM34" s="110"/>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row>
    <row r="35" spans="1:71" ht="26.25" customHeight="1" x14ac:dyDescent="0.25">
      <c r="A35" s="411"/>
      <c r="B35" s="414"/>
      <c r="C35" s="414"/>
      <c r="D35" s="429"/>
      <c r="E35" s="137"/>
      <c r="F35" s="431"/>
      <c r="G35" s="463"/>
      <c r="H35" s="138"/>
      <c r="I35" s="433"/>
      <c r="J35" s="420"/>
      <c r="K35" s="423"/>
      <c r="L35" s="405"/>
      <c r="M35" s="426"/>
      <c r="N35" s="405">
        <f>IF(NOT(ISERROR(MATCH(M35,_xlfn.ANCHORARRAY(F46),0))),L48&amp;"Por favor no seleccionar los criterios de impacto",M35)</f>
        <v>0</v>
      </c>
      <c r="O35" s="423"/>
      <c r="P35" s="405"/>
      <c r="Q35" s="408"/>
      <c r="R35" s="105">
        <v>5</v>
      </c>
      <c r="S35" s="106"/>
      <c r="T35" s="107" t="str">
        <f t="shared" si="51"/>
        <v/>
      </c>
      <c r="U35" s="114"/>
      <c r="V35" s="114"/>
      <c r="W35" s="115" t="str">
        <f t="shared" si="47"/>
        <v/>
      </c>
      <c r="X35" s="114"/>
      <c r="Y35" s="114"/>
      <c r="Z35" s="114"/>
      <c r="AA35" s="108" t="str">
        <f t="shared" si="54"/>
        <v/>
      </c>
      <c r="AB35" s="116" t="str">
        <f t="shared" si="48"/>
        <v/>
      </c>
      <c r="AC35" s="117" t="str">
        <f t="shared" si="52"/>
        <v/>
      </c>
      <c r="AD35" s="116" t="str">
        <f t="shared" si="49"/>
        <v/>
      </c>
      <c r="AE35" s="117" t="str">
        <f t="shared" si="53"/>
        <v/>
      </c>
      <c r="AF35" s="118" t="str">
        <f t="shared" si="50"/>
        <v/>
      </c>
      <c r="AG35" s="119"/>
      <c r="AH35" s="109"/>
      <c r="AI35" s="110"/>
      <c r="AJ35" s="111"/>
      <c r="AK35" s="111"/>
      <c r="AL35" s="109"/>
      <c r="AM35" s="110"/>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row>
    <row r="36" spans="1:71" ht="26.25" customHeight="1" x14ac:dyDescent="0.25">
      <c r="A36" s="412"/>
      <c r="B36" s="415"/>
      <c r="C36" s="415"/>
      <c r="D36" s="430"/>
      <c r="E36" s="137"/>
      <c r="F36" s="431"/>
      <c r="G36" s="464"/>
      <c r="H36" s="138"/>
      <c r="I36" s="434"/>
      <c r="J36" s="421"/>
      <c r="K36" s="424"/>
      <c r="L36" s="406"/>
      <c r="M36" s="427"/>
      <c r="N36" s="406">
        <f>IF(NOT(ISERROR(MATCH(M36,_xlfn.ANCHORARRAY(F47),0))),L49&amp;"Por favor no seleccionar los criterios de impacto",M36)</f>
        <v>0</v>
      </c>
      <c r="O36" s="424"/>
      <c r="P36" s="406"/>
      <c r="Q36" s="409"/>
      <c r="R36" s="105">
        <v>6</v>
      </c>
      <c r="S36" s="106"/>
      <c r="T36" s="107" t="str">
        <f t="shared" si="51"/>
        <v/>
      </c>
      <c r="U36" s="114"/>
      <c r="V36" s="114"/>
      <c r="W36" s="115" t="str">
        <f t="shared" si="47"/>
        <v/>
      </c>
      <c r="X36" s="114"/>
      <c r="Y36" s="114"/>
      <c r="Z36" s="114"/>
      <c r="AA36" s="108" t="str">
        <f t="shared" si="54"/>
        <v/>
      </c>
      <c r="AB36" s="116" t="str">
        <f t="shared" si="48"/>
        <v/>
      </c>
      <c r="AC36" s="117" t="str">
        <f t="shared" si="52"/>
        <v/>
      </c>
      <c r="AD36" s="116" t="str">
        <f t="shared" si="49"/>
        <v/>
      </c>
      <c r="AE36" s="117" t="str">
        <f t="shared" si="53"/>
        <v/>
      </c>
      <c r="AF36" s="118" t="str">
        <f t="shared" si="50"/>
        <v/>
      </c>
      <c r="AG36" s="119"/>
      <c r="AH36" s="109"/>
      <c r="AI36" s="110"/>
      <c r="AJ36" s="111"/>
      <c r="AK36" s="111"/>
      <c r="AL36" s="109"/>
      <c r="AM36" s="110"/>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row>
    <row r="37" spans="1:71" ht="26.25" customHeight="1" x14ac:dyDescent="0.25">
      <c r="A37" s="410">
        <v>6</v>
      </c>
      <c r="B37" s="413"/>
      <c r="C37" s="413"/>
      <c r="D37" s="428"/>
      <c r="E37" s="137"/>
      <c r="F37" s="431"/>
      <c r="G37" s="462"/>
      <c r="H37" s="138"/>
      <c r="I37" s="432"/>
      <c r="J37" s="419"/>
      <c r="K37" s="422" t="str">
        <f t="shared" ref="K37" si="55">IF(J37&lt;=0,"",IF(J37&lt;=2,"Muy Baja",IF(J37&lt;=24,"Baja",IF(J37&lt;=500,"Media",IF(J37&lt;=5000,"Alta","Muy Alta")))))</f>
        <v/>
      </c>
      <c r="L37" s="404" t="str">
        <f t="shared" ref="L37" si="56">IF(K37="","",IF(K37="Muy Baja",0.2,IF(K37="Baja",0.4,IF(K37="Media",0.6,IF(K37="Alta",0.8,IF(K37="Muy Alta",1,))))))</f>
        <v/>
      </c>
      <c r="M37" s="425"/>
      <c r="N37" s="404">
        <f>IF(NOT(ISERROR(MATCH(M37,'Tabla Impacto'!$B$221:$B$223,0))),'Tabla Impacto'!$F$223&amp;"Por favor no seleccionar los criterios de impacto(Afectación Económica o presupuestal y Pérdida Reputacional)",M37)</f>
        <v>0</v>
      </c>
      <c r="O37" s="422" t="str">
        <f>IF(OR(N37='Tabla Impacto'!$C$11,N37='Tabla Impacto'!$D$11),"Leve",IF(OR(N37='Tabla Impacto'!$C$12,N37='Tabla Impacto'!$D$12),"Menor",IF(OR(N37='Tabla Impacto'!$C$13,N37='Tabla Impacto'!$D$13),"Moderado",IF(OR(N37='Tabla Impacto'!$C$14,N37='Tabla Impacto'!$D$14),"Mayor",IF(OR(N37='Tabla Impacto'!$C$15,N37='Tabla Impacto'!$D$15),"Catastrófico","")))))</f>
        <v/>
      </c>
      <c r="P37" s="404" t="str">
        <f t="shared" ref="P37" si="57">IF(O37="","",IF(O37="Leve",0.2,IF(O37="Menor",0.4,IF(O37="Moderado",0.6,IF(O37="Mayor",0.8,IF(O37="Catastrófico",1,))))))</f>
        <v/>
      </c>
      <c r="Q37" s="407" t="str">
        <f t="shared" ref="Q37" si="58">IF(OR(AND(K37="Muy Baja",O37="Leve"),AND(K37="Muy Baja",O37="Menor"),AND(K37="Baja",O37="Leve")),"Bajo",IF(OR(AND(K37="Muy baja",O37="Moderado"),AND(K37="Baja",O37="Menor"),AND(K37="Baja",O37="Moderado"),AND(K37="Media",O37="Leve"),AND(K37="Media",O37="Menor"),AND(K37="Media",O37="Moderado"),AND(K37="Alta",O37="Leve"),AND(K37="Alta",O37="Menor")),"Moderado",IF(OR(AND(K37="Muy Baja",O37="Mayor"),AND(K37="Baja",O37="Mayor"),AND(K37="Media",O37="Mayor"),AND(K37="Alta",O37="Moderado"),AND(K37="Alta",O37="Mayor"),AND(K37="Muy Alta",O37="Leve"),AND(K37="Muy Alta",O37="Menor"),AND(K37="Muy Alta",O37="Moderado"),AND(K37="Muy Alta",O37="Mayor")),"Alto",IF(OR(AND(K37="Muy Baja",O37="Catastrófico"),AND(K37="Baja",O37="Catastrófico"),AND(K37="Media",O37="Catastrófico"),AND(K37="Alta",O37="Catastrófico"),AND(K37="Muy Alta",O37="Catastrófico")),"Extremo",""))))</f>
        <v/>
      </c>
      <c r="R37" s="105">
        <v>1</v>
      </c>
      <c r="S37" s="106"/>
      <c r="T37" s="107" t="str">
        <f>IF(OR(U37="Preventivo",U37="Detectivo"),"Probabilidad",IF(U37="Correctivo","Impacto",""))</f>
        <v/>
      </c>
      <c r="U37" s="114"/>
      <c r="V37" s="114"/>
      <c r="W37" s="115" t="str">
        <f>IF(AND(U37="Preventivo",V37="Automático"),"50%",IF(AND(U37="Preventivo",V37="Manual"),"40%",IF(AND(U37="Detectivo",V37="Automático"),"40%",IF(AND(U37="Detectivo",V37="Manual"),"30%",IF(AND(U37="Correctivo",V37="Automático"),"35%",IF(AND(U37="Correctivo",V37="Manual"),"25%",""))))))</f>
        <v/>
      </c>
      <c r="X37" s="114"/>
      <c r="Y37" s="114"/>
      <c r="Z37" s="114"/>
      <c r="AA37" s="108" t="str">
        <f>IFERROR(IF(T37="Probabilidad",(L37-(+L37*W37)),IF(T37="Impacto",L37,"")),"")</f>
        <v/>
      </c>
      <c r="AB37" s="116" t="str">
        <f>IFERROR(IF(AA37="","",IF(AA37&lt;=0.2,"Muy Baja",IF(AA37&lt;=0.4,"Baja",IF(AA37&lt;=0.6,"Media",IF(AA37&lt;=0.8,"Alta","Muy Alta"))))),"")</f>
        <v/>
      </c>
      <c r="AC37" s="117" t="str">
        <f>+AA37</f>
        <v/>
      </c>
      <c r="AD37" s="116" t="str">
        <f>IFERROR(IF(AE37="","",IF(AE37&lt;=0.2,"Leve",IF(AE37&lt;=0.4,"Menor",IF(AE37&lt;=0.6,"Moderado",IF(AE37&lt;=0.8,"Mayor","Catastrófico"))))),"")</f>
        <v/>
      </c>
      <c r="AE37" s="117" t="str">
        <f>IFERROR(IF(T37="Impacto",(P37-(+P37*W37)),IF(T37="Probabilidad",P37,"")),"")</f>
        <v/>
      </c>
      <c r="AF37" s="118" t="str">
        <f>IFERROR(IF(OR(AND(AB37="Muy Baja",AD37="Leve"),AND(AB37="Muy Baja",AD37="Menor"),AND(AB37="Baja",AD37="Leve")),"Bajo",IF(OR(AND(AB37="Muy baja",AD37="Moderado"),AND(AB37="Baja",AD37="Menor"),AND(AB37="Baja",AD37="Moderado"),AND(AB37="Media",AD37="Leve"),AND(AB37="Media",AD37="Menor"),AND(AB37="Media",AD37="Moderado"),AND(AB37="Alta",AD37="Leve"),AND(AB37="Alta",AD37="Menor")),"Moderado",IF(OR(AND(AB37="Muy Baja",AD37="Mayor"),AND(AB37="Baja",AD37="Mayor"),AND(AB37="Media",AD37="Mayor"),AND(AB37="Alta",AD37="Moderado"),AND(AB37="Alta",AD37="Mayor"),AND(AB37="Muy Alta",AD37="Leve"),AND(AB37="Muy Alta",AD37="Menor"),AND(AB37="Muy Alta",AD37="Moderado"),AND(AB37="Muy Alta",AD37="Mayor")),"Alto",IF(OR(AND(AB37="Muy Baja",AD37="Catastrófico"),AND(AB37="Baja",AD37="Catastrófico"),AND(AB37="Media",AD37="Catastrófico"),AND(AB37="Alta",AD37="Catastrófico"),AND(AB37="Muy Alta",AD37="Catastrófico")),"Extremo","")))),"")</f>
        <v/>
      </c>
      <c r="AG37" s="119"/>
      <c r="AH37" s="109"/>
      <c r="AI37" s="110"/>
      <c r="AJ37" s="111"/>
      <c r="AK37" s="111"/>
      <c r="AL37" s="109"/>
      <c r="AM37" s="110"/>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row>
    <row r="38" spans="1:71" ht="26.25" customHeight="1" x14ac:dyDescent="0.25">
      <c r="A38" s="411"/>
      <c r="B38" s="414"/>
      <c r="C38" s="414"/>
      <c r="D38" s="429"/>
      <c r="E38" s="137"/>
      <c r="F38" s="431"/>
      <c r="G38" s="463"/>
      <c r="H38" s="138"/>
      <c r="I38" s="433"/>
      <c r="J38" s="420"/>
      <c r="K38" s="423"/>
      <c r="L38" s="405"/>
      <c r="M38" s="426"/>
      <c r="N38" s="405">
        <f>IF(NOT(ISERROR(MATCH(M38,_xlfn.ANCHORARRAY(F49),0))),L51&amp;"Por favor no seleccionar los criterios de impacto",M38)</f>
        <v>0</v>
      </c>
      <c r="O38" s="423"/>
      <c r="P38" s="405"/>
      <c r="Q38" s="408"/>
      <c r="R38" s="105">
        <v>2</v>
      </c>
      <c r="S38" s="106"/>
      <c r="T38" s="107" t="str">
        <f>IF(OR(U38="Preventivo",U38="Detectivo"),"Probabilidad",IF(U38="Correctivo","Impacto",""))</f>
        <v/>
      </c>
      <c r="U38" s="114"/>
      <c r="V38" s="114"/>
      <c r="W38" s="115" t="str">
        <f t="shared" ref="W38:W42" si="59">IF(AND(U38="Preventivo",V38="Automático"),"50%",IF(AND(U38="Preventivo",V38="Manual"),"40%",IF(AND(U38="Detectivo",V38="Automático"),"40%",IF(AND(U38="Detectivo",V38="Manual"),"30%",IF(AND(U38="Correctivo",V38="Automático"),"35%",IF(AND(U38="Correctivo",V38="Manual"),"25%",""))))))</f>
        <v/>
      </c>
      <c r="X38" s="114"/>
      <c r="Y38" s="114"/>
      <c r="Z38" s="114"/>
      <c r="AA38" s="108" t="str">
        <f>IFERROR(IF(AND(T37="Probabilidad",T38="Probabilidad"),(AC37-(+AC37*W38)),IF(AND(T37="Impacto",T38="Probabilidad"),(L37-(+L37*W38)),IF(T38="Impacto",AC37,""))),"")</f>
        <v/>
      </c>
      <c r="AB38" s="116" t="str">
        <f t="shared" ref="AB38:AB42" si="60">IFERROR(IF(AA38="","",IF(AA38&lt;=0.2,"Muy Baja",IF(AA38&lt;=0.4,"Baja",IF(AA38&lt;=0.6,"Media",IF(AA38&lt;=0.8,"Alta","Muy Alta"))))),"")</f>
        <v/>
      </c>
      <c r="AC38" s="117" t="str">
        <f>+AA38</f>
        <v/>
      </c>
      <c r="AD38" s="116" t="str">
        <f t="shared" ref="AD38:AD42" si="61">IFERROR(IF(AE38="","",IF(AE38&lt;=0.2,"Leve",IF(AE38&lt;=0.4,"Menor",IF(AE38&lt;=0.6,"Moderado",IF(AE38&lt;=0.8,"Mayor","Catastrófico"))))),"")</f>
        <v/>
      </c>
      <c r="AE38" s="117" t="str">
        <f>IFERROR(IF(AND(T37="Impacto",T38="Impacto"),(AE37-(+AE37*W38)),IF(AND(T37="Probabilidad",T38="Impacto"),(P37-(+P37*W38)),IF(T38="Probabilidad",AE37,""))),"")</f>
        <v/>
      </c>
      <c r="AF38" s="118" t="str">
        <f t="shared" ref="AF38:AF42" si="62">IFERROR(IF(OR(AND(AB38="Muy Baja",AD38="Leve"),AND(AB38="Muy Baja",AD38="Menor"),AND(AB38="Baja",AD38="Leve")),"Bajo",IF(OR(AND(AB38="Muy baja",AD38="Moderado"),AND(AB38="Baja",AD38="Menor"),AND(AB38="Baja",AD38="Moderado"),AND(AB38="Media",AD38="Leve"),AND(AB38="Media",AD38="Menor"),AND(AB38="Media",AD38="Moderado"),AND(AB38="Alta",AD38="Leve"),AND(AB38="Alta",AD38="Menor")),"Moderado",IF(OR(AND(AB38="Muy Baja",AD38="Mayor"),AND(AB38="Baja",AD38="Mayor"),AND(AB38="Media",AD38="Mayor"),AND(AB38="Alta",AD38="Moderado"),AND(AB38="Alta",AD38="Mayor"),AND(AB38="Muy Alta",AD38="Leve"),AND(AB38="Muy Alta",AD38="Menor"),AND(AB38="Muy Alta",AD38="Moderado"),AND(AB38="Muy Alta",AD38="Mayor")),"Alto",IF(OR(AND(AB38="Muy Baja",AD38="Catastrófico"),AND(AB38="Baja",AD38="Catastrófico"),AND(AB38="Media",AD38="Catastrófico"),AND(AB38="Alta",AD38="Catastrófico"),AND(AB38="Muy Alta",AD38="Catastrófico")),"Extremo","")))),"")</f>
        <v/>
      </c>
      <c r="AG38" s="119"/>
      <c r="AH38" s="109"/>
      <c r="AI38" s="110"/>
      <c r="AJ38" s="111"/>
      <c r="AK38" s="111"/>
      <c r="AL38" s="109"/>
      <c r="AM38" s="110"/>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row>
    <row r="39" spans="1:71" ht="26.25" customHeight="1" x14ac:dyDescent="0.25">
      <c r="A39" s="411"/>
      <c r="B39" s="414"/>
      <c r="C39" s="414"/>
      <c r="D39" s="429"/>
      <c r="E39" s="137"/>
      <c r="F39" s="431"/>
      <c r="G39" s="463"/>
      <c r="H39" s="138"/>
      <c r="I39" s="433"/>
      <c r="J39" s="420"/>
      <c r="K39" s="423"/>
      <c r="L39" s="405"/>
      <c r="M39" s="426"/>
      <c r="N39" s="405">
        <f>IF(NOT(ISERROR(MATCH(M39,_xlfn.ANCHORARRAY(F50),0))),L52&amp;"Por favor no seleccionar los criterios de impacto",M39)</f>
        <v>0</v>
      </c>
      <c r="O39" s="423"/>
      <c r="P39" s="405"/>
      <c r="Q39" s="408"/>
      <c r="R39" s="105">
        <v>3</v>
      </c>
      <c r="S39" s="112"/>
      <c r="T39" s="107" t="str">
        <f t="shared" ref="T39:T42" si="63">IF(OR(U39="Preventivo",U39="Detectivo"),"Probabilidad",IF(U39="Correctivo","Impacto",""))</f>
        <v/>
      </c>
      <c r="U39" s="114"/>
      <c r="V39" s="114"/>
      <c r="W39" s="115" t="str">
        <f t="shared" si="59"/>
        <v/>
      </c>
      <c r="X39" s="114"/>
      <c r="Y39" s="114"/>
      <c r="Z39" s="114"/>
      <c r="AA39" s="108" t="str">
        <f>IFERROR(IF(AND(T38="Probabilidad",T39="Probabilidad"),(AC38-(+AC38*W39)),IF(AND(T38="Impacto",T39="Probabilidad"),(AC37-(+AC37*W39)),IF(T39="Impacto",AC38,""))),"")</f>
        <v/>
      </c>
      <c r="AB39" s="116" t="str">
        <f t="shared" si="60"/>
        <v/>
      </c>
      <c r="AC39" s="117" t="str">
        <f t="shared" ref="AC39:AC42" si="64">+AA39</f>
        <v/>
      </c>
      <c r="AD39" s="116" t="str">
        <f t="shared" si="61"/>
        <v/>
      </c>
      <c r="AE39" s="117" t="str">
        <f t="shared" ref="AE39:AE42" si="65">IFERROR(IF(AND(T38="Impacto",T39="Impacto"),(AE38-(+AE38*W39)),IF(AND(T38="Probabilidad",T39="Impacto"),(AE37-(+AE37*W39)),IF(T39="Probabilidad",AE38,""))),"")</f>
        <v/>
      </c>
      <c r="AF39" s="118" t="str">
        <f t="shared" si="62"/>
        <v/>
      </c>
      <c r="AG39" s="119"/>
      <c r="AH39" s="109"/>
      <c r="AI39" s="110"/>
      <c r="AJ39" s="111"/>
      <c r="AK39" s="111"/>
      <c r="AL39" s="109"/>
      <c r="AM39" s="110"/>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row>
    <row r="40" spans="1:71" ht="26.25" customHeight="1" x14ac:dyDescent="0.25">
      <c r="A40" s="411"/>
      <c r="B40" s="414"/>
      <c r="C40" s="414"/>
      <c r="D40" s="429"/>
      <c r="E40" s="137"/>
      <c r="F40" s="431"/>
      <c r="G40" s="463"/>
      <c r="H40" s="138"/>
      <c r="I40" s="433"/>
      <c r="J40" s="420"/>
      <c r="K40" s="423"/>
      <c r="L40" s="405"/>
      <c r="M40" s="426"/>
      <c r="N40" s="405">
        <f>IF(NOT(ISERROR(MATCH(M40,_xlfn.ANCHORARRAY(F51),0))),L53&amp;"Por favor no seleccionar los criterios de impacto",M40)</f>
        <v>0</v>
      </c>
      <c r="O40" s="423"/>
      <c r="P40" s="405"/>
      <c r="Q40" s="408"/>
      <c r="R40" s="105">
        <v>4</v>
      </c>
      <c r="S40" s="106"/>
      <c r="T40" s="107" t="str">
        <f t="shared" si="63"/>
        <v/>
      </c>
      <c r="U40" s="114"/>
      <c r="V40" s="114"/>
      <c r="W40" s="115" t="str">
        <f t="shared" si="59"/>
        <v/>
      </c>
      <c r="X40" s="114"/>
      <c r="Y40" s="114"/>
      <c r="Z40" s="114"/>
      <c r="AA40" s="108" t="str">
        <f t="shared" ref="AA40:AA42" si="66">IFERROR(IF(AND(T39="Probabilidad",T40="Probabilidad"),(AC39-(+AC39*W40)),IF(AND(T39="Impacto",T40="Probabilidad"),(AC38-(+AC38*W40)),IF(T40="Impacto",AC39,""))),"")</f>
        <v/>
      </c>
      <c r="AB40" s="116" t="str">
        <f t="shared" si="60"/>
        <v/>
      </c>
      <c r="AC40" s="117" t="str">
        <f t="shared" si="64"/>
        <v/>
      </c>
      <c r="AD40" s="116" t="str">
        <f t="shared" si="61"/>
        <v/>
      </c>
      <c r="AE40" s="117" t="str">
        <f t="shared" si="65"/>
        <v/>
      </c>
      <c r="AF40" s="118" t="str">
        <f t="shared" si="62"/>
        <v/>
      </c>
      <c r="AG40" s="119"/>
      <c r="AH40" s="109"/>
      <c r="AI40" s="110"/>
      <c r="AJ40" s="111"/>
      <c r="AK40" s="111"/>
      <c r="AL40" s="109"/>
      <c r="AM40" s="110"/>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row>
    <row r="41" spans="1:71" ht="26.25" customHeight="1" x14ac:dyDescent="0.25">
      <c r="A41" s="411"/>
      <c r="B41" s="414"/>
      <c r="C41" s="414"/>
      <c r="D41" s="429"/>
      <c r="E41" s="137"/>
      <c r="F41" s="431"/>
      <c r="G41" s="463"/>
      <c r="H41" s="138"/>
      <c r="I41" s="433"/>
      <c r="J41" s="420"/>
      <c r="K41" s="423"/>
      <c r="L41" s="405"/>
      <c r="M41" s="426"/>
      <c r="N41" s="405">
        <f>IF(NOT(ISERROR(MATCH(M41,_xlfn.ANCHORARRAY(F52),0))),L54&amp;"Por favor no seleccionar los criterios de impacto",M41)</f>
        <v>0</v>
      </c>
      <c r="O41" s="423"/>
      <c r="P41" s="405"/>
      <c r="Q41" s="408"/>
      <c r="R41" s="105">
        <v>5</v>
      </c>
      <c r="S41" s="106"/>
      <c r="T41" s="107" t="str">
        <f t="shared" si="63"/>
        <v/>
      </c>
      <c r="U41" s="114"/>
      <c r="V41" s="114"/>
      <c r="W41" s="115" t="str">
        <f t="shared" si="59"/>
        <v/>
      </c>
      <c r="X41" s="114"/>
      <c r="Y41" s="114"/>
      <c r="Z41" s="114"/>
      <c r="AA41" s="108" t="str">
        <f t="shared" si="66"/>
        <v/>
      </c>
      <c r="AB41" s="116" t="str">
        <f t="shared" si="60"/>
        <v/>
      </c>
      <c r="AC41" s="117" t="str">
        <f t="shared" si="64"/>
        <v/>
      </c>
      <c r="AD41" s="116" t="str">
        <f t="shared" si="61"/>
        <v/>
      </c>
      <c r="AE41" s="117" t="str">
        <f t="shared" si="65"/>
        <v/>
      </c>
      <c r="AF41" s="118" t="str">
        <f t="shared" si="62"/>
        <v/>
      </c>
      <c r="AG41" s="119"/>
      <c r="AH41" s="109"/>
      <c r="AI41" s="110"/>
      <c r="AJ41" s="111"/>
      <c r="AK41" s="111"/>
      <c r="AL41" s="109"/>
      <c r="AM41" s="110"/>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row>
    <row r="42" spans="1:71" ht="26.25" customHeight="1" x14ac:dyDescent="0.25">
      <c r="A42" s="412"/>
      <c r="B42" s="415"/>
      <c r="C42" s="415"/>
      <c r="D42" s="430"/>
      <c r="E42" s="137"/>
      <c r="F42" s="431"/>
      <c r="G42" s="464"/>
      <c r="H42" s="138"/>
      <c r="I42" s="434"/>
      <c r="J42" s="421"/>
      <c r="K42" s="424"/>
      <c r="L42" s="406"/>
      <c r="M42" s="427"/>
      <c r="N42" s="406">
        <f>IF(NOT(ISERROR(MATCH(M42,_xlfn.ANCHORARRAY(F53),0))),L55&amp;"Por favor no seleccionar los criterios de impacto",M42)</f>
        <v>0</v>
      </c>
      <c r="O42" s="424"/>
      <c r="P42" s="406"/>
      <c r="Q42" s="409"/>
      <c r="R42" s="105">
        <v>6</v>
      </c>
      <c r="S42" s="106"/>
      <c r="T42" s="107" t="str">
        <f t="shared" si="63"/>
        <v/>
      </c>
      <c r="U42" s="114"/>
      <c r="V42" s="114"/>
      <c r="W42" s="115" t="str">
        <f t="shared" si="59"/>
        <v/>
      </c>
      <c r="X42" s="114"/>
      <c r="Y42" s="114"/>
      <c r="Z42" s="114"/>
      <c r="AA42" s="108" t="str">
        <f t="shared" si="66"/>
        <v/>
      </c>
      <c r="AB42" s="116" t="str">
        <f t="shared" si="60"/>
        <v/>
      </c>
      <c r="AC42" s="117" t="str">
        <f t="shared" si="64"/>
        <v/>
      </c>
      <c r="AD42" s="116" t="str">
        <f t="shared" si="61"/>
        <v/>
      </c>
      <c r="AE42" s="117" t="str">
        <f t="shared" si="65"/>
        <v/>
      </c>
      <c r="AF42" s="118" t="str">
        <f t="shared" si="62"/>
        <v/>
      </c>
      <c r="AG42" s="119"/>
      <c r="AH42" s="109"/>
      <c r="AI42" s="110"/>
      <c r="AJ42" s="111"/>
      <c r="AK42" s="111"/>
      <c r="AL42" s="109"/>
      <c r="AM42" s="110"/>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row>
    <row r="43" spans="1:71" ht="26.25" customHeight="1" x14ac:dyDescent="0.25">
      <c r="A43" s="410">
        <v>7</v>
      </c>
      <c r="B43" s="413"/>
      <c r="C43" s="413"/>
      <c r="D43" s="413"/>
      <c r="E43" s="121"/>
      <c r="F43" s="417"/>
      <c r="G43" s="462"/>
      <c r="H43" s="124"/>
      <c r="I43" s="413"/>
      <c r="J43" s="419"/>
      <c r="K43" s="422" t="str">
        <f t="shared" ref="K43" si="67">IF(J43&lt;=0,"",IF(J43&lt;=2,"Muy Baja",IF(J43&lt;=24,"Baja",IF(J43&lt;=500,"Media",IF(J43&lt;=5000,"Alta","Muy Alta")))))</f>
        <v/>
      </c>
      <c r="L43" s="404" t="str">
        <f t="shared" ref="L43" si="68">IF(K43="","",IF(K43="Muy Baja",0.2,IF(K43="Baja",0.4,IF(K43="Media",0.6,IF(K43="Alta",0.8,IF(K43="Muy Alta",1,))))))</f>
        <v/>
      </c>
      <c r="M43" s="425"/>
      <c r="N43" s="404">
        <f>IF(NOT(ISERROR(MATCH(M43,'Tabla Impacto'!$B$221:$B$223,0))),'Tabla Impacto'!$F$223&amp;"Por favor no seleccionar los criterios de impacto(Afectación Económica o presupuestal y Pérdida Reputacional)",M43)</f>
        <v>0</v>
      </c>
      <c r="O43" s="422" t="str">
        <f>IF(OR(N43='Tabla Impacto'!$C$11,N43='Tabla Impacto'!$D$11),"Leve",IF(OR(N43='Tabla Impacto'!$C$12,N43='Tabla Impacto'!$D$12),"Menor",IF(OR(N43='Tabla Impacto'!$C$13,N43='Tabla Impacto'!$D$13),"Moderado",IF(OR(N43='Tabla Impacto'!$C$14,N43='Tabla Impacto'!$D$14),"Mayor",IF(OR(N43='Tabla Impacto'!$C$15,N43='Tabla Impacto'!$D$15),"Catastrófico","")))))</f>
        <v/>
      </c>
      <c r="P43" s="404" t="str">
        <f t="shared" ref="P43" si="69">IF(O43="","",IF(O43="Leve",0.2,IF(O43="Menor",0.4,IF(O43="Moderado",0.6,IF(O43="Mayor",0.8,IF(O43="Catastrófico",1,))))))</f>
        <v/>
      </c>
      <c r="Q43" s="407" t="str">
        <f t="shared" ref="Q43" si="70">IF(OR(AND(K43="Muy Baja",O43="Leve"),AND(K43="Muy Baja",O43="Menor"),AND(K43="Baja",O43="Leve")),"Bajo",IF(OR(AND(K43="Muy baja",O43="Moderado"),AND(K43="Baja",O43="Menor"),AND(K43="Baja",O43="Moderado"),AND(K43="Media",O43="Leve"),AND(K43="Media",O43="Menor"),AND(K43="Media",O43="Moderado"),AND(K43="Alta",O43="Leve"),AND(K43="Alta",O43="Menor")),"Moderado",IF(OR(AND(K43="Muy Baja",O43="Mayor"),AND(K43="Baja",O43="Mayor"),AND(K43="Media",O43="Mayor"),AND(K43="Alta",O43="Moderado"),AND(K43="Alta",O43="Mayor"),AND(K43="Muy Alta",O43="Leve"),AND(K43="Muy Alta",O43="Menor"),AND(K43="Muy Alta",O43="Moderado"),AND(K43="Muy Alta",O43="Mayor")),"Alto",IF(OR(AND(K43="Muy Baja",O43="Catastrófico"),AND(K43="Baja",O43="Catastrófico"),AND(K43="Media",O43="Catastrófico"),AND(K43="Alta",O43="Catastrófico"),AND(K43="Muy Alta",O43="Catastrófico")),"Extremo",""))))</f>
        <v/>
      </c>
      <c r="R43" s="105">
        <v>1</v>
      </c>
      <c r="S43" s="106"/>
      <c r="T43" s="107" t="str">
        <f>IF(OR(U43="Preventivo",U43="Detectivo"),"Probabilidad",IF(U43="Correctivo","Impacto",""))</f>
        <v/>
      </c>
      <c r="U43" s="114"/>
      <c r="V43" s="114"/>
      <c r="W43" s="115" t="str">
        <f>IF(AND(U43="Preventivo",V43="Automático"),"50%",IF(AND(U43="Preventivo",V43="Manual"),"40%",IF(AND(U43="Detectivo",V43="Automático"),"40%",IF(AND(U43="Detectivo",V43="Manual"),"30%",IF(AND(U43="Correctivo",V43="Automático"),"35%",IF(AND(U43="Correctivo",V43="Manual"),"25%",""))))))</f>
        <v/>
      </c>
      <c r="X43" s="114"/>
      <c r="Y43" s="114"/>
      <c r="Z43" s="114"/>
      <c r="AA43" s="108" t="str">
        <f>IFERROR(IF(T43="Probabilidad",(L43-(+L43*W43)),IF(T43="Impacto",L43,"")),"")</f>
        <v/>
      </c>
      <c r="AB43" s="116" t="str">
        <f>IFERROR(IF(AA43="","",IF(AA43&lt;=0.2,"Muy Baja",IF(AA43&lt;=0.4,"Baja",IF(AA43&lt;=0.6,"Media",IF(AA43&lt;=0.8,"Alta","Muy Alta"))))),"")</f>
        <v/>
      </c>
      <c r="AC43" s="117" t="str">
        <f>+AA43</f>
        <v/>
      </c>
      <c r="AD43" s="116" t="str">
        <f>IFERROR(IF(AE43="","",IF(AE43&lt;=0.2,"Leve",IF(AE43&lt;=0.4,"Menor",IF(AE43&lt;=0.6,"Moderado",IF(AE43&lt;=0.8,"Mayor","Catastrófico"))))),"")</f>
        <v/>
      </c>
      <c r="AE43" s="117" t="str">
        <f>IFERROR(IF(T43="Impacto",(P43-(+P43*W43)),IF(T43="Probabilidad",P43,"")),"")</f>
        <v/>
      </c>
      <c r="AF43" s="118" t="str">
        <f>IFERROR(IF(OR(AND(AB43="Muy Baja",AD43="Leve"),AND(AB43="Muy Baja",AD43="Menor"),AND(AB43="Baja",AD43="Leve")),"Bajo",IF(OR(AND(AB43="Muy baja",AD43="Moderado"),AND(AB43="Baja",AD43="Menor"),AND(AB43="Baja",AD43="Moderado"),AND(AB43="Media",AD43="Leve"),AND(AB43="Media",AD43="Menor"),AND(AB43="Media",AD43="Moderado"),AND(AB43="Alta",AD43="Leve"),AND(AB43="Alta",AD43="Menor")),"Moderado",IF(OR(AND(AB43="Muy Baja",AD43="Mayor"),AND(AB43="Baja",AD43="Mayor"),AND(AB43="Media",AD43="Mayor"),AND(AB43="Alta",AD43="Moderado"),AND(AB43="Alta",AD43="Mayor"),AND(AB43="Muy Alta",AD43="Leve"),AND(AB43="Muy Alta",AD43="Menor"),AND(AB43="Muy Alta",AD43="Moderado"),AND(AB43="Muy Alta",AD43="Mayor")),"Alto",IF(OR(AND(AB43="Muy Baja",AD43="Catastrófico"),AND(AB43="Baja",AD43="Catastrófico"),AND(AB43="Media",AD43="Catastrófico"),AND(AB43="Alta",AD43="Catastrófico"),AND(AB43="Muy Alta",AD43="Catastrófico")),"Extremo","")))),"")</f>
        <v/>
      </c>
      <c r="AG43" s="119"/>
      <c r="AH43" s="109"/>
      <c r="AI43" s="110"/>
      <c r="AJ43" s="111"/>
      <c r="AK43" s="111"/>
      <c r="AL43" s="109"/>
      <c r="AM43" s="110"/>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row>
    <row r="44" spans="1:71" ht="26.25" customHeight="1" x14ac:dyDescent="0.25">
      <c r="A44" s="411"/>
      <c r="B44" s="414"/>
      <c r="C44" s="414"/>
      <c r="D44" s="414"/>
      <c r="E44" s="121"/>
      <c r="F44" s="417"/>
      <c r="G44" s="463"/>
      <c r="H44" s="124"/>
      <c r="I44" s="414"/>
      <c r="J44" s="420"/>
      <c r="K44" s="423"/>
      <c r="L44" s="405"/>
      <c r="M44" s="426"/>
      <c r="N44" s="405">
        <f>IF(NOT(ISERROR(MATCH(M44,_xlfn.ANCHORARRAY(F55),0))),L57&amp;"Por favor no seleccionar los criterios de impacto",M44)</f>
        <v>0</v>
      </c>
      <c r="O44" s="423"/>
      <c r="P44" s="405"/>
      <c r="Q44" s="408"/>
      <c r="R44" s="105">
        <v>2</v>
      </c>
      <c r="S44" s="106"/>
      <c r="T44" s="107" t="str">
        <f>IF(OR(U44="Preventivo",U44="Detectivo"),"Probabilidad",IF(U44="Correctivo","Impacto",""))</f>
        <v/>
      </c>
      <c r="U44" s="114"/>
      <c r="V44" s="114"/>
      <c r="W44" s="115" t="str">
        <f t="shared" ref="W44:W48" si="71">IF(AND(U44="Preventivo",V44="Automático"),"50%",IF(AND(U44="Preventivo",V44="Manual"),"40%",IF(AND(U44="Detectivo",V44="Automático"),"40%",IF(AND(U44="Detectivo",V44="Manual"),"30%",IF(AND(U44="Correctivo",V44="Automático"),"35%",IF(AND(U44="Correctivo",V44="Manual"),"25%",""))))))</f>
        <v/>
      </c>
      <c r="X44" s="114"/>
      <c r="Y44" s="114"/>
      <c r="Z44" s="114"/>
      <c r="AA44" s="108" t="str">
        <f>IFERROR(IF(AND(T43="Probabilidad",T44="Probabilidad"),(AC43-(+AC43*W44)),IF(AND(T43="Impacto",T44="Probabilidad"),(L43-(+L43*W44)),IF(T44="Impacto",AC43,""))),"")</f>
        <v/>
      </c>
      <c r="AB44" s="116" t="str">
        <f t="shared" ref="AB44:AB48" si="72">IFERROR(IF(AA44="","",IF(AA44&lt;=0.2,"Muy Baja",IF(AA44&lt;=0.4,"Baja",IF(AA44&lt;=0.6,"Media",IF(AA44&lt;=0.8,"Alta","Muy Alta"))))),"")</f>
        <v/>
      </c>
      <c r="AC44" s="117" t="str">
        <f>+AA44</f>
        <v/>
      </c>
      <c r="AD44" s="116" t="str">
        <f t="shared" ref="AD44:AD48" si="73">IFERROR(IF(AE44="","",IF(AE44&lt;=0.2,"Leve",IF(AE44&lt;=0.4,"Menor",IF(AE44&lt;=0.6,"Moderado",IF(AE44&lt;=0.8,"Mayor","Catastrófico"))))),"")</f>
        <v/>
      </c>
      <c r="AE44" s="117" t="str">
        <f>IFERROR(IF(AND(T43="Impacto",T44="Impacto"),(AE43-(+AE43*W44)),IF(AND(T43="Probabilidad",T44="Impacto"),(P43-(+P43*W44)),IF(T44="Probabilidad",AE43,""))),"")</f>
        <v/>
      </c>
      <c r="AF44" s="118" t="str">
        <f t="shared" ref="AF44:AF48" si="74">IFERROR(IF(OR(AND(AB44="Muy Baja",AD44="Leve"),AND(AB44="Muy Baja",AD44="Menor"),AND(AB44="Baja",AD44="Leve")),"Bajo",IF(OR(AND(AB44="Muy baja",AD44="Moderado"),AND(AB44="Baja",AD44="Menor"),AND(AB44="Baja",AD44="Moderado"),AND(AB44="Media",AD44="Leve"),AND(AB44="Media",AD44="Menor"),AND(AB44="Media",AD44="Moderado"),AND(AB44="Alta",AD44="Leve"),AND(AB44="Alta",AD44="Menor")),"Moderado",IF(OR(AND(AB44="Muy Baja",AD44="Mayor"),AND(AB44="Baja",AD44="Mayor"),AND(AB44="Media",AD44="Mayor"),AND(AB44="Alta",AD44="Moderado"),AND(AB44="Alta",AD44="Mayor"),AND(AB44="Muy Alta",AD44="Leve"),AND(AB44="Muy Alta",AD44="Menor"),AND(AB44="Muy Alta",AD44="Moderado"),AND(AB44="Muy Alta",AD44="Mayor")),"Alto",IF(OR(AND(AB44="Muy Baja",AD44="Catastrófico"),AND(AB44="Baja",AD44="Catastrófico"),AND(AB44="Media",AD44="Catastrófico"),AND(AB44="Alta",AD44="Catastrófico"),AND(AB44="Muy Alta",AD44="Catastrófico")),"Extremo","")))),"")</f>
        <v/>
      </c>
      <c r="AG44" s="119"/>
      <c r="AH44" s="109"/>
      <c r="AI44" s="110"/>
      <c r="AJ44" s="111"/>
      <c r="AK44" s="111"/>
      <c r="AL44" s="109"/>
      <c r="AM44" s="110"/>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row>
    <row r="45" spans="1:71" ht="26.25" customHeight="1" x14ac:dyDescent="0.25">
      <c r="A45" s="411"/>
      <c r="B45" s="414"/>
      <c r="C45" s="414"/>
      <c r="D45" s="414"/>
      <c r="E45" s="121"/>
      <c r="F45" s="417"/>
      <c r="G45" s="463"/>
      <c r="H45" s="124"/>
      <c r="I45" s="414"/>
      <c r="J45" s="420"/>
      <c r="K45" s="423"/>
      <c r="L45" s="405"/>
      <c r="M45" s="426"/>
      <c r="N45" s="405">
        <f>IF(NOT(ISERROR(MATCH(M45,_xlfn.ANCHORARRAY(F56),0))),L58&amp;"Por favor no seleccionar los criterios de impacto",M45)</f>
        <v>0</v>
      </c>
      <c r="O45" s="423"/>
      <c r="P45" s="405"/>
      <c r="Q45" s="408"/>
      <c r="R45" s="105">
        <v>3</v>
      </c>
      <c r="S45" s="112"/>
      <c r="T45" s="107" t="str">
        <f t="shared" ref="T45:T48" si="75">IF(OR(U45="Preventivo",U45="Detectivo"),"Probabilidad",IF(U45="Correctivo","Impacto",""))</f>
        <v/>
      </c>
      <c r="U45" s="114"/>
      <c r="V45" s="114"/>
      <c r="W45" s="115" t="str">
        <f t="shared" si="71"/>
        <v/>
      </c>
      <c r="X45" s="114"/>
      <c r="Y45" s="114"/>
      <c r="Z45" s="114"/>
      <c r="AA45" s="108" t="str">
        <f>IFERROR(IF(AND(T44="Probabilidad",T45="Probabilidad"),(AC44-(+AC44*W45)),IF(AND(T44="Impacto",T45="Probabilidad"),(AC43-(+AC43*W45)),IF(T45="Impacto",AC44,""))),"")</f>
        <v/>
      </c>
      <c r="AB45" s="116" t="str">
        <f t="shared" si="72"/>
        <v/>
      </c>
      <c r="AC45" s="117" t="str">
        <f t="shared" ref="AC45:AC48" si="76">+AA45</f>
        <v/>
      </c>
      <c r="AD45" s="116" t="str">
        <f t="shared" si="73"/>
        <v/>
      </c>
      <c r="AE45" s="117" t="str">
        <f t="shared" ref="AE45:AE48" si="77">IFERROR(IF(AND(T44="Impacto",T45="Impacto"),(AE44-(+AE44*W45)),IF(AND(T44="Probabilidad",T45="Impacto"),(AE43-(+AE43*W45)),IF(T45="Probabilidad",AE44,""))),"")</f>
        <v/>
      </c>
      <c r="AF45" s="118" t="str">
        <f t="shared" si="74"/>
        <v/>
      </c>
      <c r="AG45" s="119"/>
      <c r="AH45" s="109"/>
      <c r="AI45" s="110"/>
      <c r="AJ45" s="111"/>
      <c r="AK45" s="111"/>
      <c r="AL45" s="109"/>
      <c r="AM45" s="110"/>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row>
    <row r="46" spans="1:71" ht="26.25" customHeight="1" x14ac:dyDescent="0.25">
      <c r="A46" s="411"/>
      <c r="B46" s="414"/>
      <c r="C46" s="414"/>
      <c r="D46" s="414"/>
      <c r="E46" s="121"/>
      <c r="F46" s="417"/>
      <c r="G46" s="463"/>
      <c r="H46" s="124"/>
      <c r="I46" s="414"/>
      <c r="J46" s="420"/>
      <c r="K46" s="423"/>
      <c r="L46" s="405"/>
      <c r="M46" s="426"/>
      <c r="N46" s="405">
        <f>IF(NOT(ISERROR(MATCH(M46,_xlfn.ANCHORARRAY(F57),0))),L59&amp;"Por favor no seleccionar los criterios de impacto",M46)</f>
        <v>0</v>
      </c>
      <c r="O46" s="423"/>
      <c r="P46" s="405"/>
      <c r="Q46" s="408"/>
      <c r="R46" s="105">
        <v>4</v>
      </c>
      <c r="S46" s="106"/>
      <c r="T46" s="107" t="str">
        <f t="shared" si="75"/>
        <v/>
      </c>
      <c r="U46" s="114"/>
      <c r="V46" s="114"/>
      <c r="W46" s="115" t="str">
        <f t="shared" si="71"/>
        <v/>
      </c>
      <c r="X46" s="114"/>
      <c r="Y46" s="114"/>
      <c r="Z46" s="114"/>
      <c r="AA46" s="108" t="str">
        <f t="shared" ref="AA46:AA48" si="78">IFERROR(IF(AND(T45="Probabilidad",T46="Probabilidad"),(AC45-(+AC45*W46)),IF(AND(T45="Impacto",T46="Probabilidad"),(AC44-(+AC44*W46)),IF(T46="Impacto",AC45,""))),"")</f>
        <v/>
      </c>
      <c r="AB46" s="116" t="str">
        <f t="shared" si="72"/>
        <v/>
      </c>
      <c r="AC46" s="117" t="str">
        <f t="shared" si="76"/>
        <v/>
      </c>
      <c r="AD46" s="116" t="str">
        <f t="shared" si="73"/>
        <v/>
      </c>
      <c r="AE46" s="117" t="str">
        <f t="shared" si="77"/>
        <v/>
      </c>
      <c r="AF46" s="118" t="str">
        <f t="shared" si="74"/>
        <v/>
      </c>
      <c r="AG46" s="119"/>
      <c r="AH46" s="109"/>
      <c r="AI46" s="110"/>
      <c r="AJ46" s="111"/>
      <c r="AK46" s="111"/>
      <c r="AL46" s="109"/>
      <c r="AM46" s="110"/>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row>
    <row r="47" spans="1:71" ht="26.25" customHeight="1" x14ac:dyDescent="0.25">
      <c r="A47" s="411"/>
      <c r="B47" s="414"/>
      <c r="C47" s="414"/>
      <c r="D47" s="414"/>
      <c r="E47" s="121"/>
      <c r="F47" s="417"/>
      <c r="G47" s="463"/>
      <c r="H47" s="124"/>
      <c r="I47" s="414"/>
      <c r="J47" s="420"/>
      <c r="K47" s="423"/>
      <c r="L47" s="405"/>
      <c r="M47" s="426"/>
      <c r="N47" s="405">
        <f>IF(NOT(ISERROR(MATCH(M47,_xlfn.ANCHORARRAY(F58),0))),L60&amp;"Por favor no seleccionar los criterios de impacto",M47)</f>
        <v>0</v>
      </c>
      <c r="O47" s="423"/>
      <c r="P47" s="405"/>
      <c r="Q47" s="408"/>
      <c r="R47" s="105">
        <v>5</v>
      </c>
      <c r="S47" s="106"/>
      <c r="T47" s="107" t="str">
        <f t="shared" si="75"/>
        <v/>
      </c>
      <c r="U47" s="114"/>
      <c r="V47" s="114"/>
      <c r="W47" s="115" t="str">
        <f t="shared" si="71"/>
        <v/>
      </c>
      <c r="X47" s="114"/>
      <c r="Y47" s="114"/>
      <c r="Z47" s="114"/>
      <c r="AA47" s="108" t="str">
        <f t="shared" si="78"/>
        <v/>
      </c>
      <c r="AB47" s="116" t="str">
        <f t="shared" si="72"/>
        <v/>
      </c>
      <c r="AC47" s="117" t="str">
        <f t="shared" si="76"/>
        <v/>
      </c>
      <c r="AD47" s="116" t="str">
        <f t="shared" si="73"/>
        <v/>
      </c>
      <c r="AE47" s="117" t="str">
        <f t="shared" si="77"/>
        <v/>
      </c>
      <c r="AF47" s="118" t="str">
        <f t="shared" si="74"/>
        <v/>
      </c>
      <c r="AG47" s="119"/>
      <c r="AH47" s="109"/>
      <c r="AI47" s="110"/>
      <c r="AJ47" s="111"/>
      <c r="AK47" s="111"/>
      <c r="AL47" s="109"/>
      <c r="AM47" s="110"/>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row>
    <row r="48" spans="1:71" ht="26.25" customHeight="1" x14ac:dyDescent="0.25">
      <c r="A48" s="412"/>
      <c r="B48" s="415"/>
      <c r="C48" s="415"/>
      <c r="D48" s="415"/>
      <c r="E48" s="122"/>
      <c r="F48" s="418"/>
      <c r="G48" s="464"/>
      <c r="H48" s="125"/>
      <c r="I48" s="415"/>
      <c r="J48" s="421"/>
      <c r="K48" s="424"/>
      <c r="L48" s="406"/>
      <c r="M48" s="427"/>
      <c r="N48" s="406">
        <f>IF(NOT(ISERROR(MATCH(M48,_xlfn.ANCHORARRAY(F59),0))),L61&amp;"Por favor no seleccionar los criterios de impacto",M48)</f>
        <v>0</v>
      </c>
      <c r="O48" s="424"/>
      <c r="P48" s="406"/>
      <c r="Q48" s="409"/>
      <c r="R48" s="105">
        <v>6</v>
      </c>
      <c r="S48" s="106"/>
      <c r="T48" s="107" t="str">
        <f t="shared" si="75"/>
        <v/>
      </c>
      <c r="U48" s="114"/>
      <c r="V48" s="114"/>
      <c r="W48" s="115" t="str">
        <f t="shared" si="71"/>
        <v/>
      </c>
      <c r="X48" s="114"/>
      <c r="Y48" s="114"/>
      <c r="Z48" s="114"/>
      <c r="AA48" s="108" t="str">
        <f t="shared" si="78"/>
        <v/>
      </c>
      <c r="AB48" s="116" t="str">
        <f t="shared" si="72"/>
        <v/>
      </c>
      <c r="AC48" s="117" t="str">
        <f t="shared" si="76"/>
        <v/>
      </c>
      <c r="AD48" s="116" t="str">
        <f t="shared" si="73"/>
        <v/>
      </c>
      <c r="AE48" s="117" t="str">
        <f t="shared" si="77"/>
        <v/>
      </c>
      <c r="AF48" s="118" t="str">
        <f t="shared" si="74"/>
        <v/>
      </c>
      <c r="AG48" s="119"/>
      <c r="AH48" s="109"/>
      <c r="AI48" s="110"/>
      <c r="AJ48" s="111"/>
      <c r="AK48" s="111"/>
      <c r="AL48" s="109"/>
      <c r="AM48" s="110"/>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row>
    <row r="49" spans="1:71" ht="26.25" customHeight="1" x14ac:dyDescent="0.25">
      <c r="A49" s="410">
        <v>8</v>
      </c>
      <c r="B49" s="413"/>
      <c r="C49" s="413"/>
      <c r="D49" s="413"/>
      <c r="E49" s="120"/>
      <c r="F49" s="416"/>
      <c r="G49" s="462"/>
      <c r="H49" s="123"/>
      <c r="I49" s="413"/>
      <c r="J49" s="419"/>
      <c r="K49" s="422" t="str">
        <f t="shared" ref="K49" si="79">IF(J49&lt;=0,"",IF(J49&lt;=2,"Muy Baja",IF(J49&lt;=24,"Baja",IF(J49&lt;=500,"Media",IF(J49&lt;=5000,"Alta","Muy Alta")))))</f>
        <v/>
      </c>
      <c r="L49" s="404" t="str">
        <f t="shared" ref="L49" si="80">IF(K49="","",IF(K49="Muy Baja",0.2,IF(K49="Baja",0.4,IF(K49="Media",0.6,IF(K49="Alta",0.8,IF(K49="Muy Alta",1,))))))</f>
        <v/>
      </c>
      <c r="M49" s="425"/>
      <c r="N49" s="404">
        <f>IF(NOT(ISERROR(MATCH(M49,'Tabla Impacto'!$B$221:$B$223,0))),'Tabla Impacto'!$F$223&amp;"Por favor no seleccionar los criterios de impacto(Afectación Económica o presupuestal y Pérdida Reputacional)",M49)</f>
        <v>0</v>
      </c>
      <c r="O49" s="422" t="str">
        <f>IF(OR(N49='Tabla Impacto'!$C$11,N49='Tabla Impacto'!$D$11),"Leve",IF(OR(N49='Tabla Impacto'!$C$12,N49='Tabla Impacto'!$D$12),"Menor",IF(OR(N49='Tabla Impacto'!$C$13,N49='Tabla Impacto'!$D$13),"Moderado",IF(OR(N49='Tabla Impacto'!$C$14,N49='Tabla Impacto'!$D$14),"Mayor",IF(OR(N49='Tabla Impacto'!$C$15,N49='Tabla Impacto'!$D$15),"Catastrófico","")))))</f>
        <v/>
      </c>
      <c r="P49" s="404" t="str">
        <f t="shared" ref="P49" si="81">IF(O49="","",IF(O49="Leve",0.2,IF(O49="Menor",0.4,IF(O49="Moderado",0.6,IF(O49="Mayor",0.8,IF(O49="Catastrófico",1,))))))</f>
        <v/>
      </c>
      <c r="Q49" s="407" t="str">
        <f t="shared" ref="Q49" si="82">IF(OR(AND(K49="Muy Baja",O49="Leve"),AND(K49="Muy Baja",O49="Menor"),AND(K49="Baja",O49="Leve")),"Bajo",IF(OR(AND(K49="Muy baja",O49="Moderado"),AND(K49="Baja",O49="Menor"),AND(K49="Baja",O49="Moderado"),AND(K49="Media",O49="Leve"),AND(K49="Media",O49="Menor"),AND(K49="Media",O49="Moderado"),AND(K49="Alta",O49="Leve"),AND(K49="Alta",O49="Menor")),"Moderado",IF(OR(AND(K49="Muy Baja",O49="Mayor"),AND(K49="Baja",O49="Mayor"),AND(K49="Media",O49="Mayor"),AND(K49="Alta",O49="Moderado"),AND(K49="Alta",O49="Mayor"),AND(K49="Muy Alta",O49="Leve"),AND(K49="Muy Alta",O49="Menor"),AND(K49="Muy Alta",O49="Moderado"),AND(K49="Muy Alta",O49="Mayor")),"Alto",IF(OR(AND(K49="Muy Baja",O49="Catastrófico"),AND(K49="Baja",O49="Catastrófico"),AND(K49="Media",O49="Catastrófico"),AND(K49="Alta",O49="Catastrófico"),AND(K49="Muy Alta",O49="Catastrófico")),"Extremo",""))))</f>
        <v/>
      </c>
      <c r="R49" s="105">
        <v>1</v>
      </c>
      <c r="S49" s="106"/>
      <c r="T49" s="107" t="str">
        <f>IF(OR(U49="Preventivo",U49="Detectivo"),"Probabilidad",IF(U49="Correctivo","Impacto",""))</f>
        <v/>
      </c>
      <c r="U49" s="114"/>
      <c r="V49" s="114"/>
      <c r="W49" s="115" t="str">
        <f>IF(AND(U49="Preventivo",V49="Automático"),"50%",IF(AND(U49="Preventivo",V49="Manual"),"40%",IF(AND(U49="Detectivo",V49="Automático"),"40%",IF(AND(U49="Detectivo",V49="Manual"),"30%",IF(AND(U49="Correctivo",V49="Automático"),"35%",IF(AND(U49="Correctivo",V49="Manual"),"25%",""))))))</f>
        <v/>
      </c>
      <c r="X49" s="114"/>
      <c r="Y49" s="114"/>
      <c r="Z49" s="114"/>
      <c r="AA49" s="108" t="str">
        <f>IFERROR(IF(T49="Probabilidad",(L49-(+L49*W49)),IF(T49="Impacto",L49,"")),"")</f>
        <v/>
      </c>
      <c r="AB49" s="116" t="str">
        <f>IFERROR(IF(AA49="","",IF(AA49&lt;=0.2,"Muy Baja",IF(AA49&lt;=0.4,"Baja",IF(AA49&lt;=0.6,"Media",IF(AA49&lt;=0.8,"Alta","Muy Alta"))))),"")</f>
        <v/>
      </c>
      <c r="AC49" s="117" t="str">
        <f>+AA49</f>
        <v/>
      </c>
      <c r="AD49" s="116" t="str">
        <f>IFERROR(IF(AE49="","",IF(AE49&lt;=0.2,"Leve",IF(AE49&lt;=0.4,"Menor",IF(AE49&lt;=0.6,"Moderado",IF(AE49&lt;=0.8,"Mayor","Catastrófico"))))),"")</f>
        <v/>
      </c>
      <c r="AE49" s="117" t="str">
        <f>IFERROR(IF(T49="Impacto",(P49-(+P49*W49)),IF(T49="Probabilidad",P49,"")),"")</f>
        <v/>
      </c>
      <c r="AF49" s="118" t="str">
        <f>IFERROR(IF(OR(AND(AB49="Muy Baja",AD49="Leve"),AND(AB49="Muy Baja",AD49="Menor"),AND(AB49="Baja",AD49="Leve")),"Bajo",IF(OR(AND(AB49="Muy baja",AD49="Moderado"),AND(AB49="Baja",AD49="Menor"),AND(AB49="Baja",AD49="Moderado"),AND(AB49="Media",AD49="Leve"),AND(AB49="Media",AD49="Menor"),AND(AB49="Media",AD49="Moderado"),AND(AB49="Alta",AD49="Leve"),AND(AB49="Alta",AD49="Menor")),"Moderado",IF(OR(AND(AB49="Muy Baja",AD49="Mayor"),AND(AB49="Baja",AD49="Mayor"),AND(AB49="Media",AD49="Mayor"),AND(AB49="Alta",AD49="Moderado"),AND(AB49="Alta",AD49="Mayor"),AND(AB49="Muy Alta",AD49="Leve"),AND(AB49="Muy Alta",AD49="Menor"),AND(AB49="Muy Alta",AD49="Moderado"),AND(AB49="Muy Alta",AD49="Mayor")),"Alto",IF(OR(AND(AB49="Muy Baja",AD49="Catastrófico"),AND(AB49="Baja",AD49="Catastrófico"),AND(AB49="Media",AD49="Catastrófico"),AND(AB49="Alta",AD49="Catastrófico"),AND(AB49="Muy Alta",AD49="Catastrófico")),"Extremo","")))),"")</f>
        <v/>
      </c>
      <c r="AG49" s="119"/>
      <c r="AH49" s="109"/>
      <c r="AI49" s="110"/>
      <c r="AJ49" s="111"/>
      <c r="AK49" s="111"/>
      <c r="AL49" s="109"/>
      <c r="AM49" s="110"/>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row>
    <row r="50" spans="1:71" ht="26.25" customHeight="1" x14ac:dyDescent="0.25">
      <c r="A50" s="411"/>
      <c r="B50" s="414"/>
      <c r="C50" s="414"/>
      <c r="D50" s="414"/>
      <c r="E50" s="121"/>
      <c r="F50" s="417"/>
      <c r="G50" s="463"/>
      <c r="H50" s="124"/>
      <c r="I50" s="414"/>
      <c r="J50" s="420"/>
      <c r="K50" s="423"/>
      <c r="L50" s="405"/>
      <c r="M50" s="426"/>
      <c r="N50" s="405">
        <f>IF(NOT(ISERROR(MATCH(M50,_xlfn.ANCHORARRAY(F61),0))),L63&amp;"Por favor no seleccionar los criterios de impacto",M50)</f>
        <v>0</v>
      </c>
      <c r="O50" s="423"/>
      <c r="P50" s="405"/>
      <c r="Q50" s="408"/>
      <c r="R50" s="105">
        <v>2</v>
      </c>
      <c r="S50" s="106"/>
      <c r="T50" s="107" t="str">
        <f>IF(OR(U50="Preventivo",U50="Detectivo"),"Probabilidad",IF(U50="Correctivo","Impacto",""))</f>
        <v/>
      </c>
      <c r="U50" s="114"/>
      <c r="V50" s="114"/>
      <c r="W50" s="115" t="str">
        <f t="shared" ref="W50:W54" si="83">IF(AND(U50="Preventivo",V50="Automático"),"50%",IF(AND(U50="Preventivo",V50="Manual"),"40%",IF(AND(U50="Detectivo",V50="Automático"),"40%",IF(AND(U50="Detectivo",V50="Manual"),"30%",IF(AND(U50="Correctivo",V50="Automático"),"35%",IF(AND(U50="Correctivo",V50="Manual"),"25%",""))))))</f>
        <v/>
      </c>
      <c r="X50" s="114"/>
      <c r="Y50" s="114"/>
      <c r="Z50" s="114"/>
      <c r="AA50" s="108" t="str">
        <f>IFERROR(IF(AND(T49="Probabilidad",T50="Probabilidad"),(AC49-(+AC49*W50)),IF(AND(T49="Impacto",T50="Probabilidad"),(L49-(+L49*W50)),IF(T50="Impacto",AC49,""))),"")</f>
        <v/>
      </c>
      <c r="AB50" s="116" t="str">
        <f t="shared" ref="AB50:AB54" si="84">IFERROR(IF(AA50="","",IF(AA50&lt;=0.2,"Muy Baja",IF(AA50&lt;=0.4,"Baja",IF(AA50&lt;=0.6,"Media",IF(AA50&lt;=0.8,"Alta","Muy Alta"))))),"")</f>
        <v/>
      </c>
      <c r="AC50" s="117" t="str">
        <f>+AA50</f>
        <v/>
      </c>
      <c r="AD50" s="116" t="str">
        <f t="shared" ref="AD50:AD54" si="85">IFERROR(IF(AE50="","",IF(AE50&lt;=0.2,"Leve",IF(AE50&lt;=0.4,"Menor",IF(AE50&lt;=0.6,"Moderado",IF(AE50&lt;=0.8,"Mayor","Catastrófico"))))),"")</f>
        <v/>
      </c>
      <c r="AE50" s="117" t="str">
        <f>IFERROR(IF(AND(T49="Impacto",T50="Impacto"),(AE49-(+AE49*W50)),IF(AND(T49="Probabilidad",T50="Impacto"),(P49-(+P49*W50)),IF(T50="Probabilidad",AE49,""))),"")</f>
        <v/>
      </c>
      <c r="AF50" s="118" t="str">
        <f t="shared" ref="AF50:AF54" si="86">IFERROR(IF(OR(AND(AB50="Muy Baja",AD50="Leve"),AND(AB50="Muy Baja",AD50="Menor"),AND(AB50="Baja",AD50="Leve")),"Bajo",IF(OR(AND(AB50="Muy baja",AD50="Moderado"),AND(AB50="Baja",AD50="Menor"),AND(AB50="Baja",AD50="Moderado"),AND(AB50="Media",AD50="Leve"),AND(AB50="Media",AD50="Menor"),AND(AB50="Media",AD50="Moderado"),AND(AB50="Alta",AD50="Leve"),AND(AB50="Alta",AD50="Menor")),"Moderado",IF(OR(AND(AB50="Muy Baja",AD50="Mayor"),AND(AB50="Baja",AD50="Mayor"),AND(AB50="Media",AD50="Mayor"),AND(AB50="Alta",AD50="Moderado"),AND(AB50="Alta",AD50="Mayor"),AND(AB50="Muy Alta",AD50="Leve"),AND(AB50="Muy Alta",AD50="Menor"),AND(AB50="Muy Alta",AD50="Moderado"),AND(AB50="Muy Alta",AD50="Mayor")),"Alto",IF(OR(AND(AB50="Muy Baja",AD50="Catastrófico"),AND(AB50="Baja",AD50="Catastrófico"),AND(AB50="Media",AD50="Catastrófico"),AND(AB50="Alta",AD50="Catastrófico"),AND(AB50="Muy Alta",AD50="Catastrófico")),"Extremo","")))),"")</f>
        <v/>
      </c>
      <c r="AG50" s="119"/>
      <c r="AH50" s="109"/>
      <c r="AI50" s="110"/>
      <c r="AJ50" s="111"/>
      <c r="AK50" s="111"/>
      <c r="AL50" s="109"/>
      <c r="AM50" s="110"/>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row>
    <row r="51" spans="1:71" ht="26.25" customHeight="1" x14ac:dyDescent="0.25">
      <c r="A51" s="411"/>
      <c r="B51" s="414"/>
      <c r="C51" s="414"/>
      <c r="D51" s="414"/>
      <c r="E51" s="121"/>
      <c r="F51" s="417"/>
      <c r="G51" s="463"/>
      <c r="H51" s="124"/>
      <c r="I51" s="414"/>
      <c r="J51" s="420"/>
      <c r="K51" s="423"/>
      <c r="L51" s="405"/>
      <c r="M51" s="426"/>
      <c r="N51" s="405">
        <f>IF(NOT(ISERROR(MATCH(M51,_xlfn.ANCHORARRAY(F62),0))),L64&amp;"Por favor no seleccionar los criterios de impacto",M51)</f>
        <v>0</v>
      </c>
      <c r="O51" s="423"/>
      <c r="P51" s="405"/>
      <c r="Q51" s="408"/>
      <c r="R51" s="105">
        <v>3</v>
      </c>
      <c r="S51" s="112"/>
      <c r="T51" s="107" t="str">
        <f t="shared" ref="T51:T54" si="87">IF(OR(U51="Preventivo",U51="Detectivo"),"Probabilidad",IF(U51="Correctivo","Impacto",""))</f>
        <v/>
      </c>
      <c r="U51" s="114"/>
      <c r="V51" s="114"/>
      <c r="W51" s="115" t="str">
        <f t="shared" si="83"/>
        <v/>
      </c>
      <c r="X51" s="114"/>
      <c r="Y51" s="114"/>
      <c r="Z51" s="114"/>
      <c r="AA51" s="108" t="str">
        <f>IFERROR(IF(AND(T50="Probabilidad",T51="Probabilidad"),(AC50-(+AC50*W51)),IF(AND(T50="Impacto",T51="Probabilidad"),(AC49-(+AC49*W51)),IF(T51="Impacto",AC50,""))),"")</f>
        <v/>
      </c>
      <c r="AB51" s="116" t="str">
        <f t="shared" si="84"/>
        <v/>
      </c>
      <c r="AC51" s="117" t="str">
        <f t="shared" ref="AC51:AC54" si="88">+AA51</f>
        <v/>
      </c>
      <c r="AD51" s="116" t="str">
        <f t="shared" si="85"/>
        <v/>
      </c>
      <c r="AE51" s="117" t="str">
        <f t="shared" ref="AE51:AE54" si="89">IFERROR(IF(AND(T50="Impacto",T51="Impacto"),(AE50-(+AE50*W51)),IF(AND(T50="Probabilidad",T51="Impacto"),(AE49-(+AE49*W51)),IF(T51="Probabilidad",AE50,""))),"")</f>
        <v/>
      </c>
      <c r="AF51" s="118" t="str">
        <f t="shared" si="86"/>
        <v/>
      </c>
      <c r="AG51" s="119"/>
      <c r="AH51" s="109"/>
      <c r="AI51" s="110"/>
      <c r="AJ51" s="111"/>
      <c r="AK51" s="111"/>
      <c r="AL51" s="109"/>
      <c r="AM51" s="110"/>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row>
    <row r="52" spans="1:71" ht="26.25" customHeight="1" x14ac:dyDescent="0.25">
      <c r="A52" s="411"/>
      <c r="B52" s="414"/>
      <c r="C52" s="414"/>
      <c r="D52" s="414"/>
      <c r="E52" s="121"/>
      <c r="F52" s="417"/>
      <c r="G52" s="463"/>
      <c r="H52" s="124"/>
      <c r="I52" s="414"/>
      <c r="J52" s="420"/>
      <c r="K52" s="423"/>
      <c r="L52" s="405"/>
      <c r="M52" s="426"/>
      <c r="N52" s="405">
        <f>IF(NOT(ISERROR(MATCH(M52,_xlfn.ANCHORARRAY(F63),0))),L65&amp;"Por favor no seleccionar los criterios de impacto",M52)</f>
        <v>0</v>
      </c>
      <c r="O52" s="423"/>
      <c r="P52" s="405"/>
      <c r="Q52" s="408"/>
      <c r="R52" s="105">
        <v>4</v>
      </c>
      <c r="S52" s="106"/>
      <c r="T52" s="107" t="str">
        <f t="shared" si="87"/>
        <v/>
      </c>
      <c r="U52" s="114"/>
      <c r="V52" s="114"/>
      <c r="W52" s="115" t="str">
        <f t="shared" si="83"/>
        <v/>
      </c>
      <c r="X52" s="114"/>
      <c r="Y52" s="114"/>
      <c r="Z52" s="114"/>
      <c r="AA52" s="108" t="str">
        <f t="shared" ref="AA52:AA54" si="90">IFERROR(IF(AND(T51="Probabilidad",T52="Probabilidad"),(AC51-(+AC51*W52)),IF(AND(T51="Impacto",T52="Probabilidad"),(AC50-(+AC50*W52)),IF(T52="Impacto",AC51,""))),"")</f>
        <v/>
      </c>
      <c r="AB52" s="116" t="str">
        <f t="shared" si="84"/>
        <v/>
      </c>
      <c r="AC52" s="117" t="str">
        <f t="shared" si="88"/>
        <v/>
      </c>
      <c r="AD52" s="116" t="str">
        <f t="shared" si="85"/>
        <v/>
      </c>
      <c r="AE52" s="117" t="str">
        <f t="shared" si="89"/>
        <v/>
      </c>
      <c r="AF52" s="118" t="str">
        <f t="shared" si="86"/>
        <v/>
      </c>
      <c r="AG52" s="119"/>
      <c r="AH52" s="109"/>
      <c r="AI52" s="110"/>
      <c r="AJ52" s="111"/>
      <c r="AK52" s="111"/>
      <c r="AL52" s="109"/>
      <c r="AM52" s="110"/>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row>
    <row r="53" spans="1:71" ht="26.25" customHeight="1" x14ac:dyDescent="0.25">
      <c r="A53" s="411"/>
      <c r="B53" s="414"/>
      <c r="C53" s="414"/>
      <c r="D53" s="414"/>
      <c r="E53" s="121"/>
      <c r="F53" s="417"/>
      <c r="G53" s="463"/>
      <c r="H53" s="124"/>
      <c r="I53" s="414"/>
      <c r="J53" s="420"/>
      <c r="K53" s="423"/>
      <c r="L53" s="405"/>
      <c r="M53" s="426"/>
      <c r="N53" s="405">
        <f>IF(NOT(ISERROR(MATCH(M53,_xlfn.ANCHORARRAY(F64),0))),L66&amp;"Por favor no seleccionar los criterios de impacto",M53)</f>
        <v>0</v>
      </c>
      <c r="O53" s="423"/>
      <c r="P53" s="405"/>
      <c r="Q53" s="408"/>
      <c r="R53" s="105">
        <v>5</v>
      </c>
      <c r="S53" s="106"/>
      <c r="T53" s="107" t="str">
        <f t="shared" si="87"/>
        <v/>
      </c>
      <c r="U53" s="114"/>
      <c r="V53" s="114"/>
      <c r="W53" s="115" t="str">
        <f t="shared" si="83"/>
        <v/>
      </c>
      <c r="X53" s="114"/>
      <c r="Y53" s="114"/>
      <c r="Z53" s="114"/>
      <c r="AA53" s="108" t="str">
        <f t="shared" si="90"/>
        <v/>
      </c>
      <c r="AB53" s="116" t="str">
        <f t="shared" si="84"/>
        <v/>
      </c>
      <c r="AC53" s="117" t="str">
        <f t="shared" si="88"/>
        <v/>
      </c>
      <c r="AD53" s="116" t="str">
        <f t="shared" si="85"/>
        <v/>
      </c>
      <c r="AE53" s="117" t="str">
        <f t="shared" si="89"/>
        <v/>
      </c>
      <c r="AF53" s="118" t="str">
        <f t="shared" si="86"/>
        <v/>
      </c>
      <c r="AG53" s="119"/>
      <c r="AH53" s="109"/>
      <c r="AI53" s="110"/>
      <c r="AJ53" s="111"/>
      <c r="AK53" s="111"/>
      <c r="AL53" s="109"/>
      <c r="AM53" s="110"/>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row>
    <row r="54" spans="1:71" ht="26.25" customHeight="1" x14ac:dyDescent="0.25">
      <c r="A54" s="412"/>
      <c r="B54" s="415"/>
      <c r="C54" s="415"/>
      <c r="D54" s="415"/>
      <c r="E54" s="122"/>
      <c r="F54" s="418"/>
      <c r="G54" s="464"/>
      <c r="H54" s="125"/>
      <c r="I54" s="415"/>
      <c r="J54" s="421"/>
      <c r="K54" s="424"/>
      <c r="L54" s="406"/>
      <c r="M54" s="427"/>
      <c r="N54" s="406">
        <f>IF(NOT(ISERROR(MATCH(M54,_xlfn.ANCHORARRAY(F65),0))),L67&amp;"Por favor no seleccionar los criterios de impacto",M54)</f>
        <v>0</v>
      </c>
      <c r="O54" s="424"/>
      <c r="P54" s="406"/>
      <c r="Q54" s="409"/>
      <c r="R54" s="105">
        <v>6</v>
      </c>
      <c r="S54" s="106"/>
      <c r="T54" s="107" t="str">
        <f t="shared" si="87"/>
        <v/>
      </c>
      <c r="U54" s="114"/>
      <c r="V54" s="114"/>
      <c r="W54" s="115" t="str">
        <f t="shared" si="83"/>
        <v/>
      </c>
      <c r="X54" s="114"/>
      <c r="Y54" s="114"/>
      <c r="Z54" s="114"/>
      <c r="AA54" s="108" t="str">
        <f t="shared" si="90"/>
        <v/>
      </c>
      <c r="AB54" s="116" t="str">
        <f t="shared" si="84"/>
        <v/>
      </c>
      <c r="AC54" s="117" t="str">
        <f t="shared" si="88"/>
        <v/>
      </c>
      <c r="AD54" s="116" t="str">
        <f t="shared" si="85"/>
        <v/>
      </c>
      <c r="AE54" s="117" t="str">
        <f t="shared" si="89"/>
        <v/>
      </c>
      <c r="AF54" s="118" t="str">
        <f t="shared" si="86"/>
        <v/>
      </c>
      <c r="AG54" s="119"/>
      <c r="AH54" s="109"/>
      <c r="AI54" s="110"/>
      <c r="AJ54" s="111"/>
      <c r="AK54" s="111"/>
      <c r="AL54" s="109"/>
      <c r="AM54" s="110"/>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row>
    <row r="55" spans="1:71" ht="26.25" customHeight="1" x14ac:dyDescent="0.25">
      <c r="A55" s="410">
        <v>9</v>
      </c>
      <c r="B55" s="413"/>
      <c r="C55" s="413"/>
      <c r="D55" s="413"/>
      <c r="E55" s="120"/>
      <c r="F55" s="416"/>
      <c r="G55" s="462"/>
      <c r="H55" s="123"/>
      <c r="I55" s="413"/>
      <c r="J55" s="419"/>
      <c r="K55" s="422" t="str">
        <f t="shared" ref="K55" si="91">IF(J55&lt;=0,"",IF(J55&lt;=2,"Muy Baja",IF(J55&lt;=24,"Baja",IF(J55&lt;=500,"Media",IF(J55&lt;=5000,"Alta","Muy Alta")))))</f>
        <v/>
      </c>
      <c r="L55" s="404" t="str">
        <f t="shared" ref="L55" si="92">IF(K55="","",IF(K55="Muy Baja",0.2,IF(K55="Baja",0.4,IF(K55="Media",0.6,IF(K55="Alta",0.8,IF(K55="Muy Alta",1,))))))</f>
        <v/>
      </c>
      <c r="M55" s="425"/>
      <c r="N55" s="404">
        <f>IF(NOT(ISERROR(MATCH(M55,'Tabla Impacto'!$B$221:$B$223,0))),'Tabla Impacto'!$F$223&amp;"Por favor no seleccionar los criterios de impacto(Afectación Económica o presupuestal y Pérdida Reputacional)",M55)</f>
        <v>0</v>
      </c>
      <c r="O55" s="422" t="str">
        <f>IF(OR(N55='Tabla Impacto'!$C$11,N55='Tabla Impacto'!$D$11),"Leve",IF(OR(N55='Tabla Impacto'!$C$12,N55='Tabla Impacto'!$D$12),"Menor",IF(OR(N55='Tabla Impacto'!$C$13,N55='Tabla Impacto'!$D$13),"Moderado",IF(OR(N55='Tabla Impacto'!$C$14,N55='Tabla Impacto'!$D$14),"Mayor",IF(OR(N55='Tabla Impacto'!$C$15,N55='Tabla Impacto'!$D$15),"Catastrófico","")))))</f>
        <v/>
      </c>
      <c r="P55" s="404" t="str">
        <f t="shared" ref="P55" si="93">IF(O55="","",IF(O55="Leve",0.2,IF(O55="Menor",0.4,IF(O55="Moderado",0.6,IF(O55="Mayor",0.8,IF(O55="Catastrófico",1,))))))</f>
        <v/>
      </c>
      <c r="Q55" s="407" t="str">
        <f t="shared" ref="Q55" si="94">IF(OR(AND(K55="Muy Baja",O55="Leve"),AND(K55="Muy Baja",O55="Menor"),AND(K55="Baja",O55="Leve")),"Bajo",IF(OR(AND(K55="Muy baja",O55="Moderado"),AND(K55="Baja",O55="Menor"),AND(K55="Baja",O55="Moderado"),AND(K55="Media",O55="Leve"),AND(K55="Media",O55="Menor"),AND(K55="Media",O55="Moderado"),AND(K55="Alta",O55="Leve"),AND(K55="Alta",O55="Menor")),"Moderado",IF(OR(AND(K55="Muy Baja",O55="Mayor"),AND(K55="Baja",O55="Mayor"),AND(K55="Media",O55="Mayor"),AND(K55="Alta",O55="Moderado"),AND(K55="Alta",O55="Mayor"),AND(K55="Muy Alta",O55="Leve"),AND(K55="Muy Alta",O55="Menor"),AND(K55="Muy Alta",O55="Moderado"),AND(K55="Muy Alta",O55="Mayor")),"Alto",IF(OR(AND(K55="Muy Baja",O55="Catastrófico"),AND(K55="Baja",O55="Catastrófico"),AND(K55="Media",O55="Catastrófico"),AND(K55="Alta",O55="Catastrófico"),AND(K55="Muy Alta",O55="Catastrófico")),"Extremo",""))))</f>
        <v/>
      </c>
      <c r="R55" s="105">
        <v>1</v>
      </c>
      <c r="S55" s="106"/>
      <c r="T55" s="107" t="str">
        <f>IF(OR(U55="Preventivo",U55="Detectivo"),"Probabilidad",IF(U55="Correctivo","Impacto",""))</f>
        <v/>
      </c>
      <c r="U55" s="114"/>
      <c r="V55" s="114"/>
      <c r="W55" s="115" t="str">
        <f>IF(AND(U55="Preventivo",V55="Automático"),"50%",IF(AND(U55="Preventivo",V55="Manual"),"40%",IF(AND(U55="Detectivo",V55="Automático"),"40%",IF(AND(U55="Detectivo",V55="Manual"),"30%",IF(AND(U55="Correctivo",V55="Automático"),"35%",IF(AND(U55="Correctivo",V55="Manual"),"25%",""))))))</f>
        <v/>
      </c>
      <c r="X55" s="114"/>
      <c r="Y55" s="114"/>
      <c r="Z55" s="114"/>
      <c r="AA55" s="108" t="str">
        <f>IFERROR(IF(T55="Probabilidad",(L55-(+L55*W55)),IF(T55="Impacto",L55,"")),"")</f>
        <v/>
      </c>
      <c r="AB55" s="116" t="str">
        <f>IFERROR(IF(AA55="","",IF(AA55&lt;=0.2,"Muy Baja",IF(AA55&lt;=0.4,"Baja",IF(AA55&lt;=0.6,"Media",IF(AA55&lt;=0.8,"Alta","Muy Alta"))))),"")</f>
        <v/>
      </c>
      <c r="AC55" s="117" t="str">
        <f>+AA55</f>
        <v/>
      </c>
      <c r="AD55" s="116" t="str">
        <f>IFERROR(IF(AE55="","",IF(AE55&lt;=0.2,"Leve",IF(AE55&lt;=0.4,"Menor",IF(AE55&lt;=0.6,"Moderado",IF(AE55&lt;=0.8,"Mayor","Catastrófico"))))),"")</f>
        <v/>
      </c>
      <c r="AE55" s="117" t="str">
        <f>IFERROR(IF(T55="Impacto",(P55-(+P55*W55)),IF(T55="Probabilidad",P55,"")),"")</f>
        <v/>
      </c>
      <c r="AF55" s="118" t="str">
        <f>IFERROR(IF(OR(AND(AB55="Muy Baja",AD55="Leve"),AND(AB55="Muy Baja",AD55="Menor"),AND(AB55="Baja",AD55="Leve")),"Bajo",IF(OR(AND(AB55="Muy baja",AD55="Moderado"),AND(AB55="Baja",AD55="Menor"),AND(AB55="Baja",AD55="Moderado"),AND(AB55="Media",AD55="Leve"),AND(AB55="Media",AD55="Menor"),AND(AB55="Media",AD55="Moderado"),AND(AB55="Alta",AD55="Leve"),AND(AB55="Alta",AD55="Menor")),"Moderado",IF(OR(AND(AB55="Muy Baja",AD55="Mayor"),AND(AB55="Baja",AD55="Mayor"),AND(AB55="Media",AD55="Mayor"),AND(AB55="Alta",AD55="Moderado"),AND(AB55="Alta",AD55="Mayor"),AND(AB55="Muy Alta",AD55="Leve"),AND(AB55="Muy Alta",AD55="Menor"),AND(AB55="Muy Alta",AD55="Moderado"),AND(AB55="Muy Alta",AD55="Mayor")),"Alto",IF(OR(AND(AB55="Muy Baja",AD55="Catastrófico"),AND(AB55="Baja",AD55="Catastrófico"),AND(AB55="Media",AD55="Catastrófico"),AND(AB55="Alta",AD55="Catastrófico"),AND(AB55="Muy Alta",AD55="Catastrófico")),"Extremo","")))),"")</f>
        <v/>
      </c>
      <c r="AG55" s="119"/>
      <c r="AH55" s="109"/>
      <c r="AI55" s="110"/>
      <c r="AJ55" s="111"/>
      <c r="AK55" s="111"/>
      <c r="AL55" s="109"/>
      <c r="AM55" s="110"/>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row>
    <row r="56" spans="1:71" ht="26.25" customHeight="1" x14ac:dyDescent="0.25">
      <c r="A56" s="411"/>
      <c r="B56" s="414"/>
      <c r="C56" s="414"/>
      <c r="D56" s="414"/>
      <c r="E56" s="121"/>
      <c r="F56" s="417"/>
      <c r="G56" s="463"/>
      <c r="H56" s="124"/>
      <c r="I56" s="414"/>
      <c r="J56" s="420"/>
      <c r="K56" s="423"/>
      <c r="L56" s="405"/>
      <c r="M56" s="426"/>
      <c r="N56" s="405">
        <f>IF(NOT(ISERROR(MATCH(M56,_xlfn.ANCHORARRAY(F67),0))),L69&amp;"Por favor no seleccionar los criterios de impacto",M56)</f>
        <v>0</v>
      </c>
      <c r="O56" s="423"/>
      <c r="P56" s="405"/>
      <c r="Q56" s="408"/>
      <c r="R56" s="105">
        <v>2</v>
      </c>
      <c r="S56" s="106"/>
      <c r="T56" s="107" t="str">
        <f>IF(OR(U56="Preventivo",U56="Detectivo"),"Probabilidad",IF(U56="Correctivo","Impacto",""))</f>
        <v/>
      </c>
      <c r="U56" s="114"/>
      <c r="V56" s="114"/>
      <c r="W56" s="115" t="str">
        <f t="shared" ref="W56:W60" si="95">IF(AND(U56="Preventivo",V56="Automático"),"50%",IF(AND(U56="Preventivo",V56="Manual"),"40%",IF(AND(U56="Detectivo",V56="Automático"),"40%",IF(AND(U56="Detectivo",V56="Manual"),"30%",IF(AND(U56="Correctivo",V56="Automático"),"35%",IF(AND(U56="Correctivo",V56="Manual"),"25%",""))))))</f>
        <v/>
      </c>
      <c r="X56" s="114"/>
      <c r="Y56" s="114"/>
      <c r="Z56" s="114"/>
      <c r="AA56" s="108" t="str">
        <f>IFERROR(IF(AND(T55="Probabilidad",T56="Probabilidad"),(AC55-(+AC55*W56)),IF(AND(T55="Impacto",T56="Probabilidad"),(L55-(+L55*W56)),IF(T56="Impacto",AC55,""))),"")</f>
        <v/>
      </c>
      <c r="AB56" s="116" t="str">
        <f t="shared" ref="AB56:AB60" si="96">IFERROR(IF(AA56="","",IF(AA56&lt;=0.2,"Muy Baja",IF(AA56&lt;=0.4,"Baja",IF(AA56&lt;=0.6,"Media",IF(AA56&lt;=0.8,"Alta","Muy Alta"))))),"")</f>
        <v/>
      </c>
      <c r="AC56" s="117" t="str">
        <f>+AA56</f>
        <v/>
      </c>
      <c r="AD56" s="116" t="str">
        <f t="shared" ref="AD56:AD60" si="97">IFERROR(IF(AE56="","",IF(AE56&lt;=0.2,"Leve",IF(AE56&lt;=0.4,"Menor",IF(AE56&lt;=0.6,"Moderado",IF(AE56&lt;=0.8,"Mayor","Catastrófico"))))),"")</f>
        <v/>
      </c>
      <c r="AE56" s="117" t="str">
        <f>IFERROR(IF(AND(T55="Impacto",T56="Impacto"),(AE55-(+AE55*W56)),IF(AND(T55="Probabilidad",T56="Impacto"),(P55-(+P55*W56)),IF(T56="Probabilidad",AE55,""))),"")</f>
        <v/>
      </c>
      <c r="AF56" s="118" t="str">
        <f t="shared" ref="AF56:AF60" si="98">IFERROR(IF(OR(AND(AB56="Muy Baja",AD56="Leve"),AND(AB56="Muy Baja",AD56="Menor"),AND(AB56="Baja",AD56="Leve")),"Bajo",IF(OR(AND(AB56="Muy baja",AD56="Moderado"),AND(AB56="Baja",AD56="Menor"),AND(AB56="Baja",AD56="Moderado"),AND(AB56="Media",AD56="Leve"),AND(AB56="Media",AD56="Menor"),AND(AB56="Media",AD56="Moderado"),AND(AB56="Alta",AD56="Leve"),AND(AB56="Alta",AD56="Menor")),"Moderado",IF(OR(AND(AB56="Muy Baja",AD56="Mayor"),AND(AB56="Baja",AD56="Mayor"),AND(AB56="Media",AD56="Mayor"),AND(AB56="Alta",AD56="Moderado"),AND(AB56="Alta",AD56="Mayor"),AND(AB56="Muy Alta",AD56="Leve"),AND(AB56="Muy Alta",AD56="Menor"),AND(AB56="Muy Alta",AD56="Moderado"),AND(AB56="Muy Alta",AD56="Mayor")),"Alto",IF(OR(AND(AB56="Muy Baja",AD56="Catastrófico"),AND(AB56="Baja",AD56="Catastrófico"),AND(AB56="Media",AD56="Catastrófico"),AND(AB56="Alta",AD56="Catastrófico"),AND(AB56="Muy Alta",AD56="Catastrófico")),"Extremo","")))),"")</f>
        <v/>
      </c>
      <c r="AG56" s="119"/>
      <c r="AH56" s="109"/>
      <c r="AI56" s="110"/>
      <c r="AJ56" s="111"/>
      <c r="AK56" s="111"/>
      <c r="AL56" s="109"/>
      <c r="AM56" s="110"/>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row>
    <row r="57" spans="1:71" ht="26.25" customHeight="1" x14ac:dyDescent="0.25">
      <c r="A57" s="411"/>
      <c r="B57" s="414"/>
      <c r="C57" s="414"/>
      <c r="D57" s="414"/>
      <c r="E57" s="121"/>
      <c r="F57" s="417"/>
      <c r="G57" s="463"/>
      <c r="H57" s="124"/>
      <c r="I57" s="414"/>
      <c r="J57" s="420"/>
      <c r="K57" s="423"/>
      <c r="L57" s="405"/>
      <c r="M57" s="426"/>
      <c r="N57" s="405">
        <f>IF(NOT(ISERROR(MATCH(M57,_xlfn.ANCHORARRAY(F68),0))),L70&amp;"Por favor no seleccionar los criterios de impacto",M57)</f>
        <v>0</v>
      </c>
      <c r="O57" s="423"/>
      <c r="P57" s="405"/>
      <c r="Q57" s="408"/>
      <c r="R57" s="105">
        <v>3</v>
      </c>
      <c r="S57" s="112"/>
      <c r="T57" s="107" t="str">
        <f t="shared" ref="T57:T60" si="99">IF(OR(U57="Preventivo",U57="Detectivo"),"Probabilidad",IF(U57="Correctivo","Impacto",""))</f>
        <v/>
      </c>
      <c r="U57" s="114"/>
      <c r="V57" s="114"/>
      <c r="W57" s="115" t="str">
        <f t="shared" si="95"/>
        <v/>
      </c>
      <c r="X57" s="114"/>
      <c r="Y57" s="114"/>
      <c r="Z57" s="114"/>
      <c r="AA57" s="108" t="str">
        <f>IFERROR(IF(AND(T56="Probabilidad",T57="Probabilidad"),(AC56-(+AC56*W57)),IF(AND(T56="Impacto",T57="Probabilidad"),(AC55-(+AC55*W57)),IF(T57="Impacto",AC56,""))),"")</f>
        <v/>
      </c>
      <c r="AB57" s="116" t="str">
        <f t="shared" si="96"/>
        <v/>
      </c>
      <c r="AC57" s="117" t="str">
        <f t="shared" ref="AC57:AC60" si="100">+AA57</f>
        <v/>
      </c>
      <c r="AD57" s="116" t="str">
        <f t="shared" si="97"/>
        <v/>
      </c>
      <c r="AE57" s="117" t="str">
        <f t="shared" ref="AE57:AE60" si="101">IFERROR(IF(AND(T56="Impacto",T57="Impacto"),(AE56-(+AE56*W57)),IF(AND(T56="Probabilidad",T57="Impacto"),(AE55-(+AE55*W57)),IF(T57="Probabilidad",AE56,""))),"")</f>
        <v/>
      </c>
      <c r="AF57" s="118" t="str">
        <f t="shared" si="98"/>
        <v/>
      </c>
      <c r="AG57" s="119"/>
      <c r="AH57" s="109"/>
      <c r="AI57" s="110"/>
      <c r="AJ57" s="111"/>
      <c r="AK57" s="111"/>
      <c r="AL57" s="109"/>
      <c r="AM57" s="110"/>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row>
    <row r="58" spans="1:71" ht="26.25" customHeight="1" x14ac:dyDescent="0.25">
      <c r="A58" s="411"/>
      <c r="B58" s="414"/>
      <c r="C58" s="414"/>
      <c r="D58" s="414"/>
      <c r="E58" s="121"/>
      <c r="F58" s="417"/>
      <c r="G58" s="463"/>
      <c r="H58" s="124"/>
      <c r="I58" s="414"/>
      <c r="J58" s="420"/>
      <c r="K58" s="423"/>
      <c r="L58" s="405"/>
      <c r="M58" s="426"/>
      <c r="N58" s="405">
        <f>IF(NOT(ISERROR(MATCH(M58,_xlfn.ANCHORARRAY(F69),0))),L71&amp;"Por favor no seleccionar los criterios de impacto",M58)</f>
        <v>0</v>
      </c>
      <c r="O58" s="423"/>
      <c r="P58" s="405"/>
      <c r="Q58" s="408"/>
      <c r="R58" s="105">
        <v>4</v>
      </c>
      <c r="S58" s="106"/>
      <c r="T58" s="107" t="str">
        <f t="shared" si="99"/>
        <v/>
      </c>
      <c r="U58" s="114"/>
      <c r="V58" s="114"/>
      <c r="W58" s="115" t="str">
        <f t="shared" si="95"/>
        <v/>
      </c>
      <c r="X58" s="114"/>
      <c r="Y58" s="114"/>
      <c r="Z58" s="114"/>
      <c r="AA58" s="108" t="str">
        <f t="shared" ref="AA58:AA60" si="102">IFERROR(IF(AND(T57="Probabilidad",T58="Probabilidad"),(AC57-(+AC57*W58)),IF(AND(T57="Impacto",T58="Probabilidad"),(AC56-(+AC56*W58)),IF(T58="Impacto",AC57,""))),"")</f>
        <v/>
      </c>
      <c r="AB58" s="116" t="str">
        <f t="shared" si="96"/>
        <v/>
      </c>
      <c r="AC58" s="117" t="str">
        <f t="shared" si="100"/>
        <v/>
      </c>
      <c r="AD58" s="116" t="str">
        <f t="shared" si="97"/>
        <v/>
      </c>
      <c r="AE58" s="117" t="str">
        <f t="shared" si="101"/>
        <v/>
      </c>
      <c r="AF58" s="118" t="str">
        <f t="shared" si="98"/>
        <v/>
      </c>
      <c r="AG58" s="119"/>
      <c r="AH58" s="109"/>
      <c r="AI58" s="110"/>
      <c r="AJ58" s="111"/>
      <c r="AK58" s="111"/>
      <c r="AL58" s="109"/>
      <c r="AM58" s="110"/>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row>
    <row r="59" spans="1:71" ht="26.25" customHeight="1" x14ac:dyDescent="0.25">
      <c r="A59" s="411"/>
      <c r="B59" s="414"/>
      <c r="C59" s="414"/>
      <c r="D59" s="414"/>
      <c r="E59" s="121"/>
      <c r="F59" s="417"/>
      <c r="G59" s="463"/>
      <c r="H59" s="124"/>
      <c r="I59" s="414"/>
      <c r="J59" s="420"/>
      <c r="K59" s="423"/>
      <c r="L59" s="405"/>
      <c r="M59" s="426"/>
      <c r="N59" s="405">
        <f>IF(NOT(ISERROR(MATCH(M59,_xlfn.ANCHORARRAY(F70),0))),L72&amp;"Por favor no seleccionar los criterios de impacto",M59)</f>
        <v>0</v>
      </c>
      <c r="O59" s="423"/>
      <c r="P59" s="405"/>
      <c r="Q59" s="408"/>
      <c r="R59" s="105">
        <v>5</v>
      </c>
      <c r="S59" s="106"/>
      <c r="T59" s="107" t="str">
        <f t="shared" si="99"/>
        <v/>
      </c>
      <c r="U59" s="114"/>
      <c r="V59" s="114"/>
      <c r="W59" s="115" t="str">
        <f t="shared" si="95"/>
        <v/>
      </c>
      <c r="X59" s="114"/>
      <c r="Y59" s="114"/>
      <c r="Z59" s="114"/>
      <c r="AA59" s="108" t="str">
        <f t="shared" si="102"/>
        <v/>
      </c>
      <c r="AB59" s="116" t="str">
        <f t="shared" si="96"/>
        <v/>
      </c>
      <c r="AC59" s="117" t="str">
        <f t="shared" si="100"/>
        <v/>
      </c>
      <c r="AD59" s="116" t="str">
        <f t="shared" si="97"/>
        <v/>
      </c>
      <c r="AE59" s="117" t="str">
        <f t="shared" si="101"/>
        <v/>
      </c>
      <c r="AF59" s="118" t="str">
        <f t="shared" si="98"/>
        <v/>
      </c>
      <c r="AG59" s="119"/>
      <c r="AH59" s="109"/>
      <c r="AI59" s="110"/>
      <c r="AJ59" s="111"/>
      <c r="AK59" s="111"/>
      <c r="AL59" s="109"/>
      <c r="AM59" s="110"/>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row>
    <row r="60" spans="1:71" ht="26.25" customHeight="1" x14ac:dyDescent="0.25">
      <c r="A60" s="412"/>
      <c r="B60" s="415"/>
      <c r="C60" s="415"/>
      <c r="D60" s="415"/>
      <c r="E60" s="122"/>
      <c r="F60" s="418"/>
      <c r="G60" s="464"/>
      <c r="H60" s="125"/>
      <c r="I60" s="415"/>
      <c r="J60" s="421"/>
      <c r="K60" s="424"/>
      <c r="L60" s="406"/>
      <c r="M60" s="427"/>
      <c r="N60" s="406">
        <f>IF(NOT(ISERROR(MATCH(M60,_xlfn.ANCHORARRAY(F71),0))),L73&amp;"Por favor no seleccionar los criterios de impacto",M60)</f>
        <v>0</v>
      </c>
      <c r="O60" s="424"/>
      <c r="P60" s="406"/>
      <c r="Q60" s="409"/>
      <c r="R60" s="105">
        <v>6</v>
      </c>
      <c r="S60" s="106"/>
      <c r="T60" s="107" t="str">
        <f t="shared" si="99"/>
        <v/>
      </c>
      <c r="U60" s="114"/>
      <c r="V60" s="114"/>
      <c r="W60" s="115" t="str">
        <f t="shared" si="95"/>
        <v/>
      </c>
      <c r="X60" s="114"/>
      <c r="Y60" s="114"/>
      <c r="Z60" s="114"/>
      <c r="AA60" s="108" t="str">
        <f t="shared" si="102"/>
        <v/>
      </c>
      <c r="AB60" s="116" t="str">
        <f t="shared" si="96"/>
        <v/>
      </c>
      <c r="AC60" s="117" t="str">
        <f t="shared" si="100"/>
        <v/>
      </c>
      <c r="AD60" s="116" t="str">
        <f t="shared" si="97"/>
        <v/>
      </c>
      <c r="AE60" s="117" t="str">
        <f t="shared" si="101"/>
        <v/>
      </c>
      <c r="AF60" s="118" t="str">
        <f t="shared" si="98"/>
        <v/>
      </c>
      <c r="AG60" s="119"/>
      <c r="AH60" s="109"/>
      <c r="AI60" s="110"/>
      <c r="AJ60" s="111"/>
      <c r="AK60" s="111"/>
      <c r="AL60" s="109"/>
      <c r="AM60" s="110"/>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row>
    <row r="61" spans="1:71" ht="19.5" customHeight="1" x14ac:dyDescent="0.25">
      <c r="A61" s="410">
        <v>10</v>
      </c>
      <c r="B61" s="413"/>
      <c r="C61" s="413"/>
      <c r="D61" s="413"/>
      <c r="E61" s="120"/>
      <c r="F61" s="416"/>
      <c r="G61" s="462"/>
      <c r="H61" s="123"/>
      <c r="I61" s="413"/>
      <c r="J61" s="419"/>
      <c r="K61" s="422" t="str">
        <f t="shared" ref="K61" si="103">IF(J61&lt;=0,"",IF(J61&lt;=2,"Muy Baja",IF(J61&lt;=24,"Baja",IF(J61&lt;=500,"Media",IF(J61&lt;=5000,"Alta","Muy Alta")))))</f>
        <v/>
      </c>
      <c r="L61" s="404" t="str">
        <f t="shared" ref="L61" si="104">IF(K61="","",IF(K61="Muy Baja",0.2,IF(K61="Baja",0.4,IF(K61="Media",0.6,IF(K61="Alta",0.8,IF(K61="Muy Alta",1,))))))</f>
        <v/>
      </c>
      <c r="M61" s="425"/>
      <c r="N61" s="404">
        <f>IF(NOT(ISERROR(MATCH(M61,'Tabla Impacto'!$B$221:$B$223,0))),'Tabla Impacto'!$F$223&amp;"Por favor no seleccionar los criterios de impacto(Afectación Económica o presupuestal y Pérdida Reputacional)",M61)</f>
        <v>0</v>
      </c>
      <c r="O61" s="422" t="str">
        <f>IF(OR(N61='Tabla Impacto'!$C$11,N61='Tabla Impacto'!$D$11),"Leve",IF(OR(N61='Tabla Impacto'!$C$12,N61='Tabla Impacto'!$D$12),"Menor",IF(OR(N61='Tabla Impacto'!$C$13,N61='Tabla Impacto'!$D$13),"Moderado",IF(OR(N61='Tabla Impacto'!$C$14,N61='Tabla Impacto'!$D$14),"Mayor",IF(OR(N61='Tabla Impacto'!$C$15,N61='Tabla Impacto'!$D$15),"Catastrófico","")))))</f>
        <v/>
      </c>
      <c r="P61" s="404" t="str">
        <f t="shared" ref="P61" si="105">IF(O61="","",IF(O61="Leve",0.2,IF(O61="Menor",0.4,IF(O61="Moderado",0.6,IF(O61="Mayor",0.8,IF(O61="Catastrófico",1,))))))</f>
        <v/>
      </c>
      <c r="Q61" s="407" t="str">
        <f t="shared" ref="Q61" si="106">IF(OR(AND(K61="Muy Baja",O61="Leve"),AND(K61="Muy Baja",O61="Menor"),AND(K61="Baja",O61="Leve")),"Bajo",IF(OR(AND(K61="Muy baja",O61="Moderado"),AND(K61="Baja",O61="Menor"),AND(K61="Baja",O61="Moderado"),AND(K61="Media",O61="Leve"),AND(K61="Media",O61="Menor"),AND(K61="Media",O61="Moderado"),AND(K61="Alta",O61="Leve"),AND(K61="Alta",O61="Menor")),"Moderado",IF(OR(AND(K61="Muy Baja",O61="Mayor"),AND(K61="Baja",O61="Mayor"),AND(K61="Media",O61="Mayor"),AND(K61="Alta",O61="Moderado"),AND(K61="Alta",O61="Mayor"),AND(K61="Muy Alta",O61="Leve"),AND(K61="Muy Alta",O61="Menor"),AND(K61="Muy Alta",O61="Moderado"),AND(K61="Muy Alta",O61="Mayor")),"Alto",IF(OR(AND(K61="Muy Baja",O61="Catastrófico"),AND(K61="Baja",O61="Catastrófico"),AND(K61="Media",O61="Catastrófico"),AND(K61="Alta",O61="Catastrófico"),AND(K61="Muy Alta",O61="Catastrófico")),"Extremo",""))))</f>
        <v/>
      </c>
      <c r="R61" s="105">
        <v>1</v>
      </c>
      <c r="S61" s="106"/>
      <c r="T61" s="107" t="str">
        <f>IF(OR(U61="Preventivo",U61="Detectivo"),"Probabilidad",IF(U61="Correctivo","Impacto",""))</f>
        <v/>
      </c>
      <c r="U61" s="114"/>
      <c r="V61" s="114"/>
      <c r="W61" s="115" t="str">
        <f>IF(AND(U61="Preventivo",V61="Automático"),"50%",IF(AND(U61="Preventivo",V61="Manual"),"40%",IF(AND(U61="Detectivo",V61="Automático"),"40%",IF(AND(U61="Detectivo",V61="Manual"),"30%",IF(AND(U61="Correctivo",V61="Automático"),"35%",IF(AND(U61="Correctivo",V61="Manual"),"25%",""))))))</f>
        <v/>
      </c>
      <c r="X61" s="114"/>
      <c r="Y61" s="114"/>
      <c r="Z61" s="114"/>
      <c r="AA61" s="108" t="str">
        <f>IFERROR(IF(T61="Probabilidad",(L61-(+L61*W61)),IF(T61="Impacto",L61,"")),"")</f>
        <v/>
      </c>
      <c r="AB61" s="116" t="str">
        <f>IFERROR(IF(AA61="","",IF(AA61&lt;=0.2,"Muy Baja",IF(AA61&lt;=0.4,"Baja",IF(AA61&lt;=0.6,"Media",IF(AA61&lt;=0.8,"Alta","Muy Alta"))))),"")</f>
        <v/>
      </c>
      <c r="AC61" s="117" t="str">
        <f>+AA61</f>
        <v/>
      </c>
      <c r="AD61" s="116" t="str">
        <f>IFERROR(IF(AE61="","",IF(AE61&lt;=0.2,"Leve",IF(AE61&lt;=0.4,"Menor",IF(AE61&lt;=0.6,"Moderado",IF(AE61&lt;=0.8,"Mayor","Catastrófico"))))),"")</f>
        <v/>
      </c>
      <c r="AE61" s="117" t="str">
        <f>IFERROR(IF(T61="Impacto",(P61-(+P61*W61)),IF(T61="Probabilidad",P61,"")),"")</f>
        <v/>
      </c>
      <c r="AF61" s="118" t="str">
        <f>IFERROR(IF(OR(AND(AB61="Muy Baja",AD61="Leve"),AND(AB61="Muy Baja",AD61="Menor"),AND(AB61="Baja",AD61="Leve")),"Bajo",IF(OR(AND(AB61="Muy baja",AD61="Moderado"),AND(AB61="Baja",AD61="Menor"),AND(AB61="Baja",AD61="Moderado"),AND(AB61="Media",AD61="Leve"),AND(AB61="Media",AD61="Menor"),AND(AB61="Media",AD61="Moderado"),AND(AB61="Alta",AD61="Leve"),AND(AB61="Alta",AD61="Menor")),"Moderado",IF(OR(AND(AB61="Muy Baja",AD61="Mayor"),AND(AB61="Baja",AD61="Mayor"),AND(AB61="Media",AD61="Mayor"),AND(AB61="Alta",AD61="Moderado"),AND(AB61="Alta",AD61="Mayor"),AND(AB61="Muy Alta",AD61="Leve"),AND(AB61="Muy Alta",AD61="Menor"),AND(AB61="Muy Alta",AD61="Moderado"),AND(AB61="Muy Alta",AD61="Mayor")),"Alto",IF(OR(AND(AB61="Muy Baja",AD61="Catastrófico"),AND(AB61="Baja",AD61="Catastrófico"),AND(AB61="Media",AD61="Catastrófico"),AND(AB61="Alta",AD61="Catastrófico"),AND(AB61="Muy Alta",AD61="Catastrófico")),"Extremo","")))),"")</f>
        <v/>
      </c>
      <c r="AG61" s="119"/>
      <c r="AH61" s="109"/>
      <c r="AI61" s="110"/>
      <c r="AJ61" s="111"/>
      <c r="AK61" s="111"/>
      <c r="AL61" s="109"/>
      <c r="AM61" s="110"/>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row r="62" spans="1:71" ht="19.5" customHeight="1" x14ac:dyDescent="0.25">
      <c r="A62" s="411"/>
      <c r="B62" s="414"/>
      <c r="C62" s="414"/>
      <c r="D62" s="414"/>
      <c r="E62" s="121"/>
      <c r="F62" s="417"/>
      <c r="G62" s="463"/>
      <c r="H62" s="124"/>
      <c r="I62" s="414"/>
      <c r="J62" s="420"/>
      <c r="K62" s="423"/>
      <c r="L62" s="405"/>
      <c r="M62" s="426"/>
      <c r="N62" s="405">
        <f>IF(NOT(ISERROR(MATCH(M62,_xlfn.ANCHORARRAY(F73),0))),L75&amp;"Por favor no seleccionar los criterios de impacto",M62)</f>
        <v>0</v>
      </c>
      <c r="O62" s="423"/>
      <c r="P62" s="405"/>
      <c r="Q62" s="408"/>
      <c r="R62" s="105">
        <v>2</v>
      </c>
      <c r="S62" s="106"/>
      <c r="T62" s="107" t="str">
        <f>IF(OR(U62="Preventivo",U62="Detectivo"),"Probabilidad",IF(U62="Correctivo","Impacto",""))</f>
        <v/>
      </c>
      <c r="U62" s="114"/>
      <c r="V62" s="114"/>
      <c r="W62" s="115" t="str">
        <f t="shared" ref="W62:W66" si="107">IF(AND(U62="Preventivo",V62="Automático"),"50%",IF(AND(U62="Preventivo",V62="Manual"),"40%",IF(AND(U62="Detectivo",V62="Automático"),"40%",IF(AND(U62="Detectivo",V62="Manual"),"30%",IF(AND(U62="Correctivo",V62="Automático"),"35%",IF(AND(U62="Correctivo",V62="Manual"),"25%",""))))))</f>
        <v/>
      </c>
      <c r="X62" s="114"/>
      <c r="Y62" s="114"/>
      <c r="Z62" s="114"/>
      <c r="AA62" s="108" t="str">
        <f>IFERROR(IF(AND(T61="Probabilidad",T62="Probabilidad"),(AC61-(+AC61*W62)),IF(AND(T61="Impacto",T62="Probabilidad"),(L61-(+L61*W62)),IF(T62="Impacto",AC61,""))),"")</f>
        <v/>
      </c>
      <c r="AB62" s="116" t="str">
        <f t="shared" ref="AB62:AB66" si="108">IFERROR(IF(AA62="","",IF(AA62&lt;=0.2,"Muy Baja",IF(AA62&lt;=0.4,"Baja",IF(AA62&lt;=0.6,"Media",IF(AA62&lt;=0.8,"Alta","Muy Alta"))))),"")</f>
        <v/>
      </c>
      <c r="AC62" s="117" t="str">
        <f>+AA62</f>
        <v/>
      </c>
      <c r="AD62" s="116" t="str">
        <f t="shared" ref="AD62:AD66" si="109">IFERROR(IF(AE62="","",IF(AE62&lt;=0.2,"Leve",IF(AE62&lt;=0.4,"Menor",IF(AE62&lt;=0.6,"Moderado",IF(AE62&lt;=0.8,"Mayor","Catastrófico"))))),"")</f>
        <v/>
      </c>
      <c r="AE62" s="117" t="str">
        <f>IFERROR(IF(AND(T61="Impacto",T62="Impacto"),(AE61-(+AE61*W62)),IF(AND(T61="Probabilidad",T62="Impacto"),(P61-(+P61*W62)),IF(T62="Probabilidad",AE61,""))),"")</f>
        <v/>
      </c>
      <c r="AF62" s="118" t="str">
        <f t="shared" ref="AF62:AF66" si="110">IFERROR(IF(OR(AND(AB62="Muy Baja",AD62="Leve"),AND(AB62="Muy Baja",AD62="Menor"),AND(AB62="Baja",AD62="Leve")),"Bajo",IF(OR(AND(AB62="Muy baja",AD62="Moderado"),AND(AB62="Baja",AD62="Menor"),AND(AB62="Baja",AD62="Moderado"),AND(AB62="Media",AD62="Leve"),AND(AB62="Media",AD62="Menor"),AND(AB62="Media",AD62="Moderado"),AND(AB62="Alta",AD62="Leve"),AND(AB62="Alta",AD62="Menor")),"Moderado",IF(OR(AND(AB62="Muy Baja",AD62="Mayor"),AND(AB62="Baja",AD62="Mayor"),AND(AB62="Media",AD62="Mayor"),AND(AB62="Alta",AD62="Moderado"),AND(AB62="Alta",AD62="Mayor"),AND(AB62="Muy Alta",AD62="Leve"),AND(AB62="Muy Alta",AD62="Menor"),AND(AB62="Muy Alta",AD62="Moderado"),AND(AB62="Muy Alta",AD62="Mayor")),"Alto",IF(OR(AND(AB62="Muy Baja",AD62="Catastrófico"),AND(AB62="Baja",AD62="Catastrófico"),AND(AB62="Media",AD62="Catastrófico"),AND(AB62="Alta",AD62="Catastrófico"),AND(AB62="Muy Alta",AD62="Catastrófico")),"Extremo","")))),"")</f>
        <v/>
      </c>
      <c r="AG62" s="119"/>
      <c r="AH62" s="109"/>
      <c r="AI62" s="110"/>
      <c r="AJ62" s="111"/>
      <c r="AK62" s="111"/>
      <c r="AL62" s="109"/>
      <c r="AM62" s="110"/>
    </row>
    <row r="63" spans="1:71" ht="19.5" customHeight="1" x14ac:dyDescent="0.25">
      <c r="A63" s="411"/>
      <c r="B63" s="414"/>
      <c r="C63" s="414"/>
      <c r="D63" s="414"/>
      <c r="E63" s="121"/>
      <c r="F63" s="417"/>
      <c r="G63" s="463"/>
      <c r="H63" s="124"/>
      <c r="I63" s="414"/>
      <c r="J63" s="420"/>
      <c r="K63" s="423"/>
      <c r="L63" s="405"/>
      <c r="M63" s="426"/>
      <c r="N63" s="405">
        <f>IF(NOT(ISERROR(MATCH(M63,_xlfn.ANCHORARRAY(F74),0))),L76&amp;"Por favor no seleccionar los criterios de impacto",M63)</f>
        <v>0</v>
      </c>
      <c r="O63" s="423"/>
      <c r="P63" s="405"/>
      <c r="Q63" s="408"/>
      <c r="R63" s="105">
        <v>3</v>
      </c>
      <c r="S63" s="112"/>
      <c r="T63" s="107" t="str">
        <f t="shared" ref="T63:T66" si="111">IF(OR(U63="Preventivo",U63="Detectivo"),"Probabilidad",IF(U63="Correctivo","Impacto",""))</f>
        <v/>
      </c>
      <c r="U63" s="114"/>
      <c r="V63" s="114"/>
      <c r="W63" s="115" t="str">
        <f t="shared" si="107"/>
        <v/>
      </c>
      <c r="X63" s="114"/>
      <c r="Y63" s="114"/>
      <c r="Z63" s="114"/>
      <c r="AA63" s="108" t="str">
        <f>IFERROR(IF(AND(T62="Probabilidad",T63="Probabilidad"),(AC62-(+AC62*W63)),IF(AND(T62="Impacto",T63="Probabilidad"),(AC61-(+AC61*W63)),IF(T63="Impacto",AC62,""))),"")</f>
        <v/>
      </c>
      <c r="AB63" s="116" t="str">
        <f t="shared" si="108"/>
        <v/>
      </c>
      <c r="AC63" s="117" t="str">
        <f t="shared" ref="AC63:AC66" si="112">+AA63</f>
        <v/>
      </c>
      <c r="AD63" s="116" t="str">
        <f t="shared" si="109"/>
        <v/>
      </c>
      <c r="AE63" s="117" t="str">
        <f t="shared" ref="AE63:AE66" si="113">IFERROR(IF(AND(T62="Impacto",T63="Impacto"),(AE62-(+AE62*W63)),IF(AND(T62="Probabilidad",T63="Impacto"),(AE61-(+AE61*W63)),IF(T63="Probabilidad",AE62,""))),"")</f>
        <v/>
      </c>
      <c r="AF63" s="118" t="str">
        <f t="shared" si="110"/>
        <v/>
      </c>
      <c r="AG63" s="119"/>
      <c r="AH63" s="109"/>
      <c r="AI63" s="110"/>
      <c r="AJ63" s="111"/>
      <c r="AK63" s="111"/>
      <c r="AL63" s="109"/>
      <c r="AM63" s="110"/>
    </row>
    <row r="64" spans="1:71" ht="19.5" customHeight="1" x14ac:dyDescent="0.25">
      <c r="A64" s="411"/>
      <c r="B64" s="414"/>
      <c r="C64" s="414"/>
      <c r="D64" s="414"/>
      <c r="E64" s="121"/>
      <c r="F64" s="417"/>
      <c r="G64" s="463"/>
      <c r="H64" s="124"/>
      <c r="I64" s="414"/>
      <c r="J64" s="420"/>
      <c r="K64" s="423"/>
      <c r="L64" s="405"/>
      <c r="M64" s="426"/>
      <c r="N64" s="405">
        <f>IF(NOT(ISERROR(MATCH(M64,_xlfn.ANCHORARRAY(F75),0))),L77&amp;"Por favor no seleccionar los criterios de impacto",M64)</f>
        <v>0</v>
      </c>
      <c r="O64" s="423"/>
      <c r="P64" s="405"/>
      <c r="Q64" s="408"/>
      <c r="R64" s="105">
        <v>4</v>
      </c>
      <c r="S64" s="106"/>
      <c r="T64" s="107" t="str">
        <f t="shared" si="111"/>
        <v/>
      </c>
      <c r="U64" s="114"/>
      <c r="V64" s="114"/>
      <c r="W64" s="115" t="str">
        <f t="shared" si="107"/>
        <v/>
      </c>
      <c r="X64" s="114"/>
      <c r="Y64" s="114"/>
      <c r="Z64" s="114"/>
      <c r="AA64" s="108" t="str">
        <f t="shared" ref="AA64:AA66" si="114">IFERROR(IF(AND(T63="Probabilidad",T64="Probabilidad"),(AC63-(+AC63*W64)),IF(AND(T63="Impacto",T64="Probabilidad"),(AC62-(+AC62*W64)),IF(T64="Impacto",AC63,""))),"")</f>
        <v/>
      </c>
      <c r="AB64" s="116" t="str">
        <f t="shared" si="108"/>
        <v/>
      </c>
      <c r="AC64" s="117" t="str">
        <f t="shared" si="112"/>
        <v/>
      </c>
      <c r="AD64" s="116" t="str">
        <f t="shared" si="109"/>
        <v/>
      </c>
      <c r="AE64" s="117" t="str">
        <f t="shared" si="113"/>
        <v/>
      </c>
      <c r="AF64" s="118" t="str">
        <f t="shared" si="110"/>
        <v/>
      </c>
      <c r="AG64" s="119"/>
      <c r="AH64" s="109"/>
      <c r="AI64" s="110"/>
      <c r="AJ64" s="111"/>
      <c r="AK64" s="111"/>
      <c r="AL64" s="109"/>
      <c r="AM64" s="110"/>
    </row>
    <row r="65" spans="1:39" ht="19.5" customHeight="1" x14ac:dyDescent="0.25">
      <c r="A65" s="411"/>
      <c r="B65" s="414"/>
      <c r="C65" s="414"/>
      <c r="D65" s="414"/>
      <c r="E65" s="121"/>
      <c r="F65" s="417"/>
      <c r="G65" s="463"/>
      <c r="H65" s="124"/>
      <c r="I65" s="414"/>
      <c r="J65" s="420"/>
      <c r="K65" s="423"/>
      <c r="L65" s="405"/>
      <c r="M65" s="426"/>
      <c r="N65" s="405">
        <f>IF(NOT(ISERROR(MATCH(M65,_xlfn.ANCHORARRAY(F76),0))),L78&amp;"Por favor no seleccionar los criterios de impacto",M65)</f>
        <v>0</v>
      </c>
      <c r="O65" s="423"/>
      <c r="P65" s="405"/>
      <c r="Q65" s="408"/>
      <c r="R65" s="105">
        <v>5</v>
      </c>
      <c r="S65" s="106"/>
      <c r="T65" s="107" t="str">
        <f t="shared" si="111"/>
        <v/>
      </c>
      <c r="U65" s="114"/>
      <c r="V65" s="114"/>
      <c r="W65" s="115" t="str">
        <f t="shared" si="107"/>
        <v/>
      </c>
      <c r="X65" s="114"/>
      <c r="Y65" s="114"/>
      <c r="Z65" s="114"/>
      <c r="AA65" s="108" t="str">
        <f t="shared" si="114"/>
        <v/>
      </c>
      <c r="AB65" s="116" t="str">
        <f t="shared" si="108"/>
        <v/>
      </c>
      <c r="AC65" s="117" t="str">
        <f t="shared" si="112"/>
        <v/>
      </c>
      <c r="AD65" s="116" t="str">
        <f t="shared" si="109"/>
        <v/>
      </c>
      <c r="AE65" s="117" t="str">
        <f t="shared" si="113"/>
        <v/>
      </c>
      <c r="AF65" s="118" t="str">
        <f t="shared" si="110"/>
        <v/>
      </c>
      <c r="AG65" s="119"/>
      <c r="AH65" s="109"/>
      <c r="AI65" s="110"/>
      <c r="AJ65" s="111"/>
      <c r="AK65" s="111"/>
      <c r="AL65" s="109"/>
      <c r="AM65" s="110"/>
    </row>
    <row r="66" spans="1:39" ht="19.5" customHeight="1" x14ac:dyDescent="0.25">
      <c r="A66" s="412"/>
      <c r="B66" s="415"/>
      <c r="C66" s="415"/>
      <c r="D66" s="415"/>
      <c r="E66" s="122"/>
      <c r="F66" s="418"/>
      <c r="G66" s="464"/>
      <c r="H66" s="125"/>
      <c r="I66" s="415"/>
      <c r="J66" s="421"/>
      <c r="K66" s="424"/>
      <c r="L66" s="406"/>
      <c r="M66" s="427"/>
      <c r="N66" s="406">
        <f>IF(NOT(ISERROR(MATCH(M66,_xlfn.ANCHORARRAY(F77),0))),L79&amp;"Por favor no seleccionar los criterios de impacto",M66)</f>
        <v>0</v>
      </c>
      <c r="O66" s="424"/>
      <c r="P66" s="406"/>
      <c r="Q66" s="409"/>
      <c r="R66" s="105">
        <v>6</v>
      </c>
      <c r="S66" s="106"/>
      <c r="T66" s="107" t="str">
        <f t="shared" si="111"/>
        <v/>
      </c>
      <c r="U66" s="114"/>
      <c r="V66" s="114"/>
      <c r="W66" s="115" t="str">
        <f t="shared" si="107"/>
        <v/>
      </c>
      <c r="X66" s="114"/>
      <c r="Y66" s="114"/>
      <c r="Z66" s="114"/>
      <c r="AA66" s="108" t="str">
        <f t="shared" si="114"/>
        <v/>
      </c>
      <c r="AB66" s="116" t="str">
        <f t="shared" si="108"/>
        <v/>
      </c>
      <c r="AC66" s="117" t="str">
        <f t="shared" si="112"/>
        <v/>
      </c>
      <c r="AD66" s="116" t="str">
        <f t="shared" si="109"/>
        <v/>
      </c>
      <c r="AE66" s="117" t="str">
        <f t="shared" si="113"/>
        <v/>
      </c>
      <c r="AF66" s="118" t="str">
        <f t="shared" si="110"/>
        <v/>
      </c>
      <c r="AG66" s="119"/>
      <c r="AH66" s="109"/>
      <c r="AI66" s="110"/>
      <c r="AJ66" s="111"/>
      <c r="AK66" s="111"/>
      <c r="AL66" s="109"/>
      <c r="AM66" s="110"/>
    </row>
    <row r="67" spans="1:39" ht="49.5" customHeight="1" x14ac:dyDescent="0.25">
      <c r="A67" s="6"/>
      <c r="B67" s="401" t="s">
        <v>126</v>
      </c>
      <c r="C67" s="402"/>
      <c r="D67" s="402"/>
      <c r="E67" s="402"/>
      <c r="F67" s="402"/>
      <c r="G67" s="402"/>
      <c r="H67" s="402"/>
      <c r="I67" s="402"/>
      <c r="J67" s="402"/>
      <c r="K67" s="402"/>
      <c r="L67" s="402"/>
      <c r="M67" s="402"/>
      <c r="N67" s="402"/>
      <c r="O67" s="402"/>
      <c r="P67" s="402"/>
      <c r="Q67" s="402"/>
      <c r="R67" s="402"/>
      <c r="S67" s="402"/>
      <c r="T67" s="402"/>
      <c r="U67" s="402"/>
      <c r="V67" s="402"/>
      <c r="W67" s="402"/>
      <c r="X67" s="402"/>
      <c r="Y67" s="402"/>
      <c r="Z67" s="402"/>
      <c r="AA67" s="402"/>
      <c r="AB67" s="402"/>
      <c r="AC67" s="402"/>
      <c r="AD67" s="402"/>
      <c r="AE67" s="402"/>
      <c r="AF67" s="402"/>
      <c r="AG67" s="402"/>
      <c r="AH67" s="402"/>
      <c r="AI67" s="402"/>
      <c r="AJ67" s="402"/>
      <c r="AK67" s="402"/>
      <c r="AL67" s="402"/>
      <c r="AM67" s="403"/>
    </row>
    <row r="69" spans="1:39" x14ac:dyDescent="0.25">
      <c r="A69" s="1"/>
      <c r="B69" s="24" t="s">
        <v>138</v>
      </c>
      <c r="C69" s="1"/>
      <c r="D69" s="1"/>
      <c r="E69" s="1"/>
      <c r="I69" s="1"/>
    </row>
  </sheetData>
  <dataConsolidate/>
  <mergeCells count="203">
    <mergeCell ref="M19:M24"/>
    <mergeCell ref="N19:N24"/>
    <mergeCell ref="O19:O24"/>
    <mergeCell ref="K13:K18"/>
    <mergeCell ref="L13:L18"/>
    <mergeCell ref="M13:M18"/>
    <mergeCell ref="AH10:AH12"/>
    <mergeCell ref="AI10:AI12"/>
    <mergeCell ref="AG10:AG12"/>
    <mergeCell ref="K19:K24"/>
    <mergeCell ref="L19:L24"/>
    <mergeCell ref="G25:G30"/>
    <mergeCell ref="G31:G36"/>
    <mergeCell ref="G37:G42"/>
    <mergeCell ref="G43:G48"/>
    <mergeCell ref="G49:G54"/>
    <mergeCell ref="G55:G60"/>
    <mergeCell ref="G61:G66"/>
    <mergeCell ref="I10:I12"/>
    <mergeCell ref="J10:J12"/>
    <mergeCell ref="I13:I18"/>
    <mergeCell ref="J13:J18"/>
    <mergeCell ref="G13:G18"/>
    <mergeCell ref="G19:G24"/>
    <mergeCell ref="I19:I24"/>
    <mergeCell ref="J19:J24"/>
    <mergeCell ref="A10:A12"/>
    <mergeCell ref="B10:B12"/>
    <mergeCell ref="C10:C12"/>
    <mergeCell ref="D10:D12"/>
    <mergeCell ref="F10:F12"/>
    <mergeCell ref="Q10:Q12"/>
    <mergeCell ref="L10:L12"/>
    <mergeCell ref="M10:M12"/>
    <mergeCell ref="N10:N12"/>
    <mergeCell ref="O10:O12"/>
    <mergeCell ref="P10:P12"/>
    <mergeCell ref="H10:H12"/>
    <mergeCell ref="G10:G12"/>
    <mergeCell ref="K10:K12"/>
    <mergeCell ref="A8:A9"/>
    <mergeCell ref="I8:I9"/>
    <mergeCell ref="F8:F9"/>
    <mergeCell ref="D8:D9"/>
    <mergeCell ref="C8:C9"/>
    <mergeCell ref="AG8:AG9"/>
    <mergeCell ref="R8:R9"/>
    <mergeCell ref="AF8:AF9"/>
    <mergeCell ref="AE8:AE9"/>
    <mergeCell ref="AA8:AA9"/>
    <mergeCell ref="S8:S9"/>
    <mergeCell ref="AD8:AD9"/>
    <mergeCell ref="AB8:AB9"/>
    <mergeCell ref="AC8:AC9"/>
    <mergeCell ref="J8:J9"/>
    <mergeCell ref="K8:K9"/>
    <mergeCell ref="L8:L9"/>
    <mergeCell ref="O8:O9"/>
    <mergeCell ref="P8:P9"/>
    <mergeCell ref="B8:B9"/>
    <mergeCell ref="Q8:Q9"/>
    <mergeCell ref="M8:M9"/>
    <mergeCell ref="N8:N9"/>
    <mergeCell ref="T8:T9"/>
    <mergeCell ref="D13:D18"/>
    <mergeCell ref="F13:F18"/>
    <mergeCell ref="AH8:AH9"/>
    <mergeCell ref="AM8:AM9"/>
    <mergeCell ref="AL8:AL9"/>
    <mergeCell ref="AK8:AK9"/>
    <mergeCell ref="AJ8:AJ9"/>
    <mergeCell ref="AI8:AI9"/>
    <mergeCell ref="U8:Z8"/>
    <mergeCell ref="E8:E9"/>
    <mergeCell ref="N13:N18"/>
    <mergeCell ref="O13:O18"/>
    <mergeCell ref="P13:P18"/>
    <mergeCell ref="AJ10:AJ12"/>
    <mergeCell ref="AK10:AK12"/>
    <mergeCell ref="AL10:AL12"/>
    <mergeCell ref="AM10:AM12"/>
    <mergeCell ref="Q13:Q18"/>
    <mergeCell ref="A13:A18"/>
    <mergeCell ref="B13:B18"/>
    <mergeCell ref="C13:C18"/>
    <mergeCell ref="P19:P24"/>
    <mergeCell ref="Q19:Q24"/>
    <mergeCell ref="A25:A30"/>
    <mergeCell ref="B25:B30"/>
    <mergeCell ref="C25:C30"/>
    <mergeCell ref="D25:D30"/>
    <mergeCell ref="F25:F30"/>
    <mergeCell ref="I25:I30"/>
    <mergeCell ref="J25:J30"/>
    <mergeCell ref="K25:K30"/>
    <mergeCell ref="L25:L30"/>
    <mergeCell ref="M25:M30"/>
    <mergeCell ref="N25:N30"/>
    <mergeCell ref="O25:O30"/>
    <mergeCell ref="P25:P30"/>
    <mergeCell ref="Q25:Q30"/>
    <mergeCell ref="A19:A24"/>
    <mergeCell ref="B19:B24"/>
    <mergeCell ref="C19:C24"/>
    <mergeCell ref="D19:D24"/>
    <mergeCell ref="F19:F24"/>
    <mergeCell ref="P31:P36"/>
    <mergeCell ref="Q31:Q36"/>
    <mergeCell ref="P37:P42"/>
    <mergeCell ref="Q37:Q42"/>
    <mergeCell ref="M43:M48"/>
    <mergeCell ref="N43:N48"/>
    <mergeCell ref="O43:O48"/>
    <mergeCell ref="A31:A36"/>
    <mergeCell ref="B31:B36"/>
    <mergeCell ref="C31:C36"/>
    <mergeCell ref="A37:A42"/>
    <mergeCell ref="B37:B42"/>
    <mergeCell ref="C37:C42"/>
    <mergeCell ref="D37:D42"/>
    <mergeCell ref="F37:F42"/>
    <mergeCell ref="I37:I42"/>
    <mergeCell ref="D31:D36"/>
    <mergeCell ref="F31:F36"/>
    <mergeCell ref="M37:M42"/>
    <mergeCell ref="N37:N42"/>
    <mergeCell ref="O37:O42"/>
    <mergeCell ref="I31:I36"/>
    <mergeCell ref="J31:J36"/>
    <mergeCell ref="K31:K36"/>
    <mergeCell ref="L31:L36"/>
    <mergeCell ref="M31:M36"/>
    <mergeCell ref="J37:J42"/>
    <mergeCell ref="K37:K42"/>
    <mergeCell ref="L37:L42"/>
    <mergeCell ref="N31:N36"/>
    <mergeCell ref="O31:O36"/>
    <mergeCell ref="A49:A54"/>
    <mergeCell ref="B49:B54"/>
    <mergeCell ref="C49:C54"/>
    <mergeCell ref="D49:D54"/>
    <mergeCell ref="F49:F54"/>
    <mergeCell ref="A43:A48"/>
    <mergeCell ref="B43:B48"/>
    <mergeCell ref="C43:C48"/>
    <mergeCell ref="D43:D48"/>
    <mergeCell ref="F43:F48"/>
    <mergeCell ref="F55:F60"/>
    <mergeCell ref="I55:I60"/>
    <mergeCell ref="J55:J60"/>
    <mergeCell ref="K55:K60"/>
    <mergeCell ref="L55:L60"/>
    <mergeCell ref="P43:P48"/>
    <mergeCell ref="Q43:Q48"/>
    <mergeCell ref="I49:I54"/>
    <mergeCell ref="J49:J54"/>
    <mergeCell ref="K49:K54"/>
    <mergeCell ref="L49:L54"/>
    <mergeCell ref="M49:M54"/>
    <mergeCell ref="I43:I48"/>
    <mergeCell ref="J43:J48"/>
    <mergeCell ref="K43:K48"/>
    <mergeCell ref="L43:L48"/>
    <mergeCell ref="N49:N54"/>
    <mergeCell ref="O49:O54"/>
    <mergeCell ref="P49:P54"/>
    <mergeCell ref="Q49:Q54"/>
    <mergeCell ref="B67:AM67"/>
    <mergeCell ref="P55:P60"/>
    <mergeCell ref="Q55:Q60"/>
    <mergeCell ref="A61:A66"/>
    <mergeCell ref="B61:B66"/>
    <mergeCell ref="C61:C66"/>
    <mergeCell ref="D61:D66"/>
    <mergeCell ref="F61:F66"/>
    <mergeCell ref="I61:I66"/>
    <mergeCell ref="J61:J66"/>
    <mergeCell ref="K61:K66"/>
    <mergeCell ref="L61:L66"/>
    <mergeCell ref="M61:M66"/>
    <mergeCell ref="N61:N66"/>
    <mergeCell ref="O61:O66"/>
    <mergeCell ref="P61:P66"/>
    <mergeCell ref="Q61:Q66"/>
    <mergeCell ref="M55:M60"/>
    <mergeCell ref="N55:N60"/>
    <mergeCell ref="O55:O60"/>
    <mergeCell ref="A55:A60"/>
    <mergeCell ref="B55:B60"/>
    <mergeCell ref="C55:C60"/>
    <mergeCell ref="D55:D60"/>
    <mergeCell ref="C4:AM4"/>
    <mergeCell ref="C5:AM5"/>
    <mergeCell ref="C6:AM6"/>
    <mergeCell ref="A1:AM2"/>
    <mergeCell ref="A7:J7"/>
    <mergeCell ref="K7:Q7"/>
    <mergeCell ref="R7:Z7"/>
    <mergeCell ref="AA7:AG7"/>
    <mergeCell ref="AH7:AM7"/>
    <mergeCell ref="A4:B4"/>
    <mergeCell ref="A5:B5"/>
    <mergeCell ref="A6:B6"/>
  </mergeCells>
  <conditionalFormatting sqref="K10 K13 K19 K25 K31 K37 K43 K49 K55 K61 AB10:AB66">
    <cfRule type="cellIs" dxfId="18" priority="641" operator="equal">
      <formula>"Muy Alta"</formula>
    </cfRule>
    <cfRule type="cellIs" dxfId="17" priority="642" operator="equal">
      <formula>"Alta"</formula>
    </cfRule>
    <cfRule type="cellIs" dxfId="16" priority="643" operator="equal">
      <formula>"Media"</formula>
    </cfRule>
    <cfRule type="cellIs" dxfId="15" priority="644" operator="equal">
      <formula>"Baja"</formula>
    </cfRule>
    <cfRule type="cellIs" dxfId="14" priority="645" operator="equal">
      <formula>"Muy Baja"</formula>
    </cfRule>
  </conditionalFormatting>
  <conditionalFormatting sqref="N10:N66">
    <cfRule type="containsText" dxfId="13" priority="323" operator="containsText" text="❌">
      <formula>NOT(ISERROR(SEARCH("❌",N10)))</formula>
    </cfRule>
  </conditionalFormatting>
  <conditionalFormatting sqref="O10 O13 O19 O25 O31 O37 O43 O49 O55 O61 AD10:AD66">
    <cfRule type="cellIs" dxfId="12" priority="636" operator="equal">
      <formula>"Catastrófico"</formula>
    </cfRule>
    <cfRule type="cellIs" dxfId="11" priority="637" operator="equal">
      <formula>"Mayor"</formula>
    </cfRule>
    <cfRule type="cellIs" dxfId="10" priority="638" operator="equal">
      <formula>"Moderado"</formula>
    </cfRule>
    <cfRule type="cellIs" dxfId="9" priority="639" operator="equal">
      <formula>"Menor"</formula>
    </cfRule>
    <cfRule type="cellIs" dxfId="8" priority="640" operator="equal">
      <formula>"Leve"</formula>
    </cfRule>
  </conditionalFormatting>
  <conditionalFormatting sqref="Q10 AF10:AF66">
    <cfRule type="cellIs" dxfId="7" priority="632" operator="equal">
      <formula>"Extremo"</formula>
    </cfRule>
    <cfRule type="cellIs" dxfId="6" priority="633" operator="equal">
      <formula>"Alto"</formula>
    </cfRule>
    <cfRule type="cellIs" dxfId="5" priority="634" operator="equal">
      <formula>"Moderado"</formula>
    </cfRule>
    <cfRule type="cellIs" dxfId="4" priority="635" operator="equal">
      <formula>"Bajo"</formula>
    </cfRule>
  </conditionalFormatting>
  <conditionalFormatting sqref="Q13 Q19 Q25 Q31 Q37 Q43 Q49 Q55 Q61">
    <cfRule type="cellIs" dxfId="3" priority="562" operator="equal">
      <formula>"Extremo"</formula>
    </cfRule>
    <cfRule type="cellIs" dxfId="2" priority="563" operator="equal">
      <formula>"Alto"</formula>
    </cfRule>
    <cfRule type="cellIs" dxfId="1" priority="564" operator="equal">
      <formula>"Moderado"</formula>
    </cfRule>
    <cfRule type="cellIs" dxfId="0" priority="565" operator="equal">
      <formula>"Bajo"</formula>
    </cfRule>
  </conditionalFormatting>
  <dataValidations count="1">
    <dataValidation type="list" allowBlank="1" showInputMessage="1" showErrorMessage="1" sqref="G10:G66" xr:uid="{00000000-0002-0000-0400-000000000000}">
      <formula1>"Gestión, FISCAL,"</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400-000005000000}">
          <x14:formula1>
            <xm:f>'Opciones Tratamiento'!$B$9:$B$10</xm:f>
          </x14:formula1>
          <xm:sqref>AM64:AM65 AM13:AM14 AM16:AM17 AM19:AM20 AM22:AM23 AM25:AM26 AM28:AM29 AM31:AM32 AM34:AM35 AM37:AM38 AM40:AM41 AM43:AM44 AM46:AM47 AM49:AM50 AM52:AM53 AM55:AM56 AM58:AM59 AM61:AM62 AM10</xm:sqref>
        </x14:dataValidation>
        <x14:dataValidation type="list" allowBlank="1" showInputMessage="1" showErrorMessage="1" xr:uid="{00000000-0002-0000-0400-000009000000}">
          <x14:formula1>
            <xm:f>'Opciones Tratamiento'!$B$2:$B$5</xm:f>
          </x14:formula1>
          <xm:sqref>AG10 AG63:AG66 AG15:AG19 AG21:AG25 AG27:AG31 AG33:AG37 AG39:AG43 AG45:AG49 AG51:AG55 AG57:AG61 AG13</xm:sqref>
        </x14:dataValidation>
        <x14:dataValidation type="custom" allowBlank="1" showInputMessage="1" showErrorMessage="1" error="Recuerde que las acciones se generan bajo la medida de mitigar el riesgo" xr:uid="{00000000-0002-0000-0400-00000B000000}">
          <x14:formula1>
            <xm:f>IF(OR(AG10='Opciones Tratamiento'!$B$2,AG10='Opciones Tratamiento'!$B$3,AG10='Opciones Tratamiento'!$B$4),ISBLANK(AG10),ISTEXT(AG10))</xm:f>
          </x14:formula1>
          <xm:sqref>AH10 AH13:AH66</xm:sqref>
        </x14:dataValidation>
        <x14:dataValidation type="custom" allowBlank="1" showInputMessage="1" showErrorMessage="1" error="Recuerde que las acciones se generan bajo la medida de mitigar el riesgo" xr:uid="{00000000-0002-0000-0400-00000C000000}">
          <x14:formula1>
            <xm:f>IF(OR(AG10='Opciones Tratamiento'!$B$2,AG10='Opciones Tratamiento'!$B$3,AG10='Opciones Tratamiento'!$B$4),ISBLANK(AG10),ISTEXT(AG10))</xm:f>
          </x14:formula1>
          <xm:sqref>AI10 AI13:AI66</xm:sqref>
        </x14:dataValidation>
        <x14:dataValidation type="custom" allowBlank="1" showInputMessage="1" showErrorMessage="1" error="Recuerde que las acciones se generan bajo la medida de mitigar el riesgo" xr:uid="{00000000-0002-0000-0400-00000D000000}">
          <x14:formula1>
            <xm:f>IF(OR(AG10='Opciones Tratamiento'!$B$2,AG10='Opciones Tratamiento'!$B$3,AG10='Opciones Tratamiento'!$B$4),ISBLANK(AG10),ISTEXT(AG10))</xm:f>
          </x14:formula1>
          <xm:sqref>AJ10 AJ13:AJ66</xm:sqref>
        </x14:dataValidation>
        <x14:dataValidation type="custom" allowBlank="1" showInputMessage="1" showErrorMessage="1" error="Recuerde que las acciones se generan bajo la medida de mitigar el riesgo" xr:uid="{00000000-0002-0000-0400-00000E000000}">
          <x14:formula1>
            <xm:f>IF(OR(AG10='Opciones Tratamiento'!$B$2,AG10='Opciones Tratamiento'!$B$3,AG10='Opciones Tratamiento'!$B$4),ISBLANK(AG10),ISTEXT(AG10))</xm:f>
          </x14:formula1>
          <xm:sqref>AK10 AK13:AK66</xm:sqref>
        </x14:dataValidation>
        <x14:dataValidation type="custom" allowBlank="1" showInputMessage="1" showErrorMessage="1" error="Recuerde que las acciones se generan bajo la medida de mitigar el riesgo" xr:uid="{00000000-0002-0000-0400-00000F000000}">
          <x14:formula1>
            <xm:f>IF(OR(AG10='Opciones Tratamiento'!$B$2,AG10='Opciones Tratamiento'!$B$3,AG10='Opciones Tratamiento'!$B$4),ISBLANK(AG10),ISTEXT(AG10))</xm:f>
          </x14:formula1>
          <xm:sqref>AL10 AL13:AL66</xm:sqref>
        </x14:dataValidation>
        <x14:dataValidation type="list" allowBlank="1" showInputMessage="1" showErrorMessage="1" xr:uid="{00000000-0002-0000-0400-000010000000}">
          <x14:formula1>
            <xm:f>'C:\Users\HOME\Downloads\[Formato Matriz de Riesgos 2021 (1).xlsx]Opciones Tratamiento'!#REF!</xm:f>
          </x14:formula1>
          <xm:sqref>AG62 AG14 AG20 AG26 AG32 AG38 AG44 AG50 AG56</xm:sqref>
        </x14:dataValidation>
        <x14:dataValidation type="list" allowBlank="1" showInputMessage="1" showErrorMessage="1" xr:uid="{00000000-0002-0000-0400-000001000000}">
          <x14:formula1>
            <xm:f>'Tabla Valoración controles'!$D$4:$D$6</xm:f>
          </x14:formula1>
          <xm:sqref>U10:U66</xm:sqref>
        </x14:dataValidation>
        <x14:dataValidation type="list" allowBlank="1" showInputMessage="1" showErrorMessage="1" xr:uid="{00000000-0002-0000-0400-000002000000}">
          <x14:formula1>
            <xm:f>'Tabla Valoración controles'!$D$7:$D$8</xm:f>
          </x14:formula1>
          <xm:sqref>V10:V66</xm:sqref>
        </x14:dataValidation>
        <x14:dataValidation type="list" allowBlank="1" showInputMessage="1" showErrorMessage="1" xr:uid="{00000000-0002-0000-0400-000003000000}">
          <x14:formula1>
            <xm:f>'Tabla Valoración controles'!$D$9:$D$10</xm:f>
          </x14:formula1>
          <xm:sqref>X10:X66</xm:sqref>
        </x14:dataValidation>
        <x14:dataValidation type="list" allowBlank="1" showInputMessage="1" showErrorMessage="1" xr:uid="{00000000-0002-0000-0400-000004000000}">
          <x14:formula1>
            <xm:f>'Tabla Valoración controles'!$D$11:$D$12</xm:f>
          </x14:formula1>
          <xm:sqref>Y10:Y66</xm:sqref>
        </x14:dataValidation>
        <x14:dataValidation type="list" allowBlank="1" showInputMessage="1" showErrorMessage="1" xr:uid="{00000000-0002-0000-0400-000006000000}">
          <x14:formula1>
            <xm:f>'Tabla Valoración controles'!$D$13:$D$14</xm:f>
          </x14:formula1>
          <xm:sqref>Z10:Z66</xm:sqref>
        </x14:dataValidation>
        <x14:dataValidation type="list" allowBlank="1" showInputMessage="1" showErrorMessage="1" xr:uid="{00000000-0002-0000-0400-000007000000}">
          <x14:formula1>
            <xm:f>'Opciones Tratamiento'!$B$13:$B$19</xm:f>
          </x14:formula1>
          <xm:sqref>I10:I66</xm:sqref>
        </x14:dataValidation>
        <x14:dataValidation type="list" allowBlank="1" showInputMessage="1" showErrorMessage="1" xr:uid="{00000000-0002-0000-0400-000008000000}">
          <x14:formula1>
            <xm:f>'Opciones Tratamiento'!$E$2:$E$4</xm:f>
          </x14:formula1>
          <xm:sqref>B10:B66</xm:sqref>
        </x14:dataValidation>
        <x14:dataValidation type="list" allowBlank="1" showInputMessage="1" showErrorMessage="1" xr:uid="{00000000-0002-0000-0400-00000A000000}">
          <x14:formula1>
            <xm:f>'Tabla Impacto'!$F$210:$F$221</xm:f>
          </x14:formula1>
          <xm:sqref>M10:M66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topLeftCell="A9" zoomScale="55" zoomScaleNormal="55" workbookViewId="0">
      <selection activeCell="AO14" sqref="AO14:AT21"/>
    </sheetView>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566" t="s">
        <v>150</v>
      </c>
      <c r="C2" s="566"/>
      <c r="D2" s="566"/>
      <c r="E2" s="566"/>
      <c r="F2" s="566"/>
      <c r="G2" s="566"/>
      <c r="H2" s="566"/>
      <c r="I2" s="566"/>
      <c r="J2" s="534" t="s">
        <v>2</v>
      </c>
      <c r="K2" s="534"/>
      <c r="L2" s="534"/>
      <c r="M2" s="534"/>
      <c r="N2" s="534"/>
      <c r="O2" s="534"/>
      <c r="P2" s="534"/>
      <c r="Q2" s="534"/>
      <c r="R2" s="534"/>
      <c r="S2" s="534"/>
      <c r="T2" s="534"/>
      <c r="U2" s="534"/>
      <c r="V2" s="534"/>
      <c r="W2" s="534"/>
      <c r="X2" s="534"/>
      <c r="Y2" s="534"/>
      <c r="Z2" s="534"/>
      <c r="AA2" s="534"/>
      <c r="AB2" s="534"/>
      <c r="AC2" s="534"/>
      <c r="AD2" s="534"/>
      <c r="AE2" s="534"/>
      <c r="AF2" s="534"/>
      <c r="AG2" s="534"/>
      <c r="AH2" s="534"/>
      <c r="AI2" s="534"/>
      <c r="AJ2" s="534"/>
      <c r="AK2" s="534"/>
      <c r="AL2" s="534"/>
      <c r="AM2" s="534"/>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566"/>
      <c r="C3" s="566"/>
      <c r="D3" s="566"/>
      <c r="E3" s="566"/>
      <c r="F3" s="566"/>
      <c r="G3" s="566"/>
      <c r="H3" s="566"/>
      <c r="I3" s="566"/>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566"/>
      <c r="C4" s="566"/>
      <c r="D4" s="566"/>
      <c r="E4" s="566"/>
      <c r="F4" s="566"/>
      <c r="G4" s="566"/>
      <c r="H4" s="566"/>
      <c r="I4" s="566"/>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4"/>
      <c r="AI4" s="534"/>
      <c r="AJ4" s="534"/>
      <c r="AK4" s="534"/>
      <c r="AL4" s="534"/>
      <c r="AM4" s="534"/>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481" t="s">
        <v>4</v>
      </c>
      <c r="C6" s="481"/>
      <c r="D6" s="482"/>
      <c r="E6" s="519" t="s">
        <v>111</v>
      </c>
      <c r="F6" s="520"/>
      <c r="G6" s="520"/>
      <c r="H6" s="520"/>
      <c r="I6" s="521"/>
      <c r="J6" s="530" t="str">
        <f>IF(AND('Mapa final'!$K$10="Muy Alta",'Mapa final'!$O$10="Leve"),CONCATENATE("R",'Mapa final'!$A$10),"")</f>
        <v/>
      </c>
      <c r="K6" s="531"/>
      <c r="L6" s="531" t="str">
        <f>IF(AND('Mapa final'!$K$13="Muy Alta",'Mapa final'!$O$13="Leve"),CONCATENATE("R",'Mapa final'!$A$13),"")</f>
        <v/>
      </c>
      <c r="M6" s="531"/>
      <c r="N6" s="531" t="str">
        <f>IF(AND('Mapa final'!$K$19="Muy Alta",'Mapa final'!$O$19="Leve"),CONCATENATE("R",'Mapa final'!$A$19),"")</f>
        <v/>
      </c>
      <c r="O6" s="533"/>
      <c r="P6" s="530" t="str">
        <f>IF(AND('Mapa final'!$K$10="Muy Alta",'Mapa final'!$O$10="Menor"),CONCATENATE("R",'Mapa final'!$A$10),"")</f>
        <v/>
      </c>
      <c r="Q6" s="531"/>
      <c r="R6" s="531" t="str">
        <f>IF(AND('Mapa final'!$K$13="Muy Alta",'Mapa final'!$O$13="Menor"),CONCATENATE("R",'Mapa final'!$A$13),"")</f>
        <v/>
      </c>
      <c r="S6" s="531"/>
      <c r="T6" s="531" t="str">
        <f>IF(AND('Mapa final'!$K$19="Muy Alta",'Mapa final'!$O$19="Menor"),CONCATENATE("R",'Mapa final'!$A$19),"")</f>
        <v/>
      </c>
      <c r="U6" s="533"/>
      <c r="V6" s="530" t="str">
        <f>IF(AND('Mapa final'!$K$10="Muy Alta",'Mapa final'!$O$10="Moderado"),CONCATENATE("R",'Mapa final'!$A$10),"")</f>
        <v/>
      </c>
      <c r="W6" s="531"/>
      <c r="X6" s="531" t="str">
        <f>IF(AND('Mapa final'!$K$13="Muy Alta",'Mapa final'!$O$13="Moderado"),CONCATENATE("R",'Mapa final'!$A$13),"")</f>
        <v/>
      </c>
      <c r="Y6" s="531"/>
      <c r="Z6" s="531" t="str">
        <f>IF(AND('Mapa final'!$K$19="Muy Alta",'Mapa final'!$O$19="Moderado"),CONCATENATE("R",'Mapa final'!$A$19),"")</f>
        <v/>
      </c>
      <c r="AA6" s="533"/>
      <c r="AB6" s="530" t="str">
        <f>IF(AND('Mapa final'!$K$10="Muy Alta",'Mapa final'!$O$10="Mayor"),CONCATENATE("R",'Mapa final'!$A$10),"")</f>
        <v/>
      </c>
      <c r="AC6" s="531"/>
      <c r="AD6" s="531" t="str">
        <f>IF(AND('Mapa final'!$K$13="Muy Alta",'Mapa final'!$O$13="Mayor"),CONCATENATE("R",'Mapa final'!$A$13),"")</f>
        <v/>
      </c>
      <c r="AE6" s="531"/>
      <c r="AF6" s="531" t="str">
        <f>IF(AND('Mapa final'!$K$19="Muy Alta",'Mapa final'!$O$19="Mayor"),CONCATENATE("R",'Mapa final'!$A$19),"")</f>
        <v/>
      </c>
      <c r="AG6" s="533"/>
      <c r="AH6" s="545" t="str">
        <f>IF(AND('Mapa final'!$K$10="Muy Alta",'Mapa final'!$O$10="Catastrófico"),CONCATENATE("R",'Mapa final'!$A$10),"")</f>
        <v/>
      </c>
      <c r="AI6" s="546"/>
      <c r="AJ6" s="546" t="str">
        <f>IF(AND('Mapa final'!$K$13="Muy Alta",'Mapa final'!$O$13="Catastrófico"),CONCATENATE("R",'Mapa final'!$A$13),"")</f>
        <v/>
      </c>
      <c r="AK6" s="546"/>
      <c r="AL6" s="546" t="str">
        <f>IF(AND('Mapa final'!$K$19="Muy Alta",'Mapa final'!$O$19="Catastrófico"),CONCATENATE("R",'Mapa final'!$A$19),"")</f>
        <v/>
      </c>
      <c r="AM6" s="547"/>
      <c r="AO6" s="483" t="s">
        <v>78</v>
      </c>
      <c r="AP6" s="484"/>
      <c r="AQ6" s="484"/>
      <c r="AR6" s="484"/>
      <c r="AS6" s="484"/>
      <c r="AT6" s="485"/>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481"/>
      <c r="C7" s="481"/>
      <c r="D7" s="482"/>
      <c r="E7" s="522"/>
      <c r="F7" s="523"/>
      <c r="G7" s="523"/>
      <c r="H7" s="523"/>
      <c r="I7" s="524"/>
      <c r="J7" s="532"/>
      <c r="K7" s="528"/>
      <c r="L7" s="528"/>
      <c r="M7" s="528"/>
      <c r="N7" s="528"/>
      <c r="O7" s="529"/>
      <c r="P7" s="532"/>
      <c r="Q7" s="528"/>
      <c r="R7" s="528"/>
      <c r="S7" s="528"/>
      <c r="T7" s="528"/>
      <c r="U7" s="529"/>
      <c r="V7" s="532"/>
      <c r="W7" s="528"/>
      <c r="X7" s="528"/>
      <c r="Y7" s="528"/>
      <c r="Z7" s="528"/>
      <c r="AA7" s="529"/>
      <c r="AB7" s="532"/>
      <c r="AC7" s="528"/>
      <c r="AD7" s="528"/>
      <c r="AE7" s="528"/>
      <c r="AF7" s="528"/>
      <c r="AG7" s="529"/>
      <c r="AH7" s="539"/>
      <c r="AI7" s="540"/>
      <c r="AJ7" s="540"/>
      <c r="AK7" s="540"/>
      <c r="AL7" s="540"/>
      <c r="AM7" s="541"/>
      <c r="AN7" s="67"/>
      <c r="AO7" s="486"/>
      <c r="AP7" s="487"/>
      <c r="AQ7" s="487"/>
      <c r="AR7" s="487"/>
      <c r="AS7" s="487"/>
      <c r="AT7" s="488"/>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481"/>
      <c r="C8" s="481"/>
      <c r="D8" s="482"/>
      <c r="E8" s="522"/>
      <c r="F8" s="523"/>
      <c r="G8" s="523"/>
      <c r="H8" s="523"/>
      <c r="I8" s="524"/>
      <c r="J8" s="532" t="str">
        <f>IF(AND('Mapa final'!$K$25="Muy Alta",'Mapa final'!$O$25="Leve"),CONCATENATE("R",'Mapa final'!$A$25),"")</f>
        <v/>
      </c>
      <c r="K8" s="528"/>
      <c r="L8" s="528" t="str">
        <f>IF(AND('Mapa final'!$K$31="Muy Alta",'Mapa final'!$O$31="Leve"),CONCATENATE("R",'Mapa final'!$A$31),"")</f>
        <v/>
      </c>
      <c r="M8" s="528"/>
      <c r="N8" s="528" t="str">
        <f>IF(AND('Mapa final'!$K$37="Muy Alta",'Mapa final'!$O$37="Leve"),CONCATENATE("R",'Mapa final'!$A$37),"")</f>
        <v/>
      </c>
      <c r="O8" s="529"/>
      <c r="P8" s="532" t="str">
        <f>IF(AND('Mapa final'!$K$25="Muy Alta",'Mapa final'!$O$25="Menor"),CONCATENATE("R",'Mapa final'!$A$25),"")</f>
        <v/>
      </c>
      <c r="Q8" s="528"/>
      <c r="R8" s="528" t="str">
        <f>IF(AND('Mapa final'!$K$31="Muy Alta",'Mapa final'!$O$31="Menor"),CONCATENATE("R",'Mapa final'!$A$31),"")</f>
        <v/>
      </c>
      <c r="S8" s="528"/>
      <c r="T8" s="528" t="str">
        <f>IF(AND('Mapa final'!$K$37="Muy Alta",'Mapa final'!$O$37="Menor"),CONCATENATE("R",'Mapa final'!$A$37),"")</f>
        <v/>
      </c>
      <c r="U8" s="529"/>
      <c r="V8" s="532" t="str">
        <f>IF(AND('Mapa final'!$K$25="Muy Alta",'Mapa final'!$O$25="Moderado"),CONCATENATE("R",'Mapa final'!$A$25),"")</f>
        <v/>
      </c>
      <c r="W8" s="528"/>
      <c r="X8" s="528" t="str">
        <f>IF(AND('Mapa final'!$K$31="Muy Alta",'Mapa final'!$O$31="Moderado"),CONCATENATE("R",'Mapa final'!$A$31),"")</f>
        <v/>
      </c>
      <c r="Y8" s="528"/>
      <c r="Z8" s="528" t="str">
        <f>IF(AND('Mapa final'!$K$37="Muy Alta",'Mapa final'!$O$37="Moderado"),CONCATENATE("R",'Mapa final'!$A$37),"")</f>
        <v/>
      </c>
      <c r="AA8" s="529"/>
      <c r="AB8" s="532" t="str">
        <f>IF(AND('Mapa final'!$K$25="Muy Alta",'Mapa final'!$O$25="Mayor"),CONCATENATE("R",'Mapa final'!$A$25),"")</f>
        <v/>
      </c>
      <c r="AC8" s="528"/>
      <c r="AD8" s="528" t="str">
        <f>IF(AND('Mapa final'!$K$31="Muy Alta",'Mapa final'!$O$31="Mayor"),CONCATENATE("R",'Mapa final'!$A$31),"")</f>
        <v/>
      </c>
      <c r="AE8" s="528"/>
      <c r="AF8" s="528" t="str">
        <f>IF(AND('Mapa final'!$K$37="Muy Alta",'Mapa final'!$O$37="Mayor"),CONCATENATE("R",'Mapa final'!$A$37),"")</f>
        <v/>
      </c>
      <c r="AG8" s="529"/>
      <c r="AH8" s="539" t="str">
        <f>IF(AND('Mapa final'!$K$25="Muy Alta",'Mapa final'!$O$25="Catastrófico"),CONCATENATE("R",'Mapa final'!$A$25),"")</f>
        <v/>
      </c>
      <c r="AI8" s="540"/>
      <c r="AJ8" s="540" t="str">
        <f>IF(AND('Mapa final'!$K$31="Muy Alta",'Mapa final'!$O$31="Catastrófico"),CONCATENATE("R",'Mapa final'!$A$31),"")</f>
        <v/>
      </c>
      <c r="AK8" s="540"/>
      <c r="AL8" s="540" t="str">
        <f>IF(AND('Mapa final'!$K$37="Muy Alta",'Mapa final'!$O$37="Catastrófico"),CONCATENATE("R",'Mapa final'!$A$37),"")</f>
        <v/>
      </c>
      <c r="AM8" s="541"/>
      <c r="AN8" s="67"/>
      <c r="AO8" s="486"/>
      <c r="AP8" s="487"/>
      <c r="AQ8" s="487"/>
      <c r="AR8" s="487"/>
      <c r="AS8" s="487"/>
      <c r="AT8" s="488"/>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481"/>
      <c r="C9" s="481"/>
      <c r="D9" s="482"/>
      <c r="E9" s="522"/>
      <c r="F9" s="523"/>
      <c r="G9" s="523"/>
      <c r="H9" s="523"/>
      <c r="I9" s="524"/>
      <c r="J9" s="532"/>
      <c r="K9" s="528"/>
      <c r="L9" s="528"/>
      <c r="M9" s="528"/>
      <c r="N9" s="528"/>
      <c r="O9" s="529"/>
      <c r="P9" s="532"/>
      <c r="Q9" s="528"/>
      <c r="R9" s="528"/>
      <c r="S9" s="528"/>
      <c r="T9" s="528"/>
      <c r="U9" s="529"/>
      <c r="V9" s="532"/>
      <c r="W9" s="528"/>
      <c r="X9" s="528"/>
      <c r="Y9" s="528"/>
      <c r="Z9" s="528"/>
      <c r="AA9" s="529"/>
      <c r="AB9" s="532"/>
      <c r="AC9" s="528"/>
      <c r="AD9" s="528"/>
      <c r="AE9" s="528"/>
      <c r="AF9" s="528"/>
      <c r="AG9" s="529"/>
      <c r="AH9" s="539"/>
      <c r="AI9" s="540"/>
      <c r="AJ9" s="540"/>
      <c r="AK9" s="540"/>
      <c r="AL9" s="540"/>
      <c r="AM9" s="541"/>
      <c r="AN9" s="67"/>
      <c r="AO9" s="486"/>
      <c r="AP9" s="487"/>
      <c r="AQ9" s="487"/>
      <c r="AR9" s="487"/>
      <c r="AS9" s="487"/>
      <c r="AT9" s="488"/>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481"/>
      <c r="C10" s="481"/>
      <c r="D10" s="482"/>
      <c r="E10" s="522"/>
      <c r="F10" s="523"/>
      <c r="G10" s="523"/>
      <c r="H10" s="523"/>
      <c r="I10" s="524"/>
      <c r="J10" s="532" t="str">
        <f>IF(AND('Mapa final'!$K$43="Muy Alta",'Mapa final'!$O$43="Leve"),CONCATENATE("R",'Mapa final'!$A$43),"")</f>
        <v/>
      </c>
      <c r="K10" s="528"/>
      <c r="L10" s="528" t="str">
        <f>IF(AND('Mapa final'!$K$49="Muy Alta",'Mapa final'!$O$49="Leve"),CONCATENATE("R",'Mapa final'!$A$49),"")</f>
        <v/>
      </c>
      <c r="M10" s="528"/>
      <c r="N10" s="528" t="str">
        <f>IF(AND('Mapa final'!$K$55="Muy Alta",'Mapa final'!$O$55="Leve"),CONCATENATE("R",'Mapa final'!$A$55),"")</f>
        <v/>
      </c>
      <c r="O10" s="529"/>
      <c r="P10" s="532" t="str">
        <f>IF(AND('Mapa final'!$K$43="Muy Alta",'Mapa final'!$O$43="Menor"),CONCATENATE("R",'Mapa final'!$A$43),"")</f>
        <v/>
      </c>
      <c r="Q10" s="528"/>
      <c r="R10" s="528" t="str">
        <f>IF(AND('Mapa final'!$K$49="Muy Alta",'Mapa final'!$O$49="Menor"),CONCATENATE("R",'Mapa final'!$A$49),"")</f>
        <v/>
      </c>
      <c r="S10" s="528"/>
      <c r="T10" s="528" t="str">
        <f>IF(AND('Mapa final'!$K$55="Muy Alta",'Mapa final'!$O$55="Menor"),CONCATENATE("R",'Mapa final'!$A$55),"")</f>
        <v/>
      </c>
      <c r="U10" s="529"/>
      <c r="V10" s="532" t="str">
        <f>IF(AND('Mapa final'!$K$43="Muy Alta",'Mapa final'!$O$43="Moderado"),CONCATENATE("R",'Mapa final'!$A$43),"")</f>
        <v/>
      </c>
      <c r="W10" s="528"/>
      <c r="X10" s="528" t="str">
        <f>IF(AND('Mapa final'!$K$49="Muy Alta",'Mapa final'!$O$49="Moderado"),CONCATENATE("R",'Mapa final'!$A$49),"")</f>
        <v/>
      </c>
      <c r="Y10" s="528"/>
      <c r="Z10" s="528" t="str">
        <f>IF(AND('Mapa final'!$K$55="Muy Alta",'Mapa final'!$O$55="Moderado"),CONCATENATE("R",'Mapa final'!$A$55),"")</f>
        <v/>
      </c>
      <c r="AA10" s="529"/>
      <c r="AB10" s="532" t="str">
        <f>IF(AND('Mapa final'!$K$43="Muy Alta",'Mapa final'!$O$43="Mayor"),CONCATENATE("R",'Mapa final'!$A$43),"")</f>
        <v/>
      </c>
      <c r="AC10" s="528"/>
      <c r="AD10" s="528" t="str">
        <f>IF(AND('Mapa final'!$K$49="Muy Alta",'Mapa final'!$O$49="Mayor"),CONCATENATE("R",'Mapa final'!$A$49),"")</f>
        <v/>
      </c>
      <c r="AE10" s="528"/>
      <c r="AF10" s="528" t="str">
        <f>IF(AND('Mapa final'!$K$55="Muy Alta",'Mapa final'!$O$55="Mayor"),CONCATENATE("R",'Mapa final'!$A$55),"")</f>
        <v/>
      </c>
      <c r="AG10" s="529"/>
      <c r="AH10" s="539" t="str">
        <f>IF(AND('Mapa final'!$K$43="Muy Alta",'Mapa final'!$O$43="Catastrófico"),CONCATENATE("R",'Mapa final'!$A$43),"")</f>
        <v/>
      </c>
      <c r="AI10" s="540"/>
      <c r="AJ10" s="540" t="str">
        <f>IF(AND('Mapa final'!$K$49="Muy Alta",'Mapa final'!$O$49="Catastrófico"),CONCATENATE("R",'Mapa final'!$A$49),"")</f>
        <v/>
      </c>
      <c r="AK10" s="540"/>
      <c r="AL10" s="540" t="str">
        <f>IF(AND('Mapa final'!$K$55="Muy Alta",'Mapa final'!$O$55="Catastrófico"),CONCATENATE("R",'Mapa final'!$A$55),"")</f>
        <v/>
      </c>
      <c r="AM10" s="541"/>
      <c r="AN10" s="67"/>
      <c r="AO10" s="486"/>
      <c r="AP10" s="487"/>
      <c r="AQ10" s="487"/>
      <c r="AR10" s="487"/>
      <c r="AS10" s="487"/>
      <c r="AT10" s="488"/>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481"/>
      <c r="C11" s="481"/>
      <c r="D11" s="482"/>
      <c r="E11" s="522"/>
      <c r="F11" s="523"/>
      <c r="G11" s="523"/>
      <c r="H11" s="523"/>
      <c r="I11" s="524"/>
      <c r="J11" s="532"/>
      <c r="K11" s="528"/>
      <c r="L11" s="528"/>
      <c r="M11" s="528"/>
      <c r="N11" s="528"/>
      <c r="O11" s="529"/>
      <c r="P11" s="532"/>
      <c r="Q11" s="528"/>
      <c r="R11" s="528"/>
      <c r="S11" s="528"/>
      <c r="T11" s="528"/>
      <c r="U11" s="529"/>
      <c r="V11" s="532"/>
      <c r="W11" s="528"/>
      <c r="X11" s="528"/>
      <c r="Y11" s="528"/>
      <c r="Z11" s="528"/>
      <c r="AA11" s="529"/>
      <c r="AB11" s="532"/>
      <c r="AC11" s="528"/>
      <c r="AD11" s="528"/>
      <c r="AE11" s="528"/>
      <c r="AF11" s="528"/>
      <c r="AG11" s="529"/>
      <c r="AH11" s="539"/>
      <c r="AI11" s="540"/>
      <c r="AJ11" s="540"/>
      <c r="AK11" s="540"/>
      <c r="AL11" s="540"/>
      <c r="AM11" s="541"/>
      <c r="AN11" s="67"/>
      <c r="AO11" s="486"/>
      <c r="AP11" s="487"/>
      <c r="AQ11" s="487"/>
      <c r="AR11" s="487"/>
      <c r="AS11" s="487"/>
      <c r="AT11" s="488"/>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481"/>
      <c r="C12" s="481"/>
      <c r="D12" s="482"/>
      <c r="E12" s="522"/>
      <c r="F12" s="523"/>
      <c r="G12" s="523"/>
      <c r="H12" s="523"/>
      <c r="I12" s="524"/>
      <c r="J12" s="532" t="str">
        <f>IF(AND('Mapa final'!$K$61="Muy Alta",'Mapa final'!$O$61="Leve"),CONCATENATE("R",'Mapa final'!$A$61),"")</f>
        <v/>
      </c>
      <c r="K12" s="528"/>
      <c r="L12" s="528" t="str">
        <f>IF(AND('Mapa final'!$K$67="Muy Alta",'Mapa final'!$O$67="Leve"),CONCATENATE("R",'Mapa final'!$A$67),"")</f>
        <v/>
      </c>
      <c r="M12" s="528"/>
      <c r="N12" s="528" t="str">
        <f>IF(AND('Mapa final'!$K$73="Muy Alta",'Mapa final'!$O$73="Leve"),CONCATENATE("R",'Mapa final'!$A$73),"")</f>
        <v/>
      </c>
      <c r="O12" s="529"/>
      <c r="P12" s="532" t="str">
        <f>IF(AND('Mapa final'!$K$61="Muy Alta",'Mapa final'!$O$61="Menor"),CONCATENATE("R",'Mapa final'!$A$61),"")</f>
        <v/>
      </c>
      <c r="Q12" s="528"/>
      <c r="R12" s="528" t="str">
        <f>IF(AND('Mapa final'!$K$67="Muy Alta",'Mapa final'!$O$67="Menor"),CONCATENATE("R",'Mapa final'!$A$67),"")</f>
        <v/>
      </c>
      <c r="S12" s="528"/>
      <c r="T12" s="528" t="str">
        <f>IF(AND('Mapa final'!$K$73="Muy Alta",'Mapa final'!$O$73="Menor"),CONCATENATE("R",'Mapa final'!$A$73),"")</f>
        <v/>
      </c>
      <c r="U12" s="529"/>
      <c r="V12" s="532" t="str">
        <f>IF(AND('Mapa final'!$K$61="Muy Alta",'Mapa final'!$O$61="Moderado"),CONCATENATE("R",'Mapa final'!$A$61),"")</f>
        <v/>
      </c>
      <c r="W12" s="528"/>
      <c r="X12" s="528" t="str">
        <f>IF(AND('Mapa final'!$K$67="Muy Alta",'Mapa final'!$O$67="Moderado"),CONCATENATE("R",'Mapa final'!$A$67),"")</f>
        <v/>
      </c>
      <c r="Y12" s="528"/>
      <c r="Z12" s="528" t="str">
        <f>IF(AND('Mapa final'!$K$73="Muy Alta",'Mapa final'!$O$73="Moderado"),CONCATENATE("R",'Mapa final'!$A$73),"")</f>
        <v/>
      </c>
      <c r="AA12" s="529"/>
      <c r="AB12" s="532" t="str">
        <f>IF(AND('Mapa final'!$K$61="Muy Alta",'Mapa final'!$O$61="Mayor"),CONCATENATE("R",'Mapa final'!$A$61),"")</f>
        <v/>
      </c>
      <c r="AC12" s="528"/>
      <c r="AD12" s="528" t="str">
        <f>IF(AND('Mapa final'!$K$67="Muy Alta",'Mapa final'!$O$67="Mayor"),CONCATENATE("R",'Mapa final'!$A$67),"")</f>
        <v/>
      </c>
      <c r="AE12" s="528"/>
      <c r="AF12" s="528" t="str">
        <f>IF(AND('Mapa final'!$K$73="Muy Alta",'Mapa final'!$O$73="Mayor"),CONCATENATE("R",'Mapa final'!$A$73),"")</f>
        <v/>
      </c>
      <c r="AG12" s="529"/>
      <c r="AH12" s="539" t="str">
        <f>IF(AND('Mapa final'!$K$61="Muy Alta",'Mapa final'!$O$61="Catastrófico"),CONCATENATE("R",'Mapa final'!$A$61),"")</f>
        <v/>
      </c>
      <c r="AI12" s="540"/>
      <c r="AJ12" s="540" t="str">
        <f>IF(AND('Mapa final'!$K$67="Muy Alta",'Mapa final'!$O$67="Catastrófico"),CONCATENATE("R",'Mapa final'!$A$67),"")</f>
        <v/>
      </c>
      <c r="AK12" s="540"/>
      <c r="AL12" s="540" t="str">
        <f>IF(AND('Mapa final'!$K$73="Muy Alta",'Mapa final'!$O$73="Catastrófico"),CONCATENATE("R",'Mapa final'!$A$73),"")</f>
        <v/>
      </c>
      <c r="AM12" s="541"/>
      <c r="AN12" s="67"/>
      <c r="AO12" s="486"/>
      <c r="AP12" s="487"/>
      <c r="AQ12" s="487"/>
      <c r="AR12" s="487"/>
      <c r="AS12" s="487"/>
      <c r="AT12" s="488"/>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481"/>
      <c r="C13" s="481"/>
      <c r="D13" s="482"/>
      <c r="E13" s="525"/>
      <c r="F13" s="526"/>
      <c r="G13" s="526"/>
      <c r="H13" s="526"/>
      <c r="I13" s="527"/>
      <c r="J13" s="532"/>
      <c r="K13" s="528"/>
      <c r="L13" s="528"/>
      <c r="M13" s="528"/>
      <c r="N13" s="528"/>
      <c r="O13" s="529"/>
      <c r="P13" s="532"/>
      <c r="Q13" s="528"/>
      <c r="R13" s="528"/>
      <c r="S13" s="528"/>
      <c r="T13" s="528"/>
      <c r="U13" s="529"/>
      <c r="V13" s="532"/>
      <c r="W13" s="528"/>
      <c r="X13" s="528"/>
      <c r="Y13" s="528"/>
      <c r="Z13" s="528"/>
      <c r="AA13" s="529"/>
      <c r="AB13" s="532"/>
      <c r="AC13" s="528"/>
      <c r="AD13" s="528"/>
      <c r="AE13" s="528"/>
      <c r="AF13" s="528"/>
      <c r="AG13" s="529"/>
      <c r="AH13" s="542"/>
      <c r="AI13" s="543"/>
      <c r="AJ13" s="543"/>
      <c r="AK13" s="543"/>
      <c r="AL13" s="543"/>
      <c r="AM13" s="544"/>
      <c r="AN13" s="67"/>
      <c r="AO13" s="489"/>
      <c r="AP13" s="490"/>
      <c r="AQ13" s="490"/>
      <c r="AR13" s="490"/>
      <c r="AS13" s="490"/>
      <c r="AT13" s="491"/>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481"/>
      <c r="C14" s="481"/>
      <c r="D14" s="482"/>
      <c r="E14" s="519" t="s">
        <v>110</v>
      </c>
      <c r="F14" s="520"/>
      <c r="G14" s="520"/>
      <c r="H14" s="520"/>
      <c r="I14" s="520"/>
      <c r="J14" s="554" t="str">
        <f>IF(AND('Mapa final'!$K$10="Alta",'Mapa final'!$O$10="Leve"),CONCATENATE("R",'Mapa final'!$A$10),"")</f>
        <v/>
      </c>
      <c r="K14" s="555"/>
      <c r="L14" s="555" t="str">
        <f>IF(AND('Mapa final'!$K$13="Alta",'Mapa final'!$O$13="Leve"),CONCATENATE("R",'Mapa final'!$A$13),"")</f>
        <v/>
      </c>
      <c r="M14" s="555"/>
      <c r="N14" s="555" t="str">
        <f>IF(AND('Mapa final'!$K$19="Alta",'Mapa final'!$O$19="Leve"),CONCATENATE("R",'Mapa final'!$A$19),"")</f>
        <v/>
      </c>
      <c r="O14" s="556"/>
      <c r="P14" s="554" t="str">
        <f>IF(AND('Mapa final'!$K$10="Alta",'Mapa final'!$O$10="Menor"),CONCATENATE("R",'Mapa final'!$A$10),"")</f>
        <v/>
      </c>
      <c r="Q14" s="555"/>
      <c r="R14" s="555" t="str">
        <f>IF(AND('Mapa final'!$K$13="Alta",'Mapa final'!$O$13="Menor"),CONCATENATE("R",'Mapa final'!$A$13),"")</f>
        <v/>
      </c>
      <c r="S14" s="555"/>
      <c r="T14" s="555" t="str">
        <f>IF(AND('Mapa final'!$K$19="Alta",'Mapa final'!$O$19="Menor"),CONCATENATE("R",'Mapa final'!$A$19),"")</f>
        <v/>
      </c>
      <c r="U14" s="556"/>
      <c r="V14" s="530" t="str">
        <f>IF(AND('Mapa final'!$K$10="Alta",'Mapa final'!$O$10="Moderado"),CONCATENATE("R",'Mapa final'!$A$10),"")</f>
        <v/>
      </c>
      <c r="W14" s="531"/>
      <c r="X14" s="531" t="str">
        <f>IF(AND('Mapa final'!$K$13="Alta",'Mapa final'!$O$13="Moderado"),CONCATENATE("R",'Mapa final'!$A$13),"")</f>
        <v/>
      </c>
      <c r="Y14" s="531"/>
      <c r="Z14" s="531" t="str">
        <f>IF(AND('Mapa final'!$K$19="Alta",'Mapa final'!$O$19="Moderado"),CONCATENATE("R",'Mapa final'!$A$19),"")</f>
        <v/>
      </c>
      <c r="AA14" s="533"/>
      <c r="AB14" s="530" t="str">
        <f>IF(AND('Mapa final'!$K$10="Alta",'Mapa final'!$O$10="Mayor"),CONCATENATE("R",'Mapa final'!$A$10),"")</f>
        <v/>
      </c>
      <c r="AC14" s="531"/>
      <c r="AD14" s="531" t="str">
        <f>IF(AND('Mapa final'!$K$13="Alta",'Mapa final'!$O$13="Mayor"),CONCATENATE("R",'Mapa final'!$A$13),"")</f>
        <v/>
      </c>
      <c r="AE14" s="531"/>
      <c r="AF14" s="531" t="str">
        <f>IF(AND('Mapa final'!$K$19="Alta",'Mapa final'!$O$19="Mayor"),CONCATENATE("R",'Mapa final'!$A$19),"")</f>
        <v/>
      </c>
      <c r="AG14" s="533"/>
      <c r="AH14" s="545" t="str">
        <f>IF(AND('Mapa final'!$K$10="Alta",'Mapa final'!$O$10="Catastrófico"),CONCATENATE("R",'Mapa final'!$A$10),"")</f>
        <v/>
      </c>
      <c r="AI14" s="546"/>
      <c r="AJ14" s="546" t="str">
        <f>IF(AND('Mapa final'!$K$13="Alta",'Mapa final'!$O$13="Catastrófico"),CONCATENATE("R",'Mapa final'!$A$13),"")</f>
        <v/>
      </c>
      <c r="AK14" s="546"/>
      <c r="AL14" s="546" t="str">
        <f>IF(AND('Mapa final'!$K$19="Alta",'Mapa final'!$O$19="Catastrófico"),CONCATENATE("R",'Mapa final'!$A$19),"")</f>
        <v/>
      </c>
      <c r="AM14" s="547"/>
      <c r="AN14" s="67"/>
      <c r="AO14" s="492" t="s">
        <v>79</v>
      </c>
      <c r="AP14" s="493"/>
      <c r="AQ14" s="493"/>
      <c r="AR14" s="493"/>
      <c r="AS14" s="493"/>
      <c r="AT14" s="494"/>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481"/>
      <c r="C15" s="481"/>
      <c r="D15" s="482"/>
      <c r="E15" s="522"/>
      <c r="F15" s="523"/>
      <c r="G15" s="523"/>
      <c r="H15" s="523"/>
      <c r="I15" s="523"/>
      <c r="J15" s="548"/>
      <c r="K15" s="549"/>
      <c r="L15" s="549"/>
      <c r="M15" s="549"/>
      <c r="N15" s="549"/>
      <c r="O15" s="550"/>
      <c r="P15" s="548"/>
      <c r="Q15" s="549"/>
      <c r="R15" s="549"/>
      <c r="S15" s="549"/>
      <c r="T15" s="549"/>
      <c r="U15" s="550"/>
      <c r="V15" s="532"/>
      <c r="W15" s="528"/>
      <c r="X15" s="528"/>
      <c r="Y15" s="528"/>
      <c r="Z15" s="528"/>
      <c r="AA15" s="529"/>
      <c r="AB15" s="532"/>
      <c r="AC15" s="528"/>
      <c r="AD15" s="528"/>
      <c r="AE15" s="528"/>
      <c r="AF15" s="528"/>
      <c r="AG15" s="529"/>
      <c r="AH15" s="539"/>
      <c r="AI15" s="540"/>
      <c r="AJ15" s="540"/>
      <c r="AK15" s="540"/>
      <c r="AL15" s="540"/>
      <c r="AM15" s="541"/>
      <c r="AN15" s="67"/>
      <c r="AO15" s="495"/>
      <c r="AP15" s="496"/>
      <c r="AQ15" s="496"/>
      <c r="AR15" s="496"/>
      <c r="AS15" s="496"/>
      <c r="AT15" s="49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481"/>
      <c r="C16" s="481"/>
      <c r="D16" s="482"/>
      <c r="E16" s="522"/>
      <c r="F16" s="523"/>
      <c r="G16" s="523"/>
      <c r="H16" s="523"/>
      <c r="I16" s="523"/>
      <c r="J16" s="548" t="str">
        <f>IF(AND('Mapa final'!$K$25="Alta",'Mapa final'!$O$25="Leve"),CONCATENATE("R",'Mapa final'!$A$25),"")</f>
        <v/>
      </c>
      <c r="K16" s="549"/>
      <c r="L16" s="549" t="str">
        <f>IF(AND('Mapa final'!$K$31="Alta",'Mapa final'!$O$31="Leve"),CONCATENATE("R",'Mapa final'!$A$31),"")</f>
        <v/>
      </c>
      <c r="M16" s="549"/>
      <c r="N16" s="549" t="str">
        <f>IF(AND('Mapa final'!$K$37="Alta",'Mapa final'!$O$37="Leve"),CONCATENATE("R",'Mapa final'!$A$37),"")</f>
        <v/>
      </c>
      <c r="O16" s="550"/>
      <c r="P16" s="548" t="str">
        <f>IF(AND('Mapa final'!$K$25="Alta",'Mapa final'!$O$25="Menor"),CONCATENATE("R",'Mapa final'!$A$25),"")</f>
        <v/>
      </c>
      <c r="Q16" s="549"/>
      <c r="R16" s="549" t="str">
        <f>IF(AND('Mapa final'!$K$31="Alta",'Mapa final'!$O$31="Menor"),CONCATENATE("R",'Mapa final'!$A$31),"")</f>
        <v/>
      </c>
      <c r="S16" s="549"/>
      <c r="T16" s="549" t="str">
        <f>IF(AND('Mapa final'!$K$37="Alta",'Mapa final'!$O$37="Menor"),CONCATENATE("R",'Mapa final'!$A$37),"")</f>
        <v/>
      </c>
      <c r="U16" s="550"/>
      <c r="V16" s="532" t="str">
        <f>IF(AND('Mapa final'!$K$25="Alta",'Mapa final'!$O$25="Moderado"),CONCATENATE("R",'Mapa final'!$A$25),"")</f>
        <v/>
      </c>
      <c r="W16" s="528"/>
      <c r="X16" s="528" t="str">
        <f>IF(AND('Mapa final'!$K$31="Alta",'Mapa final'!$O$31="Moderado"),CONCATENATE("R",'Mapa final'!$A$31),"")</f>
        <v/>
      </c>
      <c r="Y16" s="528"/>
      <c r="Z16" s="528" t="str">
        <f>IF(AND('Mapa final'!$K$37="Alta",'Mapa final'!$O$37="Moderado"),CONCATENATE("R",'Mapa final'!$A$37),"")</f>
        <v/>
      </c>
      <c r="AA16" s="529"/>
      <c r="AB16" s="532" t="str">
        <f>IF(AND('Mapa final'!$K$25="Alta",'Mapa final'!$O$25="Mayor"),CONCATENATE("R",'Mapa final'!$A$25),"")</f>
        <v/>
      </c>
      <c r="AC16" s="528"/>
      <c r="AD16" s="528" t="str">
        <f>IF(AND('Mapa final'!$K$31="Alta",'Mapa final'!$O$31="Mayor"),CONCATENATE("R",'Mapa final'!$A$31),"")</f>
        <v/>
      </c>
      <c r="AE16" s="528"/>
      <c r="AF16" s="528" t="str">
        <f>IF(AND('Mapa final'!$K$37="Alta",'Mapa final'!$O$37="Mayor"),CONCATENATE("R",'Mapa final'!$A$37),"")</f>
        <v/>
      </c>
      <c r="AG16" s="529"/>
      <c r="AH16" s="539" t="str">
        <f>IF(AND('Mapa final'!$K$25="Alta",'Mapa final'!$O$25="Catastrófico"),CONCATENATE("R",'Mapa final'!$A$25),"")</f>
        <v/>
      </c>
      <c r="AI16" s="540"/>
      <c r="AJ16" s="540" t="str">
        <f>IF(AND('Mapa final'!$K$31="Alta",'Mapa final'!$O$31="Catastrófico"),CONCATENATE("R",'Mapa final'!$A$31),"")</f>
        <v/>
      </c>
      <c r="AK16" s="540"/>
      <c r="AL16" s="540" t="str">
        <f>IF(AND('Mapa final'!$K$37="Alta",'Mapa final'!$O$37="Catastrófico"),CONCATENATE("R",'Mapa final'!$A$37),"")</f>
        <v/>
      </c>
      <c r="AM16" s="541"/>
      <c r="AN16" s="67"/>
      <c r="AO16" s="495"/>
      <c r="AP16" s="496"/>
      <c r="AQ16" s="496"/>
      <c r="AR16" s="496"/>
      <c r="AS16" s="496"/>
      <c r="AT16" s="49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481"/>
      <c r="C17" s="481"/>
      <c r="D17" s="482"/>
      <c r="E17" s="522"/>
      <c r="F17" s="523"/>
      <c r="G17" s="523"/>
      <c r="H17" s="523"/>
      <c r="I17" s="523"/>
      <c r="J17" s="548"/>
      <c r="K17" s="549"/>
      <c r="L17" s="549"/>
      <c r="M17" s="549"/>
      <c r="N17" s="549"/>
      <c r="O17" s="550"/>
      <c r="P17" s="548"/>
      <c r="Q17" s="549"/>
      <c r="R17" s="549"/>
      <c r="S17" s="549"/>
      <c r="T17" s="549"/>
      <c r="U17" s="550"/>
      <c r="V17" s="532"/>
      <c r="W17" s="528"/>
      <c r="X17" s="528"/>
      <c r="Y17" s="528"/>
      <c r="Z17" s="528"/>
      <c r="AA17" s="529"/>
      <c r="AB17" s="532"/>
      <c r="AC17" s="528"/>
      <c r="AD17" s="528"/>
      <c r="AE17" s="528"/>
      <c r="AF17" s="528"/>
      <c r="AG17" s="529"/>
      <c r="AH17" s="539"/>
      <c r="AI17" s="540"/>
      <c r="AJ17" s="540"/>
      <c r="AK17" s="540"/>
      <c r="AL17" s="540"/>
      <c r="AM17" s="541"/>
      <c r="AN17" s="67"/>
      <c r="AO17" s="495"/>
      <c r="AP17" s="496"/>
      <c r="AQ17" s="496"/>
      <c r="AR17" s="496"/>
      <c r="AS17" s="496"/>
      <c r="AT17" s="49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481"/>
      <c r="C18" s="481"/>
      <c r="D18" s="482"/>
      <c r="E18" s="522"/>
      <c r="F18" s="523"/>
      <c r="G18" s="523"/>
      <c r="H18" s="523"/>
      <c r="I18" s="523"/>
      <c r="J18" s="548" t="str">
        <f>IF(AND('Mapa final'!$K$43="Alta",'Mapa final'!$O$43="Leve"),CONCATENATE("R",'Mapa final'!$A$43),"")</f>
        <v/>
      </c>
      <c r="K18" s="549"/>
      <c r="L18" s="549" t="str">
        <f>IF(AND('Mapa final'!$K$49="Alta",'Mapa final'!$O$49="Leve"),CONCATENATE("R",'Mapa final'!$A$49),"")</f>
        <v/>
      </c>
      <c r="M18" s="549"/>
      <c r="N18" s="549" t="str">
        <f>IF(AND('Mapa final'!$K$55="Alta",'Mapa final'!$O$55="Leve"),CONCATENATE("R",'Mapa final'!$A$55),"")</f>
        <v/>
      </c>
      <c r="O18" s="550"/>
      <c r="P18" s="548" t="str">
        <f>IF(AND('Mapa final'!$K$43="Alta",'Mapa final'!$O$43="Menor"),CONCATENATE("R",'Mapa final'!$A$43),"")</f>
        <v/>
      </c>
      <c r="Q18" s="549"/>
      <c r="R18" s="549" t="str">
        <f>IF(AND('Mapa final'!$K$49="Alta",'Mapa final'!$O$49="Menor"),CONCATENATE("R",'Mapa final'!$A$49),"")</f>
        <v/>
      </c>
      <c r="S18" s="549"/>
      <c r="T18" s="549" t="str">
        <f>IF(AND('Mapa final'!$K$55="Alta",'Mapa final'!$O$55="Menor"),CONCATENATE("R",'Mapa final'!$A$55),"")</f>
        <v/>
      </c>
      <c r="U18" s="550"/>
      <c r="V18" s="532" t="str">
        <f>IF(AND('Mapa final'!$K$43="Alta",'Mapa final'!$O$43="Moderado"),CONCATENATE("R",'Mapa final'!$A$43),"")</f>
        <v/>
      </c>
      <c r="W18" s="528"/>
      <c r="X18" s="528" t="str">
        <f>IF(AND('Mapa final'!$K$49="Alta",'Mapa final'!$O$49="Moderado"),CONCATENATE("R",'Mapa final'!$A$49),"")</f>
        <v/>
      </c>
      <c r="Y18" s="528"/>
      <c r="Z18" s="528" t="str">
        <f>IF(AND('Mapa final'!$K$55="Alta",'Mapa final'!$O$55="Moderado"),CONCATENATE("R",'Mapa final'!$A$55),"")</f>
        <v/>
      </c>
      <c r="AA18" s="529"/>
      <c r="AB18" s="532" t="str">
        <f>IF(AND('Mapa final'!$K$43="Alta",'Mapa final'!$O$43="Mayor"),CONCATENATE("R",'Mapa final'!$A$43),"")</f>
        <v/>
      </c>
      <c r="AC18" s="528"/>
      <c r="AD18" s="528" t="str">
        <f>IF(AND('Mapa final'!$K$49="Alta",'Mapa final'!$O$49="Mayor"),CONCATENATE("R",'Mapa final'!$A$49),"")</f>
        <v/>
      </c>
      <c r="AE18" s="528"/>
      <c r="AF18" s="528" t="str">
        <f>IF(AND('Mapa final'!$K$55="Alta",'Mapa final'!$O$55="Mayor"),CONCATENATE("R",'Mapa final'!$A$55),"")</f>
        <v/>
      </c>
      <c r="AG18" s="529"/>
      <c r="AH18" s="539" t="str">
        <f>IF(AND('Mapa final'!$K$43="Alta",'Mapa final'!$O$43="Catastrófico"),CONCATENATE("R",'Mapa final'!$A$43),"")</f>
        <v/>
      </c>
      <c r="AI18" s="540"/>
      <c r="AJ18" s="540" t="str">
        <f>IF(AND('Mapa final'!$K$49="Alta",'Mapa final'!$O$49="Catastrófico"),CONCATENATE("R",'Mapa final'!$A$49),"")</f>
        <v/>
      </c>
      <c r="AK18" s="540"/>
      <c r="AL18" s="540" t="str">
        <f>IF(AND('Mapa final'!$K$55="Alta",'Mapa final'!$O$55="Catastrófico"),CONCATENATE("R",'Mapa final'!$A$55),"")</f>
        <v/>
      </c>
      <c r="AM18" s="541"/>
      <c r="AN18" s="67"/>
      <c r="AO18" s="495"/>
      <c r="AP18" s="496"/>
      <c r="AQ18" s="496"/>
      <c r="AR18" s="496"/>
      <c r="AS18" s="496"/>
      <c r="AT18" s="49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481"/>
      <c r="C19" s="481"/>
      <c r="D19" s="482"/>
      <c r="E19" s="522"/>
      <c r="F19" s="523"/>
      <c r="G19" s="523"/>
      <c r="H19" s="523"/>
      <c r="I19" s="523"/>
      <c r="J19" s="548"/>
      <c r="K19" s="549"/>
      <c r="L19" s="549"/>
      <c r="M19" s="549"/>
      <c r="N19" s="549"/>
      <c r="O19" s="550"/>
      <c r="P19" s="548"/>
      <c r="Q19" s="549"/>
      <c r="R19" s="549"/>
      <c r="S19" s="549"/>
      <c r="T19" s="549"/>
      <c r="U19" s="550"/>
      <c r="V19" s="532"/>
      <c r="W19" s="528"/>
      <c r="X19" s="528"/>
      <c r="Y19" s="528"/>
      <c r="Z19" s="528"/>
      <c r="AA19" s="529"/>
      <c r="AB19" s="532"/>
      <c r="AC19" s="528"/>
      <c r="AD19" s="528"/>
      <c r="AE19" s="528"/>
      <c r="AF19" s="528"/>
      <c r="AG19" s="529"/>
      <c r="AH19" s="539"/>
      <c r="AI19" s="540"/>
      <c r="AJ19" s="540"/>
      <c r="AK19" s="540"/>
      <c r="AL19" s="540"/>
      <c r="AM19" s="541"/>
      <c r="AN19" s="67"/>
      <c r="AO19" s="495"/>
      <c r="AP19" s="496"/>
      <c r="AQ19" s="496"/>
      <c r="AR19" s="496"/>
      <c r="AS19" s="496"/>
      <c r="AT19" s="49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481"/>
      <c r="C20" s="481"/>
      <c r="D20" s="482"/>
      <c r="E20" s="522"/>
      <c r="F20" s="523"/>
      <c r="G20" s="523"/>
      <c r="H20" s="523"/>
      <c r="I20" s="523"/>
      <c r="J20" s="548" t="str">
        <f>IF(AND('Mapa final'!$K$61="Alta",'Mapa final'!$O$61="Leve"),CONCATENATE("R",'Mapa final'!$A$61),"")</f>
        <v/>
      </c>
      <c r="K20" s="549"/>
      <c r="L20" s="549" t="str">
        <f>IF(AND('Mapa final'!$K$67="Alta",'Mapa final'!$O$67="Leve"),CONCATENATE("R",'Mapa final'!$A$67),"")</f>
        <v/>
      </c>
      <c r="M20" s="549"/>
      <c r="N20" s="549" t="str">
        <f>IF(AND('Mapa final'!$K$73="Alta",'Mapa final'!$O$73="Leve"),CONCATENATE("R",'Mapa final'!$A$73),"")</f>
        <v/>
      </c>
      <c r="O20" s="550"/>
      <c r="P20" s="548" t="str">
        <f>IF(AND('Mapa final'!$K$61="Alta",'Mapa final'!$O$61="Menor"),CONCATENATE("R",'Mapa final'!$A$61),"")</f>
        <v/>
      </c>
      <c r="Q20" s="549"/>
      <c r="R20" s="549" t="str">
        <f>IF(AND('Mapa final'!$K$67="Alta",'Mapa final'!$O$67="Menor"),CONCATENATE("R",'Mapa final'!$A$67),"")</f>
        <v/>
      </c>
      <c r="S20" s="549"/>
      <c r="T20" s="549" t="str">
        <f>IF(AND('Mapa final'!$K$73="Alta",'Mapa final'!$O$73="Menor"),CONCATENATE("R",'Mapa final'!$A$73),"")</f>
        <v/>
      </c>
      <c r="U20" s="550"/>
      <c r="V20" s="532" t="str">
        <f>IF(AND('Mapa final'!$K$61="Alta",'Mapa final'!$O$61="Moderado"),CONCATENATE("R",'Mapa final'!$A$61),"")</f>
        <v/>
      </c>
      <c r="W20" s="528"/>
      <c r="X20" s="528" t="str">
        <f>IF(AND('Mapa final'!$K$67="Alta",'Mapa final'!$O$67="Moderado"),CONCATENATE("R",'Mapa final'!$A$67),"")</f>
        <v/>
      </c>
      <c r="Y20" s="528"/>
      <c r="Z20" s="528" t="str">
        <f>IF(AND('Mapa final'!$K$73="Alta",'Mapa final'!$O$73="Moderado"),CONCATENATE("R",'Mapa final'!$A$73),"")</f>
        <v/>
      </c>
      <c r="AA20" s="529"/>
      <c r="AB20" s="532" t="str">
        <f>IF(AND('Mapa final'!$K$61="Alta",'Mapa final'!$O$61="Mayor"),CONCATENATE("R",'Mapa final'!$A$61),"")</f>
        <v/>
      </c>
      <c r="AC20" s="528"/>
      <c r="AD20" s="528" t="str">
        <f>IF(AND('Mapa final'!$K$67="Alta",'Mapa final'!$O$67="Mayor"),CONCATENATE("R",'Mapa final'!$A$67),"")</f>
        <v/>
      </c>
      <c r="AE20" s="528"/>
      <c r="AF20" s="528" t="str">
        <f>IF(AND('Mapa final'!$K$73="Alta",'Mapa final'!$O$73="Mayor"),CONCATENATE("R",'Mapa final'!$A$73),"")</f>
        <v/>
      </c>
      <c r="AG20" s="529"/>
      <c r="AH20" s="539" t="str">
        <f>IF(AND('Mapa final'!$K$61="Alta",'Mapa final'!$O$61="Catastrófico"),CONCATENATE("R",'Mapa final'!$A$61),"")</f>
        <v/>
      </c>
      <c r="AI20" s="540"/>
      <c r="AJ20" s="540" t="str">
        <f>IF(AND('Mapa final'!$K$67="Alta",'Mapa final'!$O$67="Catastrófico"),CONCATENATE("R",'Mapa final'!$A$67),"")</f>
        <v/>
      </c>
      <c r="AK20" s="540"/>
      <c r="AL20" s="540" t="str">
        <f>IF(AND('Mapa final'!$K$73="Alta",'Mapa final'!$O$73="Catastrófico"),CONCATENATE("R",'Mapa final'!$A$73),"")</f>
        <v/>
      </c>
      <c r="AM20" s="541"/>
      <c r="AN20" s="67"/>
      <c r="AO20" s="495"/>
      <c r="AP20" s="496"/>
      <c r="AQ20" s="496"/>
      <c r="AR20" s="496"/>
      <c r="AS20" s="496"/>
      <c r="AT20" s="49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481"/>
      <c r="C21" s="481"/>
      <c r="D21" s="482"/>
      <c r="E21" s="525"/>
      <c r="F21" s="526"/>
      <c r="G21" s="526"/>
      <c r="H21" s="526"/>
      <c r="I21" s="526"/>
      <c r="J21" s="551"/>
      <c r="K21" s="552"/>
      <c r="L21" s="552"/>
      <c r="M21" s="552"/>
      <c r="N21" s="552"/>
      <c r="O21" s="553"/>
      <c r="P21" s="551"/>
      <c r="Q21" s="552"/>
      <c r="R21" s="552"/>
      <c r="S21" s="552"/>
      <c r="T21" s="552"/>
      <c r="U21" s="553"/>
      <c r="V21" s="536"/>
      <c r="W21" s="537"/>
      <c r="X21" s="537"/>
      <c r="Y21" s="537"/>
      <c r="Z21" s="537"/>
      <c r="AA21" s="538"/>
      <c r="AB21" s="536"/>
      <c r="AC21" s="537"/>
      <c r="AD21" s="537"/>
      <c r="AE21" s="537"/>
      <c r="AF21" s="537"/>
      <c r="AG21" s="538"/>
      <c r="AH21" s="542"/>
      <c r="AI21" s="543"/>
      <c r="AJ21" s="543"/>
      <c r="AK21" s="543"/>
      <c r="AL21" s="543"/>
      <c r="AM21" s="544"/>
      <c r="AN21" s="67"/>
      <c r="AO21" s="498"/>
      <c r="AP21" s="499"/>
      <c r="AQ21" s="499"/>
      <c r="AR21" s="499"/>
      <c r="AS21" s="499"/>
      <c r="AT21" s="500"/>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481"/>
      <c r="C22" s="481"/>
      <c r="D22" s="482"/>
      <c r="E22" s="519" t="s">
        <v>112</v>
      </c>
      <c r="F22" s="520"/>
      <c r="G22" s="520"/>
      <c r="H22" s="520"/>
      <c r="I22" s="521"/>
      <c r="J22" s="554" t="str">
        <f>IF(AND('Mapa final'!$K$10="Media",'Mapa final'!$O$10="Leve"),CONCATENATE("R",'Mapa final'!$A$10),"")</f>
        <v/>
      </c>
      <c r="K22" s="555"/>
      <c r="L22" s="555" t="str">
        <f>IF(AND('Mapa final'!$K$13="Media",'Mapa final'!$O$13="Leve"),CONCATENATE("R",'Mapa final'!$A$13),"")</f>
        <v/>
      </c>
      <c r="M22" s="555"/>
      <c r="N22" s="555" t="str">
        <f>IF(AND('Mapa final'!$K$19="Media",'Mapa final'!$O$19="Leve"),CONCATENATE("R",'Mapa final'!$A$19),"")</f>
        <v/>
      </c>
      <c r="O22" s="556"/>
      <c r="P22" s="554" t="str">
        <f>IF(AND('Mapa final'!$K$10="Media",'Mapa final'!$O$10="Menor"),CONCATENATE("R",'Mapa final'!$A$10),"")</f>
        <v/>
      </c>
      <c r="Q22" s="555"/>
      <c r="R22" s="555" t="str">
        <f>IF(AND('Mapa final'!$K$13="Media",'Mapa final'!$O$13="Menor"),CONCATENATE("R",'Mapa final'!$A$13),"")</f>
        <v/>
      </c>
      <c r="S22" s="555"/>
      <c r="T22" s="555" t="str">
        <f>IF(AND('Mapa final'!$K$19="Media",'Mapa final'!$O$19="Menor"),CONCATENATE("R",'Mapa final'!$A$19),"")</f>
        <v/>
      </c>
      <c r="U22" s="556"/>
      <c r="V22" s="554" t="str">
        <f>IF(AND('Mapa final'!$K$10="Media",'Mapa final'!$O$10="Moderado"),CONCATENATE("R",'Mapa final'!$A$10),"")</f>
        <v/>
      </c>
      <c r="W22" s="555"/>
      <c r="X22" s="555" t="str">
        <f>IF(AND('Mapa final'!$K$13="Media",'Mapa final'!$O$13="Moderado"),CONCATENATE("R",'Mapa final'!$A$13),"")</f>
        <v/>
      </c>
      <c r="Y22" s="555"/>
      <c r="Z22" s="555" t="str">
        <f>IF(AND('Mapa final'!$K$19="Media",'Mapa final'!$O$19="Moderado"),CONCATENATE("R",'Mapa final'!$A$19),"")</f>
        <v/>
      </c>
      <c r="AA22" s="556"/>
      <c r="AB22" s="530" t="str">
        <f>IF(AND('Mapa final'!$K$10="Media",'Mapa final'!$O$10="Mayor"),CONCATENATE("R",'Mapa final'!$A$10),"")</f>
        <v/>
      </c>
      <c r="AC22" s="531"/>
      <c r="AD22" s="531" t="str">
        <f>IF(AND('Mapa final'!$K$13="Media",'Mapa final'!$O$13="Mayor"),CONCATENATE("R",'Mapa final'!$A$13),"")</f>
        <v/>
      </c>
      <c r="AE22" s="531"/>
      <c r="AF22" s="531" t="str">
        <f>IF(AND('Mapa final'!$K$19="Media",'Mapa final'!$O$19="Mayor"),CONCATENATE("R",'Mapa final'!$A$19),"")</f>
        <v/>
      </c>
      <c r="AG22" s="533"/>
      <c r="AH22" s="545" t="str">
        <f>IF(AND('Mapa final'!$K$10="Media",'Mapa final'!$O$10="Catastrófico"),CONCATENATE("R",'Mapa final'!$A$10),"")</f>
        <v/>
      </c>
      <c r="AI22" s="546"/>
      <c r="AJ22" s="546" t="str">
        <f>IF(AND('Mapa final'!$K$13="Media",'Mapa final'!$O$13="Catastrófico"),CONCATENATE("R",'Mapa final'!$A$13),"")</f>
        <v/>
      </c>
      <c r="AK22" s="546"/>
      <c r="AL22" s="546" t="str">
        <f>IF(AND('Mapa final'!$K$19="Media",'Mapa final'!$O$19="Catastrófico"),CONCATENATE("R",'Mapa final'!$A$19),"")</f>
        <v/>
      </c>
      <c r="AM22" s="547"/>
      <c r="AN22" s="67"/>
      <c r="AO22" s="501" t="s">
        <v>80</v>
      </c>
      <c r="AP22" s="502"/>
      <c r="AQ22" s="502"/>
      <c r="AR22" s="502"/>
      <c r="AS22" s="502"/>
      <c r="AT22" s="503"/>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481"/>
      <c r="C23" s="481"/>
      <c r="D23" s="482"/>
      <c r="E23" s="522"/>
      <c r="F23" s="523"/>
      <c r="G23" s="523"/>
      <c r="H23" s="523"/>
      <c r="I23" s="524"/>
      <c r="J23" s="548"/>
      <c r="K23" s="549"/>
      <c r="L23" s="549"/>
      <c r="M23" s="549"/>
      <c r="N23" s="549"/>
      <c r="O23" s="550"/>
      <c r="P23" s="548"/>
      <c r="Q23" s="549"/>
      <c r="R23" s="549"/>
      <c r="S23" s="549"/>
      <c r="T23" s="549"/>
      <c r="U23" s="550"/>
      <c r="V23" s="548"/>
      <c r="W23" s="549"/>
      <c r="X23" s="549"/>
      <c r="Y23" s="549"/>
      <c r="Z23" s="549"/>
      <c r="AA23" s="550"/>
      <c r="AB23" s="532"/>
      <c r="AC23" s="528"/>
      <c r="AD23" s="528"/>
      <c r="AE23" s="528"/>
      <c r="AF23" s="528"/>
      <c r="AG23" s="529"/>
      <c r="AH23" s="539"/>
      <c r="AI23" s="540"/>
      <c r="AJ23" s="540"/>
      <c r="AK23" s="540"/>
      <c r="AL23" s="540"/>
      <c r="AM23" s="541"/>
      <c r="AN23" s="67"/>
      <c r="AO23" s="504"/>
      <c r="AP23" s="505"/>
      <c r="AQ23" s="505"/>
      <c r="AR23" s="505"/>
      <c r="AS23" s="505"/>
      <c r="AT23" s="506"/>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481"/>
      <c r="C24" s="481"/>
      <c r="D24" s="482"/>
      <c r="E24" s="522"/>
      <c r="F24" s="523"/>
      <c r="G24" s="523"/>
      <c r="H24" s="523"/>
      <c r="I24" s="524"/>
      <c r="J24" s="548" t="str">
        <f>IF(AND('Mapa final'!$K$25="Media",'Mapa final'!$O$25="Leve"),CONCATENATE("R",'Mapa final'!$A$25),"")</f>
        <v/>
      </c>
      <c r="K24" s="549"/>
      <c r="L24" s="549" t="str">
        <f>IF(AND('Mapa final'!$K$31="Media",'Mapa final'!$O$31="Leve"),CONCATENATE("R",'Mapa final'!$A$31),"")</f>
        <v/>
      </c>
      <c r="M24" s="549"/>
      <c r="N24" s="549" t="str">
        <f>IF(AND('Mapa final'!$K$37="Media",'Mapa final'!$O$37="Leve"),CONCATENATE("R",'Mapa final'!$A$37),"")</f>
        <v/>
      </c>
      <c r="O24" s="550"/>
      <c r="P24" s="548" t="str">
        <f>IF(AND('Mapa final'!$K$25="Media",'Mapa final'!$O$25="Menor"),CONCATENATE("R",'Mapa final'!$A$25),"")</f>
        <v/>
      </c>
      <c r="Q24" s="549"/>
      <c r="R24" s="549" t="str">
        <f>IF(AND('Mapa final'!$K$31="Media",'Mapa final'!$O$31="Menor"),CONCATENATE("R",'Mapa final'!$A$31),"")</f>
        <v/>
      </c>
      <c r="S24" s="549"/>
      <c r="T24" s="549" t="str">
        <f>IF(AND('Mapa final'!$K$37="Media",'Mapa final'!$O$37="Menor"),CONCATENATE("R",'Mapa final'!$A$37),"")</f>
        <v/>
      </c>
      <c r="U24" s="550"/>
      <c r="V24" s="548" t="str">
        <f>IF(AND('Mapa final'!$K$25="Media",'Mapa final'!$O$25="Moderado"),CONCATENATE("R",'Mapa final'!$A$25),"")</f>
        <v/>
      </c>
      <c r="W24" s="549"/>
      <c r="X24" s="549" t="str">
        <f>IF(AND('Mapa final'!$K$31="Media",'Mapa final'!$O$31="Moderado"),CONCATENATE("R",'Mapa final'!$A$31),"")</f>
        <v/>
      </c>
      <c r="Y24" s="549"/>
      <c r="Z24" s="549" t="str">
        <f>IF(AND('Mapa final'!$K$37="Media",'Mapa final'!$O$37="Moderado"),CONCATENATE("R",'Mapa final'!$A$37),"")</f>
        <v/>
      </c>
      <c r="AA24" s="550"/>
      <c r="AB24" s="532" t="str">
        <f>IF(AND('Mapa final'!$K$25="Media",'Mapa final'!$O$25="Mayor"),CONCATENATE("R",'Mapa final'!$A$25),"")</f>
        <v/>
      </c>
      <c r="AC24" s="528"/>
      <c r="AD24" s="528" t="str">
        <f>IF(AND('Mapa final'!$K$31="Media",'Mapa final'!$O$31="Mayor"),CONCATENATE("R",'Mapa final'!$A$31),"")</f>
        <v/>
      </c>
      <c r="AE24" s="528"/>
      <c r="AF24" s="528" t="str">
        <f>IF(AND('Mapa final'!$K$37="Media",'Mapa final'!$O$37="Mayor"),CONCATENATE("R",'Mapa final'!$A$37),"")</f>
        <v/>
      </c>
      <c r="AG24" s="529"/>
      <c r="AH24" s="539" t="str">
        <f>IF(AND('Mapa final'!$K$25="Media",'Mapa final'!$O$25="Catastrófico"),CONCATENATE("R",'Mapa final'!$A$25),"")</f>
        <v/>
      </c>
      <c r="AI24" s="540"/>
      <c r="AJ24" s="540" t="str">
        <f>IF(AND('Mapa final'!$K$31="Media",'Mapa final'!$O$31="Catastrófico"),CONCATENATE("R",'Mapa final'!$A$31),"")</f>
        <v/>
      </c>
      <c r="AK24" s="540"/>
      <c r="AL24" s="540" t="str">
        <f>IF(AND('Mapa final'!$K$37="Media",'Mapa final'!$O$37="Catastrófico"),CONCATENATE("R",'Mapa final'!$A$37),"")</f>
        <v/>
      </c>
      <c r="AM24" s="541"/>
      <c r="AN24" s="67"/>
      <c r="AO24" s="504"/>
      <c r="AP24" s="505"/>
      <c r="AQ24" s="505"/>
      <c r="AR24" s="505"/>
      <c r="AS24" s="505"/>
      <c r="AT24" s="506"/>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481"/>
      <c r="C25" s="481"/>
      <c r="D25" s="482"/>
      <c r="E25" s="522"/>
      <c r="F25" s="523"/>
      <c r="G25" s="523"/>
      <c r="H25" s="523"/>
      <c r="I25" s="524"/>
      <c r="J25" s="548"/>
      <c r="K25" s="549"/>
      <c r="L25" s="549"/>
      <c r="M25" s="549"/>
      <c r="N25" s="549"/>
      <c r="O25" s="550"/>
      <c r="P25" s="548"/>
      <c r="Q25" s="549"/>
      <c r="R25" s="549"/>
      <c r="S25" s="549"/>
      <c r="T25" s="549"/>
      <c r="U25" s="550"/>
      <c r="V25" s="548"/>
      <c r="W25" s="549"/>
      <c r="X25" s="549"/>
      <c r="Y25" s="549"/>
      <c r="Z25" s="549"/>
      <c r="AA25" s="550"/>
      <c r="AB25" s="532"/>
      <c r="AC25" s="528"/>
      <c r="AD25" s="528"/>
      <c r="AE25" s="528"/>
      <c r="AF25" s="528"/>
      <c r="AG25" s="529"/>
      <c r="AH25" s="539"/>
      <c r="AI25" s="540"/>
      <c r="AJ25" s="540"/>
      <c r="AK25" s="540"/>
      <c r="AL25" s="540"/>
      <c r="AM25" s="541"/>
      <c r="AN25" s="67"/>
      <c r="AO25" s="504"/>
      <c r="AP25" s="505"/>
      <c r="AQ25" s="505"/>
      <c r="AR25" s="505"/>
      <c r="AS25" s="505"/>
      <c r="AT25" s="506"/>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481"/>
      <c r="C26" s="481"/>
      <c r="D26" s="482"/>
      <c r="E26" s="522"/>
      <c r="F26" s="523"/>
      <c r="G26" s="523"/>
      <c r="H26" s="523"/>
      <c r="I26" s="524"/>
      <c r="J26" s="548" t="str">
        <f>IF(AND('Mapa final'!$K$43="Media",'Mapa final'!$O$43="Leve"),CONCATENATE("R",'Mapa final'!$A$43),"")</f>
        <v/>
      </c>
      <c r="K26" s="549"/>
      <c r="L26" s="549" t="str">
        <f>IF(AND('Mapa final'!$K$49="Media",'Mapa final'!$O$49="Leve"),CONCATENATE("R",'Mapa final'!$A$49),"")</f>
        <v/>
      </c>
      <c r="M26" s="549"/>
      <c r="N26" s="549" t="str">
        <f>IF(AND('Mapa final'!$K$55="Media",'Mapa final'!$O$55="Leve"),CONCATENATE("R",'Mapa final'!$A$55),"")</f>
        <v/>
      </c>
      <c r="O26" s="550"/>
      <c r="P26" s="548" t="str">
        <f>IF(AND('Mapa final'!$K$43="Media",'Mapa final'!$O$43="Menor"),CONCATENATE("R",'Mapa final'!$A$43),"")</f>
        <v/>
      </c>
      <c r="Q26" s="549"/>
      <c r="R26" s="549" t="str">
        <f>IF(AND('Mapa final'!$K$49="Media",'Mapa final'!$O$49="Menor"),CONCATENATE("R",'Mapa final'!$A$49),"")</f>
        <v/>
      </c>
      <c r="S26" s="549"/>
      <c r="T26" s="549" t="str">
        <f>IF(AND('Mapa final'!$K$55="Media",'Mapa final'!$O$55="Menor"),CONCATENATE("R",'Mapa final'!$A$55),"")</f>
        <v/>
      </c>
      <c r="U26" s="550"/>
      <c r="V26" s="548" t="str">
        <f>IF(AND('Mapa final'!$K$43="Media",'Mapa final'!$O$43="Moderado"),CONCATENATE("R",'Mapa final'!$A$43),"")</f>
        <v/>
      </c>
      <c r="W26" s="549"/>
      <c r="X26" s="549" t="str">
        <f>IF(AND('Mapa final'!$K$49="Media",'Mapa final'!$O$49="Moderado"),CONCATENATE("R",'Mapa final'!$A$49),"")</f>
        <v/>
      </c>
      <c r="Y26" s="549"/>
      <c r="Z26" s="549" t="str">
        <f>IF(AND('Mapa final'!$K$55="Media",'Mapa final'!$O$55="Moderado"),CONCATENATE("R",'Mapa final'!$A$55),"")</f>
        <v/>
      </c>
      <c r="AA26" s="550"/>
      <c r="AB26" s="532" t="str">
        <f>IF(AND('Mapa final'!$K$43="Media",'Mapa final'!$O$43="Mayor"),CONCATENATE("R",'Mapa final'!$A$43),"")</f>
        <v/>
      </c>
      <c r="AC26" s="528"/>
      <c r="AD26" s="528" t="str">
        <f>IF(AND('Mapa final'!$K$49="Media",'Mapa final'!$O$49="Mayor"),CONCATENATE("R",'Mapa final'!$A$49),"")</f>
        <v/>
      </c>
      <c r="AE26" s="528"/>
      <c r="AF26" s="528" t="str">
        <f>IF(AND('Mapa final'!$K$55="Media",'Mapa final'!$O$55="Mayor"),CONCATENATE("R",'Mapa final'!$A$55),"")</f>
        <v/>
      </c>
      <c r="AG26" s="529"/>
      <c r="AH26" s="539" t="str">
        <f>IF(AND('Mapa final'!$K$43="Media",'Mapa final'!$O$43="Catastrófico"),CONCATENATE("R",'Mapa final'!$A$43),"")</f>
        <v/>
      </c>
      <c r="AI26" s="540"/>
      <c r="AJ26" s="540" t="str">
        <f>IF(AND('Mapa final'!$K$49="Media",'Mapa final'!$O$49="Catastrófico"),CONCATENATE("R",'Mapa final'!$A$49),"")</f>
        <v/>
      </c>
      <c r="AK26" s="540"/>
      <c r="AL26" s="540" t="str">
        <f>IF(AND('Mapa final'!$K$55="Media",'Mapa final'!$O$55="Catastrófico"),CONCATENATE("R",'Mapa final'!$A$55),"")</f>
        <v/>
      </c>
      <c r="AM26" s="541"/>
      <c r="AN26" s="67"/>
      <c r="AO26" s="504"/>
      <c r="AP26" s="505"/>
      <c r="AQ26" s="505"/>
      <c r="AR26" s="505"/>
      <c r="AS26" s="505"/>
      <c r="AT26" s="506"/>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481"/>
      <c r="C27" s="481"/>
      <c r="D27" s="482"/>
      <c r="E27" s="522"/>
      <c r="F27" s="523"/>
      <c r="G27" s="523"/>
      <c r="H27" s="523"/>
      <c r="I27" s="524"/>
      <c r="J27" s="548"/>
      <c r="K27" s="549"/>
      <c r="L27" s="549"/>
      <c r="M27" s="549"/>
      <c r="N27" s="549"/>
      <c r="O27" s="550"/>
      <c r="P27" s="548"/>
      <c r="Q27" s="549"/>
      <c r="R27" s="549"/>
      <c r="S27" s="549"/>
      <c r="T27" s="549"/>
      <c r="U27" s="550"/>
      <c r="V27" s="548"/>
      <c r="W27" s="549"/>
      <c r="X27" s="549"/>
      <c r="Y27" s="549"/>
      <c r="Z27" s="549"/>
      <c r="AA27" s="550"/>
      <c r="AB27" s="532"/>
      <c r="AC27" s="528"/>
      <c r="AD27" s="528"/>
      <c r="AE27" s="528"/>
      <c r="AF27" s="528"/>
      <c r="AG27" s="529"/>
      <c r="AH27" s="539"/>
      <c r="AI27" s="540"/>
      <c r="AJ27" s="540"/>
      <c r="AK27" s="540"/>
      <c r="AL27" s="540"/>
      <c r="AM27" s="541"/>
      <c r="AN27" s="67"/>
      <c r="AO27" s="504"/>
      <c r="AP27" s="505"/>
      <c r="AQ27" s="505"/>
      <c r="AR27" s="505"/>
      <c r="AS27" s="505"/>
      <c r="AT27" s="506"/>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481"/>
      <c r="C28" s="481"/>
      <c r="D28" s="482"/>
      <c r="E28" s="522"/>
      <c r="F28" s="523"/>
      <c r="G28" s="523"/>
      <c r="H28" s="523"/>
      <c r="I28" s="524"/>
      <c r="J28" s="548" t="str">
        <f>IF(AND('Mapa final'!$K$61="Media",'Mapa final'!$O$61="Leve"),CONCATENATE("R",'Mapa final'!$A$61),"")</f>
        <v/>
      </c>
      <c r="K28" s="549"/>
      <c r="L28" s="549" t="str">
        <f>IF(AND('Mapa final'!$K$67="Media",'Mapa final'!$O$67="Leve"),CONCATENATE("R",'Mapa final'!$A$67),"")</f>
        <v/>
      </c>
      <c r="M28" s="549"/>
      <c r="N28" s="549" t="str">
        <f>IF(AND('Mapa final'!$K$73="Media",'Mapa final'!$O$73="Leve"),CONCATENATE("R",'Mapa final'!$A$73),"")</f>
        <v/>
      </c>
      <c r="O28" s="550"/>
      <c r="P28" s="548" t="str">
        <f>IF(AND('Mapa final'!$K$61="Media",'Mapa final'!$O$61="Menor"),CONCATENATE("R",'Mapa final'!$A$61),"")</f>
        <v/>
      </c>
      <c r="Q28" s="549"/>
      <c r="R28" s="549" t="str">
        <f>IF(AND('Mapa final'!$K$67="Media",'Mapa final'!$O$67="Menor"),CONCATENATE("R",'Mapa final'!$A$67),"")</f>
        <v/>
      </c>
      <c r="S28" s="549"/>
      <c r="T28" s="549" t="str">
        <f>IF(AND('Mapa final'!$K$73="Media",'Mapa final'!$O$73="Menor"),CONCATENATE("R",'Mapa final'!$A$73),"")</f>
        <v/>
      </c>
      <c r="U28" s="550"/>
      <c r="V28" s="548" t="str">
        <f>IF(AND('Mapa final'!$K$61="Media",'Mapa final'!$O$61="Moderado"),CONCATENATE("R",'Mapa final'!$A$61),"")</f>
        <v/>
      </c>
      <c r="W28" s="549"/>
      <c r="X28" s="549" t="str">
        <f>IF(AND('Mapa final'!$K$67="Media",'Mapa final'!$O$67="Moderado"),CONCATENATE("R",'Mapa final'!$A$67),"")</f>
        <v/>
      </c>
      <c r="Y28" s="549"/>
      <c r="Z28" s="549" t="str">
        <f>IF(AND('Mapa final'!$K$73="Media",'Mapa final'!$O$73="Moderado"),CONCATENATE("R",'Mapa final'!$A$73),"")</f>
        <v/>
      </c>
      <c r="AA28" s="550"/>
      <c r="AB28" s="532" t="str">
        <f>IF(AND('Mapa final'!$K$61="Media",'Mapa final'!$O$61="Mayor"),CONCATENATE("R",'Mapa final'!$A$61),"")</f>
        <v/>
      </c>
      <c r="AC28" s="528"/>
      <c r="AD28" s="528" t="str">
        <f>IF(AND('Mapa final'!$K$67="Media",'Mapa final'!$O$67="Mayor"),CONCATENATE("R",'Mapa final'!$A$67),"")</f>
        <v/>
      </c>
      <c r="AE28" s="528"/>
      <c r="AF28" s="528" t="str">
        <f>IF(AND('Mapa final'!$K$73="Media",'Mapa final'!$O$73="Mayor"),CONCATENATE("R",'Mapa final'!$A$73),"")</f>
        <v/>
      </c>
      <c r="AG28" s="529"/>
      <c r="AH28" s="539" t="str">
        <f>IF(AND('Mapa final'!$K$61="Media",'Mapa final'!$O$61="Catastrófico"),CONCATENATE("R",'Mapa final'!$A$61),"")</f>
        <v/>
      </c>
      <c r="AI28" s="540"/>
      <c r="AJ28" s="540" t="str">
        <f>IF(AND('Mapa final'!$K$67="Media",'Mapa final'!$O$67="Catastrófico"),CONCATENATE("R",'Mapa final'!$A$67),"")</f>
        <v/>
      </c>
      <c r="AK28" s="540"/>
      <c r="AL28" s="540" t="str">
        <f>IF(AND('Mapa final'!$K$73="Media",'Mapa final'!$O$73="Catastrófico"),CONCATENATE("R",'Mapa final'!$A$73),"")</f>
        <v/>
      </c>
      <c r="AM28" s="541"/>
      <c r="AN28" s="67"/>
      <c r="AO28" s="504"/>
      <c r="AP28" s="505"/>
      <c r="AQ28" s="505"/>
      <c r="AR28" s="505"/>
      <c r="AS28" s="505"/>
      <c r="AT28" s="506"/>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481"/>
      <c r="C29" s="481"/>
      <c r="D29" s="482"/>
      <c r="E29" s="525"/>
      <c r="F29" s="526"/>
      <c r="G29" s="526"/>
      <c r="H29" s="526"/>
      <c r="I29" s="527"/>
      <c r="J29" s="548"/>
      <c r="K29" s="549"/>
      <c r="L29" s="549"/>
      <c r="M29" s="549"/>
      <c r="N29" s="549"/>
      <c r="O29" s="550"/>
      <c r="P29" s="551"/>
      <c r="Q29" s="552"/>
      <c r="R29" s="552"/>
      <c r="S29" s="552"/>
      <c r="T29" s="552"/>
      <c r="U29" s="553"/>
      <c r="V29" s="551"/>
      <c r="W29" s="552"/>
      <c r="X29" s="552"/>
      <c r="Y29" s="552"/>
      <c r="Z29" s="552"/>
      <c r="AA29" s="553"/>
      <c r="AB29" s="536"/>
      <c r="AC29" s="537"/>
      <c r="AD29" s="537"/>
      <c r="AE29" s="537"/>
      <c r="AF29" s="537"/>
      <c r="AG29" s="538"/>
      <c r="AH29" s="542"/>
      <c r="AI29" s="543"/>
      <c r="AJ29" s="543"/>
      <c r="AK29" s="543"/>
      <c r="AL29" s="543"/>
      <c r="AM29" s="544"/>
      <c r="AN29" s="67"/>
      <c r="AO29" s="507"/>
      <c r="AP29" s="508"/>
      <c r="AQ29" s="508"/>
      <c r="AR29" s="508"/>
      <c r="AS29" s="508"/>
      <c r="AT29" s="509"/>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481"/>
      <c r="C30" s="481"/>
      <c r="D30" s="482"/>
      <c r="E30" s="519" t="s">
        <v>109</v>
      </c>
      <c r="F30" s="520"/>
      <c r="G30" s="520"/>
      <c r="H30" s="520"/>
      <c r="I30" s="520"/>
      <c r="J30" s="563" t="str">
        <f>IF(AND('Mapa final'!$K$10="Baja",'Mapa final'!$O$10="Leve"),CONCATENATE("R",'Mapa final'!$A$10),"")</f>
        <v/>
      </c>
      <c r="K30" s="564"/>
      <c r="L30" s="564" t="str">
        <f>IF(AND('Mapa final'!$K$13="Baja",'Mapa final'!$O$13="Leve"),CONCATENATE("R",'Mapa final'!$A$13),"")</f>
        <v/>
      </c>
      <c r="M30" s="564"/>
      <c r="N30" s="564" t="str">
        <f>IF(AND('Mapa final'!$K$19="Baja",'Mapa final'!$O$19="Leve"),CONCATENATE("R",'Mapa final'!$A$19),"")</f>
        <v/>
      </c>
      <c r="O30" s="565"/>
      <c r="P30" s="555" t="str">
        <f>IF(AND('Mapa final'!$K$10="Baja",'Mapa final'!$O$10="Menor"),CONCATENATE("R",'Mapa final'!$A$10),"")</f>
        <v/>
      </c>
      <c r="Q30" s="555"/>
      <c r="R30" s="555" t="str">
        <f>IF(AND('Mapa final'!$K$13="Baja",'Mapa final'!$O$13="Menor"),CONCATENATE("R",'Mapa final'!$A$13),"")</f>
        <v/>
      </c>
      <c r="S30" s="555"/>
      <c r="T30" s="555" t="str">
        <f>IF(AND('Mapa final'!$K$19="Baja",'Mapa final'!$O$19="Menor"),CONCATENATE("R",'Mapa final'!$A$19),"")</f>
        <v/>
      </c>
      <c r="U30" s="556"/>
      <c r="V30" s="554" t="str">
        <f>IF(AND('Mapa final'!$K$10="Baja",'Mapa final'!$O$10="Moderado"),CONCATENATE("R",'Mapa final'!$A$10),"")</f>
        <v/>
      </c>
      <c r="W30" s="555"/>
      <c r="X30" s="555" t="str">
        <f>IF(AND('Mapa final'!$K$13="Baja",'Mapa final'!$O$13="Moderado"),CONCATENATE("R",'Mapa final'!$A$13),"")</f>
        <v/>
      </c>
      <c r="Y30" s="555"/>
      <c r="Z30" s="555" t="str">
        <f>IF(AND('Mapa final'!$K$19="Baja",'Mapa final'!$O$19="Moderado"),CONCATENATE("R",'Mapa final'!$A$19),"")</f>
        <v/>
      </c>
      <c r="AA30" s="556"/>
      <c r="AB30" s="530" t="str">
        <f>IF(AND('Mapa final'!$K$10="Baja",'Mapa final'!$O$10="Mayor"),CONCATENATE("R",'Mapa final'!$A$10),"")</f>
        <v>R1</v>
      </c>
      <c r="AC30" s="531"/>
      <c r="AD30" s="531" t="str">
        <f>IF(AND('Mapa final'!$K$13="Baja",'Mapa final'!$O$13="Mayor"),CONCATENATE("R",'Mapa final'!$A$13),"")</f>
        <v/>
      </c>
      <c r="AE30" s="531"/>
      <c r="AF30" s="531" t="str">
        <f>IF(AND('Mapa final'!$K$19="Baja",'Mapa final'!$O$19="Mayor"),CONCATENATE("R",'Mapa final'!$A$19),"")</f>
        <v/>
      </c>
      <c r="AG30" s="533"/>
      <c r="AH30" s="545" t="str">
        <f>IF(AND('Mapa final'!$K$10="Baja",'Mapa final'!$O$10="Catastrófico"),CONCATENATE("R",'Mapa final'!$A$10),"")</f>
        <v/>
      </c>
      <c r="AI30" s="546"/>
      <c r="AJ30" s="546" t="str">
        <f>IF(AND('Mapa final'!$K$13="Baja",'Mapa final'!$O$13="Catastrófico"),CONCATENATE("R",'Mapa final'!$A$13),"")</f>
        <v/>
      </c>
      <c r="AK30" s="546"/>
      <c r="AL30" s="546" t="str">
        <f>IF(AND('Mapa final'!$K$19="Baja",'Mapa final'!$O$19="Catastrófico"),CONCATENATE("R",'Mapa final'!$A$19),"")</f>
        <v/>
      </c>
      <c r="AM30" s="547"/>
      <c r="AN30" s="67"/>
      <c r="AO30" s="510" t="s">
        <v>81</v>
      </c>
      <c r="AP30" s="511"/>
      <c r="AQ30" s="511"/>
      <c r="AR30" s="511"/>
      <c r="AS30" s="511"/>
      <c r="AT30" s="512"/>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481"/>
      <c r="C31" s="481"/>
      <c r="D31" s="482"/>
      <c r="E31" s="522"/>
      <c r="F31" s="523"/>
      <c r="G31" s="523"/>
      <c r="H31" s="523"/>
      <c r="I31" s="523"/>
      <c r="J31" s="559"/>
      <c r="K31" s="557"/>
      <c r="L31" s="557"/>
      <c r="M31" s="557"/>
      <c r="N31" s="557"/>
      <c r="O31" s="558"/>
      <c r="P31" s="549"/>
      <c r="Q31" s="549"/>
      <c r="R31" s="549"/>
      <c r="S31" s="549"/>
      <c r="T31" s="549"/>
      <c r="U31" s="550"/>
      <c r="V31" s="548"/>
      <c r="W31" s="549"/>
      <c r="X31" s="549"/>
      <c r="Y31" s="549"/>
      <c r="Z31" s="549"/>
      <c r="AA31" s="550"/>
      <c r="AB31" s="532"/>
      <c r="AC31" s="528"/>
      <c r="AD31" s="528"/>
      <c r="AE31" s="528"/>
      <c r="AF31" s="528"/>
      <c r="AG31" s="529"/>
      <c r="AH31" s="539"/>
      <c r="AI31" s="540"/>
      <c r="AJ31" s="540"/>
      <c r="AK31" s="540"/>
      <c r="AL31" s="540"/>
      <c r="AM31" s="541"/>
      <c r="AN31" s="67"/>
      <c r="AO31" s="513"/>
      <c r="AP31" s="514"/>
      <c r="AQ31" s="514"/>
      <c r="AR31" s="514"/>
      <c r="AS31" s="514"/>
      <c r="AT31" s="515"/>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481"/>
      <c r="C32" s="481"/>
      <c r="D32" s="482"/>
      <c r="E32" s="522"/>
      <c r="F32" s="523"/>
      <c r="G32" s="523"/>
      <c r="H32" s="523"/>
      <c r="I32" s="523"/>
      <c r="J32" s="559" t="str">
        <f>IF(AND('Mapa final'!$K$25="Baja",'Mapa final'!$O$25="Leve"),CONCATENATE("R",'Mapa final'!$A$25),"")</f>
        <v/>
      </c>
      <c r="K32" s="557"/>
      <c r="L32" s="557" t="str">
        <f>IF(AND('Mapa final'!$K$31="Baja",'Mapa final'!$O$31="Leve"),CONCATENATE("R",'Mapa final'!$A$31),"")</f>
        <v/>
      </c>
      <c r="M32" s="557"/>
      <c r="N32" s="557" t="str">
        <f>IF(AND('Mapa final'!$K$37="Baja",'Mapa final'!$O$37="Leve"),CONCATENATE("R",'Mapa final'!$A$37),"")</f>
        <v/>
      </c>
      <c r="O32" s="558"/>
      <c r="P32" s="549" t="str">
        <f>IF(AND('Mapa final'!$K$25="Baja",'Mapa final'!$O$25="Menor"),CONCATENATE("R",'Mapa final'!$A$25),"")</f>
        <v/>
      </c>
      <c r="Q32" s="549"/>
      <c r="R32" s="549" t="str">
        <f>IF(AND('Mapa final'!$K$31="Baja",'Mapa final'!$O$31="Menor"),CONCATENATE("R",'Mapa final'!$A$31),"")</f>
        <v/>
      </c>
      <c r="S32" s="549"/>
      <c r="T32" s="549" t="str">
        <f>IF(AND('Mapa final'!$K$37="Baja",'Mapa final'!$O$37="Menor"),CONCATENATE("R",'Mapa final'!$A$37),"")</f>
        <v/>
      </c>
      <c r="U32" s="550"/>
      <c r="V32" s="548" t="str">
        <f>IF(AND('Mapa final'!$K$25="Baja",'Mapa final'!$O$25="Moderado"),CONCATENATE("R",'Mapa final'!$A$25),"")</f>
        <v/>
      </c>
      <c r="W32" s="549"/>
      <c r="X32" s="549" t="str">
        <f>IF(AND('Mapa final'!$K$31="Baja",'Mapa final'!$O$31="Moderado"),CONCATENATE("R",'Mapa final'!$A$31),"")</f>
        <v/>
      </c>
      <c r="Y32" s="549"/>
      <c r="Z32" s="549" t="str">
        <f>IF(AND('Mapa final'!$K$37="Baja",'Mapa final'!$O$37="Moderado"),CONCATENATE("R",'Mapa final'!$A$37),"")</f>
        <v/>
      </c>
      <c r="AA32" s="550"/>
      <c r="AB32" s="532" t="str">
        <f>IF(AND('Mapa final'!$K$25="Baja",'Mapa final'!$O$25="Mayor"),CONCATENATE("R",'Mapa final'!$A$25),"")</f>
        <v/>
      </c>
      <c r="AC32" s="528"/>
      <c r="AD32" s="528" t="str">
        <f>IF(AND('Mapa final'!$K$31="Baja",'Mapa final'!$O$31="Mayor"),CONCATENATE("R",'Mapa final'!$A$31),"")</f>
        <v/>
      </c>
      <c r="AE32" s="528"/>
      <c r="AF32" s="528" t="str">
        <f>IF(AND('Mapa final'!$K$37="Baja",'Mapa final'!$O$37="Mayor"),CONCATENATE("R",'Mapa final'!$A$37),"")</f>
        <v/>
      </c>
      <c r="AG32" s="529"/>
      <c r="AH32" s="539" t="str">
        <f>IF(AND('Mapa final'!$K$25="Baja",'Mapa final'!$O$25="Catastrófico"),CONCATENATE("R",'Mapa final'!$A$25),"")</f>
        <v/>
      </c>
      <c r="AI32" s="540"/>
      <c r="AJ32" s="540" t="str">
        <f>IF(AND('Mapa final'!$K$31="Baja",'Mapa final'!$O$31="Catastrófico"),CONCATENATE("R",'Mapa final'!$A$31),"")</f>
        <v/>
      </c>
      <c r="AK32" s="540"/>
      <c r="AL32" s="540" t="str">
        <f>IF(AND('Mapa final'!$K$37="Baja",'Mapa final'!$O$37="Catastrófico"),CONCATENATE("R",'Mapa final'!$A$37),"")</f>
        <v/>
      </c>
      <c r="AM32" s="541"/>
      <c r="AN32" s="67"/>
      <c r="AO32" s="513"/>
      <c r="AP32" s="514"/>
      <c r="AQ32" s="514"/>
      <c r="AR32" s="514"/>
      <c r="AS32" s="514"/>
      <c r="AT32" s="515"/>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481"/>
      <c r="C33" s="481"/>
      <c r="D33" s="482"/>
      <c r="E33" s="522"/>
      <c r="F33" s="523"/>
      <c r="G33" s="523"/>
      <c r="H33" s="523"/>
      <c r="I33" s="523"/>
      <c r="J33" s="559"/>
      <c r="K33" s="557"/>
      <c r="L33" s="557"/>
      <c r="M33" s="557"/>
      <c r="N33" s="557"/>
      <c r="O33" s="558"/>
      <c r="P33" s="549"/>
      <c r="Q33" s="549"/>
      <c r="R33" s="549"/>
      <c r="S33" s="549"/>
      <c r="T33" s="549"/>
      <c r="U33" s="550"/>
      <c r="V33" s="548"/>
      <c r="W33" s="549"/>
      <c r="X33" s="549"/>
      <c r="Y33" s="549"/>
      <c r="Z33" s="549"/>
      <c r="AA33" s="550"/>
      <c r="AB33" s="532"/>
      <c r="AC33" s="528"/>
      <c r="AD33" s="528"/>
      <c r="AE33" s="528"/>
      <c r="AF33" s="528"/>
      <c r="AG33" s="529"/>
      <c r="AH33" s="539"/>
      <c r="AI33" s="540"/>
      <c r="AJ33" s="540"/>
      <c r="AK33" s="540"/>
      <c r="AL33" s="540"/>
      <c r="AM33" s="541"/>
      <c r="AN33" s="67"/>
      <c r="AO33" s="513"/>
      <c r="AP33" s="514"/>
      <c r="AQ33" s="514"/>
      <c r="AR33" s="514"/>
      <c r="AS33" s="514"/>
      <c r="AT33" s="515"/>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481"/>
      <c r="C34" s="481"/>
      <c r="D34" s="482"/>
      <c r="E34" s="522"/>
      <c r="F34" s="523"/>
      <c r="G34" s="523"/>
      <c r="H34" s="523"/>
      <c r="I34" s="523"/>
      <c r="J34" s="559" t="str">
        <f>IF(AND('Mapa final'!$K$43="Baja",'Mapa final'!$O$43="Leve"),CONCATENATE("R",'Mapa final'!$A$43),"")</f>
        <v/>
      </c>
      <c r="K34" s="557"/>
      <c r="L34" s="557" t="str">
        <f>IF(AND('Mapa final'!$K$49="Baja",'Mapa final'!$O$49="Leve"),CONCATENATE("R",'Mapa final'!$A$49),"")</f>
        <v/>
      </c>
      <c r="M34" s="557"/>
      <c r="N34" s="557" t="str">
        <f>IF(AND('Mapa final'!$K$55="Baja",'Mapa final'!$O$55="Leve"),CONCATENATE("R",'Mapa final'!$A$55),"")</f>
        <v/>
      </c>
      <c r="O34" s="558"/>
      <c r="P34" s="549" t="str">
        <f>IF(AND('Mapa final'!$K$43="Baja",'Mapa final'!$O$43="Menor"),CONCATENATE("R",'Mapa final'!$A$43),"")</f>
        <v/>
      </c>
      <c r="Q34" s="549"/>
      <c r="R34" s="549" t="str">
        <f>IF(AND('Mapa final'!$K$49="Baja",'Mapa final'!$O$49="Menor"),CONCATENATE("R",'Mapa final'!$A$49),"")</f>
        <v/>
      </c>
      <c r="S34" s="549"/>
      <c r="T34" s="549" t="str">
        <f>IF(AND('Mapa final'!$K$55="Baja",'Mapa final'!$O$55="Menor"),CONCATENATE("R",'Mapa final'!$A$55),"")</f>
        <v/>
      </c>
      <c r="U34" s="550"/>
      <c r="V34" s="548" t="str">
        <f>IF(AND('Mapa final'!$K$43="Baja",'Mapa final'!$O$43="Moderado"),CONCATENATE("R",'Mapa final'!$A$43),"")</f>
        <v/>
      </c>
      <c r="W34" s="549"/>
      <c r="X34" s="549" t="str">
        <f>IF(AND('Mapa final'!$K$49="Baja",'Mapa final'!$O$49="Moderado"),CONCATENATE("R",'Mapa final'!$A$49),"")</f>
        <v/>
      </c>
      <c r="Y34" s="549"/>
      <c r="Z34" s="549" t="str">
        <f>IF(AND('Mapa final'!$K$55="Baja",'Mapa final'!$O$55="Moderado"),CONCATENATE("R",'Mapa final'!$A$55),"")</f>
        <v/>
      </c>
      <c r="AA34" s="550"/>
      <c r="AB34" s="532" t="str">
        <f>IF(AND('Mapa final'!$K$43="Baja",'Mapa final'!$O$43="Mayor"),CONCATENATE("R",'Mapa final'!$A$43),"")</f>
        <v/>
      </c>
      <c r="AC34" s="528"/>
      <c r="AD34" s="528" t="str">
        <f>IF(AND('Mapa final'!$K$49="Baja",'Mapa final'!$O$49="Mayor"),CONCATENATE("R",'Mapa final'!$A$49),"")</f>
        <v/>
      </c>
      <c r="AE34" s="528"/>
      <c r="AF34" s="528" t="str">
        <f>IF(AND('Mapa final'!$K$55="Baja",'Mapa final'!$O$55="Mayor"),CONCATENATE("R",'Mapa final'!$A$55),"")</f>
        <v/>
      </c>
      <c r="AG34" s="529"/>
      <c r="AH34" s="539" t="str">
        <f>IF(AND('Mapa final'!$K$43="Baja",'Mapa final'!$O$43="Catastrófico"),CONCATENATE("R",'Mapa final'!$A$43),"")</f>
        <v/>
      </c>
      <c r="AI34" s="540"/>
      <c r="AJ34" s="540" t="str">
        <f>IF(AND('Mapa final'!$K$49="Baja",'Mapa final'!$O$49="Catastrófico"),CONCATENATE("R",'Mapa final'!$A$49),"")</f>
        <v/>
      </c>
      <c r="AK34" s="540"/>
      <c r="AL34" s="540" t="str">
        <f>IF(AND('Mapa final'!$K$55="Baja",'Mapa final'!$O$55="Catastrófico"),CONCATENATE("R",'Mapa final'!$A$55),"")</f>
        <v/>
      </c>
      <c r="AM34" s="541"/>
      <c r="AN34" s="67"/>
      <c r="AO34" s="513"/>
      <c r="AP34" s="514"/>
      <c r="AQ34" s="514"/>
      <c r="AR34" s="514"/>
      <c r="AS34" s="514"/>
      <c r="AT34" s="515"/>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481"/>
      <c r="C35" s="481"/>
      <c r="D35" s="482"/>
      <c r="E35" s="522"/>
      <c r="F35" s="523"/>
      <c r="G35" s="523"/>
      <c r="H35" s="523"/>
      <c r="I35" s="523"/>
      <c r="J35" s="559"/>
      <c r="K35" s="557"/>
      <c r="L35" s="557"/>
      <c r="M35" s="557"/>
      <c r="N35" s="557"/>
      <c r="O35" s="558"/>
      <c r="P35" s="549"/>
      <c r="Q35" s="549"/>
      <c r="R35" s="549"/>
      <c r="S35" s="549"/>
      <c r="T35" s="549"/>
      <c r="U35" s="550"/>
      <c r="V35" s="548"/>
      <c r="W35" s="549"/>
      <c r="X35" s="549"/>
      <c r="Y35" s="549"/>
      <c r="Z35" s="549"/>
      <c r="AA35" s="550"/>
      <c r="AB35" s="532"/>
      <c r="AC35" s="528"/>
      <c r="AD35" s="528"/>
      <c r="AE35" s="528"/>
      <c r="AF35" s="528"/>
      <c r="AG35" s="529"/>
      <c r="AH35" s="539"/>
      <c r="AI35" s="540"/>
      <c r="AJ35" s="540"/>
      <c r="AK35" s="540"/>
      <c r="AL35" s="540"/>
      <c r="AM35" s="541"/>
      <c r="AN35" s="67"/>
      <c r="AO35" s="513"/>
      <c r="AP35" s="514"/>
      <c r="AQ35" s="514"/>
      <c r="AR35" s="514"/>
      <c r="AS35" s="514"/>
      <c r="AT35" s="515"/>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481"/>
      <c r="C36" s="481"/>
      <c r="D36" s="482"/>
      <c r="E36" s="522"/>
      <c r="F36" s="523"/>
      <c r="G36" s="523"/>
      <c r="H36" s="523"/>
      <c r="I36" s="523"/>
      <c r="J36" s="559" t="str">
        <f>IF(AND('Mapa final'!$K$61="Baja",'Mapa final'!$O$61="Leve"),CONCATENATE("R",'Mapa final'!$A$61),"")</f>
        <v/>
      </c>
      <c r="K36" s="557"/>
      <c r="L36" s="557" t="str">
        <f>IF(AND('Mapa final'!$K$67="Baja",'Mapa final'!$O$67="Leve"),CONCATENATE("R",'Mapa final'!$A$67),"")</f>
        <v/>
      </c>
      <c r="M36" s="557"/>
      <c r="N36" s="557" t="str">
        <f>IF(AND('Mapa final'!$K$73="Baja",'Mapa final'!$O$73="Leve"),CONCATENATE("R",'Mapa final'!$A$73),"")</f>
        <v/>
      </c>
      <c r="O36" s="558"/>
      <c r="P36" s="549" t="str">
        <f>IF(AND('Mapa final'!$K$61="Baja",'Mapa final'!$O$61="Menor"),CONCATENATE("R",'Mapa final'!$A$61),"")</f>
        <v/>
      </c>
      <c r="Q36" s="549"/>
      <c r="R36" s="549" t="str">
        <f>IF(AND('Mapa final'!$K$67="Baja",'Mapa final'!$O$67="Menor"),CONCATENATE("R",'Mapa final'!$A$67),"")</f>
        <v/>
      </c>
      <c r="S36" s="549"/>
      <c r="T36" s="549" t="str">
        <f>IF(AND('Mapa final'!$K$73="Baja",'Mapa final'!$O$73="Menor"),CONCATENATE("R",'Mapa final'!$A$73),"")</f>
        <v/>
      </c>
      <c r="U36" s="550"/>
      <c r="V36" s="548" t="str">
        <f>IF(AND('Mapa final'!$K$61="Baja",'Mapa final'!$O$61="Moderado"),CONCATENATE("R",'Mapa final'!$A$61),"")</f>
        <v/>
      </c>
      <c r="W36" s="549"/>
      <c r="X36" s="549" t="str">
        <f>IF(AND('Mapa final'!$K$67="Baja",'Mapa final'!$O$67="Moderado"),CONCATENATE("R",'Mapa final'!$A$67),"")</f>
        <v/>
      </c>
      <c r="Y36" s="549"/>
      <c r="Z36" s="549" t="str">
        <f>IF(AND('Mapa final'!$K$73="Baja",'Mapa final'!$O$73="Moderado"),CONCATENATE("R",'Mapa final'!$A$73),"")</f>
        <v/>
      </c>
      <c r="AA36" s="550"/>
      <c r="AB36" s="532" t="str">
        <f>IF(AND('Mapa final'!$K$61="Baja",'Mapa final'!$O$61="Mayor"),CONCATENATE("R",'Mapa final'!$A$61),"")</f>
        <v/>
      </c>
      <c r="AC36" s="528"/>
      <c r="AD36" s="528" t="str">
        <f>IF(AND('Mapa final'!$K$67="Baja",'Mapa final'!$O$67="Mayor"),CONCATENATE("R",'Mapa final'!$A$67),"")</f>
        <v/>
      </c>
      <c r="AE36" s="528"/>
      <c r="AF36" s="528" t="str">
        <f>IF(AND('Mapa final'!$K$73="Baja",'Mapa final'!$O$73="Mayor"),CONCATENATE("R",'Mapa final'!$A$73),"")</f>
        <v/>
      </c>
      <c r="AG36" s="529"/>
      <c r="AH36" s="539" t="str">
        <f>IF(AND('Mapa final'!$K$61="Baja",'Mapa final'!$O$61="Catastrófico"),CONCATENATE("R",'Mapa final'!$A$61),"")</f>
        <v/>
      </c>
      <c r="AI36" s="540"/>
      <c r="AJ36" s="540" t="str">
        <f>IF(AND('Mapa final'!$K$67="Baja",'Mapa final'!$O$67="Catastrófico"),CONCATENATE("R",'Mapa final'!$A$67),"")</f>
        <v/>
      </c>
      <c r="AK36" s="540"/>
      <c r="AL36" s="540" t="str">
        <f>IF(AND('Mapa final'!$K$73="Baja",'Mapa final'!$O$73="Catastrófico"),CONCATENATE("R",'Mapa final'!$A$73),"")</f>
        <v/>
      </c>
      <c r="AM36" s="541"/>
      <c r="AN36" s="67"/>
      <c r="AO36" s="513"/>
      <c r="AP36" s="514"/>
      <c r="AQ36" s="514"/>
      <c r="AR36" s="514"/>
      <c r="AS36" s="514"/>
      <c r="AT36" s="515"/>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481"/>
      <c r="C37" s="481"/>
      <c r="D37" s="482"/>
      <c r="E37" s="525"/>
      <c r="F37" s="526"/>
      <c r="G37" s="526"/>
      <c r="H37" s="526"/>
      <c r="I37" s="526"/>
      <c r="J37" s="560"/>
      <c r="K37" s="561"/>
      <c r="L37" s="561"/>
      <c r="M37" s="561"/>
      <c r="N37" s="561"/>
      <c r="O37" s="562"/>
      <c r="P37" s="552"/>
      <c r="Q37" s="552"/>
      <c r="R37" s="552"/>
      <c r="S37" s="552"/>
      <c r="T37" s="552"/>
      <c r="U37" s="553"/>
      <c r="V37" s="551"/>
      <c r="W37" s="552"/>
      <c r="X37" s="552"/>
      <c r="Y37" s="552"/>
      <c r="Z37" s="552"/>
      <c r="AA37" s="553"/>
      <c r="AB37" s="536"/>
      <c r="AC37" s="537"/>
      <c r="AD37" s="537"/>
      <c r="AE37" s="537"/>
      <c r="AF37" s="537"/>
      <c r="AG37" s="538"/>
      <c r="AH37" s="542"/>
      <c r="AI37" s="543"/>
      <c r="AJ37" s="543"/>
      <c r="AK37" s="543"/>
      <c r="AL37" s="543"/>
      <c r="AM37" s="544"/>
      <c r="AN37" s="67"/>
      <c r="AO37" s="516"/>
      <c r="AP37" s="517"/>
      <c r="AQ37" s="517"/>
      <c r="AR37" s="517"/>
      <c r="AS37" s="517"/>
      <c r="AT37" s="518"/>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481"/>
      <c r="C38" s="481"/>
      <c r="D38" s="482"/>
      <c r="E38" s="519" t="s">
        <v>108</v>
      </c>
      <c r="F38" s="520"/>
      <c r="G38" s="520"/>
      <c r="H38" s="520"/>
      <c r="I38" s="521"/>
      <c r="J38" s="563" t="str">
        <f>IF(AND('Mapa final'!$K$10="Muy Baja",'Mapa final'!$O$10="Leve"),CONCATENATE("R",'Mapa final'!$A$10),"")</f>
        <v/>
      </c>
      <c r="K38" s="564"/>
      <c r="L38" s="564" t="str">
        <f>IF(AND('Mapa final'!$K$13="Muy Baja",'Mapa final'!$O$13="Leve"),CONCATENATE("R",'Mapa final'!$A$13),"")</f>
        <v/>
      </c>
      <c r="M38" s="564"/>
      <c r="N38" s="564" t="str">
        <f>IF(AND('Mapa final'!$K$19="Muy Baja",'Mapa final'!$O$19="Leve"),CONCATENATE("R",'Mapa final'!$A$19),"")</f>
        <v/>
      </c>
      <c r="O38" s="565"/>
      <c r="P38" s="563" t="str">
        <f>IF(AND('Mapa final'!$K$10="Muy Baja",'Mapa final'!$O$10="Menor"),CONCATENATE("R",'Mapa final'!$A$10),"")</f>
        <v/>
      </c>
      <c r="Q38" s="564"/>
      <c r="R38" s="564" t="str">
        <f>IF(AND('Mapa final'!$K$13="Muy Baja",'Mapa final'!$O$13="Menor"),CONCATENATE("R",'Mapa final'!$A$13),"")</f>
        <v/>
      </c>
      <c r="S38" s="564"/>
      <c r="T38" s="564" t="str">
        <f>IF(AND('Mapa final'!$K$19="Muy Baja",'Mapa final'!$O$19="Menor"),CONCATENATE("R",'Mapa final'!$A$19),"")</f>
        <v/>
      </c>
      <c r="U38" s="565"/>
      <c r="V38" s="554" t="str">
        <f>IF(AND('Mapa final'!$K$10="Muy Baja",'Mapa final'!$O$10="Moderado"),CONCATENATE("R",'Mapa final'!$A$10),"")</f>
        <v/>
      </c>
      <c r="W38" s="555"/>
      <c r="X38" s="555" t="str">
        <f>IF(AND('Mapa final'!$K$13="Muy Baja",'Mapa final'!$O$13="Moderado"),CONCATENATE("R",'Mapa final'!$A$13),"")</f>
        <v/>
      </c>
      <c r="Y38" s="555"/>
      <c r="Z38" s="555" t="str">
        <f>IF(AND('Mapa final'!$K$19="Muy Baja",'Mapa final'!$O$19="Moderado"),CONCATENATE("R",'Mapa final'!$A$19),"")</f>
        <v/>
      </c>
      <c r="AA38" s="556"/>
      <c r="AB38" s="530" t="str">
        <f>IF(AND('Mapa final'!$K$10="Muy Baja",'Mapa final'!$O$10="Mayor"),CONCATENATE("R",'Mapa final'!$A$10),"")</f>
        <v/>
      </c>
      <c r="AC38" s="531"/>
      <c r="AD38" s="531" t="str">
        <f>IF(AND('Mapa final'!$K$13="Muy Baja",'Mapa final'!$O$13="Mayor"),CONCATENATE("R",'Mapa final'!$A$13),"")</f>
        <v/>
      </c>
      <c r="AE38" s="531"/>
      <c r="AF38" s="531" t="str">
        <f>IF(AND('Mapa final'!$K$19="Muy Baja",'Mapa final'!$O$19="Mayor"),CONCATENATE("R",'Mapa final'!$A$19),"")</f>
        <v/>
      </c>
      <c r="AG38" s="533"/>
      <c r="AH38" s="545" t="str">
        <f>IF(AND('Mapa final'!$K$10="Muy Baja",'Mapa final'!$O$10="Catastrófico"),CONCATENATE("R",'Mapa final'!$A$10),"")</f>
        <v/>
      </c>
      <c r="AI38" s="546"/>
      <c r="AJ38" s="546" t="str">
        <f>IF(AND('Mapa final'!$K$13="Muy Baja",'Mapa final'!$O$13="Catastrófico"),CONCATENATE("R",'Mapa final'!$A$13),"")</f>
        <v/>
      </c>
      <c r="AK38" s="546"/>
      <c r="AL38" s="546" t="str">
        <f>IF(AND('Mapa final'!$K$19="Muy Baja",'Mapa final'!$O$19="Catastrófico"),CONCATENATE("R",'Mapa final'!$A$19),"")</f>
        <v/>
      </c>
      <c r="AM38" s="54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481"/>
      <c r="C39" s="481"/>
      <c r="D39" s="482"/>
      <c r="E39" s="522"/>
      <c r="F39" s="523"/>
      <c r="G39" s="523"/>
      <c r="H39" s="523"/>
      <c r="I39" s="524"/>
      <c r="J39" s="559"/>
      <c r="K39" s="557"/>
      <c r="L39" s="557"/>
      <c r="M39" s="557"/>
      <c r="N39" s="557"/>
      <c r="O39" s="558"/>
      <c r="P39" s="559"/>
      <c r="Q39" s="557"/>
      <c r="R39" s="557"/>
      <c r="S39" s="557"/>
      <c r="T39" s="557"/>
      <c r="U39" s="558"/>
      <c r="V39" s="548"/>
      <c r="W39" s="549"/>
      <c r="X39" s="549"/>
      <c r="Y39" s="549"/>
      <c r="Z39" s="549"/>
      <c r="AA39" s="550"/>
      <c r="AB39" s="532"/>
      <c r="AC39" s="528"/>
      <c r="AD39" s="528"/>
      <c r="AE39" s="528"/>
      <c r="AF39" s="528"/>
      <c r="AG39" s="529"/>
      <c r="AH39" s="539"/>
      <c r="AI39" s="540"/>
      <c r="AJ39" s="540"/>
      <c r="AK39" s="540"/>
      <c r="AL39" s="540"/>
      <c r="AM39" s="541"/>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481"/>
      <c r="C40" s="481"/>
      <c r="D40" s="482"/>
      <c r="E40" s="522"/>
      <c r="F40" s="523"/>
      <c r="G40" s="523"/>
      <c r="H40" s="523"/>
      <c r="I40" s="524"/>
      <c r="J40" s="559" t="str">
        <f>IF(AND('Mapa final'!$K$25="Muy Baja",'Mapa final'!$O$25="Leve"),CONCATENATE("R",'Mapa final'!$A$25),"")</f>
        <v/>
      </c>
      <c r="K40" s="557"/>
      <c r="L40" s="557" t="str">
        <f>IF(AND('Mapa final'!$K$31="Muy Baja",'Mapa final'!$O$31="Leve"),CONCATENATE("R",'Mapa final'!$A$31),"")</f>
        <v/>
      </c>
      <c r="M40" s="557"/>
      <c r="N40" s="557" t="str">
        <f>IF(AND('Mapa final'!$K$37="Muy Baja",'Mapa final'!$O$37="Leve"),CONCATENATE("R",'Mapa final'!$A$37),"")</f>
        <v/>
      </c>
      <c r="O40" s="558"/>
      <c r="P40" s="559" t="str">
        <f>IF(AND('Mapa final'!$K$25="Muy Baja",'Mapa final'!$O$25="Menor"),CONCATENATE("R",'Mapa final'!$A$25),"")</f>
        <v/>
      </c>
      <c r="Q40" s="557"/>
      <c r="R40" s="557" t="str">
        <f>IF(AND('Mapa final'!$K$31="Muy Baja",'Mapa final'!$O$31="Menor"),CONCATENATE("R",'Mapa final'!$A$31),"")</f>
        <v/>
      </c>
      <c r="S40" s="557"/>
      <c r="T40" s="557" t="str">
        <f>IF(AND('Mapa final'!$K$37="Muy Baja",'Mapa final'!$O$37="Menor"),CONCATENATE("R",'Mapa final'!$A$37),"")</f>
        <v/>
      </c>
      <c r="U40" s="558"/>
      <c r="V40" s="548" t="str">
        <f>IF(AND('Mapa final'!$K$25="Muy Baja",'Mapa final'!$O$25="Moderado"),CONCATENATE("R",'Mapa final'!$A$25),"")</f>
        <v/>
      </c>
      <c r="W40" s="549"/>
      <c r="X40" s="549" t="str">
        <f>IF(AND('Mapa final'!$K$31="Muy Baja",'Mapa final'!$O$31="Moderado"),CONCATENATE("R",'Mapa final'!$A$31),"")</f>
        <v/>
      </c>
      <c r="Y40" s="549"/>
      <c r="Z40" s="549" t="str">
        <f>IF(AND('Mapa final'!$K$37="Muy Baja",'Mapa final'!$O$37="Moderado"),CONCATENATE("R",'Mapa final'!$A$37),"")</f>
        <v/>
      </c>
      <c r="AA40" s="550"/>
      <c r="AB40" s="532" t="str">
        <f>IF(AND('Mapa final'!$K$25="Muy Baja",'Mapa final'!$O$25="Mayor"),CONCATENATE("R",'Mapa final'!$A$25),"")</f>
        <v/>
      </c>
      <c r="AC40" s="528"/>
      <c r="AD40" s="528" t="str">
        <f>IF(AND('Mapa final'!$K$31="Muy Baja",'Mapa final'!$O$31="Mayor"),CONCATENATE("R",'Mapa final'!$A$31),"")</f>
        <v/>
      </c>
      <c r="AE40" s="528"/>
      <c r="AF40" s="528" t="str">
        <f>IF(AND('Mapa final'!$K$37="Muy Baja",'Mapa final'!$O$37="Mayor"),CONCATENATE("R",'Mapa final'!$A$37),"")</f>
        <v/>
      </c>
      <c r="AG40" s="529"/>
      <c r="AH40" s="539" t="str">
        <f>IF(AND('Mapa final'!$K$25="Muy Baja",'Mapa final'!$O$25="Catastrófico"),CONCATENATE("R",'Mapa final'!$A$25),"")</f>
        <v/>
      </c>
      <c r="AI40" s="540"/>
      <c r="AJ40" s="540" t="str">
        <f>IF(AND('Mapa final'!$K$31="Muy Baja",'Mapa final'!$O$31="Catastrófico"),CONCATENATE("R",'Mapa final'!$A$31),"")</f>
        <v/>
      </c>
      <c r="AK40" s="540"/>
      <c r="AL40" s="540" t="str">
        <f>IF(AND('Mapa final'!$K$37="Muy Baja",'Mapa final'!$O$37="Catastrófico"),CONCATENATE("R",'Mapa final'!$A$37),"")</f>
        <v/>
      </c>
      <c r="AM40" s="541"/>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481"/>
      <c r="C41" s="481"/>
      <c r="D41" s="482"/>
      <c r="E41" s="522"/>
      <c r="F41" s="523"/>
      <c r="G41" s="523"/>
      <c r="H41" s="523"/>
      <c r="I41" s="524"/>
      <c r="J41" s="559"/>
      <c r="K41" s="557"/>
      <c r="L41" s="557"/>
      <c r="M41" s="557"/>
      <c r="N41" s="557"/>
      <c r="O41" s="558"/>
      <c r="P41" s="559"/>
      <c r="Q41" s="557"/>
      <c r="R41" s="557"/>
      <c r="S41" s="557"/>
      <c r="T41" s="557"/>
      <c r="U41" s="558"/>
      <c r="V41" s="548"/>
      <c r="W41" s="549"/>
      <c r="X41" s="549"/>
      <c r="Y41" s="549"/>
      <c r="Z41" s="549"/>
      <c r="AA41" s="550"/>
      <c r="AB41" s="532"/>
      <c r="AC41" s="528"/>
      <c r="AD41" s="528"/>
      <c r="AE41" s="528"/>
      <c r="AF41" s="528"/>
      <c r="AG41" s="529"/>
      <c r="AH41" s="539"/>
      <c r="AI41" s="540"/>
      <c r="AJ41" s="540"/>
      <c r="AK41" s="540"/>
      <c r="AL41" s="540"/>
      <c r="AM41" s="541"/>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481"/>
      <c r="C42" s="481"/>
      <c r="D42" s="482"/>
      <c r="E42" s="522"/>
      <c r="F42" s="523"/>
      <c r="G42" s="523"/>
      <c r="H42" s="523"/>
      <c r="I42" s="524"/>
      <c r="J42" s="559" t="str">
        <f>IF(AND('Mapa final'!$K$43="Muy Baja",'Mapa final'!$O$43="Leve"),CONCATENATE("R",'Mapa final'!$A$43),"")</f>
        <v/>
      </c>
      <c r="K42" s="557"/>
      <c r="L42" s="557" t="str">
        <f>IF(AND('Mapa final'!$K$49="Muy Baja",'Mapa final'!$O$49="Leve"),CONCATENATE("R",'Mapa final'!$A$49),"")</f>
        <v/>
      </c>
      <c r="M42" s="557"/>
      <c r="N42" s="557" t="str">
        <f>IF(AND('Mapa final'!$K$55="Muy Baja",'Mapa final'!$O$55="Leve"),CONCATENATE("R",'Mapa final'!$A$55),"")</f>
        <v/>
      </c>
      <c r="O42" s="558"/>
      <c r="P42" s="559" t="str">
        <f>IF(AND('Mapa final'!$K$43="Muy Baja",'Mapa final'!$O$43="Menor"),CONCATENATE("R",'Mapa final'!$A$43),"")</f>
        <v/>
      </c>
      <c r="Q42" s="557"/>
      <c r="R42" s="557" t="str">
        <f>IF(AND('Mapa final'!$K$49="Muy Baja",'Mapa final'!$O$49="Menor"),CONCATENATE("R",'Mapa final'!$A$49),"")</f>
        <v/>
      </c>
      <c r="S42" s="557"/>
      <c r="T42" s="557" t="str">
        <f>IF(AND('Mapa final'!$K$55="Muy Baja",'Mapa final'!$O$55="Menor"),CONCATENATE("R",'Mapa final'!$A$55),"")</f>
        <v/>
      </c>
      <c r="U42" s="558"/>
      <c r="V42" s="548" t="str">
        <f>IF(AND('Mapa final'!$K$43="Muy Baja",'Mapa final'!$O$43="Moderado"),CONCATENATE("R",'Mapa final'!$A$43),"")</f>
        <v/>
      </c>
      <c r="W42" s="549"/>
      <c r="X42" s="549" t="str">
        <f>IF(AND('Mapa final'!$K$49="Muy Baja",'Mapa final'!$O$49="Moderado"),CONCATENATE("R",'Mapa final'!$A$49),"")</f>
        <v/>
      </c>
      <c r="Y42" s="549"/>
      <c r="Z42" s="549" t="str">
        <f>IF(AND('Mapa final'!$K$55="Muy Baja",'Mapa final'!$O$55="Moderado"),CONCATENATE("R",'Mapa final'!$A$55),"")</f>
        <v/>
      </c>
      <c r="AA42" s="550"/>
      <c r="AB42" s="532" t="str">
        <f>IF(AND('Mapa final'!$K$43="Muy Baja",'Mapa final'!$O$43="Mayor"),CONCATENATE("R",'Mapa final'!$A$43),"")</f>
        <v/>
      </c>
      <c r="AC42" s="528"/>
      <c r="AD42" s="528" t="str">
        <f>IF(AND('Mapa final'!$K$49="Muy Baja",'Mapa final'!$O$49="Mayor"),CONCATENATE("R",'Mapa final'!$A$49),"")</f>
        <v/>
      </c>
      <c r="AE42" s="528"/>
      <c r="AF42" s="528" t="str">
        <f>IF(AND('Mapa final'!$K$55="Muy Baja",'Mapa final'!$O$55="Mayor"),CONCATENATE("R",'Mapa final'!$A$55),"")</f>
        <v/>
      </c>
      <c r="AG42" s="529"/>
      <c r="AH42" s="539" t="str">
        <f>IF(AND('Mapa final'!$K$43="Muy Baja",'Mapa final'!$O$43="Catastrófico"),CONCATENATE("R",'Mapa final'!$A$43),"")</f>
        <v/>
      </c>
      <c r="AI42" s="540"/>
      <c r="AJ42" s="540" t="str">
        <f>IF(AND('Mapa final'!$K$49="Muy Baja",'Mapa final'!$O$49="Catastrófico"),CONCATENATE("R",'Mapa final'!$A$49),"")</f>
        <v/>
      </c>
      <c r="AK42" s="540"/>
      <c r="AL42" s="540" t="str">
        <f>IF(AND('Mapa final'!$K$55="Muy Baja",'Mapa final'!$O$55="Catastrófico"),CONCATENATE("R",'Mapa final'!$A$55),"")</f>
        <v/>
      </c>
      <c r="AM42" s="541"/>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481"/>
      <c r="C43" s="481"/>
      <c r="D43" s="482"/>
      <c r="E43" s="522"/>
      <c r="F43" s="523"/>
      <c r="G43" s="523"/>
      <c r="H43" s="523"/>
      <c r="I43" s="524"/>
      <c r="J43" s="559"/>
      <c r="K43" s="557"/>
      <c r="L43" s="557"/>
      <c r="M43" s="557"/>
      <c r="N43" s="557"/>
      <c r="O43" s="558"/>
      <c r="P43" s="559"/>
      <c r="Q43" s="557"/>
      <c r="R43" s="557"/>
      <c r="S43" s="557"/>
      <c r="T43" s="557"/>
      <c r="U43" s="558"/>
      <c r="V43" s="548"/>
      <c r="W43" s="549"/>
      <c r="X43" s="549"/>
      <c r="Y43" s="549"/>
      <c r="Z43" s="549"/>
      <c r="AA43" s="550"/>
      <c r="AB43" s="532"/>
      <c r="AC43" s="528"/>
      <c r="AD43" s="528"/>
      <c r="AE43" s="528"/>
      <c r="AF43" s="528"/>
      <c r="AG43" s="529"/>
      <c r="AH43" s="539"/>
      <c r="AI43" s="540"/>
      <c r="AJ43" s="540"/>
      <c r="AK43" s="540"/>
      <c r="AL43" s="540"/>
      <c r="AM43" s="541"/>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481"/>
      <c r="C44" s="481"/>
      <c r="D44" s="482"/>
      <c r="E44" s="522"/>
      <c r="F44" s="523"/>
      <c r="G44" s="523"/>
      <c r="H44" s="523"/>
      <c r="I44" s="524"/>
      <c r="J44" s="559" t="str">
        <f>IF(AND('Mapa final'!$K$61="Muy Baja",'Mapa final'!$O$61="Leve"),CONCATENATE("R",'Mapa final'!$A$61),"")</f>
        <v/>
      </c>
      <c r="K44" s="557"/>
      <c r="L44" s="557" t="str">
        <f>IF(AND('Mapa final'!$K$67="Muy Baja",'Mapa final'!$O$67="Leve"),CONCATENATE("R",'Mapa final'!$A$67),"")</f>
        <v/>
      </c>
      <c r="M44" s="557"/>
      <c r="N44" s="557" t="str">
        <f>IF(AND('Mapa final'!$K$73="Muy Baja",'Mapa final'!$O$73="Leve"),CONCATENATE("R",'Mapa final'!$A$73),"")</f>
        <v/>
      </c>
      <c r="O44" s="558"/>
      <c r="P44" s="559" t="str">
        <f>IF(AND('Mapa final'!$K$61="Muy Baja",'Mapa final'!$O$61="Menor"),CONCATENATE("R",'Mapa final'!$A$61),"")</f>
        <v/>
      </c>
      <c r="Q44" s="557"/>
      <c r="R44" s="557" t="str">
        <f>IF(AND('Mapa final'!$K$67="Muy Baja",'Mapa final'!$O$67="Menor"),CONCATENATE("R",'Mapa final'!$A$67),"")</f>
        <v/>
      </c>
      <c r="S44" s="557"/>
      <c r="T44" s="557" t="str">
        <f>IF(AND('Mapa final'!$K$73="Muy Baja",'Mapa final'!$O$73="Menor"),CONCATENATE("R",'Mapa final'!$A$73),"")</f>
        <v/>
      </c>
      <c r="U44" s="558"/>
      <c r="V44" s="548" t="str">
        <f>IF(AND('Mapa final'!$K$61="Muy Baja",'Mapa final'!$O$61="Moderado"),CONCATENATE("R",'Mapa final'!$A$61),"")</f>
        <v/>
      </c>
      <c r="W44" s="549"/>
      <c r="X44" s="549" t="str">
        <f>IF(AND('Mapa final'!$K$67="Muy Baja",'Mapa final'!$O$67="Moderado"),CONCATENATE("R",'Mapa final'!$A$67),"")</f>
        <v/>
      </c>
      <c r="Y44" s="549"/>
      <c r="Z44" s="549" t="str">
        <f>IF(AND('Mapa final'!$K$73="Muy Baja",'Mapa final'!$O$73="Moderado"),CONCATENATE("R",'Mapa final'!$A$73),"")</f>
        <v/>
      </c>
      <c r="AA44" s="550"/>
      <c r="AB44" s="532" t="str">
        <f>IF(AND('Mapa final'!$K$61="Muy Baja",'Mapa final'!$O$61="Mayor"),CONCATENATE("R",'Mapa final'!$A$61),"")</f>
        <v/>
      </c>
      <c r="AC44" s="528"/>
      <c r="AD44" s="528" t="str">
        <f>IF(AND('Mapa final'!$K$67="Muy Baja",'Mapa final'!$O$67="Mayor"),CONCATENATE("R",'Mapa final'!$A$67),"")</f>
        <v/>
      </c>
      <c r="AE44" s="528"/>
      <c r="AF44" s="528" t="str">
        <f>IF(AND('Mapa final'!$K$73="Muy Baja",'Mapa final'!$O$73="Mayor"),CONCATENATE("R",'Mapa final'!$A$73),"")</f>
        <v/>
      </c>
      <c r="AG44" s="529"/>
      <c r="AH44" s="539" t="str">
        <f>IF(AND('Mapa final'!$K$61="Muy Baja",'Mapa final'!$O$61="Catastrófico"),CONCATENATE("R",'Mapa final'!$A$61),"")</f>
        <v/>
      </c>
      <c r="AI44" s="540"/>
      <c r="AJ44" s="540" t="str">
        <f>IF(AND('Mapa final'!$K$67="Muy Baja",'Mapa final'!$O$67="Catastrófico"),CONCATENATE("R",'Mapa final'!$A$67),"")</f>
        <v/>
      </c>
      <c r="AK44" s="540"/>
      <c r="AL44" s="540" t="str">
        <f>IF(AND('Mapa final'!$K$73="Muy Baja",'Mapa final'!$O$73="Catastrófico"),CONCATENATE("R",'Mapa final'!$A$73),"")</f>
        <v/>
      </c>
      <c r="AM44" s="541"/>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481"/>
      <c r="C45" s="481"/>
      <c r="D45" s="482"/>
      <c r="E45" s="525"/>
      <c r="F45" s="526"/>
      <c r="G45" s="526"/>
      <c r="H45" s="526"/>
      <c r="I45" s="527"/>
      <c r="J45" s="560"/>
      <c r="K45" s="561"/>
      <c r="L45" s="561"/>
      <c r="M45" s="561"/>
      <c r="N45" s="561"/>
      <c r="O45" s="562"/>
      <c r="P45" s="560"/>
      <c r="Q45" s="561"/>
      <c r="R45" s="561"/>
      <c r="S45" s="561"/>
      <c r="T45" s="561"/>
      <c r="U45" s="562"/>
      <c r="V45" s="551"/>
      <c r="W45" s="552"/>
      <c r="X45" s="552"/>
      <c r="Y45" s="552"/>
      <c r="Z45" s="552"/>
      <c r="AA45" s="553"/>
      <c r="AB45" s="536"/>
      <c r="AC45" s="537"/>
      <c r="AD45" s="537"/>
      <c r="AE45" s="537"/>
      <c r="AF45" s="537"/>
      <c r="AG45" s="538"/>
      <c r="AH45" s="542"/>
      <c r="AI45" s="543"/>
      <c r="AJ45" s="543"/>
      <c r="AK45" s="543"/>
      <c r="AL45" s="543"/>
      <c r="AM45" s="544"/>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519" t="s">
        <v>107</v>
      </c>
      <c r="K46" s="520"/>
      <c r="L46" s="520"/>
      <c r="M46" s="520"/>
      <c r="N46" s="520"/>
      <c r="O46" s="521"/>
      <c r="P46" s="519" t="s">
        <v>106</v>
      </c>
      <c r="Q46" s="520"/>
      <c r="R46" s="520"/>
      <c r="S46" s="520"/>
      <c r="T46" s="520"/>
      <c r="U46" s="521"/>
      <c r="V46" s="519" t="s">
        <v>105</v>
      </c>
      <c r="W46" s="520"/>
      <c r="X46" s="520"/>
      <c r="Y46" s="520"/>
      <c r="Z46" s="520"/>
      <c r="AA46" s="521"/>
      <c r="AB46" s="519" t="s">
        <v>104</v>
      </c>
      <c r="AC46" s="535"/>
      <c r="AD46" s="520"/>
      <c r="AE46" s="520"/>
      <c r="AF46" s="520"/>
      <c r="AG46" s="521"/>
      <c r="AH46" s="519" t="s">
        <v>103</v>
      </c>
      <c r="AI46" s="520"/>
      <c r="AJ46" s="520"/>
      <c r="AK46" s="520"/>
      <c r="AL46" s="520"/>
      <c r="AM46" s="521"/>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522"/>
      <c r="K47" s="523"/>
      <c r="L47" s="523"/>
      <c r="M47" s="523"/>
      <c r="N47" s="523"/>
      <c r="O47" s="524"/>
      <c r="P47" s="522"/>
      <c r="Q47" s="523"/>
      <c r="R47" s="523"/>
      <c r="S47" s="523"/>
      <c r="T47" s="523"/>
      <c r="U47" s="524"/>
      <c r="V47" s="522"/>
      <c r="W47" s="523"/>
      <c r="X47" s="523"/>
      <c r="Y47" s="523"/>
      <c r="Z47" s="523"/>
      <c r="AA47" s="524"/>
      <c r="AB47" s="522"/>
      <c r="AC47" s="523"/>
      <c r="AD47" s="523"/>
      <c r="AE47" s="523"/>
      <c r="AF47" s="523"/>
      <c r="AG47" s="524"/>
      <c r="AH47" s="522"/>
      <c r="AI47" s="523"/>
      <c r="AJ47" s="523"/>
      <c r="AK47" s="523"/>
      <c r="AL47" s="523"/>
      <c r="AM47" s="524"/>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522"/>
      <c r="K48" s="523"/>
      <c r="L48" s="523"/>
      <c r="M48" s="523"/>
      <c r="N48" s="523"/>
      <c r="O48" s="524"/>
      <c r="P48" s="522"/>
      <c r="Q48" s="523"/>
      <c r="R48" s="523"/>
      <c r="S48" s="523"/>
      <c r="T48" s="523"/>
      <c r="U48" s="524"/>
      <c r="V48" s="522"/>
      <c r="W48" s="523"/>
      <c r="X48" s="523"/>
      <c r="Y48" s="523"/>
      <c r="Z48" s="523"/>
      <c r="AA48" s="524"/>
      <c r="AB48" s="522"/>
      <c r="AC48" s="523"/>
      <c r="AD48" s="523"/>
      <c r="AE48" s="523"/>
      <c r="AF48" s="523"/>
      <c r="AG48" s="524"/>
      <c r="AH48" s="522"/>
      <c r="AI48" s="523"/>
      <c r="AJ48" s="523"/>
      <c r="AK48" s="523"/>
      <c r="AL48" s="523"/>
      <c r="AM48" s="524"/>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522"/>
      <c r="K49" s="523"/>
      <c r="L49" s="523"/>
      <c r="M49" s="523"/>
      <c r="N49" s="523"/>
      <c r="O49" s="524"/>
      <c r="P49" s="522"/>
      <c r="Q49" s="523"/>
      <c r="R49" s="523"/>
      <c r="S49" s="523"/>
      <c r="T49" s="523"/>
      <c r="U49" s="524"/>
      <c r="V49" s="522"/>
      <c r="W49" s="523"/>
      <c r="X49" s="523"/>
      <c r="Y49" s="523"/>
      <c r="Z49" s="523"/>
      <c r="AA49" s="524"/>
      <c r="AB49" s="522"/>
      <c r="AC49" s="523"/>
      <c r="AD49" s="523"/>
      <c r="AE49" s="523"/>
      <c r="AF49" s="523"/>
      <c r="AG49" s="524"/>
      <c r="AH49" s="522"/>
      <c r="AI49" s="523"/>
      <c r="AJ49" s="523"/>
      <c r="AK49" s="523"/>
      <c r="AL49" s="523"/>
      <c r="AM49" s="524"/>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522"/>
      <c r="K50" s="523"/>
      <c r="L50" s="523"/>
      <c r="M50" s="523"/>
      <c r="N50" s="523"/>
      <c r="O50" s="524"/>
      <c r="P50" s="522"/>
      <c r="Q50" s="523"/>
      <c r="R50" s="523"/>
      <c r="S50" s="523"/>
      <c r="T50" s="523"/>
      <c r="U50" s="524"/>
      <c r="V50" s="522"/>
      <c r="W50" s="523"/>
      <c r="X50" s="523"/>
      <c r="Y50" s="523"/>
      <c r="Z50" s="523"/>
      <c r="AA50" s="524"/>
      <c r="AB50" s="522"/>
      <c r="AC50" s="523"/>
      <c r="AD50" s="523"/>
      <c r="AE50" s="523"/>
      <c r="AF50" s="523"/>
      <c r="AG50" s="524"/>
      <c r="AH50" s="522"/>
      <c r="AI50" s="523"/>
      <c r="AJ50" s="523"/>
      <c r="AK50" s="523"/>
      <c r="AL50" s="523"/>
      <c r="AM50" s="524"/>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525"/>
      <c r="K51" s="526"/>
      <c r="L51" s="526"/>
      <c r="M51" s="526"/>
      <c r="N51" s="526"/>
      <c r="O51" s="527"/>
      <c r="P51" s="525"/>
      <c r="Q51" s="526"/>
      <c r="R51" s="526"/>
      <c r="S51" s="526"/>
      <c r="T51" s="526"/>
      <c r="U51" s="527"/>
      <c r="V51" s="525"/>
      <c r="W51" s="526"/>
      <c r="X51" s="526"/>
      <c r="Y51" s="526"/>
      <c r="Z51" s="526"/>
      <c r="AA51" s="527"/>
      <c r="AB51" s="525"/>
      <c r="AC51" s="526"/>
      <c r="AD51" s="526"/>
      <c r="AE51" s="526"/>
      <c r="AF51" s="526"/>
      <c r="AG51" s="527"/>
      <c r="AH51" s="525"/>
      <c r="AI51" s="526"/>
      <c r="AJ51" s="526"/>
      <c r="AK51" s="526"/>
      <c r="AL51" s="526"/>
      <c r="AM51" s="52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topLeftCell="A17" zoomScale="55" zoomScaleNormal="55" workbookViewId="0">
      <selection activeCell="AT51" sqref="AT51"/>
    </sheetView>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592" t="s">
        <v>149</v>
      </c>
      <c r="C2" s="593"/>
      <c r="D2" s="593"/>
      <c r="E2" s="593"/>
      <c r="F2" s="593"/>
      <c r="G2" s="593"/>
      <c r="H2" s="593"/>
      <c r="I2" s="593"/>
      <c r="J2" s="534" t="s">
        <v>2</v>
      </c>
      <c r="K2" s="534"/>
      <c r="L2" s="534"/>
      <c r="M2" s="534"/>
      <c r="N2" s="534"/>
      <c r="O2" s="534"/>
      <c r="P2" s="534"/>
      <c r="Q2" s="534"/>
      <c r="R2" s="534"/>
      <c r="S2" s="534"/>
      <c r="T2" s="534"/>
      <c r="U2" s="534"/>
      <c r="V2" s="534"/>
      <c r="W2" s="534"/>
      <c r="X2" s="534"/>
      <c r="Y2" s="534"/>
      <c r="Z2" s="534"/>
      <c r="AA2" s="534"/>
      <c r="AB2" s="534"/>
      <c r="AC2" s="534"/>
      <c r="AD2" s="534"/>
      <c r="AE2" s="534"/>
      <c r="AF2" s="534"/>
      <c r="AG2" s="534"/>
      <c r="AH2" s="534"/>
      <c r="AI2" s="534"/>
      <c r="AJ2" s="534"/>
      <c r="AK2" s="534"/>
      <c r="AL2" s="534"/>
      <c r="AM2" s="534"/>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593"/>
      <c r="C3" s="593"/>
      <c r="D3" s="593"/>
      <c r="E3" s="593"/>
      <c r="F3" s="593"/>
      <c r="G3" s="593"/>
      <c r="H3" s="593"/>
      <c r="I3" s="593"/>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593"/>
      <c r="C4" s="593"/>
      <c r="D4" s="593"/>
      <c r="E4" s="593"/>
      <c r="F4" s="593"/>
      <c r="G4" s="593"/>
      <c r="H4" s="593"/>
      <c r="I4" s="593"/>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4"/>
      <c r="AI4" s="534"/>
      <c r="AJ4" s="534"/>
      <c r="AK4" s="534"/>
      <c r="AL4" s="534"/>
      <c r="AM4" s="534"/>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481" t="s">
        <v>4</v>
      </c>
      <c r="C6" s="481"/>
      <c r="D6" s="482"/>
      <c r="E6" s="576" t="s">
        <v>111</v>
      </c>
      <c r="F6" s="577"/>
      <c r="G6" s="577"/>
      <c r="H6" s="577"/>
      <c r="I6" s="594"/>
      <c r="J6" s="30" t="str">
        <f>IF(AND('Mapa final'!$AB$10="Muy Alta",'Mapa final'!$AD$10="Leve"),CONCATENATE("R1C",'Mapa final'!$R$10),"")</f>
        <v/>
      </c>
      <c r="K6" s="31" t="str">
        <f>IF(AND('Mapa final'!$AB$11="Muy Alta",'Mapa final'!$AD$11="Leve"),CONCATENATE("R1C",'Mapa final'!$R$11),"")</f>
        <v/>
      </c>
      <c r="L6" s="31" t="str">
        <f>IF(AND('Mapa final'!$AB$12="Muy Alta",'Mapa final'!$AD$12="Leve"),CONCATENATE("R1C",'Mapa final'!$R$12),"")</f>
        <v/>
      </c>
      <c r="M6" s="31" t="e">
        <f>IF(AND('Mapa final'!#REF!="Muy Alta",'Mapa final'!#REF!="Leve"),CONCATENATE("R1C",'Mapa final'!#REF!),"")</f>
        <v>#REF!</v>
      </c>
      <c r="N6" s="31" t="e">
        <f>IF(AND('Mapa final'!#REF!="Muy Alta",'Mapa final'!#REF!="Leve"),CONCATENATE("R1C",'Mapa final'!#REF!),"")</f>
        <v>#REF!</v>
      </c>
      <c r="O6" s="32" t="e">
        <f>IF(AND('Mapa final'!#REF!="Muy Alta",'Mapa final'!#REF!="Leve"),CONCATENATE("R1C",'Mapa final'!#REF!),"")</f>
        <v>#REF!</v>
      </c>
      <c r="P6" s="30" t="str">
        <f>IF(AND('Mapa final'!$AB$10="Muy Alta",'Mapa final'!$AD$10="Menor"),CONCATENATE("R1C",'Mapa final'!$R$10),"")</f>
        <v/>
      </c>
      <c r="Q6" s="31" t="str">
        <f>IF(AND('Mapa final'!$AB$11="Muy Alta",'Mapa final'!$AD$11="Menor"),CONCATENATE("R1C",'Mapa final'!$R$11),"")</f>
        <v/>
      </c>
      <c r="R6" s="31" t="str">
        <f>IF(AND('Mapa final'!$AB$12="Muy Alta",'Mapa final'!$AD$12="Menor"),CONCATENATE("R1C",'Mapa final'!$R$12),"")</f>
        <v/>
      </c>
      <c r="S6" s="31" t="e">
        <f>IF(AND('Mapa final'!#REF!="Muy Alta",'Mapa final'!#REF!="Menor"),CONCATENATE("R1C",'Mapa final'!#REF!),"")</f>
        <v>#REF!</v>
      </c>
      <c r="T6" s="31" t="e">
        <f>IF(AND('Mapa final'!#REF!="Muy Alta",'Mapa final'!#REF!="Menor"),CONCATENATE("R1C",'Mapa final'!#REF!),"")</f>
        <v>#REF!</v>
      </c>
      <c r="U6" s="32" t="e">
        <f>IF(AND('Mapa final'!#REF!="Muy Alta",'Mapa final'!#REF!="Menor"),CONCATENATE("R1C",'Mapa final'!#REF!),"")</f>
        <v>#REF!</v>
      </c>
      <c r="V6" s="30" t="str">
        <f>IF(AND('Mapa final'!$AB$10="Muy Alta",'Mapa final'!$AD$10="Moderado"),CONCATENATE("R1C",'Mapa final'!$R$10),"")</f>
        <v/>
      </c>
      <c r="W6" s="31" t="str">
        <f>IF(AND('Mapa final'!$AB$11="Muy Alta",'Mapa final'!$AD$11="Moderado"),CONCATENATE("R1C",'Mapa final'!$R$11),"")</f>
        <v/>
      </c>
      <c r="X6" s="31" t="str">
        <f>IF(AND('Mapa final'!$AB$12="Muy Alta",'Mapa final'!$AD$12="Moderado"),CONCATENATE("R1C",'Mapa final'!$R$12),"")</f>
        <v/>
      </c>
      <c r="Y6" s="31" t="e">
        <f>IF(AND('Mapa final'!#REF!="Muy Alta",'Mapa final'!#REF!="Moderado"),CONCATENATE("R1C",'Mapa final'!#REF!),"")</f>
        <v>#REF!</v>
      </c>
      <c r="Z6" s="31" t="e">
        <f>IF(AND('Mapa final'!#REF!="Muy Alta",'Mapa final'!#REF!="Moderado"),CONCATENATE("R1C",'Mapa final'!#REF!),"")</f>
        <v>#REF!</v>
      </c>
      <c r="AA6" s="32" t="e">
        <f>IF(AND('Mapa final'!#REF!="Muy Alta",'Mapa final'!#REF!="Moderado"),CONCATENATE("R1C",'Mapa final'!#REF!),"")</f>
        <v>#REF!</v>
      </c>
      <c r="AB6" s="30" t="str">
        <f>IF(AND('Mapa final'!$AB$10="Muy Alta",'Mapa final'!$AD$10="Mayor"),CONCATENATE("R1C",'Mapa final'!$R$10),"")</f>
        <v/>
      </c>
      <c r="AC6" s="31" t="str">
        <f>IF(AND('Mapa final'!$AB$11="Muy Alta",'Mapa final'!$AD$11="Mayor"),CONCATENATE("R1C",'Mapa final'!$R$11),"")</f>
        <v/>
      </c>
      <c r="AD6" s="31" t="str">
        <f>IF(AND('Mapa final'!$AB$12="Muy Alta",'Mapa final'!$AD$12="Mayor"),CONCATENATE("R1C",'Mapa final'!$R$12),"")</f>
        <v/>
      </c>
      <c r="AE6" s="31" t="e">
        <f>IF(AND('Mapa final'!#REF!="Muy Alta",'Mapa final'!#REF!="Mayor"),CONCATENATE("R1C",'Mapa final'!#REF!),"")</f>
        <v>#REF!</v>
      </c>
      <c r="AF6" s="31" t="e">
        <f>IF(AND('Mapa final'!#REF!="Muy Alta",'Mapa final'!#REF!="Mayor"),CONCATENATE("R1C",'Mapa final'!#REF!),"")</f>
        <v>#REF!</v>
      </c>
      <c r="AG6" s="32" t="e">
        <f>IF(AND('Mapa final'!#REF!="Muy Alta",'Mapa final'!#REF!="Mayor"),CONCATENATE("R1C",'Mapa final'!#REF!),"")</f>
        <v>#REF!</v>
      </c>
      <c r="AH6" s="33" t="str">
        <f>IF(AND('Mapa final'!$AB$10="Muy Alta",'Mapa final'!$AD$10="Catastrófico"),CONCATENATE("R1C",'Mapa final'!$R$10),"")</f>
        <v/>
      </c>
      <c r="AI6" s="34" t="str">
        <f>IF(AND('Mapa final'!$AB$11="Muy Alta",'Mapa final'!$AD$11="Catastrófico"),CONCATENATE("R1C",'Mapa final'!$R$11),"")</f>
        <v/>
      </c>
      <c r="AJ6" s="34" t="str">
        <f>IF(AND('Mapa final'!$AB$12="Muy Alta",'Mapa final'!$AD$12="Catastrófico"),CONCATENATE("R1C",'Mapa final'!$R$12),"")</f>
        <v/>
      </c>
      <c r="AK6" s="34" t="e">
        <f>IF(AND('Mapa final'!#REF!="Muy Alta",'Mapa final'!#REF!="Catastrófico"),CONCATENATE("R1C",'Mapa final'!#REF!),"")</f>
        <v>#REF!</v>
      </c>
      <c r="AL6" s="34" t="e">
        <f>IF(AND('Mapa final'!#REF!="Muy Alta",'Mapa final'!#REF!="Catastrófico"),CONCATENATE("R1C",'Mapa final'!#REF!),"")</f>
        <v>#REF!</v>
      </c>
      <c r="AM6" s="35" t="e">
        <f>IF(AND('Mapa final'!#REF!="Muy Alta",'Mapa final'!#REF!="Catastrófico"),CONCATENATE("R1C",'Mapa final'!#REF!),"")</f>
        <v>#REF!</v>
      </c>
      <c r="AN6" s="67"/>
      <c r="AO6" s="583" t="s">
        <v>78</v>
      </c>
      <c r="AP6" s="584"/>
      <c r="AQ6" s="584"/>
      <c r="AR6" s="584"/>
      <c r="AS6" s="584"/>
      <c r="AT6" s="585"/>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481"/>
      <c r="C7" s="481"/>
      <c r="D7" s="482"/>
      <c r="E7" s="580"/>
      <c r="F7" s="579"/>
      <c r="G7" s="579"/>
      <c r="H7" s="579"/>
      <c r="I7" s="595"/>
      <c r="J7" s="36" t="str">
        <f>IF(AND('Mapa final'!$AB$13="Muy Alta",'Mapa final'!$AD$13="Leve"),CONCATENATE("R2C",'Mapa final'!$R$13),"")</f>
        <v/>
      </c>
      <c r="K7" s="37" t="str">
        <f>IF(AND('Mapa final'!$AB$14="Muy Alta",'Mapa final'!$AD$14="Leve"),CONCATENATE("R2C",'Mapa final'!$R$14),"")</f>
        <v/>
      </c>
      <c r="L7" s="37" t="str">
        <f>IF(AND('Mapa final'!$AB$15="Muy Alta",'Mapa final'!$AD$15="Leve"),CONCATENATE("R2C",'Mapa final'!$R$15),"")</f>
        <v/>
      </c>
      <c r="M7" s="37" t="str">
        <f>IF(AND('Mapa final'!$AB$16="Muy Alta",'Mapa final'!$AD$16="Leve"),CONCATENATE("R2C",'Mapa final'!$R$16),"")</f>
        <v/>
      </c>
      <c r="N7" s="37" t="str">
        <f>IF(AND('Mapa final'!$AB$17="Muy Alta",'Mapa final'!$AD$17="Leve"),CONCATENATE("R2C",'Mapa final'!$R$17),"")</f>
        <v/>
      </c>
      <c r="O7" s="38" t="str">
        <f>IF(AND('Mapa final'!$AB$18="Muy Alta",'Mapa final'!$AD$18="Leve"),CONCATENATE("R2C",'Mapa final'!$R$18),"")</f>
        <v/>
      </c>
      <c r="P7" s="36" t="str">
        <f>IF(AND('Mapa final'!$AB$13="Muy Alta",'Mapa final'!$AD$13="Menor"),CONCATENATE("R2C",'Mapa final'!$R$13),"")</f>
        <v/>
      </c>
      <c r="Q7" s="37" t="str">
        <f>IF(AND('Mapa final'!$AB$14="Muy Alta",'Mapa final'!$AD$14="Menor"),CONCATENATE("R2C",'Mapa final'!$R$14),"")</f>
        <v/>
      </c>
      <c r="R7" s="37" t="str">
        <f>IF(AND('Mapa final'!$AB$15="Muy Alta",'Mapa final'!$AD$15="Menor"),CONCATENATE("R2C",'Mapa final'!$R$15),"")</f>
        <v/>
      </c>
      <c r="S7" s="37" t="str">
        <f>IF(AND('Mapa final'!$AB$16="Muy Alta",'Mapa final'!$AD$16="Menor"),CONCATENATE("R2C",'Mapa final'!$R$16),"")</f>
        <v/>
      </c>
      <c r="T7" s="37" t="str">
        <f>IF(AND('Mapa final'!$AB$17="Muy Alta",'Mapa final'!$AD$17="Menor"),CONCATENATE("R2C",'Mapa final'!$R$17),"")</f>
        <v/>
      </c>
      <c r="U7" s="38" t="str">
        <f>IF(AND('Mapa final'!$AB$18="Muy Alta",'Mapa final'!$AD$18="Menor"),CONCATENATE("R2C",'Mapa final'!$R$18),"")</f>
        <v/>
      </c>
      <c r="V7" s="36" t="str">
        <f>IF(AND('Mapa final'!$AB$13="Muy Alta",'Mapa final'!$AD$13="Moderado"),CONCATENATE("R2C",'Mapa final'!$R$13),"")</f>
        <v/>
      </c>
      <c r="W7" s="37" t="str">
        <f>IF(AND('Mapa final'!$AB$14="Muy Alta",'Mapa final'!$AD$14="Moderado"),CONCATENATE("R2C",'Mapa final'!$R$14),"")</f>
        <v/>
      </c>
      <c r="X7" s="37" t="str">
        <f>IF(AND('Mapa final'!$AB$15="Muy Alta",'Mapa final'!$AD$15="Moderado"),CONCATENATE("R2C",'Mapa final'!$R$15),"")</f>
        <v/>
      </c>
      <c r="Y7" s="37" t="str">
        <f>IF(AND('Mapa final'!$AB$16="Muy Alta",'Mapa final'!$AD$16="Moderado"),CONCATENATE("R2C",'Mapa final'!$R$16),"")</f>
        <v/>
      </c>
      <c r="Z7" s="37" t="str">
        <f>IF(AND('Mapa final'!$AB$17="Muy Alta",'Mapa final'!$AD$17="Moderado"),CONCATENATE("R2C",'Mapa final'!$R$17),"")</f>
        <v/>
      </c>
      <c r="AA7" s="38" t="str">
        <f>IF(AND('Mapa final'!$AB$18="Muy Alta",'Mapa final'!$AD$18="Moderado"),CONCATENATE("R2C",'Mapa final'!$R$18),"")</f>
        <v/>
      </c>
      <c r="AB7" s="36" t="str">
        <f>IF(AND('Mapa final'!$AB$13="Muy Alta",'Mapa final'!$AD$13="Mayor"),CONCATENATE("R2C",'Mapa final'!$R$13),"")</f>
        <v/>
      </c>
      <c r="AC7" s="37" t="str">
        <f>IF(AND('Mapa final'!$AB$14="Muy Alta",'Mapa final'!$AD$14="Mayor"),CONCATENATE("R2C",'Mapa final'!$R$14),"")</f>
        <v/>
      </c>
      <c r="AD7" s="37" t="str">
        <f>IF(AND('Mapa final'!$AB$15="Muy Alta",'Mapa final'!$AD$15="Mayor"),CONCATENATE("R2C",'Mapa final'!$R$15),"")</f>
        <v/>
      </c>
      <c r="AE7" s="37" t="str">
        <f>IF(AND('Mapa final'!$AB$16="Muy Alta",'Mapa final'!$AD$16="Mayor"),CONCATENATE("R2C",'Mapa final'!$R$16),"")</f>
        <v/>
      </c>
      <c r="AF7" s="37" t="str">
        <f>IF(AND('Mapa final'!$AB$17="Muy Alta",'Mapa final'!$AD$17="Mayor"),CONCATENATE("R2C",'Mapa final'!$R$17),"")</f>
        <v/>
      </c>
      <c r="AG7" s="38" t="str">
        <f>IF(AND('Mapa final'!$AB$18="Muy Alta",'Mapa final'!$AD$18="Mayor"),CONCATENATE("R2C",'Mapa final'!$R$18),"")</f>
        <v/>
      </c>
      <c r="AH7" s="39" t="str">
        <f>IF(AND('Mapa final'!$AB$13="Muy Alta",'Mapa final'!$AD$13="Catastrófico"),CONCATENATE("R2C",'Mapa final'!$R$13),"")</f>
        <v/>
      </c>
      <c r="AI7" s="40" t="str">
        <f>IF(AND('Mapa final'!$AB$14="Muy Alta",'Mapa final'!$AD$14="Catastrófico"),CONCATENATE("R2C",'Mapa final'!$R$14),"")</f>
        <v/>
      </c>
      <c r="AJ7" s="40" t="str">
        <f>IF(AND('Mapa final'!$AB$15="Muy Alta",'Mapa final'!$AD$15="Catastrófico"),CONCATENATE("R2C",'Mapa final'!$R$15),"")</f>
        <v/>
      </c>
      <c r="AK7" s="40" t="str">
        <f>IF(AND('Mapa final'!$AB$16="Muy Alta",'Mapa final'!$AD$16="Catastrófico"),CONCATENATE("R2C",'Mapa final'!$R$16),"")</f>
        <v/>
      </c>
      <c r="AL7" s="40" t="str">
        <f>IF(AND('Mapa final'!$AB$17="Muy Alta",'Mapa final'!$AD$17="Catastrófico"),CONCATENATE("R2C",'Mapa final'!$R$17),"")</f>
        <v/>
      </c>
      <c r="AM7" s="41" t="str">
        <f>IF(AND('Mapa final'!$AB$18="Muy Alta",'Mapa final'!$AD$18="Catastrófico"),CONCATENATE("R2C",'Mapa final'!$R$18),"")</f>
        <v/>
      </c>
      <c r="AN7" s="67"/>
      <c r="AO7" s="586"/>
      <c r="AP7" s="587"/>
      <c r="AQ7" s="587"/>
      <c r="AR7" s="587"/>
      <c r="AS7" s="587"/>
      <c r="AT7" s="588"/>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481"/>
      <c r="C8" s="481"/>
      <c r="D8" s="482"/>
      <c r="E8" s="580"/>
      <c r="F8" s="579"/>
      <c r="G8" s="579"/>
      <c r="H8" s="579"/>
      <c r="I8" s="595"/>
      <c r="J8" s="36" t="str">
        <f>IF(AND('Mapa final'!$AB$19="Muy Alta",'Mapa final'!$AD$19="Leve"),CONCATENATE("R3C",'Mapa final'!$R$19),"")</f>
        <v/>
      </c>
      <c r="K8" s="37" t="str">
        <f>IF(AND('Mapa final'!$AB$20="Muy Alta",'Mapa final'!$AD$20="Leve"),CONCATENATE("R3C",'Mapa final'!$R$20),"")</f>
        <v/>
      </c>
      <c r="L8" s="37" t="str">
        <f>IF(AND('Mapa final'!$AB$21="Muy Alta",'Mapa final'!$AD$21="Leve"),CONCATENATE("R3C",'Mapa final'!$R$21),"")</f>
        <v/>
      </c>
      <c r="M8" s="37" t="str">
        <f>IF(AND('Mapa final'!$AB$22="Muy Alta",'Mapa final'!$AD$22="Leve"),CONCATENATE("R3C",'Mapa final'!$R$22),"")</f>
        <v/>
      </c>
      <c r="N8" s="37" t="str">
        <f>IF(AND('Mapa final'!$AB$23="Muy Alta",'Mapa final'!$AD$23="Leve"),CONCATENATE("R3C",'Mapa final'!$R$23),"")</f>
        <v/>
      </c>
      <c r="O8" s="38" t="str">
        <f>IF(AND('Mapa final'!$AB$24="Muy Alta",'Mapa final'!$AD$24="Leve"),CONCATENATE("R3C",'Mapa final'!$R$24),"")</f>
        <v/>
      </c>
      <c r="P8" s="36" t="str">
        <f>IF(AND('Mapa final'!$AB$19="Muy Alta",'Mapa final'!$AD$19="Menor"),CONCATENATE("R3C",'Mapa final'!$R$19),"")</f>
        <v/>
      </c>
      <c r="Q8" s="37" t="str">
        <f>IF(AND('Mapa final'!$AB$20="Muy Alta",'Mapa final'!$AD$20="Menor"),CONCATENATE("R3C",'Mapa final'!$R$20),"")</f>
        <v/>
      </c>
      <c r="R8" s="37" t="str">
        <f>IF(AND('Mapa final'!$AB$21="Muy Alta",'Mapa final'!$AD$21="Menor"),CONCATENATE("R3C",'Mapa final'!$R$21),"")</f>
        <v/>
      </c>
      <c r="S8" s="37" t="str">
        <f>IF(AND('Mapa final'!$AB$22="Muy Alta",'Mapa final'!$AD$22="Menor"),CONCATENATE("R3C",'Mapa final'!$R$22),"")</f>
        <v/>
      </c>
      <c r="T8" s="37" t="str">
        <f>IF(AND('Mapa final'!$AB$23="Muy Alta",'Mapa final'!$AD$23="Menor"),CONCATENATE("R3C",'Mapa final'!$R$23),"")</f>
        <v/>
      </c>
      <c r="U8" s="38" t="str">
        <f>IF(AND('Mapa final'!$AB$24="Muy Alta",'Mapa final'!$AD$24="Menor"),CONCATENATE("R3C",'Mapa final'!$R$24),"")</f>
        <v/>
      </c>
      <c r="V8" s="36" t="str">
        <f>IF(AND('Mapa final'!$AB$19="Muy Alta",'Mapa final'!$AD$19="Moderado"),CONCATENATE("R3C",'Mapa final'!$R$19),"")</f>
        <v/>
      </c>
      <c r="W8" s="37" t="str">
        <f>IF(AND('Mapa final'!$AB$20="Muy Alta",'Mapa final'!$AD$20="Moderado"),CONCATENATE("R3C",'Mapa final'!$R$20),"")</f>
        <v/>
      </c>
      <c r="X8" s="37" t="str">
        <f>IF(AND('Mapa final'!$AB$21="Muy Alta",'Mapa final'!$AD$21="Moderado"),CONCATENATE("R3C",'Mapa final'!$R$21),"")</f>
        <v/>
      </c>
      <c r="Y8" s="37" t="str">
        <f>IF(AND('Mapa final'!$AB$22="Muy Alta",'Mapa final'!$AD$22="Moderado"),CONCATENATE("R3C",'Mapa final'!$R$22),"")</f>
        <v/>
      </c>
      <c r="Z8" s="37" t="str">
        <f>IF(AND('Mapa final'!$AB$23="Muy Alta",'Mapa final'!$AD$23="Moderado"),CONCATENATE("R3C",'Mapa final'!$R$23),"")</f>
        <v/>
      </c>
      <c r="AA8" s="38" t="str">
        <f>IF(AND('Mapa final'!$AB$24="Muy Alta",'Mapa final'!$AD$24="Moderado"),CONCATENATE("R3C",'Mapa final'!$R$24),"")</f>
        <v/>
      </c>
      <c r="AB8" s="36" t="str">
        <f>IF(AND('Mapa final'!$AB$19="Muy Alta",'Mapa final'!$AD$19="Mayor"),CONCATENATE("R3C",'Mapa final'!$R$19),"")</f>
        <v/>
      </c>
      <c r="AC8" s="37" t="str">
        <f>IF(AND('Mapa final'!$AB$20="Muy Alta",'Mapa final'!$AD$20="Mayor"),CONCATENATE("R3C",'Mapa final'!$R$20),"")</f>
        <v/>
      </c>
      <c r="AD8" s="37" t="str">
        <f>IF(AND('Mapa final'!$AB$21="Muy Alta",'Mapa final'!$AD$21="Mayor"),CONCATENATE("R3C",'Mapa final'!$R$21),"")</f>
        <v/>
      </c>
      <c r="AE8" s="37" t="str">
        <f>IF(AND('Mapa final'!$AB$22="Muy Alta",'Mapa final'!$AD$22="Mayor"),CONCATENATE("R3C",'Mapa final'!$R$22),"")</f>
        <v/>
      </c>
      <c r="AF8" s="37" t="str">
        <f>IF(AND('Mapa final'!$AB$23="Muy Alta",'Mapa final'!$AD$23="Mayor"),CONCATENATE("R3C",'Mapa final'!$R$23),"")</f>
        <v/>
      </c>
      <c r="AG8" s="38" t="str">
        <f>IF(AND('Mapa final'!$AB$24="Muy Alta",'Mapa final'!$AD$24="Mayor"),CONCATENATE("R3C",'Mapa final'!$R$24),"")</f>
        <v/>
      </c>
      <c r="AH8" s="39" t="str">
        <f>IF(AND('Mapa final'!$AB$19="Muy Alta",'Mapa final'!$AD$19="Catastrófico"),CONCATENATE("R3C",'Mapa final'!$R$19),"")</f>
        <v/>
      </c>
      <c r="AI8" s="40" t="str">
        <f>IF(AND('Mapa final'!$AB$20="Muy Alta",'Mapa final'!$AD$20="Catastrófico"),CONCATENATE("R3C",'Mapa final'!$R$20),"")</f>
        <v/>
      </c>
      <c r="AJ8" s="40" t="str">
        <f>IF(AND('Mapa final'!$AB$21="Muy Alta",'Mapa final'!$AD$21="Catastrófico"),CONCATENATE("R3C",'Mapa final'!$R$21),"")</f>
        <v/>
      </c>
      <c r="AK8" s="40" t="str">
        <f>IF(AND('Mapa final'!$AB$22="Muy Alta",'Mapa final'!$AD$22="Catastrófico"),CONCATENATE("R3C",'Mapa final'!$R$22),"")</f>
        <v/>
      </c>
      <c r="AL8" s="40" t="str">
        <f>IF(AND('Mapa final'!$AB$23="Muy Alta",'Mapa final'!$AD$23="Catastrófico"),CONCATENATE("R3C",'Mapa final'!$R$23),"")</f>
        <v/>
      </c>
      <c r="AM8" s="41" t="str">
        <f>IF(AND('Mapa final'!$AB$24="Muy Alta",'Mapa final'!$AD$24="Catastrófico"),CONCATENATE("R3C",'Mapa final'!$R$24),"")</f>
        <v/>
      </c>
      <c r="AN8" s="67"/>
      <c r="AO8" s="586"/>
      <c r="AP8" s="587"/>
      <c r="AQ8" s="587"/>
      <c r="AR8" s="587"/>
      <c r="AS8" s="587"/>
      <c r="AT8" s="588"/>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481"/>
      <c r="C9" s="481"/>
      <c r="D9" s="482"/>
      <c r="E9" s="580"/>
      <c r="F9" s="579"/>
      <c r="G9" s="579"/>
      <c r="H9" s="579"/>
      <c r="I9" s="595"/>
      <c r="J9" s="36" t="str">
        <f>IF(AND('Mapa final'!$AB$25="Muy Alta",'Mapa final'!$AD$25="Leve"),CONCATENATE("R4C",'Mapa final'!$R$25),"")</f>
        <v/>
      </c>
      <c r="K9" s="37" t="str">
        <f>IF(AND('Mapa final'!$AB$26="Muy Alta",'Mapa final'!$AD$26="Leve"),CONCATENATE("R4C",'Mapa final'!$R$26),"")</f>
        <v/>
      </c>
      <c r="L9" s="37" t="str">
        <f>IF(AND('Mapa final'!$AB$27="Muy Alta",'Mapa final'!$AD$27="Leve"),CONCATENATE("R4C",'Mapa final'!$R$27),"")</f>
        <v/>
      </c>
      <c r="M9" s="37" t="str">
        <f>IF(AND('Mapa final'!$AB$28="Muy Alta",'Mapa final'!$AD$28="Leve"),CONCATENATE("R4C",'Mapa final'!$R$28),"")</f>
        <v/>
      </c>
      <c r="N9" s="37" t="str">
        <f>IF(AND('Mapa final'!$AB$29="Muy Alta",'Mapa final'!$AD$29="Leve"),CONCATENATE("R4C",'Mapa final'!$R$29),"")</f>
        <v/>
      </c>
      <c r="O9" s="38" t="str">
        <f>IF(AND('Mapa final'!$AB$30="Muy Alta",'Mapa final'!$AD$30="Leve"),CONCATENATE("R4C",'Mapa final'!$R$30),"")</f>
        <v/>
      </c>
      <c r="P9" s="36" t="str">
        <f>IF(AND('Mapa final'!$AB$25="Muy Alta",'Mapa final'!$AD$25="Menor"),CONCATENATE("R4C",'Mapa final'!$R$25),"")</f>
        <v/>
      </c>
      <c r="Q9" s="37" t="str">
        <f>IF(AND('Mapa final'!$AB$26="Muy Alta",'Mapa final'!$AD$26="Menor"),CONCATENATE("R4C",'Mapa final'!$R$26),"")</f>
        <v/>
      </c>
      <c r="R9" s="37" t="str">
        <f>IF(AND('Mapa final'!$AB$27="Muy Alta",'Mapa final'!$AD$27="Menor"),CONCATENATE("R4C",'Mapa final'!$R$27),"")</f>
        <v/>
      </c>
      <c r="S9" s="37" t="str">
        <f>IF(AND('Mapa final'!$AB$28="Muy Alta",'Mapa final'!$AD$28="Menor"),CONCATENATE("R4C",'Mapa final'!$R$28),"")</f>
        <v/>
      </c>
      <c r="T9" s="37" t="str">
        <f>IF(AND('Mapa final'!$AB$29="Muy Alta",'Mapa final'!$AD$29="Menor"),CONCATENATE("R4C",'Mapa final'!$R$29),"")</f>
        <v/>
      </c>
      <c r="U9" s="38" t="str">
        <f>IF(AND('Mapa final'!$AB$30="Muy Alta",'Mapa final'!$AD$30="Menor"),CONCATENATE("R4C",'Mapa final'!$R$30),"")</f>
        <v/>
      </c>
      <c r="V9" s="36" t="str">
        <f>IF(AND('Mapa final'!$AB$25="Muy Alta",'Mapa final'!$AD$25="Moderado"),CONCATENATE("R4C",'Mapa final'!$R$25),"")</f>
        <v/>
      </c>
      <c r="W9" s="37" t="str">
        <f>IF(AND('Mapa final'!$AB$26="Muy Alta",'Mapa final'!$AD$26="Moderado"),CONCATENATE("R4C",'Mapa final'!$R$26),"")</f>
        <v/>
      </c>
      <c r="X9" s="37" t="str">
        <f>IF(AND('Mapa final'!$AB$27="Muy Alta",'Mapa final'!$AD$27="Moderado"),CONCATENATE("R4C",'Mapa final'!$R$27),"")</f>
        <v/>
      </c>
      <c r="Y9" s="37" t="str">
        <f>IF(AND('Mapa final'!$AB$28="Muy Alta",'Mapa final'!$AD$28="Moderado"),CONCATENATE("R4C",'Mapa final'!$R$28),"")</f>
        <v/>
      </c>
      <c r="Z9" s="37" t="str">
        <f>IF(AND('Mapa final'!$AB$29="Muy Alta",'Mapa final'!$AD$29="Moderado"),CONCATENATE("R4C",'Mapa final'!$R$29),"")</f>
        <v/>
      </c>
      <c r="AA9" s="38" t="str">
        <f>IF(AND('Mapa final'!$AB$30="Muy Alta",'Mapa final'!$AD$30="Moderado"),CONCATENATE("R4C",'Mapa final'!$R$30),"")</f>
        <v/>
      </c>
      <c r="AB9" s="36" t="str">
        <f>IF(AND('Mapa final'!$AB$25="Muy Alta",'Mapa final'!$AD$25="Mayor"),CONCATENATE("R4C",'Mapa final'!$R$25),"")</f>
        <v/>
      </c>
      <c r="AC9" s="37" t="str">
        <f>IF(AND('Mapa final'!$AB$26="Muy Alta",'Mapa final'!$AD$26="Mayor"),CONCATENATE("R4C",'Mapa final'!$R$26),"")</f>
        <v/>
      </c>
      <c r="AD9" s="37" t="str">
        <f>IF(AND('Mapa final'!$AB$27="Muy Alta",'Mapa final'!$AD$27="Mayor"),CONCATENATE("R4C",'Mapa final'!$R$27),"")</f>
        <v/>
      </c>
      <c r="AE9" s="37" t="str">
        <f>IF(AND('Mapa final'!$AB$28="Muy Alta",'Mapa final'!$AD$28="Mayor"),CONCATENATE("R4C",'Mapa final'!$R$28),"")</f>
        <v/>
      </c>
      <c r="AF9" s="37" t="str">
        <f>IF(AND('Mapa final'!$AB$29="Muy Alta",'Mapa final'!$AD$29="Mayor"),CONCATENATE("R4C",'Mapa final'!$R$29),"")</f>
        <v/>
      </c>
      <c r="AG9" s="38" t="str">
        <f>IF(AND('Mapa final'!$AB$30="Muy Alta",'Mapa final'!$AD$30="Mayor"),CONCATENATE("R4C",'Mapa final'!$R$30),"")</f>
        <v/>
      </c>
      <c r="AH9" s="39" t="str">
        <f>IF(AND('Mapa final'!$AB$25="Muy Alta",'Mapa final'!$AD$25="Catastrófico"),CONCATENATE("R4C",'Mapa final'!$R$25),"")</f>
        <v/>
      </c>
      <c r="AI9" s="40" t="str">
        <f>IF(AND('Mapa final'!$AB$26="Muy Alta",'Mapa final'!$AD$26="Catastrófico"),CONCATENATE("R4C",'Mapa final'!$R$26),"")</f>
        <v/>
      </c>
      <c r="AJ9" s="40" t="str">
        <f>IF(AND('Mapa final'!$AB$27="Muy Alta",'Mapa final'!$AD$27="Catastrófico"),CONCATENATE("R4C",'Mapa final'!$R$27),"")</f>
        <v/>
      </c>
      <c r="AK9" s="40" t="str">
        <f>IF(AND('Mapa final'!$AB$28="Muy Alta",'Mapa final'!$AD$28="Catastrófico"),CONCATENATE("R4C",'Mapa final'!$R$28),"")</f>
        <v/>
      </c>
      <c r="AL9" s="40" t="str">
        <f>IF(AND('Mapa final'!$AB$29="Muy Alta",'Mapa final'!$AD$29="Catastrófico"),CONCATENATE("R4C",'Mapa final'!$R$29),"")</f>
        <v/>
      </c>
      <c r="AM9" s="41" t="str">
        <f>IF(AND('Mapa final'!$AB$30="Muy Alta",'Mapa final'!$AD$30="Catastrófico"),CONCATENATE("R4C",'Mapa final'!$R$30),"")</f>
        <v/>
      </c>
      <c r="AN9" s="67"/>
      <c r="AO9" s="586"/>
      <c r="AP9" s="587"/>
      <c r="AQ9" s="587"/>
      <c r="AR9" s="587"/>
      <c r="AS9" s="587"/>
      <c r="AT9" s="588"/>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481"/>
      <c r="C10" s="481"/>
      <c r="D10" s="482"/>
      <c r="E10" s="580"/>
      <c r="F10" s="579"/>
      <c r="G10" s="579"/>
      <c r="H10" s="579"/>
      <c r="I10" s="595"/>
      <c r="J10" s="36" t="str">
        <f>IF(AND('Mapa final'!$AB$31="Muy Alta",'Mapa final'!$AD$31="Leve"),CONCATENATE("R5C",'Mapa final'!$R$31),"")</f>
        <v/>
      </c>
      <c r="K10" s="37" t="str">
        <f>IF(AND('Mapa final'!$AB$32="Muy Alta",'Mapa final'!$AD$32="Leve"),CONCATENATE("R5C",'Mapa final'!$R$32),"")</f>
        <v/>
      </c>
      <c r="L10" s="37" t="str">
        <f>IF(AND('Mapa final'!$AB$33="Muy Alta",'Mapa final'!$AD$33="Leve"),CONCATENATE("R5C",'Mapa final'!$R$33),"")</f>
        <v/>
      </c>
      <c r="M10" s="37" t="str">
        <f>IF(AND('Mapa final'!$AB$34="Muy Alta",'Mapa final'!$AD$34="Leve"),CONCATENATE("R5C",'Mapa final'!$R$34),"")</f>
        <v/>
      </c>
      <c r="N10" s="37" t="str">
        <f>IF(AND('Mapa final'!$AB$35="Muy Alta",'Mapa final'!$AD$35="Leve"),CONCATENATE("R5C",'Mapa final'!$R$35),"")</f>
        <v/>
      </c>
      <c r="O10" s="38" t="str">
        <f>IF(AND('Mapa final'!$AB$36="Muy Alta",'Mapa final'!$AD$36="Leve"),CONCATENATE("R5C",'Mapa final'!$R$36),"")</f>
        <v/>
      </c>
      <c r="P10" s="36" t="str">
        <f>IF(AND('Mapa final'!$AB$31="Muy Alta",'Mapa final'!$AD$31="Menor"),CONCATENATE("R5C",'Mapa final'!$R$31),"")</f>
        <v/>
      </c>
      <c r="Q10" s="37" t="str">
        <f>IF(AND('Mapa final'!$AB$32="Muy Alta",'Mapa final'!$AD$32="Menor"),CONCATENATE("R5C",'Mapa final'!$R$32),"")</f>
        <v/>
      </c>
      <c r="R10" s="37" t="str">
        <f>IF(AND('Mapa final'!$AB$33="Muy Alta",'Mapa final'!$AD$33="Menor"),CONCATENATE("R5C",'Mapa final'!$R$33),"")</f>
        <v/>
      </c>
      <c r="S10" s="37" t="str">
        <f>IF(AND('Mapa final'!$AB$34="Muy Alta",'Mapa final'!$AD$34="Menor"),CONCATENATE("R5C",'Mapa final'!$R$34),"")</f>
        <v/>
      </c>
      <c r="T10" s="37" t="str">
        <f>IF(AND('Mapa final'!$AB$35="Muy Alta",'Mapa final'!$AD$35="Menor"),CONCATENATE("R5C",'Mapa final'!$R$35),"")</f>
        <v/>
      </c>
      <c r="U10" s="38" t="str">
        <f>IF(AND('Mapa final'!$AB$36="Muy Alta",'Mapa final'!$AD$36="Menor"),CONCATENATE("R5C",'Mapa final'!$R$36),"")</f>
        <v/>
      </c>
      <c r="V10" s="36" t="str">
        <f>IF(AND('Mapa final'!$AB$31="Muy Alta",'Mapa final'!$AD$31="Moderado"),CONCATENATE("R5C",'Mapa final'!$R$31),"")</f>
        <v/>
      </c>
      <c r="W10" s="37" t="str">
        <f>IF(AND('Mapa final'!$AB$32="Muy Alta",'Mapa final'!$AD$32="Moderado"),CONCATENATE("R5C",'Mapa final'!$R$32),"")</f>
        <v/>
      </c>
      <c r="X10" s="37" t="str">
        <f>IF(AND('Mapa final'!$AB$33="Muy Alta",'Mapa final'!$AD$33="Moderado"),CONCATENATE("R5C",'Mapa final'!$R$33),"")</f>
        <v/>
      </c>
      <c r="Y10" s="37" t="str">
        <f>IF(AND('Mapa final'!$AB$34="Muy Alta",'Mapa final'!$AD$34="Moderado"),CONCATENATE("R5C",'Mapa final'!$R$34),"")</f>
        <v/>
      </c>
      <c r="Z10" s="37" t="str">
        <f>IF(AND('Mapa final'!$AB$35="Muy Alta",'Mapa final'!$AD$35="Moderado"),CONCATENATE("R5C",'Mapa final'!$R$35),"")</f>
        <v/>
      </c>
      <c r="AA10" s="38" t="str">
        <f>IF(AND('Mapa final'!$AB$36="Muy Alta",'Mapa final'!$AD$36="Moderado"),CONCATENATE("R5C",'Mapa final'!$R$36),"")</f>
        <v/>
      </c>
      <c r="AB10" s="36" t="str">
        <f>IF(AND('Mapa final'!$AB$31="Muy Alta",'Mapa final'!$AD$31="Mayor"),CONCATENATE("R5C",'Mapa final'!$R$31),"")</f>
        <v/>
      </c>
      <c r="AC10" s="37" t="str">
        <f>IF(AND('Mapa final'!$AB$32="Muy Alta",'Mapa final'!$AD$32="Mayor"),CONCATENATE("R5C",'Mapa final'!$R$32),"")</f>
        <v/>
      </c>
      <c r="AD10" s="37" t="str">
        <f>IF(AND('Mapa final'!$AB$33="Muy Alta",'Mapa final'!$AD$33="Mayor"),CONCATENATE("R5C",'Mapa final'!$R$33),"")</f>
        <v/>
      </c>
      <c r="AE10" s="37" t="str">
        <f>IF(AND('Mapa final'!$AB$34="Muy Alta",'Mapa final'!$AD$34="Mayor"),CONCATENATE("R5C",'Mapa final'!$R$34),"")</f>
        <v/>
      </c>
      <c r="AF10" s="37" t="str">
        <f>IF(AND('Mapa final'!$AB$35="Muy Alta",'Mapa final'!$AD$35="Mayor"),CONCATENATE("R5C",'Mapa final'!$R$35),"")</f>
        <v/>
      </c>
      <c r="AG10" s="38" t="str">
        <f>IF(AND('Mapa final'!$AB$36="Muy Alta",'Mapa final'!$AD$36="Mayor"),CONCATENATE("R5C",'Mapa final'!$R$36),"")</f>
        <v/>
      </c>
      <c r="AH10" s="39" t="str">
        <f>IF(AND('Mapa final'!$AB$31="Muy Alta",'Mapa final'!$AD$31="Catastrófico"),CONCATENATE("R5C",'Mapa final'!$R$31),"")</f>
        <v/>
      </c>
      <c r="AI10" s="40" t="str">
        <f>IF(AND('Mapa final'!$AB$32="Muy Alta",'Mapa final'!$AD$32="Catastrófico"),CONCATENATE("R5C",'Mapa final'!$R$32),"")</f>
        <v/>
      </c>
      <c r="AJ10" s="40" t="str">
        <f>IF(AND('Mapa final'!$AB$33="Muy Alta",'Mapa final'!$AD$33="Catastrófico"),CONCATENATE("R5C",'Mapa final'!$R$33),"")</f>
        <v/>
      </c>
      <c r="AK10" s="40" t="str">
        <f>IF(AND('Mapa final'!$AB$34="Muy Alta",'Mapa final'!$AD$34="Catastrófico"),CONCATENATE("R5C",'Mapa final'!$R$34),"")</f>
        <v/>
      </c>
      <c r="AL10" s="40" t="str">
        <f>IF(AND('Mapa final'!$AB$35="Muy Alta",'Mapa final'!$AD$35="Catastrófico"),CONCATENATE("R5C",'Mapa final'!$R$35),"")</f>
        <v/>
      </c>
      <c r="AM10" s="41" t="str">
        <f>IF(AND('Mapa final'!$AB$36="Muy Alta",'Mapa final'!$AD$36="Catastrófico"),CONCATENATE("R5C",'Mapa final'!$R$36),"")</f>
        <v/>
      </c>
      <c r="AN10" s="67"/>
      <c r="AO10" s="586"/>
      <c r="AP10" s="587"/>
      <c r="AQ10" s="587"/>
      <c r="AR10" s="587"/>
      <c r="AS10" s="587"/>
      <c r="AT10" s="588"/>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481"/>
      <c r="C11" s="481"/>
      <c r="D11" s="482"/>
      <c r="E11" s="580"/>
      <c r="F11" s="579"/>
      <c r="G11" s="579"/>
      <c r="H11" s="579"/>
      <c r="I11" s="595"/>
      <c r="J11" s="36" t="str">
        <f>IF(AND('Mapa final'!$AB$37="Muy Alta",'Mapa final'!$AD$37="Leve"),CONCATENATE("R6C",'Mapa final'!$R$37),"")</f>
        <v/>
      </c>
      <c r="K11" s="37" t="str">
        <f>IF(AND('Mapa final'!$AB$38="Muy Alta",'Mapa final'!$AD$38="Leve"),CONCATENATE("R6C",'Mapa final'!$R$38),"")</f>
        <v/>
      </c>
      <c r="L11" s="37" t="str">
        <f>IF(AND('Mapa final'!$AB$39="Muy Alta",'Mapa final'!$AD$39="Leve"),CONCATENATE("R6C",'Mapa final'!$R$39),"")</f>
        <v/>
      </c>
      <c r="M11" s="37" t="str">
        <f>IF(AND('Mapa final'!$AB$40="Muy Alta",'Mapa final'!$AD$40="Leve"),CONCATENATE("R6C",'Mapa final'!$R$40),"")</f>
        <v/>
      </c>
      <c r="N11" s="37" t="str">
        <f>IF(AND('Mapa final'!$AB$41="Muy Alta",'Mapa final'!$AD$41="Leve"),CONCATENATE("R6C",'Mapa final'!$R$41),"")</f>
        <v/>
      </c>
      <c r="O11" s="38" t="str">
        <f>IF(AND('Mapa final'!$AB$42="Muy Alta",'Mapa final'!$AD$42="Leve"),CONCATENATE("R6C",'Mapa final'!$R$42),"")</f>
        <v/>
      </c>
      <c r="P11" s="36" t="str">
        <f>IF(AND('Mapa final'!$AB$37="Muy Alta",'Mapa final'!$AD$37="Menor"),CONCATENATE("R6C",'Mapa final'!$R$37),"")</f>
        <v/>
      </c>
      <c r="Q11" s="37" t="str">
        <f>IF(AND('Mapa final'!$AB$38="Muy Alta",'Mapa final'!$AD$38="Menor"),CONCATENATE("R6C",'Mapa final'!$R$38),"")</f>
        <v/>
      </c>
      <c r="R11" s="37" t="str">
        <f>IF(AND('Mapa final'!$AB$39="Muy Alta",'Mapa final'!$AD$39="Menor"),CONCATENATE("R6C",'Mapa final'!$R$39),"")</f>
        <v/>
      </c>
      <c r="S11" s="37" t="str">
        <f>IF(AND('Mapa final'!$AB$40="Muy Alta",'Mapa final'!$AD$40="Menor"),CONCATENATE("R6C",'Mapa final'!$R$40),"")</f>
        <v/>
      </c>
      <c r="T11" s="37" t="str">
        <f>IF(AND('Mapa final'!$AB$41="Muy Alta",'Mapa final'!$AD$41="Menor"),CONCATENATE("R6C",'Mapa final'!$R$41),"")</f>
        <v/>
      </c>
      <c r="U11" s="38" t="str">
        <f>IF(AND('Mapa final'!$AB$42="Muy Alta",'Mapa final'!$AD$42="Menor"),CONCATENATE("R6C",'Mapa final'!$R$42),"")</f>
        <v/>
      </c>
      <c r="V11" s="36" t="str">
        <f>IF(AND('Mapa final'!$AB$37="Muy Alta",'Mapa final'!$AD$37="Moderado"),CONCATENATE("R6C",'Mapa final'!$R$37),"")</f>
        <v/>
      </c>
      <c r="W11" s="37" t="str">
        <f>IF(AND('Mapa final'!$AB$38="Muy Alta",'Mapa final'!$AD$38="Moderado"),CONCATENATE("R6C",'Mapa final'!$R$38),"")</f>
        <v/>
      </c>
      <c r="X11" s="37" t="str">
        <f>IF(AND('Mapa final'!$AB$39="Muy Alta",'Mapa final'!$AD$39="Moderado"),CONCATENATE("R6C",'Mapa final'!$R$39),"")</f>
        <v/>
      </c>
      <c r="Y11" s="37" t="str">
        <f>IF(AND('Mapa final'!$AB$40="Muy Alta",'Mapa final'!$AD$40="Moderado"),CONCATENATE("R6C",'Mapa final'!$R$40),"")</f>
        <v/>
      </c>
      <c r="Z11" s="37" t="str">
        <f>IF(AND('Mapa final'!$AB$41="Muy Alta",'Mapa final'!$AD$41="Moderado"),CONCATENATE("R6C",'Mapa final'!$R$41),"")</f>
        <v/>
      </c>
      <c r="AA11" s="38" t="str">
        <f>IF(AND('Mapa final'!$AB$42="Muy Alta",'Mapa final'!$AD$42="Moderado"),CONCATENATE("R6C",'Mapa final'!$R$42),"")</f>
        <v/>
      </c>
      <c r="AB11" s="36" t="str">
        <f>IF(AND('Mapa final'!$AB$37="Muy Alta",'Mapa final'!$AD$37="Mayor"),CONCATENATE("R6C",'Mapa final'!$R$37),"")</f>
        <v/>
      </c>
      <c r="AC11" s="37" t="str">
        <f>IF(AND('Mapa final'!$AB$38="Muy Alta",'Mapa final'!$AD$38="Mayor"),CONCATENATE("R6C",'Mapa final'!$R$38),"")</f>
        <v/>
      </c>
      <c r="AD11" s="37" t="str">
        <f>IF(AND('Mapa final'!$AB$39="Muy Alta",'Mapa final'!$AD$39="Mayor"),CONCATENATE("R6C",'Mapa final'!$R$39),"")</f>
        <v/>
      </c>
      <c r="AE11" s="37" t="str">
        <f>IF(AND('Mapa final'!$AB$40="Muy Alta",'Mapa final'!$AD$40="Mayor"),CONCATENATE("R6C",'Mapa final'!$R$40),"")</f>
        <v/>
      </c>
      <c r="AF11" s="37" t="str">
        <f>IF(AND('Mapa final'!$AB$41="Muy Alta",'Mapa final'!$AD$41="Mayor"),CONCATENATE("R6C",'Mapa final'!$R$41),"")</f>
        <v/>
      </c>
      <c r="AG11" s="38" t="str">
        <f>IF(AND('Mapa final'!$AB$42="Muy Alta",'Mapa final'!$AD$42="Mayor"),CONCATENATE("R6C",'Mapa final'!$R$42),"")</f>
        <v/>
      </c>
      <c r="AH11" s="39" t="str">
        <f>IF(AND('Mapa final'!$AB$37="Muy Alta",'Mapa final'!$AD$37="Catastrófico"),CONCATENATE("R6C",'Mapa final'!$R$37),"")</f>
        <v/>
      </c>
      <c r="AI11" s="40" t="str">
        <f>IF(AND('Mapa final'!$AB$38="Muy Alta",'Mapa final'!$AD$38="Catastrófico"),CONCATENATE("R6C",'Mapa final'!$R$38),"")</f>
        <v/>
      </c>
      <c r="AJ11" s="40" t="str">
        <f>IF(AND('Mapa final'!$AB$39="Muy Alta",'Mapa final'!$AD$39="Catastrófico"),CONCATENATE("R6C",'Mapa final'!$R$39),"")</f>
        <v/>
      </c>
      <c r="AK11" s="40" t="str">
        <f>IF(AND('Mapa final'!$AB$40="Muy Alta",'Mapa final'!$AD$40="Catastrófico"),CONCATENATE("R6C",'Mapa final'!$R$40),"")</f>
        <v/>
      </c>
      <c r="AL11" s="40" t="str">
        <f>IF(AND('Mapa final'!$AB$41="Muy Alta",'Mapa final'!$AD$41="Catastrófico"),CONCATENATE("R6C",'Mapa final'!$R$41),"")</f>
        <v/>
      </c>
      <c r="AM11" s="41" t="str">
        <f>IF(AND('Mapa final'!$AB$42="Muy Alta",'Mapa final'!$AD$42="Catastrófico"),CONCATENATE("R6C",'Mapa final'!$R$42),"")</f>
        <v/>
      </c>
      <c r="AN11" s="67"/>
      <c r="AO11" s="586"/>
      <c r="AP11" s="587"/>
      <c r="AQ11" s="587"/>
      <c r="AR11" s="587"/>
      <c r="AS11" s="587"/>
      <c r="AT11" s="588"/>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481"/>
      <c r="C12" s="481"/>
      <c r="D12" s="482"/>
      <c r="E12" s="580"/>
      <c r="F12" s="579"/>
      <c r="G12" s="579"/>
      <c r="H12" s="579"/>
      <c r="I12" s="595"/>
      <c r="J12" s="36" t="str">
        <f>IF(AND('Mapa final'!$AB$43="Muy Alta",'Mapa final'!$AD$43="Leve"),CONCATENATE("R7C",'Mapa final'!$R$43),"")</f>
        <v/>
      </c>
      <c r="K12" s="37" t="str">
        <f>IF(AND('Mapa final'!$AB$44="Muy Alta",'Mapa final'!$AD$44="Leve"),CONCATENATE("R7C",'Mapa final'!$R$44),"")</f>
        <v/>
      </c>
      <c r="L12" s="37" t="str">
        <f>IF(AND('Mapa final'!$AB$45="Muy Alta",'Mapa final'!$AD$45="Leve"),CONCATENATE("R7C",'Mapa final'!$R$45),"")</f>
        <v/>
      </c>
      <c r="M12" s="37" t="str">
        <f>IF(AND('Mapa final'!$AB$46="Muy Alta",'Mapa final'!$AD$46="Leve"),CONCATENATE("R7C",'Mapa final'!$R$46),"")</f>
        <v/>
      </c>
      <c r="N12" s="37" t="str">
        <f>IF(AND('Mapa final'!$AB$47="Muy Alta",'Mapa final'!$AD$47="Leve"),CONCATENATE("R7C",'Mapa final'!$R$47),"")</f>
        <v/>
      </c>
      <c r="O12" s="38" t="str">
        <f>IF(AND('Mapa final'!$AB$48="Muy Alta",'Mapa final'!$AD$48="Leve"),CONCATENATE("R7C",'Mapa final'!$R$48),"")</f>
        <v/>
      </c>
      <c r="P12" s="36" t="str">
        <f>IF(AND('Mapa final'!$AB$43="Muy Alta",'Mapa final'!$AD$43="Menor"),CONCATENATE("R7C",'Mapa final'!$R$43),"")</f>
        <v/>
      </c>
      <c r="Q12" s="37" t="str">
        <f>IF(AND('Mapa final'!$AB$44="Muy Alta",'Mapa final'!$AD$44="Menor"),CONCATENATE("R7C",'Mapa final'!$R$44),"")</f>
        <v/>
      </c>
      <c r="R12" s="37" t="str">
        <f>IF(AND('Mapa final'!$AB$45="Muy Alta",'Mapa final'!$AD$45="Menor"),CONCATENATE("R7C",'Mapa final'!$R$45),"")</f>
        <v/>
      </c>
      <c r="S12" s="37" t="str">
        <f>IF(AND('Mapa final'!$AB$46="Muy Alta",'Mapa final'!$AD$46="Menor"),CONCATENATE("R7C",'Mapa final'!$R$46),"")</f>
        <v/>
      </c>
      <c r="T12" s="37" t="str">
        <f>IF(AND('Mapa final'!$AB$47="Muy Alta",'Mapa final'!$AD$47="Menor"),CONCATENATE("R7C",'Mapa final'!$R$47),"")</f>
        <v/>
      </c>
      <c r="U12" s="38" t="str">
        <f>IF(AND('Mapa final'!$AB$48="Muy Alta",'Mapa final'!$AD$48="Menor"),CONCATENATE("R7C",'Mapa final'!$R$48),"")</f>
        <v/>
      </c>
      <c r="V12" s="36" t="str">
        <f>IF(AND('Mapa final'!$AB$43="Muy Alta",'Mapa final'!$AD$43="Moderado"),CONCATENATE("R7C",'Mapa final'!$R$43),"")</f>
        <v/>
      </c>
      <c r="W12" s="37" t="str">
        <f>IF(AND('Mapa final'!$AB$44="Muy Alta",'Mapa final'!$AD$44="Moderado"),CONCATENATE("R7C",'Mapa final'!$R$44),"")</f>
        <v/>
      </c>
      <c r="X12" s="37" t="str">
        <f>IF(AND('Mapa final'!$AB$45="Muy Alta",'Mapa final'!$AD$45="Moderado"),CONCATENATE("R7C",'Mapa final'!$R$45),"")</f>
        <v/>
      </c>
      <c r="Y12" s="37" t="str">
        <f>IF(AND('Mapa final'!$AB$46="Muy Alta",'Mapa final'!$AD$46="Moderado"),CONCATENATE("R7C",'Mapa final'!$R$46),"")</f>
        <v/>
      </c>
      <c r="Z12" s="37" t="str">
        <f>IF(AND('Mapa final'!$AB$47="Muy Alta",'Mapa final'!$AD$47="Moderado"),CONCATENATE("R7C",'Mapa final'!$R$47),"")</f>
        <v/>
      </c>
      <c r="AA12" s="38" t="str">
        <f>IF(AND('Mapa final'!$AB$48="Muy Alta",'Mapa final'!$AD$48="Moderado"),CONCATENATE("R7C",'Mapa final'!$R$48),"")</f>
        <v/>
      </c>
      <c r="AB12" s="36" t="str">
        <f>IF(AND('Mapa final'!$AB$43="Muy Alta",'Mapa final'!$AD$43="Mayor"),CONCATENATE("R7C",'Mapa final'!$R$43),"")</f>
        <v/>
      </c>
      <c r="AC12" s="37" t="str">
        <f>IF(AND('Mapa final'!$AB$44="Muy Alta",'Mapa final'!$AD$44="Mayor"),CONCATENATE("R7C",'Mapa final'!$R$44),"")</f>
        <v/>
      </c>
      <c r="AD12" s="37" t="str">
        <f>IF(AND('Mapa final'!$AB$45="Muy Alta",'Mapa final'!$AD$45="Mayor"),CONCATENATE("R7C",'Mapa final'!$R$45),"")</f>
        <v/>
      </c>
      <c r="AE12" s="37" t="str">
        <f>IF(AND('Mapa final'!$AB$46="Muy Alta",'Mapa final'!$AD$46="Mayor"),CONCATENATE("R7C",'Mapa final'!$R$46),"")</f>
        <v/>
      </c>
      <c r="AF12" s="37" t="str">
        <f>IF(AND('Mapa final'!$AB$47="Muy Alta",'Mapa final'!$AD$47="Mayor"),CONCATENATE("R7C",'Mapa final'!$R$47),"")</f>
        <v/>
      </c>
      <c r="AG12" s="38" t="str">
        <f>IF(AND('Mapa final'!$AB$48="Muy Alta",'Mapa final'!$AD$48="Mayor"),CONCATENATE("R7C",'Mapa final'!$R$48),"")</f>
        <v/>
      </c>
      <c r="AH12" s="39" t="str">
        <f>IF(AND('Mapa final'!$AB$43="Muy Alta",'Mapa final'!$AD$43="Catastrófico"),CONCATENATE("R7C",'Mapa final'!$R$43),"")</f>
        <v/>
      </c>
      <c r="AI12" s="40" t="str">
        <f>IF(AND('Mapa final'!$AB$44="Muy Alta",'Mapa final'!$AD$44="Catastrófico"),CONCATENATE("R7C",'Mapa final'!$R$44),"")</f>
        <v/>
      </c>
      <c r="AJ12" s="40" t="str">
        <f>IF(AND('Mapa final'!$AB$45="Muy Alta",'Mapa final'!$AD$45="Catastrófico"),CONCATENATE("R7C",'Mapa final'!$R$45),"")</f>
        <v/>
      </c>
      <c r="AK12" s="40" t="str">
        <f>IF(AND('Mapa final'!$AB$46="Muy Alta",'Mapa final'!$AD$46="Catastrófico"),CONCATENATE("R7C",'Mapa final'!$R$46),"")</f>
        <v/>
      </c>
      <c r="AL12" s="40" t="str">
        <f>IF(AND('Mapa final'!$AB$47="Muy Alta",'Mapa final'!$AD$47="Catastrófico"),CONCATENATE("R7C",'Mapa final'!$R$47),"")</f>
        <v/>
      </c>
      <c r="AM12" s="41" t="str">
        <f>IF(AND('Mapa final'!$AB$48="Muy Alta",'Mapa final'!$AD$48="Catastrófico"),CONCATENATE("R7C",'Mapa final'!$R$48),"")</f>
        <v/>
      </c>
      <c r="AN12" s="67"/>
      <c r="AO12" s="586"/>
      <c r="AP12" s="587"/>
      <c r="AQ12" s="587"/>
      <c r="AR12" s="587"/>
      <c r="AS12" s="587"/>
      <c r="AT12" s="588"/>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481"/>
      <c r="C13" s="481"/>
      <c r="D13" s="482"/>
      <c r="E13" s="580"/>
      <c r="F13" s="579"/>
      <c r="G13" s="579"/>
      <c r="H13" s="579"/>
      <c r="I13" s="595"/>
      <c r="J13" s="36" t="str">
        <f>IF(AND('Mapa final'!$AB$49="Muy Alta",'Mapa final'!$AD$49="Leve"),CONCATENATE("R8C",'Mapa final'!$R$49),"")</f>
        <v/>
      </c>
      <c r="K13" s="37" t="str">
        <f>IF(AND('Mapa final'!$AB$50="Muy Alta",'Mapa final'!$AD$50="Leve"),CONCATENATE("R8C",'Mapa final'!$R$50),"")</f>
        <v/>
      </c>
      <c r="L13" s="37" t="str">
        <f>IF(AND('Mapa final'!$AB$51="Muy Alta",'Mapa final'!$AD$51="Leve"),CONCATENATE("R8C",'Mapa final'!$R$51),"")</f>
        <v/>
      </c>
      <c r="M13" s="37" t="str">
        <f>IF(AND('Mapa final'!$AB$52="Muy Alta",'Mapa final'!$AD$52="Leve"),CONCATENATE("R8C",'Mapa final'!$R$52),"")</f>
        <v/>
      </c>
      <c r="N13" s="37" t="str">
        <f>IF(AND('Mapa final'!$AB$53="Muy Alta",'Mapa final'!$AD$53="Leve"),CONCATENATE("R8C",'Mapa final'!$R$53),"")</f>
        <v/>
      </c>
      <c r="O13" s="38" t="str">
        <f>IF(AND('Mapa final'!$AB$54="Muy Alta",'Mapa final'!$AD$54="Leve"),CONCATENATE("R8C",'Mapa final'!$R$54),"")</f>
        <v/>
      </c>
      <c r="P13" s="36" t="str">
        <f>IF(AND('Mapa final'!$AB$49="Muy Alta",'Mapa final'!$AD$49="Menor"),CONCATENATE("R8C",'Mapa final'!$R$49),"")</f>
        <v/>
      </c>
      <c r="Q13" s="37" t="str">
        <f>IF(AND('Mapa final'!$AB$50="Muy Alta",'Mapa final'!$AD$50="Menor"),CONCATENATE("R8C",'Mapa final'!$R$50),"")</f>
        <v/>
      </c>
      <c r="R13" s="37" t="str">
        <f>IF(AND('Mapa final'!$AB$51="Muy Alta",'Mapa final'!$AD$51="Menor"),CONCATENATE("R8C",'Mapa final'!$R$51),"")</f>
        <v/>
      </c>
      <c r="S13" s="37" t="str">
        <f>IF(AND('Mapa final'!$AB$52="Muy Alta",'Mapa final'!$AD$52="Menor"),CONCATENATE("R8C",'Mapa final'!$R$52),"")</f>
        <v/>
      </c>
      <c r="T13" s="37" t="str">
        <f>IF(AND('Mapa final'!$AB$53="Muy Alta",'Mapa final'!$AD$53="Menor"),CONCATENATE("R8C",'Mapa final'!$R$53),"")</f>
        <v/>
      </c>
      <c r="U13" s="38" t="str">
        <f>IF(AND('Mapa final'!$AB$54="Muy Alta",'Mapa final'!$AD$54="Menor"),CONCATENATE("R8C",'Mapa final'!$R$54),"")</f>
        <v/>
      </c>
      <c r="V13" s="36" t="str">
        <f>IF(AND('Mapa final'!$AB$49="Muy Alta",'Mapa final'!$AD$49="Moderado"),CONCATENATE("R8C",'Mapa final'!$R$49),"")</f>
        <v/>
      </c>
      <c r="W13" s="37" t="str">
        <f>IF(AND('Mapa final'!$AB$50="Muy Alta",'Mapa final'!$AD$50="Moderado"),CONCATENATE("R8C",'Mapa final'!$R$50),"")</f>
        <v/>
      </c>
      <c r="X13" s="37" t="str">
        <f>IF(AND('Mapa final'!$AB$51="Muy Alta",'Mapa final'!$AD$51="Moderado"),CONCATENATE("R8C",'Mapa final'!$R$51),"")</f>
        <v/>
      </c>
      <c r="Y13" s="37" t="str">
        <f>IF(AND('Mapa final'!$AB$52="Muy Alta",'Mapa final'!$AD$52="Moderado"),CONCATENATE("R8C",'Mapa final'!$R$52),"")</f>
        <v/>
      </c>
      <c r="Z13" s="37" t="str">
        <f>IF(AND('Mapa final'!$AB$53="Muy Alta",'Mapa final'!$AD$53="Moderado"),CONCATENATE("R8C",'Mapa final'!$R$53),"")</f>
        <v/>
      </c>
      <c r="AA13" s="38" t="str">
        <f>IF(AND('Mapa final'!$AB$54="Muy Alta",'Mapa final'!$AD$54="Moderado"),CONCATENATE("R8C",'Mapa final'!$R$54),"")</f>
        <v/>
      </c>
      <c r="AB13" s="36" t="str">
        <f>IF(AND('Mapa final'!$AB$49="Muy Alta",'Mapa final'!$AD$49="Mayor"),CONCATENATE("R8C",'Mapa final'!$R$49),"")</f>
        <v/>
      </c>
      <c r="AC13" s="37" t="str">
        <f>IF(AND('Mapa final'!$AB$50="Muy Alta",'Mapa final'!$AD$50="Mayor"),CONCATENATE("R8C",'Mapa final'!$R$50),"")</f>
        <v/>
      </c>
      <c r="AD13" s="37" t="str">
        <f>IF(AND('Mapa final'!$AB$51="Muy Alta",'Mapa final'!$AD$51="Mayor"),CONCATENATE("R8C",'Mapa final'!$R$51),"")</f>
        <v/>
      </c>
      <c r="AE13" s="37" t="str">
        <f>IF(AND('Mapa final'!$AB$52="Muy Alta",'Mapa final'!$AD$52="Mayor"),CONCATENATE("R8C",'Mapa final'!$R$52),"")</f>
        <v/>
      </c>
      <c r="AF13" s="37" t="str">
        <f>IF(AND('Mapa final'!$AB$53="Muy Alta",'Mapa final'!$AD$53="Mayor"),CONCATENATE("R8C",'Mapa final'!$R$53),"")</f>
        <v/>
      </c>
      <c r="AG13" s="38" t="str">
        <f>IF(AND('Mapa final'!$AB$54="Muy Alta",'Mapa final'!$AD$54="Mayor"),CONCATENATE("R8C",'Mapa final'!$R$54),"")</f>
        <v/>
      </c>
      <c r="AH13" s="39" t="str">
        <f>IF(AND('Mapa final'!$AB$49="Muy Alta",'Mapa final'!$AD$49="Catastrófico"),CONCATENATE("R8C",'Mapa final'!$R$49),"")</f>
        <v/>
      </c>
      <c r="AI13" s="40" t="str">
        <f>IF(AND('Mapa final'!$AB$50="Muy Alta",'Mapa final'!$AD$50="Catastrófico"),CONCATENATE("R8C",'Mapa final'!$R$50),"")</f>
        <v/>
      </c>
      <c r="AJ13" s="40" t="str">
        <f>IF(AND('Mapa final'!$AB$51="Muy Alta",'Mapa final'!$AD$51="Catastrófico"),CONCATENATE("R8C",'Mapa final'!$R$51),"")</f>
        <v/>
      </c>
      <c r="AK13" s="40" t="str">
        <f>IF(AND('Mapa final'!$AB$52="Muy Alta",'Mapa final'!$AD$52="Catastrófico"),CONCATENATE("R8C",'Mapa final'!$R$52),"")</f>
        <v/>
      </c>
      <c r="AL13" s="40" t="str">
        <f>IF(AND('Mapa final'!$AB$53="Muy Alta",'Mapa final'!$AD$53="Catastrófico"),CONCATENATE("R8C",'Mapa final'!$R$53),"")</f>
        <v/>
      </c>
      <c r="AM13" s="41" t="str">
        <f>IF(AND('Mapa final'!$AB$54="Muy Alta",'Mapa final'!$AD$54="Catastrófico"),CONCATENATE("R8C",'Mapa final'!$R$54),"")</f>
        <v/>
      </c>
      <c r="AN13" s="67"/>
      <c r="AO13" s="586"/>
      <c r="AP13" s="587"/>
      <c r="AQ13" s="587"/>
      <c r="AR13" s="587"/>
      <c r="AS13" s="587"/>
      <c r="AT13" s="588"/>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481"/>
      <c r="C14" s="481"/>
      <c r="D14" s="482"/>
      <c r="E14" s="580"/>
      <c r="F14" s="579"/>
      <c r="G14" s="579"/>
      <c r="H14" s="579"/>
      <c r="I14" s="595"/>
      <c r="J14" s="36" t="str">
        <f>IF(AND('Mapa final'!$AB$55="Muy Alta",'Mapa final'!$AD$55="Leve"),CONCATENATE("R9C",'Mapa final'!$R$55),"")</f>
        <v/>
      </c>
      <c r="K14" s="37" t="str">
        <f>IF(AND('Mapa final'!$AB$56="Muy Alta",'Mapa final'!$AD$56="Leve"),CONCATENATE("R9C",'Mapa final'!$R$56),"")</f>
        <v/>
      </c>
      <c r="L14" s="37" t="str">
        <f>IF(AND('Mapa final'!$AB$57="Muy Alta",'Mapa final'!$AD$57="Leve"),CONCATENATE("R9C",'Mapa final'!$R$57),"")</f>
        <v/>
      </c>
      <c r="M14" s="37" t="str">
        <f>IF(AND('Mapa final'!$AB$58="Muy Alta",'Mapa final'!$AD$58="Leve"),CONCATENATE("R9C",'Mapa final'!$R$58),"")</f>
        <v/>
      </c>
      <c r="N14" s="37" t="str">
        <f>IF(AND('Mapa final'!$AB$59="Muy Alta",'Mapa final'!$AD$59="Leve"),CONCATENATE("R9C",'Mapa final'!$R$59),"")</f>
        <v/>
      </c>
      <c r="O14" s="38" t="str">
        <f>IF(AND('Mapa final'!$AB$60="Muy Alta",'Mapa final'!$AD$60="Leve"),CONCATENATE("R9C",'Mapa final'!$R$60),"")</f>
        <v/>
      </c>
      <c r="P14" s="36" t="str">
        <f>IF(AND('Mapa final'!$AB$55="Muy Alta",'Mapa final'!$AD$55="Menor"),CONCATENATE("R9C",'Mapa final'!$R$55),"")</f>
        <v/>
      </c>
      <c r="Q14" s="37" t="str">
        <f>IF(AND('Mapa final'!$AB$56="Muy Alta",'Mapa final'!$AD$56="Menor"),CONCATENATE("R9C",'Mapa final'!$R$56),"")</f>
        <v/>
      </c>
      <c r="R14" s="37" t="str">
        <f>IF(AND('Mapa final'!$AB$57="Muy Alta",'Mapa final'!$AD$57="Menor"),CONCATENATE("R9C",'Mapa final'!$R$57),"")</f>
        <v/>
      </c>
      <c r="S14" s="37" t="str">
        <f>IF(AND('Mapa final'!$AB$58="Muy Alta",'Mapa final'!$AD$58="Menor"),CONCATENATE("R9C",'Mapa final'!$R$58),"")</f>
        <v/>
      </c>
      <c r="T14" s="37" t="str">
        <f>IF(AND('Mapa final'!$AB$59="Muy Alta",'Mapa final'!$AD$59="Menor"),CONCATENATE("R9C",'Mapa final'!$R$59),"")</f>
        <v/>
      </c>
      <c r="U14" s="38" t="str">
        <f>IF(AND('Mapa final'!$AB$60="Muy Alta",'Mapa final'!$AD$60="Menor"),CONCATENATE("R9C",'Mapa final'!$R$60),"")</f>
        <v/>
      </c>
      <c r="V14" s="36" t="str">
        <f>IF(AND('Mapa final'!$AB$55="Muy Alta",'Mapa final'!$AD$55="Moderado"),CONCATENATE("R9C",'Mapa final'!$R$55),"")</f>
        <v/>
      </c>
      <c r="W14" s="37" t="str">
        <f>IF(AND('Mapa final'!$AB$56="Muy Alta",'Mapa final'!$AD$56="Moderado"),CONCATENATE("R9C",'Mapa final'!$R$56),"")</f>
        <v/>
      </c>
      <c r="X14" s="37" t="str">
        <f>IF(AND('Mapa final'!$AB$57="Muy Alta",'Mapa final'!$AD$57="Moderado"),CONCATENATE("R9C",'Mapa final'!$R$57),"")</f>
        <v/>
      </c>
      <c r="Y14" s="37" t="str">
        <f>IF(AND('Mapa final'!$AB$58="Muy Alta",'Mapa final'!$AD$58="Moderado"),CONCATENATE("R9C",'Mapa final'!$R$58),"")</f>
        <v/>
      </c>
      <c r="Z14" s="37" t="str">
        <f>IF(AND('Mapa final'!$AB$59="Muy Alta",'Mapa final'!$AD$59="Moderado"),CONCATENATE("R9C",'Mapa final'!$R$59),"")</f>
        <v/>
      </c>
      <c r="AA14" s="38" t="str">
        <f>IF(AND('Mapa final'!$AB$60="Muy Alta",'Mapa final'!$AD$60="Moderado"),CONCATENATE("R9C",'Mapa final'!$R$60),"")</f>
        <v/>
      </c>
      <c r="AB14" s="36" t="str">
        <f>IF(AND('Mapa final'!$AB$55="Muy Alta",'Mapa final'!$AD$55="Mayor"),CONCATENATE("R9C",'Mapa final'!$R$55),"")</f>
        <v/>
      </c>
      <c r="AC14" s="37" t="str">
        <f>IF(AND('Mapa final'!$AB$56="Muy Alta",'Mapa final'!$AD$56="Mayor"),CONCATENATE("R9C",'Mapa final'!$R$56),"")</f>
        <v/>
      </c>
      <c r="AD14" s="37" t="str">
        <f>IF(AND('Mapa final'!$AB$57="Muy Alta",'Mapa final'!$AD$57="Mayor"),CONCATENATE("R9C",'Mapa final'!$R$57),"")</f>
        <v/>
      </c>
      <c r="AE14" s="37" t="str">
        <f>IF(AND('Mapa final'!$AB$58="Muy Alta",'Mapa final'!$AD$58="Mayor"),CONCATENATE("R9C",'Mapa final'!$R$58),"")</f>
        <v/>
      </c>
      <c r="AF14" s="37" t="str">
        <f>IF(AND('Mapa final'!$AB$59="Muy Alta",'Mapa final'!$AD$59="Mayor"),CONCATENATE("R9C",'Mapa final'!$R$59),"")</f>
        <v/>
      </c>
      <c r="AG14" s="38" t="str">
        <f>IF(AND('Mapa final'!$AB$60="Muy Alta",'Mapa final'!$AD$60="Mayor"),CONCATENATE("R9C",'Mapa final'!$R$60),"")</f>
        <v/>
      </c>
      <c r="AH14" s="39" t="str">
        <f>IF(AND('Mapa final'!$AB$55="Muy Alta",'Mapa final'!$AD$55="Catastrófico"),CONCATENATE("R9C",'Mapa final'!$R$55),"")</f>
        <v/>
      </c>
      <c r="AI14" s="40" t="str">
        <f>IF(AND('Mapa final'!$AB$56="Muy Alta",'Mapa final'!$AD$56="Catastrófico"),CONCATENATE("R9C",'Mapa final'!$R$56),"")</f>
        <v/>
      </c>
      <c r="AJ14" s="40" t="str">
        <f>IF(AND('Mapa final'!$AB$57="Muy Alta",'Mapa final'!$AD$57="Catastrófico"),CONCATENATE("R9C",'Mapa final'!$R$57),"")</f>
        <v/>
      </c>
      <c r="AK14" s="40" t="str">
        <f>IF(AND('Mapa final'!$AB$58="Muy Alta",'Mapa final'!$AD$58="Catastrófico"),CONCATENATE("R9C",'Mapa final'!$R$58),"")</f>
        <v/>
      </c>
      <c r="AL14" s="40" t="str">
        <f>IF(AND('Mapa final'!$AB$59="Muy Alta",'Mapa final'!$AD$59="Catastrófico"),CONCATENATE("R9C",'Mapa final'!$R$59),"")</f>
        <v/>
      </c>
      <c r="AM14" s="41" t="str">
        <f>IF(AND('Mapa final'!$AB$60="Muy Alta",'Mapa final'!$AD$60="Catastrófico"),CONCATENATE("R9C",'Mapa final'!$R$60),"")</f>
        <v/>
      </c>
      <c r="AN14" s="67"/>
      <c r="AO14" s="586"/>
      <c r="AP14" s="587"/>
      <c r="AQ14" s="587"/>
      <c r="AR14" s="587"/>
      <c r="AS14" s="587"/>
      <c r="AT14" s="588"/>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481"/>
      <c r="C15" s="481"/>
      <c r="D15" s="482"/>
      <c r="E15" s="581"/>
      <c r="F15" s="582"/>
      <c r="G15" s="582"/>
      <c r="H15" s="582"/>
      <c r="I15" s="596"/>
      <c r="J15" s="42" t="str">
        <f>IF(AND('Mapa final'!$AB$61="Muy Alta",'Mapa final'!$AD$61="Leve"),CONCATENATE("R10C",'Mapa final'!$R$61),"")</f>
        <v/>
      </c>
      <c r="K15" s="43" t="str">
        <f>IF(AND('Mapa final'!$AB$62="Muy Alta",'Mapa final'!$AD$62="Leve"),CONCATENATE("R10C",'Mapa final'!$R$62),"")</f>
        <v/>
      </c>
      <c r="L15" s="43" t="str">
        <f>IF(AND('Mapa final'!$AB$63="Muy Alta",'Mapa final'!$AD$63="Leve"),CONCATENATE("R10C",'Mapa final'!$R$63),"")</f>
        <v/>
      </c>
      <c r="M15" s="43" t="str">
        <f>IF(AND('Mapa final'!$AB$64="Muy Alta",'Mapa final'!$AD$64="Leve"),CONCATENATE("R10C",'Mapa final'!$R$64),"")</f>
        <v/>
      </c>
      <c r="N15" s="43" t="str">
        <f>IF(AND('Mapa final'!$AB$65="Muy Alta",'Mapa final'!$AD$65="Leve"),CONCATENATE("R10C",'Mapa final'!$R$65),"")</f>
        <v/>
      </c>
      <c r="O15" s="44" t="str">
        <f>IF(AND('Mapa final'!$AB$66="Muy Alta",'Mapa final'!$AD$66="Leve"),CONCATENATE("R10C",'Mapa final'!$R$66),"")</f>
        <v/>
      </c>
      <c r="P15" s="36" t="str">
        <f>IF(AND('Mapa final'!$AB$61="Muy Alta",'Mapa final'!$AD$61="Menor"),CONCATENATE("R10C",'Mapa final'!$R$61),"")</f>
        <v/>
      </c>
      <c r="Q15" s="37" t="str">
        <f>IF(AND('Mapa final'!$AB$62="Muy Alta",'Mapa final'!$AD$62="Menor"),CONCATENATE("R10C",'Mapa final'!$R$62),"")</f>
        <v/>
      </c>
      <c r="R15" s="37" t="str">
        <f>IF(AND('Mapa final'!$AB$63="Muy Alta",'Mapa final'!$AD$63="Menor"),CONCATENATE("R10C",'Mapa final'!$R$63),"")</f>
        <v/>
      </c>
      <c r="S15" s="37" t="str">
        <f>IF(AND('Mapa final'!$AB$64="Muy Alta",'Mapa final'!$AD$64="Menor"),CONCATENATE("R10C",'Mapa final'!$R$64),"")</f>
        <v/>
      </c>
      <c r="T15" s="37" t="str">
        <f>IF(AND('Mapa final'!$AB$65="Muy Alta",'Mapa final'!$AD$65="Menor"),CONCATENATE("R10C",'Mapa final'!$R$65),"")</f>
        <v/>
      </c>
      <c r="U15" s="38" t="str">
        <f>IF(AND('Mapa final'!$AB$66="Muy Alta",'Mapa final'!$AD$66="Menor"),CONCATENATE("R10C",'Mapa final'!$R$66),"")</f>
        <v/>
      </c>
      <c r="V15" s="42" t="str">
        <f>IF(AND('Mapa final'!$AB$61="Muy Alta",'Mapa final'!$AD$61="Moderado"),CONCATENATE("R10C",'Mapa final'!$R$61),"")</f>
        <v/>
      </c>
      <c r="W15" s="43" t="str">
        <f>IF(AND('Mapa final'!$AB$62="Muy Alta",'Mapa final'!$AD$62="Moderado"),CONCATENATE("R10C",'Mapa final'!$R$62),"")</f>
        <v/>
      </c>
      <c r="X15" s="43" t="str">
        <f>IF(AND('Mapa final'!$AB$63="Muy Alta",'Mapa final'!$AD$63="Moderado"),CONCATENATE("R10C",'Mapa final'!$R$63),"")</f>
        <v/>
      </c>
      <c r="Y15" s="43" t="str">
        <f>IF(AND('Mapa final'!$AB$64="Muy Alta",'Mapa final'!$AD$64="Moderado"),CONCATENATE("R10C",'Mapa final'!$R$64),"")</f>
        <v/>
      </c>
      <c r="Z15" s="43" t="str">
        <f>IF(AND('Mapa final'!$AB$65="Muy Alta",'Mapa final'!$AD$65="Moderado"),CONCATENATE("R10C",'Mapa final'!$R$65),"")</f>
        <v/>
      </c>
      <c r="AA15" s="44" t="str">
        <f>IF(AND('Mapa final'!$AB$66="Muy Alta",'Mapa final'!$AD$66="Moderado"),CONCATENATE("R10C",'Mapa final'!$R$66),"")</f>
        <v/>
      </c>
      <c r="AB15" s="36" t="str">
        <f>IF(AND('Mapa final'!$AB$61="Muy Alta",'Mapa final'!$AD$61="Mayor"),CONCATENATE("R10C",'Mapa final'!$R$61),"")</f>
        <v/>
      </c>
      <c r="AC15" s="37" t="str">
        <f>IF(AND('Mapa final'!$AB$62="Muy Alta",'Mapa final'!$AD$62="Mayor"),CONCATENATE("R10C",'Mapa final'!$R$62),"")</f>
        <v/>
      </c>
      <c r="AD15" s="37" t="str">
        <f>IF(AND('Mapa final'!$AB$63="Muy Alta",'Mapa final'!$AD$63="Mayor"),CONCATENATE("R10C",'Mapa final'!$R$63),"")</f>
        <v/>
      </c>
      <c r="AE15" s="37" t="str">
        <f>IF(AND('Mapa final'!$AB$64="Muy Alta",'Mapa final'!$AD$64="Mayor"),CONCATENATE("R10C",'Mapa final'!$R$64),"")</f>
        <v/>
      </c>
      <c r="AF15" s="37" t="str">
        <f>IF(AND('Mapa final'!$AB$65="Muy Alta",'Mapa final'!$AD$65="Mayor"),CONCATENATE("R10C",'Mapa final'!$R$65),"")</f>
        <v/>
      </c>
      <c r="AG15" s="38" t="str">
        <f>IF(AND('Mapa final'!$AB$66="Muy Alta",'Mapa final'!$AD$66="Mayor"),CONCATENATE("R10C",'Mapa final'!$R$66),"")</f>
        <v/>
      </c>
      <c r="AH15" s="45" t="str">
        <f>IF(AND('Mapa final'!$AB$61="Muy Alta",'Mapa final'!$AD$61="Catastrófico"),CONCATENATE("R10C",'Mapa final'!$R$61),"")</f>
        <v/>
      </c>
      <c r="AI15" s="46" t="str">
        <f>IF(AND('Mapa final'!$AB$62="Muy Alta",'Mapa final'!$AD$62="Catastrófico"),CONCATENATE("R10C",'Mapa final'!$R$62),"")</f>
        <v/>
      </c>
      <c r="AJ15" s="46" t="str">
        <f>IF(AND('Mapa final'!$AB$63="Muy Alta",'Mapa final'!$AD$63="Catastrófico"),CONCATENATE("R10C",'Mapa final'!$R$63),"")</f>
        <v/>
      </c>
      <c r="AK15" s="46" t="str">
        <f>IF(AND('Mapa final'!$AB$64="Muy Alta",'Mapa final'!$AD$64="Catastrófico"),CONCATENATE("R10C",'Mapa final'!$R$64),"")</f>
        <v/>
      </c>
      <c r="AL15" s="46" t="str">
        <f>IF(AND('Mapa final'!$AB$65="Muy Alta",'Mapa final'!$AD$65="Catastrófico"),CONCATENATE("R10C",'Mapa final'!$R$65),"")</f>
        <v/>
      </c>
      <c r="AM15" s="47" t="str">
        <f>IF(AND('Mapa final'!$AB$66="Muy Alta",'Mapa final'!$AD$66="Catastrófico"),CONCATENATE("R10C",'Mapa final'!$R$66),"")</f>
        <v/>
      </c>
      <c r="AN15" s="67"/>
      <c r="AO15" s="589"/>
      <c r="AP15" s="590"/>
      <c r="AQ15" s="590"/>
      <c r="AR15" s="590"/>
      <c r="AS15" s="590"/>
      <c r="AT15" s="591"/>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481"/>
      <c r="C16" s="481"/>
      <c r="D16" s="482"/>
      <c r="E16" s="576" t="s">
        <v>110</v>
      </c>
      <c r="F16" s="577"/>
      <c r="G16" s="577"/>
      <c r="H16" s="577"/>
      <c r="I16" s="577"/>
      <c r="J16" s="48" t="str">
        <f>IF(AND('Mapa final'!$AB$10="Alta",'Mapa final'!$AD$10="Leve"),CONCATENATE("R1C",'Mapa final'!$R$10),"")</f>
        <v/>
      </c>
      <c r="K16" s="49" t="str">
        <f>IF(AND('Mapa final'!$AB$11="Alta",'Mapa final'!$AD$11="Leve"),CONCATENATE("R1C",'Mapa final'!$R$11),"")</f>
        <v/>
      </c>
      <c r="L16" s="49" t="str">
        <f>IF(AND('Mapa final'!$AB$12="Alta",'Mapa final'!$AD$12="Leve"),CONCATENATE("R1C",'Mapa final'!$R$12),"")</f>
        <v/>
      </c>
      <c r="M16" s="49" t="e">
        <f>IF(AND('Mapa final'!#REF!="Alta",'Mapa final'!#REF!="Leve"),CONCATENATE("R1C",'Mapa final'!#REF!),"")</f>
        <v>#REF!</v>
      </c>
      <c r="N16" s="49" t="e">
        <f>IF(AND('Mapa final'!#REF!="Alta",'Mapa final'!#REF!="Leve"),CONCATENATE("R1C",'Mapa final'!#REF!),"")</f>
        <v>#REF!</v>
      </c>
      <c r="O16" s="50" t="e">
        <f>IF(AND('Mapa final'!#REF!="Alta",'Mapa final'!#REF!="Leve"),CONCATENATE("R1C",'Mapa final'!#REF!),"")</f>
        <v>#REF!</v>
      </c>
      <c r="P16" s="48" t="str">
        <f>IF(AND('Mapa final'!$AB$10="Alta",'Mapa final'!$AD$10="Menor"),CONCATENATE("R1C",'Mapa final'!$R$10),"")</f>
        <v/>
      </c>
      <c r="Q16" s="49" t="str">
        <f>IF(AND('Mapa final'!$AB$11="Alta",'Mapa final'!$AD$11="Menor"),CONCATENATE("R1C",'Mapa final'!$R$11),"")</f>
        <v/>
      </c>
      <c r="R16" s="49" t="str">
        <f>IF(AND('Mapa final'!$AB$12="Alta",'Mapa final'!$AD$12="Menor"),CONCATENATE("R1C",'Mapa final'!$R$12),"")</f>
        <v/>
      </c>
      <c r="S16" s="49" t="e">
        <f>IF(AND('Mapa final'!#REF!="Alta",'Mapa final'!#REF!="Menor"),CONCATENATE("R1C",'Mapa final'!#REF!),"")</f>
        <v>#REF!</v>
      </c>
      <c r="T16" s="49" t="e">
        <f>IF(AND('Mapa final'!#REF!="Alta",'Mapa final'!#REF!="Menor"),CONCATENATE("R1C",'Mapa final'!#REF!),"")</f>
        <v>#REF!</v>
      </c>
      <c r="U16" s="50" t="e">
        <f>IF(AND('Mapa final'!#REF!="Alta",'Mapa final'!#REF!="Menor"),CONCATENATE("R1C",'Mapa final'!#REF!),"")</f>
        <v>#REF!</v>
      </c>
      <c r="V16" s="30" t="str">
        <f>IF(AND('Mapa final'!$AB$10="Alta",'Mapa final'!$AD$10="Moderado"),CONCATENATE("R1C",'Mapa final'!$R$10),"")</f>
        <v/>
      </c>
      <c r="W16" s="31" t="str">
        <f>IF(AND('Mapa final'!$AB$11="Alta",'Mapa final'!$AD$11="Moderado"),CONCATENATE("R1C",'Mapa final'!$R$11),"")</f>
        <v/>
      </c>
      <c r="X16" s="31" t="str">
        <f>IF(AND('Mapa final'!$AB$12="Alta",'Mapa final'!$AD$12="Moderado"),CONCATENATE("R1C",'Mapa final'!$R$12),"")</f>
        <v/>
      </c>
      <c r="Y16" s="31" t="e">
        <f>IF(AND('Mapa final'!#REF!="Alta",'Mapa final'!#REF!="Moderado"),CONCATENATE("R1C",'Mapa final'!#REF!),"")</f>
        <v>#REF!</v>
      </c>
      <c r="Z16" s="31" t="e">
        <f>IF(AND('Mapa final'!#REF!="Alta",'Mapa final'!#REF!="Moderado"),CONCATENATE("R1C",'Mapa final'!#REF!),"")</f>
        <v>#REF!</v>
      </c>
      <c r="AA16" s="32" t="e">
        <f>IF(AND('Mapa final'!#REF!="Alta",'Mapa final'!#REF!="Moderado"),CONCATENATE("R1C",'Mapa final'!#REF!),"")</f>
        <v>#REF!</v>
      </c>
      <c r="AB16" s="30" t="str">
        <f>IF(AND('Mapa final'!$AB$10="Alta",'Mapa final'!$AD$10="Mayor"),CONCATENATE("R1C",'Mapa final'!$R$10),"")</f>
        <v/>
      </c>
      <c r="AC16" s="31" t="str">
        <f>IF(AND('Mapa final'!$AB$11="Alta",'Mapa final'!$AD$11="Mayor"),CONCATENATE("R1C",'Mapa final'!$R$11),"")</f>
        <v/>
      </c>
      <c r="AD16" s="31" t="str">
        <f>IF(AND('Mapa final'!$AB$12="Alta",'Mapa final'!$AD$12="Mayor"),CONCATENATE("R1C",'Mapa final'!$R$12),"")</f>
        <v/>
      </c>
      <c r="AE16" s="31" t="e">
        <f>IF(AND('Mapa final'!#REF!="Alta",'Mapa final'!#REF!="Mayor"),CONCATENATE("R1C",'Mapa final'!#REF!),"")</f>
        <v>#REF!</v>
      </c>
      <c r="AF16" s="31" t="e">
        <f>IF(AND('Mapa final'!#REF!="Alta",'Mapa final'!#REF!="Mayor"),CONCATENATE("R1C",'Mapa final'!#REF!),"")</f>
        <v>#REF!</v>
      </c>
      <c r="AG16" s="32" t="e">
        <f>IF(AND('Mapa final'!#REF!="Alta",'Mapa final'!#REF!="Mayor"),CONCATENATE("R1C",'Mapa final'!#REF!),"")</f>
        <v>#REF!</v>
      </c>
      <c r="AH16" s="33" t="str">
        <f>IF(AND('Mapa final'!$AB$10="Alta",'Mapa final'!$AD$10="Catastrófico"),CONCATENATE("R1C",'Mapa final'!$R$10),"")</f>
        <v/>
      </c>
      <c r="AI16" s="34" t="str">
        <f>IF(AND('Mapa final'!$AB$11="Alta",'Mapa final'!$AD$11="Catastrófico"),CONCATENATE("R1C",'Mapa final'!$R$11),"")</f>
        <v/>
      </c>
      <c r="AJ16" s="34" t="str">
        <f>IF(AND('Mapa final'!$AB$12="Alta",'Mapa final'!$AD$12="Catastrófico"),CONCATENATE("R1C",'Mapa final'!$R$12),"")</f>
        <v/>
      </c>
      <c r="AK16" s="34" t="e">
        <f>IF(AND('Mapa final'!#REF!="Alta",'Mapa final'!#REF!="Catastrófico"),CONCATENATE("R1C",'Mapa final'!#REF!),"")</f>
        <v>#REF!</v>
      </c>
      <c r="AL16" s="34" t="e">
        <f>IF(AND('Mapa final'!#REF!="Alta",'Mapa final'!#REF!="Catastrófico"),CONCATENATE("R1C",'Mapa final'!#REF!),"")</f>
        <v>#REF!</v>
      </c>
      <c r="AM16" s="35" t="e">
        <f>IF(AND('Mapa final'!#REF!="Alta",'Mapa final'!#REF!="Catastrófico"),CONCATENATE("R1C",'Mapa final'!#REF!),"")</f>
        <v>#REF!</v>
      </c>
      <c r="AN16" s="67"/>
      <c r="AO16" s="567" t="s">
        <v>79</v>
      </c>
      <c r="AP16" s="568"/>
      <c r="AQ16" s="568"/>
      <c r="AR16" s="568"/>
      <c r="AS16" s="568"/>
      <c r="AT16" s="569"/>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481"/>
      <c r="C17" s="481"/>
      <c r="D17" s="482"/>
      <c r="E17" s="578"/>
      <c r="F17" s="579"/>
      <c r="G17" s="579"/>
      <c r="H17" s="579"/>
      <c r="I17" s="579"/>
      <c r="J17" s="51" t="str">
        <f>IF(AND('Mapa final'!$AB$13="Alta",'Mapa final'!$AD$13="Leve"),CONCATENATE("R2C",'Mapa final'!$R$13),"")</f>
        <v/>
      </c>
      <c r="K17" s="52" t="str">
        <f>IF(AND('Mapa final'!$AB$14="Alta",'Mapa final'!$AD$14="Leve"),CONCATENATE("R2C",'Mapa final'!$R$14),"")</f>
        <v/>
      </c>
      <c r="L17" s="52" t="str">
        <f>IF(AND('Mapa final'!$AB$15="Alta",'Mapa final'!$AD$15="Leve"),CONCATENATE("R2C",'Mapa final'!$R$15),"")</f>
        <v/>
      </c>
      <c r="M17" s="52" t="str">
        <f>IF(AND('Mapa final'!$AB$16="Alta",'Mapa final'!$AD$16="Leve"),CONCATENATE("R2C",'Mapa final'!$R$16),"")</f>
        <v/>
      </c>
      <c r="N17" s="52" t="str">
        <f>IF(AND('Mapa final'!$AB$17="Alta",'Mapa final'!$AD$17="Leve"),CONCATENATE("R2C",'Mapa final'!$R$17),"")</f>
        <v/>
      </c>
      <c r="O17" s="53" t="str">
        <f>IF(AND('Mapa final'!$AB$18="Alta",'Mapa final'!$AD$18="Leve"),CONCATENATE("R2C",'Mapa final'!$R$18),"")</f>
        <v/>
      </c>
      <c r="P17" s="51" t="str">
        <f>IF(AND('Mapa final'!$AB$13="Alta",'Mapa final'!$AD$13="Menor"),CONCATENATE("R2C",'Mapa final'!$R$13),"")</f>
        <v/>
      </c>
      <c r="Q17" s="52" t="str">
        <f>IF(AND('Mapa final'!$AB$14="Alta",'Mapa final'!$AD$14="Menor"),CONCATENATE("R2C",'Mapa final'!$R$14),"")</f>
        <v/>
      </c>
      <c r="R17" s="52" t="str">
        <f>IF(AND('Mapa final'!$AB$15="Alta",'Mapa final'!$AD$15="Menor"),CONCATENATE("R2C",'Mapa final'!$R$15),"")</f>
        <v/>
      </c>
      <c r="S17" s="52" t="str">
        <f>IF(AND('Mapa final'!$AB$16="Alta",'Mapa final'!$AD$16="Menor"),CONCATENATE("R2C",'Mapa final'!$R$16),"")</f>
        <v/>
      </c>
      <c r="T17" s="52" t="str">
        <f>IF(AND('Mapa final'!$AB$17="Alta",'Mapa final'!$AD$17="Menor"),CONCATENATE("R2C",'Mapa final'!$R$17),"")</f>
        <v/>
      </c>
      <c r="U17" s="53" t="str">
        <f>IF(AND('Mapa final'!$AB$18="Alta",'Mapa final'!$AD$18="Menor"),CONCATENATE("R2C",'Mapa final'!$R$18),"")</f>
        <v/>
      </c>
      <c r="V17" s="36" t="str">
        <f>IF(AND('Mapa final'!$AB$13="Alta",'Mapa final'!$AD$13="Moderado"),CONCATENATE("R2C",'Mapa final'!$R$13),"")</f>
        <v/>
      </c>
      <c r="W17" s="37" t="str">
        <f>IF(AND('Mapa final'!$AB$14="Alta",'Mapa final'!$AD$14="Moderado"),CONCATENATE("R2C",'Mapa final'!$R$14),"")</f>
        <v/>
      </c>
      <c r="X17" s="37" t="str">
        <f>IF(AND('Mapa final'!$AB$15="Alta",'Mapa final'!$AD$15="Moderado"),CONCATENATE("R2C",'Mapa final'!$R$15),"")</f>
        <v/>
      </c>
      <c r="Y17" s="37" t="str">
        <f>IF(AND('Mapa final'!$AB$16="Alta",'Mapa final'!$AD$16="Moderado"),CONCATENATE("R2C",'Mapa final'!$R$16),"")</f>
        <v/>
      </c>
      <c r="Z17" s="37" t="str">
        <f>IF(AND('Mapa final'!$AB$17="Alta",'Mapa final'!$AD$17="Moderado"),CONCATENATE("R2C",'Mapa final'!$R$17),"")</f>
        <v/>
      </c>
      <c r="AA17" s="38" t="str">
        <f>IF(AND('Mapa final'!$AB$18="Alta",'Mapa final'!$AD$18="Moderado"),CONCATENATE("R2C",'Mapa final'!$R$18),"")</f>
        <v/>
      </c>
      <c r="AB17" s="36" t="str">
        <f>IF(AND('Mapa final'!$AB$13="Alta",'Mapa final'!$AD$13="Mayor"),CONCATENATE("R2C",'Mapa final'!$R$13),"")</f>
        <v/>
      </c>
      <c r="AC17" s="37" t="str">
        <f>IF(AND('Mapa final'!$AB$14="Alta",'Mapa final'!$AD$14="Mayor"),CONCATENATE("R2C",'Mapa final'!$R$14),"")</f>
        <v/>
      </c>
      <c r="AD17" s="37" t="str">
        <f>IF(AND('Mapa final'!$AB$15="Alta",'Mapa final'!$AD$15="Mayor"),CONCATENATE("R2C",'Mapa final'!$R$15),"")</f>
        <v/>
      </c>
      <c r="AE17" s="37" t="str">
        <f>IF(AND('Mapa final'!$AB$16="Alta",'Mapa final'!$AD$16="Mayor"),CONCATENATE("R2C",'Mapa final'!$R$16),"")</f>
        <v/>
      </c>
      <c r="AF17" s="37" t="str">
        <f>IF(AND('Mapa final'!$AB$17="Alta",'Mapa final'!$AD$17="Mayor"),CONCATENATE("R2C",'Mapa final'!$R$17),"")</f>
        <v/>
      </c>
      <c r="AG17" s="38" t="str">
        <f>IF(AND('Mapa final'!$AB$18="Alta",'Mapa final'!$AD$18="Mayor"),CONCATENATE("R2C",'Mapa final'!$R$18),"")</f>
        <v/>
      </c>
      <c r="AH17" s="39" t="str">
        <f>IF(AND('Mapa final'!$AB$13="Alta",'Mapa final'!$AD$13="Catastrófico"),CONCATENATE("R2C",'Mapa final'!$R$13),"")</f>
        <v/>
      </c>
      <c r="AI17" s="40" t="str">
        <f>IF(AND('Mapa final'!$AB$14="Alta",'Mapa final'!$AD$14="Catastrófico"),CONCATENATE("R2C",'Mapa final'!$R$14),"")</f>
        <v/>
      </c>
      <c r="AJ17" s="40" t="str">
        <f>IF(AND('Mapa final'!$AB$15="Alta",'Mapa final'!$AD$15="Catastrófico"),CONCATENATE("R2C",'Mapa final'!$R$15),"")</f>
        <v/>
      </c>
      <c r="AK17" s="40" t="str">
        <f>IF(AND('Mapa final'!$AB$16="Alta",'Mapa final'!$AD$16="Catastrófico"),CONCATENATE("R2C",'Mapa final'!$R$16),"")</f>
        <v/>
      </c>
      <c r="AL17" s="40" t="str">
        <f>IF(AND('Mapa final'!$AB$17="Alta",'Mapa final'!$AD$17="Catastrófico"),CONCATENATE("R2C",'Mapa final'!$R$17),"")</f>
        <v/>
      </c>
      <c r="AM17" s="41" t="str">
        <f>IF(AND('Mapa final'!$AB$18="Alta",'Mapa final'!$AD$18="Catastrófico"),CONCATENATE("R2C",'Mapa final'!$R$18),"")</f>
        <v/>
      </c>
      <c r="AN17" s="67"/>
      <c r="AO17" s="570"/>
      <c r="AP17" s="571"/>
      <c r="AQ17" s="571"/>
      <c r="AR17" s="571"/>
      <c r="AS17" s="571"/>
      <c r="AT17" s="572"/>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481"/>
      <c r="C18" s="481"/>
      <c r="D18" s="482"/>
      <c r="E18" s="580"/>
      <c r="F18" s="579"/>
      <c r="G18" s="579"/>
      <c r="H18" s="579"/>
      <c r="I18" s="579"/>
      <c r="J18" s="51" t="str">
        <f>IF(AND('Mapa final'!$AB$19="Alta",'Mapa final'!$AD$19="Leve"),CONCATENATE("R3C",'Mapa final'!$R$19),"")</f>
        <v/>
      </c>
      <c r="K18" s="52" t="str">
        <f>IF(AND('Mapa final'!$AB$20="Alta",'Mapa final'!$AD$20="Leve"),CONCATENATE("R3C",'Mapa final'!$R$20),"")</f>
        <v/>
      </c>
      <c r="L18" s="52" t="str">
        <f>IF(AND('Mapa final'!$AB$21="Alta",'Mapa final'!$AD$21="Leve"),CONCATENATE("R3C",'Mapa final'!$R$21),"")</f>
        <v/>
      </c>
      <c r="M18" s="52" t="str">
        <f>IF(AND('Mapa final'!$AB$22="Alta",'Mapa final'!$AD$22="Leve"),CONCATENATE("R3C",'Mapa final'!$R$22),"")</f>
        <v/>
      </c>
      <c r="N18" s="52" t="str">
        <f>IF(AND('Mapa final'!$AB$23="Alta",'Mapa final'!$AD$23="Leve"),CONCATENATE("R3C",'Mapa final'!$R$23),"")</f>
        <v/>
      </c>
      <c r="O18" s="53" t="str">
        <f>IF(AND('Mapa final'!$AB$24="Alta",'Mapa final'!$AD$24="Leve"),CONCATENATE("R3C",'Mapa final'!$R$24),"")</f>
        <v/>
      </c>
      <c r="P18" s="51" t="str">
        <f>IF(AND('Mapa final'!$AB$19="Alta",'Mapa final'!$AD$19="Menor"),CONCATENATE("R3C",'Mapa final'!$R$19),"")</f>
        <v/>
      </c>
      <c r="Q18" s="52" t="str">
        <f>IF(AND('Mapa final'!$AB$20="Alta",'Mapa final'!$AD$20="Menor"),CONCATENATE("R3C",'Mapa final'!$R$20),"")</f>
        <v/>
      </c>
      <c r="R18" s="52" t="str">
        <f>IF(AND('Mapa final'!$AB$21="Alta",'Mapa final'!$AD$21="Menor"),CONCATENATE("R3C",'Mapa final'!$R$21),"")</f>
        <v/>
      </c>
      <c r="S18" s="52" t="str">
        <f>IF(AND('Mapa final'!$AB$22="Alta",'Mapa final'!$AD$22="Menor"),CONCATENATE("R3C",'Mapa final'!$R$22),"")</f>
        <v/>
      </c>
      <c r="T18" s="52" t="str">
        <f>IF(AND('Mapa final'!$AB$23="Alta",'Mapa final'!$AD$23="Menor"),CONCATENATE("R3C",'Mapa final'!$R$23),"")</f>
        <v/>
      </c>
      <c r="U18" s="53" t="str">
        <f>IF(AND('Mapa final'!$AB$24="Alta",'Mapa final'!$AD$24="Menor"),CONCATENATE("R3C",'Mapa final'!$R$24),"")</f>
        <v/>
      </c>
      <c r="V18" s="36" t="str">
        <f>IF(AND('Mapa final'!$AB$19="Alta",'Mapa final'!$AD$19="Moderado"),CONCATENATE("R3C",'Mapa final'!$R$19),"")</f>
        <v/>
      </c>
      <c r="W18" s="37" t="str">
        <f>IF(AND('Mapa final'!$AB$20="Alta",'Mapa final'!$AD$20="Moderado"),CONCATENATE("R3C",'Mapa final'!$R$20),"")</f>
        <v/>
      </c>
      <c r="X18" s="37" t="str">
        <f>IF(AND('Mapa final'!$AB$21="Alta",'Mapa final'!$AD$21="Moderado"),CONCATENATE("R3C",'Mapa final'!$R$21),"")</f>
        <v/>
      </c>
      <c r="Y18" s="37" t="str">
        <f>IF(AND('Mapa final'!$AB$22="Alta",'Mapa final'!$AD$22="Moderado"),CONCATENATE("R3C",'Mapa final'!$R$22),"")</f>
        <v/>
      </c>
      <c r="Z18" s="37" t="str">
        <f>IF(AND('Mapa final'!$AB$23="Alta",'Mapa final'!$AD$23="Moderado"),CONCATENATE("R3C",'Mapa final'!$R$23),"")</f>
        <v/>
      </c>
      <c r="AA18" s="38" t="str">
        <f>IF(AND('Mapa final'!$AB$24="Alta",'Mapa final'!$AD$24="Moderado"),CONCATENATE("R3C",'Mapa final'!$R$24),"")</f>
        <v/>
      </c>
      <c r="AB18" s="36" t="str">
        <f>IF(AND('Mapa final'!$AB$19="Alta",'Mapa final'!$AD$19="Mayor"),CONCATENATE("R3C",'Mapa final'!$R$19),"")</f>
        <v/>
      </c>
      <c r="AC18" s="37" t="str">
        <f>IF(AND('Mapa final'!$AB$20="Alta",'Mapa final'!$AD$20="Mayor"),CONCATENATE("R3C",'Mapa final'!$R$20),"")</f>
        <v/>
      </c>
      <c r="AD18" s="37" t="str">
        <f>IF(AND('Mapa final'!$AB$21="Alta",'Mapa final'!$AD$21="Mayor"),CONCATENATE("R3C",'Mapa final'!$R$21),"")</f>
        <v/>
      </c>
      <c r="AE18" s="37" t="str">
        <f>IF(AND('Mapa final'!$AB$22="Alta",'Mapa final'!$AD$22="Mayor"),CONCATENATE("R3C",'Mapa final'!$R$22),"")</f>
        <v/>
      </c>
      <c r="AF18" s="37" t="str">
        <f>IF(AND('Mapa final'!$AB$23="Alta",'Mapa final'!$AD$23="Mayor"),CONCATENATE("R3C",'Mapa final'!$R$23),"")</f>
        <v/>
      </c>
      <c r="AG18" s="38" t="str">
        <f>IF(AND('Mapa final'!$AB$24="Alta",'Mapa final'!$AD$24="Mayor"),CONCATENATE("R3C",'Mapa final'!$R$24),"")</f>
        <v/>
      </c>
      <c r="AH18" s="39" t="str">
        <f>IF(AND('Mapa final'!$AB$19="Alta",'Mapa final'!$AD$19="Catastrófico"),CONCATENATE("R3C",'Mapa final'!$R$19),"")</f>
        <v/>
      </c>
      <c r="AI18" s="40" t="str">
        <f>IF(AND('Mapa final'!$AB$20="Alta",'Mapa final'!$AD$20="Catastrófico"),CONCATENATE("R3C",'Mapa final'!$R$20),"")</f>
        <v/>
      </c>
      <c r="AJ18" s="40" t="str">
        <f>IF(AND('Mapa final'!$AB$21="Alta",'Mapa final'!$AD$21="Catastrófico"),CONCATENATE("R3C",'Mapa final'!$R$21),"")</f>
        <v/>
      </c>
      <c r="AK18" s="40" t="str">
        <f>IF(AND('Mapa final'!$AB$22="Alta",'Mapa final'!$AD$22="Catastrófico"),CONCATENATE("R3C",'Mapa final'!$R$22),"")</f>
        <v/>
      </c>
      <c r="AL18" s="40" t="str">
        <f>IF(AND('Mapa final'!$AB$23="Alta",'Mapa final'!$AD$23="Catastrófico"),CONCATENATE("R3C",'Mapa final'!$R$23),"")</f>
        <v/>
      </c>
      <c r="AM18" s="41" t="str">
        <f>IF(AND('Mapa final'!$AB$24="Alta",'Mapa final'!$AD$24="Catastrófico"),CONCATENATE("R3C",'Mapa final'!$R$24),"")</f>
        <v/>
      </c>
      <c r="AN18" s="67"/>
      <c r="AO18" s="570"/>
      <c r="AP18" s="571"/>
      <c r="AQ18" s="571"/>
      <c r="AR18" s="571"/>
      <c r="AS18" s="571"/>
      <c r="AT18" s="572"/>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481"/>
      <c r="C19" s="481"/>
      <c r="D19" s="482"/>
      <c r="E19" s="580"/>
      <c r="F19" s="579"/>
      <c r="G19" s="579"/>
      <c r="H19" s="579"/>
      <c r="I19" s="579"/>
      <c r="J19" s="51" t="str">
        <f>IF(AND('Mapa final'!$AB$25="Alta",'Mapa final'!$AD$25="Leve"),CONCATENATE("R4C",'Mapa final'!$R$25),"")</f>
        <v/>
      </c>
      <c r="K19" s="52" t="str">
        <f>IF(AND('Mapa final'!$AB$26="Alta",'Mapa final'!$AD$26="Leve"),CONCATENATE("R4C",'Mapa final'!$R$26),"")</f>
        <v/>
      </c>
      <c r="L19" s="52" t="str">
        <f>IF(AND('Mapa final'!$AB$27="Alta",'Mapa final'!$AD$27="Leve"),CONCATENATE("R4C",'Mapa final'!$R$27),"")</f>
        <v/>
      </c>
      <c r="M19" s="52" t="str">
        <f>IF(AND('Mapa final'!$AB$28="Alta",'Mapa final'!$AD$28="Leve"),CONCATENATE("R4C",'Mapa final'!$R$28),"")</f>
        <v/>
      </c>
      <c r="N19" s="52" t="str">
        <f>IF(AND('Mapa final'!$AB$29="Alta",'Mapa final'!$AD$29="Leve"),CONCATENATE("R4C",'Mapa final'!$R$29),"")</f>
        <v/>
      </c>
      <c r="O19" s="53" t="str">
        <f>IF(AND('Mapa final'!$AB$30="Alta",'Mapa final'!$AD$30="Leve"),CONCATENATE("R4C",'Mapa final'!$R$30),"")</f>
        <v/>
      </c>
      <c r="P19" s="51" t="str">
        <f>IF(AND('Mapa final'!$AB$25="Alta",'Mapa final'!$AD$25="Menor"),CONCATENATE("R4C",'Mapa final'!$R$25),"")</f>
        <v/>
      </c>
      <c r="Q19" s="52" t="str">
        <f>IF(AND('Mapa final'!$AB$26="Alta",'Mapa final'!$AD$26="Menor"),CONCATENATE("R4C",'Mapa final'!$R$26),"")</f>
        <v/>
      </c>
      <c r="R19" s="52" t="str">
        <f>IF(AND('Mapa final'!$AB$27="Alta",'Mapa final'!$AD$27="Menor"),CONCATENATE("R4C",'Mapa final'!$R$27),"")</f>
        <v/>
      </c>
      <c r="S19" s="52" t="str">
        <f>IF(AND('Mapa final'!$AB$28="Alta",'Mapa final'!$AD$28="Menor"),CONCATENATE("R4C",'Mapa final'!$R$28),"")</f>
        <v/>
      </c>
      <c r="T19" s="52" t="str">
        <f>IF(AND('Mapa final'!$AB$29="Alta",'Mapa final'!$AD$29="Menor"),CONCATENATE("R4C",'Mapa final'!$R$29),"")</f>
        <v/>
      </c>
      <c r="U19" s="53" t="str">
        <f>IF(AND('Mapa final'!$AB$30="Alta",'Mapa final'!$AD$30="Menor"),CONCATENATE("R4C",'Mapa final'!$R$30),"")</f>
        <v/>
      </c>
      <c r="V19" s="36" t="str">
        <f>IF(AND('Mapa final'!$AB$25="Alta",'Mapa final'!$AD$25="Moderado"),CONCATENATE("R4C",'Mapa final'!$R$25),"")</f>
        <v/>
      </c>
      <c r="W19" s="37" t="str">
        <f>IF(AND('Mapa final'!$AB$26="Alta",'Mapa final'!$AD$26="Moderado"),CONCATENATE("R4C",'Mapa final'!$R$26),"")</f>
        <v/>
      </c>
      <c r="X19" s="37" t="str">
        <f>IF(AND('Mapa final'!$AB$27="Alta",'Mapa final'!$AD$27="Moderado"),CONCATENATE("R4C",'Mapa final'!$R$27),"")</f>
        <v/>
      </c>
      <c r="Y19" s="37" t="str">
        <f>IF(AND('Mapa final'!$AB$28="Alta",'Mapa final'!$AD$28="Moderado"),CONCATENATE("R4C",'Mapa final'!$R$28),"")</f>
        <v/>
      </c>
      <c r="Z19" s="37" t="str">
        <f>IF(AND('Mapa final'!$AB$29="Alta",'Mapa final'!$AD$29="Moderado"),CONCATENATE("R4C",'Mapa final'!$R$29),"")</f>
        <v/>
      </c>
      <c r="AA19" s="38" t="str">
        <f>IF(AND('Mapa final'!$AB$30="Alta",'Mapa final'!$AD$30="Moderado"),CONCATENATE("R4C",'Mapa final'!$R$30),"")</f>
        <v/>
      </c>
      <c r="AB19" s="36" t="str">
        <f>IF(AND('Mapa final'!$AB$25="Alta",'Mapa final'!$AD$25="Mayor"),CONCATENATE("R4C",'Mapa final'!$R$25),"")</f>
        <v/>
      </c>
      <c r="AC19" s="37" t="str">
        <f>IF(AND('Mapa final'!$AB$26="Alta",'Mapa final'!$AD$26="Mayor"),CONCATENATE("R4C",'Mapa final'!$R$26),"")</f>
        <v/>
      </c>
      <c r="AD19" s="37" t="str">
        <f>IF(AND('Mapa final'!$AB$27="Alta",'Mapa final'!$AD$27="Mayor"),CONCATENATE("R4C",'Mapa final'!$R$27),"")</f>
        <v/>
      </c>
      <c r="AE19" s="37" t="str">
        <f>IF(AND('Mapa final'!$AB$28="Alta",'Mapa final'!$AD$28="Mayor"),CONCATENATE("R4C",'Mapa final'!$R$28),"")</f>
        <v/>
      </c>
      <c r="AF19" s="37" t="str">
        <f>IF(AND('Mapa final'!$AB$29="Alta",'Mapa final'!$AD$29="Mayor"),CONCATENATE("R4C",'Mapa final'!$R$29),"")</f>
        <v/>
      </c>
      <c r="AG19" s="38" t="str">
        <f>IF(AND('Mapa final'!$AB$30="Alta",'Mapa final'!$AD$30="Mayor"),CONCATENATE("R4C",'Mapa final'!$R$30),"")</f>
        <v/>
      </c>
      <c r="AH19" s="39" t="str">
        <f>IF(AND('Mapa final'!$AB$25="Alta",'Mapa final'!$AD$25="Catastrófico"),CONCATENATE("R4C",'Mapa final'!$R$25),"")</f>
        <v/>
      </c>
      <c r="AI19" s="40" t="str">
        <f>IF(AND('Mapa final'!$AB$26="Alta",'Mapa final'!$AD$26="Catastrófico"),CONCATENATE("R4C",'Mapa final'!$R$26),"")</f>
        <v/>
      </c>
      <c r="AJ19" s="40" t="str">
        <f>IF(AND('Mapa final'!$AB$27="Alta",'Mapa final'!$AD$27="Catastrófico"),CONCATENATE("R4C",'Mapa final'!$R$27),"")</f>
        <v/>
      </c>
      <c r="AK19" s="40" t="str">
        <f>IF(AND('Mapa final'!$AB$28="Alta",'Mapa final'!$AD$28="Catastrófico"),CONCATENATE("R4C",'Mapa final'!$R$28),"")</f>
        <v/>
      </c>
      <c r="AL19" s="40" t="str">
        <f>IF(AND('Mapa final'!$AB$29="Alta",'Mapa final'!$AD$29="Catastrófico"),CONCATENATE("R4C",'Mapa final'!$R$29),"")</f>
        <v/>
      </c>
      <c r="AM19" s="41" t="str">
        <f>IF(AND('Mapa final'!$AB$30="Alta",'Mapa final'!$AD$30="Catastrófico"),CONCATENATE("R4C",'Mapa final'!$R$30),"")</f>
        <v/>
      </c>
      <c r="AN19" s="67"/>
      <c r="AO19" s="570"/>
      <c r="AP19" s="571"/>
      <c r="AQ19" s="571"/>
      <c r="AR19" s="571"/>
      <c r="AS19" s="571"/>
      <c r="AT19" s="572"/>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481"/>
      <c r="C20" s="481"/>
      <c r="D20" s="482"/>
      <c r="E20" s="580"/>
      <c r="F20" s="579"/>
      <c r="G20" s="579"/>
      <c r="H20" s="579"/>
      <c r="I20" s="579"/>
      <c r="J20" s="51" t="str">
        <f>IF(AND('Mapa final'!$AB$31="Alta",'Mapa final'!$AD$31="Leve"),CONCATENATE("R5C",'Mapa final'!$R$31),"")</f>
        <v/>
      </c>
      <c r="K20" s="52" t="str">
        <f>IF(AND('Mapa final'!$AB$32="Alta",'Mapa final'!$AD$32="Leve"),CONCATENATE("R5C",'Mapa final'!$R$32),"")</f>
        <v/>
      </c>
      <c r="L20" s="52" t="str">
        <f>IF(AND('Mapa final'!$AB$33="Alta",'Mapa final'!$AD$33="Leve"),CONCATENATE("R5C",'Mapa final'!$R$33),"")</f>
        <v/>
      </c>
      <c r="M20" s="52" t="str">
        <f>IF(AND('Mapa final'!$AB$34="Alta",'Mapa final'!$AD$34="Leve"),CONCATENATE("R5C",'Mapa final'!$R$34),"")</f>
        <v/>
      </c>
      <c r="N20" s="52" t="str">
        <f>IF(AND('Mapa final'!$AB$35="Alta",'Mapa final'!$AD$35="Leve"),CONCATENATE("R5C",'Mapa final'!$R$35),"")</f>
        <v/>
      </c>
      <c r="O20" s="53" t="str">
        <f>IF(AND('Mapa final'!$AB$36="Alta",'Mapa final'!$AD$36="Leve"),CONCATENATE("R5C",'Mapa final'!$R$36),"")</f>
        <v/>
      </c>
      <c r="P20" s="51" t="str">
        <f>IF(AND('Mapa final'!$AB$31="Alta",'Mapa final'!$AD$31="Menor"),CONCATENATE("R5C",'Mapa final'!$R$31),"")</f>
        <v/>
      </c>
      <c r="Q20" s="52" t="str">
        <f>IF(AND('Mapa final'!$AB$32="Alta",'Mapa final'!$AD$32="Menor"),CONCATENATE("R5C",'Mapa final'!$R$32),"")</f>
        <v/>
      </c>
      <c r="R20" s="52" t="str">
        <f>IF(AND('Mapa final'!$AB$33="Alta",'Mapa final'!$AD$33="Menor"),CONCATENATE("R5C",'Mapa final'!$R$33),"")</f>
        <v/>
      </c>
      <c r="S20" s="52" t="str">
        <f>IF(AND('Mapa final'!$AB$34="Alta",'Mapa final'!$AD$34="Menor"),CONCATENATE("R5C",'Mapa final'!$R$34),"")</f>
        <v/>
      </c>
      <c r="T20" s="52" t="str">
        <f>IF(AND('Mapa final'!$AB$35="Alta",'Mapa final'!$AD$35="Menor"),CONCATENATE("R5C",'Mapa final'!$R$35),"")</f>
        <v/>
      </c>
      <c r="U20" s="53" t="str">
        <f>IF(AND('Mapa final'!$AB$36="Alta",'Mapa final'!$AD$36="Menor"),CONCATENATE("R5C",'Mapa final'!$R$36),"")</f>
        <v/>
      </c>
      <c r="V20" s="36" t="str">
        <f>IF(AND('Mapa final'!$AB$31="Alta",'Mapa final'!$AD$31="Moderado"),CONCATENATE("R5C",'Mapa final'!$R$31),"")</f>
        <v/>
      </c>
      <c r="W20" s="37" t="str">
        <f>IF(AND('Mapa final'!$AB$32="Alta",'Mapa final'!$AD$32="Moderado"),CONCATENATE("R5C",'Mapa final'!$R$32),"")</f>
        <v/>
      </c>
      <c r="X20" s="37" t="str">
        <f>IF(AND('Mapa final'!$AB$33="Alta",'Mapa final'!$AD$33="Moderado"),CONCATENATE("R5C",'Mapa final'!$R$33),"")</f>
        <v/>
      </c>
      <c r="Y20" s="37" t="str">
        <f>IF(AND('Mapa final'!$AB$34="Alta",'Mapa final'!$AD$34="Moderado"),CONCATENATE("R5C",'Mapa final'!$R$34),"")</f>
        <v/>
      </c>
      <c r="Z20" s="37" t="str">
        <f>IF(AND('Mapa final'!$AB$35="Alta",'Mapa final'!$AD$35="Moderado"),CONCATENATE("R5C",'Mapa final'!$R$35),"")</f>
        <v/>
      </c>
      <c r="AA20" s="38" t="str">
        <f>IF(AND('Mapa final'!$AB$36="Alta",'Mapa final'!$AD$36="Moderado"),CONCATENATE("R5C",'Mapa final'!$R$36),"")</f>
        <v/>
      </c>
      <c r="AB20" s="36" t="str">
        <f>IF(AND('Mapa final'!$AB$31="Alta",'Mapa final'!$AD$31="Mayor"),CONCATENATE("R5C",'Mapa final'!$R$31),"")</f>
        <v/>
      </c>
      <c r="AC20" s="37" t="str">
        <f>IF(AND('Mapa final'!$AB$32="Alta",'Mapa final'!$AD$32="Mayor"),CONCATENATE("R5C",'Mapa final'!$R$32),"")</f>
        <v/>
      </c>
      <c r="AD20" s="37" t="str">
        <f>IF(AND('Mapa final'!$AB$33="Alta",'Mapa final'!$AD$33="Mayor"),CONCATENATE("R5C",'Mapa final'!$R$33),"")</f>
        <v/>
      </c>
      <c r="AE20" s="37" t="str">
        <f>IF(AND('Mapa final'!$AB$34="Alta",'Mapa final'!$AD$34="Mayor"),CONCATENATE("R5C",'Mapa final'!$R$34),"")</f>
        <v/>
      </c>
      <c r="AF20" s="37" t="str">
        <f>IF(AND('Mapa final'!$AB$35="Alta",'Mapa final'!$AD$35="Mayor"),CONCATENATE("R5C",'Mapa final'!$R$35),"")</f>
        <v/>
      </c>
      <c r="AG20" s="38" t="str">
        <f>IF(AND('Mapa final'!$AB$36="Alta",'Mapa final'!$AD$36="Mayor"),CONCATENATE("R5C",'Mapa final'!$R$36),"")</f>
        <v/>
      </c>
      <c r="AH20" s="39" t="str">
        <f>IF(AND('Mapa final'!$AB$31="Alta",'Mapa final'!$AD$31="Catastrófico"),CONCATENATE("R5C",'Mapa final'!$R$31),"")</f>
        <v/>
      </c>
      <c r="AI20" s="40" t="str">
        <f>IF(AND('Mapa final'!$AB$32="Alta",'Mapa final'!$AD$32="Catastrófico"),CONCATENATE("R5C",'Mapa final'!$R$32),"")</f>
        <v/>
      </c>
      <c r="AJ20" s="40" t="str">
        <f>IF(AND('Mapa final'!$AB$33="Alta",'Mapa final'!$AD$33="Catastrófico"),CONCATENATE("R5C",'Mapa final'!$R$33),"")</f>
        <v/>
      </c>
      <c r="AK20" s="40" t="str">
        <f>IF(AND('Mapa final'!$AB$34="Alta",'Mapa final'!$AD$34="Catastrófico"),CONCATENATE("R5C",'Mapa final'!$R$34),"")</f>
        <v/>
      </c>
      <c r="AL20" s="40" t="str">
        <f>IF(AND('Mapa final'!$AB$35="Alta",'Mapa final'!$AD$35="Catastrófico"),CONCATENATE("R5C",'Mapa final'!$R$35),"")</f>
        <v/>
      </c>
      <c r="AM20" s="41" t="str">
        <f>IF(AND('Mapa final'!$AB$36="Alta",'Mapa final'!$AD$36="Catastrófico"),CONCATENATE("R5C",'Mapa final'!$R$36),"")</f>
        <v/>
      </c>
      <c r="AN20" s="67"/>
      <c r="AO20" s="570"/>
      <c r="AP20" s="571"/>
      <c r="AQ20" s="571"/>
      <c r="AR20" s="571"/>
      <c r="AS20" s="571"/>
      <c r="AT20" s="572"/>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481"/>
      <c r="C21" s="481"/>
      <c r="D21" s="482"/>
      <c r="E21" s="580"/>
      <c r="F21" s="579"/>
      <c r="G21" s="579"/>
      <c r="H21" s="579"/>
      <c r="I21" s="579"/>
      <c r="J21" s="51" t="str">
        <f>IF(AND('Mapa final'!$AB$37="Alta",'Mapa final'!$AD$37="Leve"),CONCATENATE("R6C",'Mapa final'!$R$37),"")</f>
        <v/>
      </c>
      <c r="K21" s="52" t="str">
        <f>IF(AND('Mapa final'!$AB$38="Alta",'Mapa final'!$AD$38="Leve"),CONCATENATE("R6C",'Mapa final'!$R$38),"")</f>
        <v/>
      </c>
      <c r="L21" s="52" t="str">
        <f>IF(AND('Mapa final'!$AB$39="Alta",'Mapa final'!$AD$39="Leve"),CONCATENATE("R6C",'Mapa final'!$R$39),"")</f>
        <v/>
      </c>
      <c r="M21" s="52" t="str">
        <f>IF(AND('Mapa final'!$AB$40="Alta",'Mapa final'!$AD$40="Leve"),CONCATENATE("R6C",'Mapa final'!$R$40),"")</f>
        <v/>
      </c>
      <c r="N21" s="52" t="str">
        <f>IF(AND('Mapa final'!$AB$41="Alta",'Mapa final'!$AD$41="Leve"),CONCATENATE("R6C",'Mapa final'!$R$41),"")</f>
        <v/>
      </c>
      <c r="O21" s="53" t="str">
        <f>IF(AND('Mapa final'!$AB$42="Alta",'Mapa final'!$AD$42="Leve"),CONCATENATE("R6C",'Mapa final'!$R$42),"")</f>
        <v/>
      </c>
      <c r="P21" s="51" t="str">
        <f>IF(AND('Mapa final'!$AB$37="Alta",'Mapa final'!$AD$37="Menor"),CONCATENATE("R6C",'Mapa final'!$R$37),"")</f>
        <v/>
      </c>
      <c r="Q21" s="52" t="str">
        <f>IF(AND('Mapa final'!$AB$38="Alta",'Mapa final'!$AD$38="Menor"),CONCATENATE("R6C",'Mapa final'!$R$38),"")</f>
        <v/>
      </c>
      <c r="R21" s="52" t="str">
        <f>IF(AND('Mapa final'!$AB$39="Alta",'Mapa final'!$AD$39="Menor"),CONCATENATE("R6C",'Mapa final'!$R$39),"")</f>
        <v/>
      </c>
      <c r="S21" s="52" t="str">
        <f>IF(AND('Mapa final'!$AB$40="Alta",'Mapa final'!$AD$40="Menor"),CONCATENATE("R6C",'Mapa final'!$R$40),"")</f>
        <v/>
      </c>
      <c r="T21" s="52" t="str">
        <f>IF(AND('Mapa final'!$AB$41="Alta",'Mapa final'!$AD$41="Menor"),CONCATENATE("R6C",'Mapa final'!$R$41),"")</f>
        <v/>
      </c>
      <c r="U21" s="53" t="str">
        <f>IF(AND('Mapa final'!$AB$42="Alta",'Mapa final'!$AD$42="Menor"),CONCATENATE("R6C",'Mapa final'!$R$42),"")</f>
        <v/>
      </c>
      <c r="V21" s="36" t="str">
        <f>IF(AND('Mapa final'!$AB$37="Alta",'Mapa final'!$AD$37="Moderado"),CONCATENATE("R6C",'Mapa final'!$R$37),"")</f>
        <v/>
      </c>
      <c r="W21" s="37" t="str">
        <f>IF(AND('Mapa final'!$AB$38="Alta",'Mapa final'!$AD$38="Moderado"),CONCATENATE("R6C",'Mapa final'!$R$38),"")</f>
        <v/>
      </c>
      <c r="X21" s="37" t="str">
        <f>IF(AND('Mapa final'!$AB$39="Alta",'Mapa final'!$AD$39="Moderado"),CONCATENATE("R6C",'Mapa final'!$R$39),"")</f>
        <v/>
      </c>
      <c r="Y21" s="37" t="str">
        <f>IF(AND('Mapa final'!$AB$40="Alta",'Mapa final'!$AD$40="Moderado"),CONCATENATE("R6C",'Mapa final'!$R$40),"")</f>
        <v/>
      </c>
      <c r="Z21" s="37" t="str">
        <f>IF(AND('Mapa final'!$AB$41="Alta",'Mapa final'!$AD$41="Moderado"),CONCATENATE("R6C",'Mapa final'!$R$41),"")</f>
        <v/>
      </c>
      <c r="AA21" s="38" t="str">
        <f>IF(AND('Mapa final'!$AB$42="Alta",'Mapa final'!$AD$42="Moderado"),CONCATENATE("R6C",'Mapa final'!$R$42),"")</f>
        <v/>
      </c>
      <c r="AB21" s="36" t="str">
        <f>IF(AND('Mapa final'!$AB$37="Alta",'Mapa final'!$AD$37="Mayor"),CONCATENATE("R6C",'Mapa final'!$R$37),"")</f>
        <v/>
      </c>
      <c r="AC21" s="37" t="str">
        <f>IF(AND('Mapa final'!$AB$38="Alta",'Mapa final'!$AD$38="Mayor"),CONCATENATE("R6C",'Mapa final'!$R$38),"")</f>
        <v/>
      </c>
      <c r="AD21" s="37" t="str">
        <f>IF(AND('Mapa final'!$AB$39="Alta",'Mapa final'!$AD$39="Mayor"),CONCATENATE("R6C",'Mapa final'!$R$39),"")</f>
        <v/>
      </c>
      <c r="AE21" s="37" t="str">
        <f>IF(AND('Mapa final'!$AB$40="Alta",'Mapa final'!$AD$40="Mayor"),CONCATENATE("R6C",'Mapa final'!$R$40),"")</f>
        <v/>
      </c>
      <c r="AF21" s="37" t="str">
        <f>IF(AND('Mapa final'!$AB$41="Alta",'Mapa final'!$AD$41="Mayor"),CONCATENATE("R6C",'Mapa final'!$R$41),"")</f>
        <v/>
      </c>
      <c r="AG21" s="38" t="str">
        <f>IF(AND('Mapa final'!$AB$42="Alta",'Mapa final'!$AD$42="Mayor"),CONCATENATE("R6C",'Mapa final'!$R$42),"")</f>
        <v/>
      </c>
      <c r="AH21" s="39" t="str">
        <f>IF(AND('Mapa final'!$AB$37="Alta",'Mapa final'!$AD$37="Catastrófico"),CONCATENATE("R6C",'Mapa final'!$R$37),"")</f>
        <v/>
      </c>
      <c r="AI21" s="40" t="str">
        <f>IF(AND('Mapa final'!$AB$38="Alta",'Mapa final'!$AD$38="Catastrófico"),CONCATENATE("R6C",'Mapa final'!$R$38),"")</f>
        <v/>
      </c>
      <c r="AJ21" s="40" t="str">
        <f>IF(AND('Mapa final'!$AB$39="Alta",'Mapa final'!$AD$39="Catastrófico"),CONCATENATE("R6C",'Mapa final'!$R$39),"")</f>
        <v/>
      </c>
      <c r="AK21" s="40" t="str">
        <f>IF(AND('Mapa final'!$AB$40="Alta",'Mapa final'!$AD$40="Catastrófico"),CONCATENATE("R6C",'Mapa final'!$R$40),"")</f>
        <v/>
      </c>
      <c r="AL21" s="40" t="str">
        <f>IF(AND('Mapa final'!$AB$41="Alta",'Mapa final'!$AD$41="Catastrófico"),CONCATENATE("R6C",'Mapa final'!$R$41),"")</f>
        <v/>
      </c>
      <c r="AM21" s="41" t="str">
        <f>IF(AND('Mapa final'!$AB$42="Alta",'Mapa final'!$AD$42="Catastrófico"),CONCATENATE("R6C",'Mapa final'!$R$42),"")</f>
        <v/>
      </c>
      <c r="AN21" s="67"/>
      <c r="AO21" s="570"/>
      <c r="AP21" s="571"/>
      <c r="AQ21" s="571"/>
      <c r="AR21" s="571"/>
      <c r="AS21" s="571"/>
      <c r="AT21" s="572"/>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481"/>
      <c r="C22" s="481"/>
      <c r="D22" s="482"/>
      <c r="E22" s="580"/>
      <c r="F22" s="579"/>
      <c r="G22" s="579"/>
      <c r="H22" s="579"/>
      <c r="I22" s="579"/>
      <c r="J22" s="51" t="str">
        <f>IF(AND('Mapa final'!$AB$43="Alta",'Mapa final'!$AD$43="Leve"),CONCATENATE("R7C",'Mapa final'!$R$43),"")</f>
        <v/>
      </c>
      <c r="K22" s="52" t="str">
        <f>IF(AND('Mapa final'!$AB$44="Alta",'Mapa final'!$AD$44="Leve"),CONCATENATE("R7C",'Mapa final'!$R$44),"")</f>
        <v/>
      </c>
      <c r="L22" s="52" t="str">
        <f>IF(AND('Mapa final'!$AB$45="Alta",'Mapa final'!$AD$45="Leve"),CONCATENATE("R7C",'Mapa final'!$R$45),"")</f>
        <v/>
      </c>
      <c r="M22" s="52" t="str">
        <f>IF(AND('Mapa final'!$AB$46="Alta",'Mapa final'!$AD$46="Leve"),CONCATENATE("R7C",'Mapa final'!$R$46),"")</f>
        <v/>
      </c>
      <c r="N22" s="52" t="str">
        <f>IF(AND('Mapa final'!$AB$47="Alta",'Mapa final'!$AD$47="Leve"),CONCATENATE("R7C",'Mapa final'!$R$47),"")</f>
        <v/>
      </c>
      <c r="O22" s="53" t="str">
        <f>IF(AND('Mapa final'!$AB$48="Alta",'Mapa final'!$AD$48="Leve"),CONCATENATE("R7C",'Mapa final'!$R$48),"")</f>
        <v/>
      </c>
      <c r="P22" s="51" t="str">
        <f>IF(AND('Mapa final'!$AB$43="Alta",'Mapa final'!$AD$43="Menor"),CONCATENATE("R7C",'Mapa final'!$R$43),"")</f>
        <v/>
      </c>
      <c r="Q22" s="52" t="str">
        <f>IF(AND('Mapa final'!$AB$44="Alta",'Mapa final'!$AD$44="Menor"),CONCATENATE("R7C",'Mapa final'!$R$44),"")</f>
        <v/>
      </c>
      <c r="R22" s="52" t="str">
        <f>IF(AND('Mapa final'!$AB$45="Alta",'Mapa final'!$AD$45="Menor"),CONCATENATE("R7C",'Mapa final'!$R$45),"")</f>
        <v/>
      </c>
      <c r="S22" s="52" t="str">
        <f>IF(AND('Mapa final'!$AB$46="Alta",'Mapa final'!$AD$46="Menor"),CONCATENATE("R7C",'Mapa final'!$R$46),"")</f>
        <v/>
      </c>
      <c r="T22" s="52" t="str">
        <f>IF(AND('Mapa final'!$AB$47="Alta",'Mapa final'!$AD$47="Menor"),CONCATENATE("R7C",'Mapa final'!$R$47),"")</f>
        <v/>
      </c>
      <c r="U22" s="53" t="str">
        <f>IF(AND('Mapa final'!$AB$48="Alta",'Mapa final'!$AD$48="Menor"),CONCATENATE("R7C",'Mapa final'!$R$48),"")</f>
        <v/>
      </c>
      <c r="V22" s="36" t="str">
        <f>IF(AND('Mapa final'!$AB$43="Alta",'Mapa final'!$AD$43="Moderado"),CONCATENATE("R7C",'Mapa final'!$R$43),"")</f>
        <v/>
      </c>
      <c r="W22" s="37" t="str">
        <f>IF(AND('Mapa final'!$AB$44="Alta",'Mapa final'!$AD$44="Moderado"),CONCATENATE("R7C",'Mapa final'!$R$44),"")</f>
        <v/>
      </c>
      <c r="X22" s="37" t="str">
        <f>IF(AND('Mapa final'!$AB$45="Alta",'Mapa final'!$AD$45="Moderado"),CONCATENATE("R7C",'Mapa final'!$R$45),"")</f>
        <v/>
      </c>
      <c r="Y22" s="37" t="str">
        <f>IF(AND('Mapa final'!$AB$46="Alta",'Mapa final'!$AD$46="Moderado"),CONCATENATE("R7C",'Mapa final'!$R$46),"")</f>
        <v/>
      </c>
      <c r="Z22" s="37" t="str">
        <f>IF(AND('Mapa final'!$AB$47="Alta",'Mapa final'!$AD$47="Moderado"),CONCATENATE("R7C",'Mapa final'!$R$47),"")</f>
        <v/>
      </c>
      <c r="AA22" s="38" t="str">
        <f>IF(AND('Mapa final'!$AB$48="Alta",'Mapa final'!$AD$48="Moderado"),CONCATENATE("R7C",'Mapa final'!$R$48),"")</f>
        <v/>
      </c>
      <c r="AB22" s="36" t="str">
        <f>IF(AND('Mapa final'!$AB$43="Alta",'Mapa final'!$AD$43="Mayor"),CONCATENATE("R7C",'Mapa final'!$R$43),"")</f>
        <v/>
      </c>
      <c r="AC22" s="37" t="str">
        <f>IF(AND('Mapa final'!$AB$44="Alta",'Mapa final'!$AD$44="Mayor"),CONCATENATE("R7C",'Mapa final'!$R$44),"")</f>
        <v/>
      </c>
      <c r="AD22" s="37" t="str">
        <f>IF(AND('Mapa final'!$AB$45="Alta",'Mapa final'!$AD$45="Mayor"),CONCATENATE("R7C",'Mapa final'!$R$45),"")</f>
        <v/>
      </c>
      <c r="AE22" s="37" t="str">
        <f>IF(AND('Mapa final'!$AB$46="Alta",'Mapa final'!$AD$46="Mayor"),CONCATENATE("R7C",'Mapa final'!$R$46),"")</f>
        <v/>
      </c>
      <c r="AF22" s="37" t="str">
        <f>IF(AND('Mapa final'!$AB$47="Alta",'Mapa final'!$AD$47="Mayor"),CONCATENATE("R7C",'Mapa final'!$R$47),"")</f>
        <v/>
      </c>
      <c r="AG22" s="38" t="str">
        <f>IF(AND('Mapa final'!$AB$48="Alta",'Mapa final'!$AD$48="Mayor"),CONCATENATE("R7C",'Mapa final'!$R$48),"")</f>
        <v/>
      </c>
      <c r="AH22" s="39" t="str">
        <f>IF(AND('Mapa final'!$AB$43="Alta",'Mapa final'!$AD$43="Catastrófico"),CONCATENATE("R7C",'Mapa final'!$R$43),"")</f>
        <v/>
      </c>
      <c r="AI22" s="40" t="str">
        <f>IF(AND('Mapa final'!$AB$44="Alta",'Mapa final'!$AD$44="Catastrófico"),CONCATENATE("R7C",'Mapa final'!$R$44),"")</f>
        <v/>
      </c>
      <c r="AJ22" s="40" t="str">
        <f>IF(AND('Mapa final'!$AB$45="Alta",'Mapa final'!$AD$45="Catastrófico"),CONCATENATE("R7C",'Mapa final'!$R$45),"")</f>
        <v/>
      </c>
      <c r="AK22" s="40" t="str">
        <f>IF(AND('Mapa final'!$AB$46="Alta",'Mapa final'!$AD$46="Catastrófico"),CONCATENATE("R7C",'Mapa final'!$R$46),"")</f>
        <v/>
      </c>
      <c r="AL22" s="40" t="str">
        <f>IF(AND('Mapa final'!$AB$47="Alta",'Mapa final'!$AD$47="Catastrófico"),CONCATENATE("R7C",'Mapa final'!$R$47),"")</f>
        <v/>
      </c>
      <c r="AM22" s="41" t="str">
        <f>IF(AND('Mapa final'!$AB$48="Alta",'Mapa final'!$AD$48="Catastrófico"),CONCATENATE("R7C",'Mapa final'!$R$48),"")</f>
        <v/>
      </c>
      <c r="AN22" s="67"/>
      <c r="AO22" s="570"/>
      <c r="AP22" s="571"/>
      <c r="AQ22" s="571"/>
      <c r="AR22" s="571"/>
      <c r="AS22" s="571"/>
      <c r="AT22" s="572"/>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481"/>
      <c r="C23" s="481"/>
      <c r="D23" s="482"/>
      <c r="E23" s="580"/>
      <c r="F23" s="579"/>
      <c r="G23" s="579"/>
      <c r="H23" s="579"/>
      <c r="I23" s="579"/>
      <c r="J23" s="51" t="str">
        <f>IF(AND('Mapa final'!$AB$49="Alta",'Mapa final'!$AD$49="Leve"),CONCATENATE("R8C",'Mapa final'!$R$49),"")</f>
        <v/>
      </c>
      <c r="K23" s="52" t="str">
        <f>IF(AND('Mapa final'!$AB$50="Alta",'Mapa final'!$AD$50="Leve"),CONCATENATE("R8C",'Mapa final'!$R$50),"")</f>
        <v/>
      </c>
      <c r="L23" s="52" t="str">
        <f>IF(AND('Mapa final'!$AB$51="Alta",'Mapa final'!$AD$51="Leve"),CONCATENATE("R8C",'Mapa final'!$R$51),"")</f>
        <v/>
      </c>
      <c r="M23" s="52" t="str">
        <f>IF(AND('Mapa final'!$AB$52="Alta",'Mapa final'!$AD$52="Leve"),CONCATENATE("R8C",'Mapa final'!$R$52),"")</f>
        <v/>
      </c>
      <c r="N23" s="52" t="str">
        <f>IF(AND('Mapa final'!$AB$53="Alta",'Mapa final'!$AD$53="Leve"),CONCATENATE("R8C",'Mapa final'!$R$53),"")</f>
        <v/>
      </c>
      <c r="O23" s="53" t="str">
        <f>IF(AND('Mapa final'!$AB$54="Alta",'Mapa final'!$AD$54="Leve"),CONCATENATE("R8C",'Mapa final'!$R$54),"")</f>
        <v/>
      </c>
      <c r="P23" s="51" t="str">
        <f>IF(AND('Mapa final'!$AB$49="Alta",'Mapa final'!$AD$49="Menor"),CONCATENATE("R8C",'Mapa final'!$R$49),"")</f>
        <v/>
      </c>
      <c r="Q23" s="52" t="str">
        <f>IF(AND('Mapa final'!$AB$50="Alta",'Mapa final'!$AD$50="Menor"),CONCATENATE("R8C",'Mapa final'!$R$50),"")</f>
        <v/>
      </c>
      <c r="R23" s="52" t="str">
        <f>IF(AND('Mapa final'!$AB$51="Alta",'Mapa final'!$AD$51="Menor"),CONCATENATE("R8C",'Mapa final'!$R$51),"")</f>
        <v/>
      </c>
      <c r="S23" s="52" t="str">
        <f>IF(AND('Mapa final'!$AB$52="Alta",'Mapa final'!$AD$52="Menor"),CONCATENATE("R8C",'Mapa final'!$R$52),"")</f>
        <v/>
      </c>
      <c r="T23" s="52" t="str">
        <f>IF(AND('Mapa final'!$AB$53="Alta",'Mapa final'!$AD$53="Menor"),CONCATENATE("R8C",'Mapa final'!$R$53),"")</f>
        <v/>
      </c>
      <c r="U23" s="53" t="str">
        <f>IF(AND('Mapa final'!$AB$54="Alta",'Mapa final'!$AD$54="Menor"),CONCATENATE("R8C",'Mapa final'!$R$54),"")</f>
        <v/>
      </c>
      <c r="V23" s="36" t="str">
        <f>IF(AND('Mapa final'!$AB$49="Alta",'Mapa final'!$AD$49="Moderado"),CONCATENATE("R8C",'Mapa final'!$R$49),"")</f>
        <v/>
      </c>
      <c r="W23" s="37" t="str">
        <f>IF(AND('Mapa final'!$AB$50="Alta",'Mapa final'!$AD$50="Moderado"),CONCATENATE("R8C",'Mapa final'!$R$50),"")</f>
        <v/>
      </c>
      <c r="X23" s="37" t="str">
        <f>IF(AND('Mapa final'!$AB$51="Alta",'Mapa final'!$AD$51="Moderado"),CONCATENATE("R8C",'Mapa final'!$R$51),"")</f>
        <v/>
      </c>
      <c r="Y23" s="37" t="str">
        <f>IF(AND('Mapa final'!$AB$52="Alta",'Mapa final'!$AD$52="Moderado"),CONCATENATE("R8C",'Mapa final'!$R$52),"")</f>
        <v/>
      </c>
      <c r="Z23" s="37" t="str">
        <f>IF(AND('Mapa final'!$AB$53="Alta",'Mapa final'!$AD$53="Moderado"),CONCATENATE("R8C",'Mapa final'!$R$53),"")</f>
        <v/>
      </c>
      <c r="AA23" s="38" t="str">
        <f>IF(AND('Mapa final'!$AB$54="Alta",'Mapa final'!$AD$54="Moderado"),CONCATENATE("R8C",'Mapa final'!$R$54),"")</f>
        <v/>
      </c>
      <c r="AB23" s="36" t="str">
        <f>IF(AND('Mapa final'!$AB$49="Alta",'Mapa final'!$AD$49="Mayor"),CONCATENATE("R8C",'Mapa final'!$R$49),"")</f>
        <v/>
      </c>
      <c r="AC23" s="37" t="str">
        <f>IF(AND('Mapa final'!$AB$50="Alta",'Mapa final'!$AD$50="Mayor"),CONCATENATE("R8C",'Mapa final'!$R$50),"")</f>
        <v/>
      </c>
      <c r="AD23" s="37" t="str">
        <f>IF(AND('Mapa final'!$AB$51="Alta",'Mapa final'!$AD$51="Mayor"),CONCATENATE("R8C",'Mapa final'!$R$51),"")</f>
        <v/>
      </c>
      <c r="AE23" s="37" t="str">
        <f>IF(AND('Mapa final'!$AB$52="Alta",'Mapa final'!$AD$52="Mayor"),CONCATENATE("R8C",'Mapa final'!$R$52),"")</f>
        <v/>
      </c>
      <c r="AF23" s="37" t="str">
        <f>IF(AND('Mapa final'!$AB$53="Alta",'Mapa final'!$AD$53="Mayor"),CONCATENATE("R8C",'Mapa final'!$R$53),"")</f>
        <v/>
      </c>
      <c r="AG23" s="38" t="str">
        <f>IF(AND('Mapa final'!$AB$54="Alta",'Mapa final'!$AD$54="Mayor"),CONCATENATE("R8C",'Mapa final'!$R$54),"")</f>
        <v/>
      </c>
      <c r="AH23" s="39" t="str">
        <f>IF(AND('Mapa final'!$AB$49="Alta",'Mapa final'!$AD$49="Catastrófico"),CONCATENATE("R8C",'Mapa final'!$R$49),"")</f>
        <v/>
      </c>
      <c r="AI23" s="40" t="str">
        <f>IF(AND('Mapa final'!$AB$50="Alta",'Mapa final'!$AD$50="Catastrófico"),CONCATENATE("R8C",'Mapa final'!$R$50),"")</f>
        <v/>
      </c>
      <c r="AJ23" s="40" t="str">
        <f>IF(AND('Mapa final'!$AB$51="Alta",'Mapa final'!$AD$51="Catastrófico"),CONCATENATE("R8C",'Mapa final'!$R$51),"")</f>
        <v/>
      </c>
      <c r="AK23" s="40" t="str">
        <f>IF(AND('Mapa final'!$AB$52="Alta",'Mapa final'!$AD$52="Catastrófico"),CONCATENATE("R8C",'Mapa final'!$R$52),"")</f>
        <v/>
      </c>
      <c r="AL23" s="40" t="str">
        <f>IF(AND('Mapa final'!$AB$53="Alta",'Mapa final'!$AD$53="Catastrófico"),CONCATENATE("R8C",'Mapa final'!$R$53),"")</f>
        <v/>
      </c>
      <c r="AM23" s="41" t="str">
        <f>IF(AND('Mapa final'!$AB$54="Alta",'Mapa final'!$AD$54="Catastrófico"),CONCATENATE("R8C",'Mapa final'!$R$54),"")</f>
        <v/>
      </c>
      <c r="AN23" s="67"/>
      <c r="AO23" s="570"/>
      <c r="AP23" s="571"/>
      <c r="AQ23" s="571"/>
      <c r="AR23" s="571"/>
      <c r="AS23" s="571"/>
      <c r="AT23" s="572"/>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481"/>
      <c r="C24" s="481"/>
      <c r="D24" s="482"/>
      <c r="E24" s="580"/>
      <c r="F24" s="579"/>
      <c r="G24" s="579"/>
      <c r="H24" s="579"/>
      <c r="I24" s="579"/>
      <c r="J24" s="51" t="str">
        <f>IF(AND('Mapa final'!$AB$55="Alta",'Mapa final'!$AD$55="Leve"),CONCATENATE("R9C",'Mapa final'!$R$55),"")</f>
        <v/>
      </c>
      <c r="K24" s="52" t="str">
        <f>IF(AND('Mapa final'!$AB$56="Alta",'Mapa final'!$AD$56="Leve"),CONCATENATE("R9C",'Mapa final'!$R$56),"")</f>
        <v/>
      </c>
      <c r="L24" s="52" t="str">
        <f>IF(AND('Mapa final'!$AB$57="Alta",'Mapa final'!$AD$57="Leve"),CONCATENATE("R9C",'Mapa final'!$R$57),"")</f>
        <v/>
      </c>
      <c r="M24" s="52" t="str">
        <f>IF(AND('Mapa final'!$AB$58="Alta",'Mapa final'!$AD$58="Leve"),CONCATENATE("R9C",'Mapa final'!$R$58),"")</f>
        <v/>
      </c>
      <c r="N24" s="52" t="str">
        <f>IF(AND('Mapa final'!$AB$59="Alta",'Mapa final'!$AD$59="Leve"),CONCATENATE("R9C",'Mapa final'!$R$59),"")</f>
        <v/>
      </c>
      <c r="O24" s="53" t="str">
        <f>IF(AND('Mapa final'!$AB$60="Alta",'Mapa final'!$AD$60="Leve"),CONCATENATE("R9C",'Mapa final'!$R$60),"")</f>
        <v/>
      </c>
      <c r="P24" s="51" t="str">
        <f>IF(AND('Mapa final'!$AB$55="Alta",'Mapa final'!$AD$55="Menor"),CONCATENATE("R9C",'Mapa final'!$R$55),"")</f>
        <v/>
      </c>
      <c r="Q24" s="52" t="str">
        <f>IF(AND('Mapa final'!$AB$56="Alta",'Mapa final'!$AD$56="Menor"),CONCATENATE("R9C",'Mapa final'!$R$56),"")</f>
        <v/>
      </c>
      <c r="R24" s="52" t="str">
        <f>IF(AND('Mapa final'!$AB$57="Alta",'Mapa final'!$AD$57="Menor"),CONCATENATE("R9C",'Mapa final'!$R$57),"")</f>
        <v/>
      </c>
      <c r="S24" s="52" t="str">
        <f>IF(AND('Mapa final'!$AB$58="Alta",'Mapa final'!$AD$58="Menor"),CONCATENATE("R9C",'Mapa final'!$R$58),"")</f>
        <v/>
      </c>
      <c r="T24" s="52" t="str">
        <f>IF(AND('Mapa final'!$AB$59="Alta",'Mapa final'!$AD$59="Menor"),CONCATENATE("R9C",'Mapa final'!$R$59),"")</f>
        <v/>
      </c>
      <c r="U24" s="53" t="str">
        <f>IF(AND('Mapa final'!$AB$60="Alta",'Mapa final'!$AD$60="Menor"),CONCATENATE("R9C",'Mapa final'!$R$60),"")</f>
        <v/>
      </c>
      <c r="V24" s="36" t="str">
        <f>IF(AND('Mapa final'!$AB$55="Alta",'Mapa final'!$AD$55="Moderado"),CONCATENATE("R9C",'Mapa final'!$R$55),"")</f>
        <v/>
      </c>
      <c r="W24" s="37" t="str">
        <f>IF(AND('Mapa final'!$AB$56="Alta",'Mapa final'!$AD$56="Moderado"),CONCATENATE("R9C",'Mapa final'!$R$56),"")</f>
        <v/>
      </c>
      <c r="X24" s="37" t="str">
        <f>IF(AND('Mapa final'!$AB$57="Alta",'Mapa final'!$AD$57="Moderado"),CONCATENATE("R9C",'Mapa final'!$R$57),"")</f>
        <v/>
      </c>
      <c r="Y24" s="37" t="str">
        <f>IF(AND('Mapa final'!$AB$58="Alta",'Mapa final'!$AD$58="Moderado"),CONCATENATE("R9C",'Mapa final'!$R$58),"")</f>
        <v/>
      </c>
      <c r="Z24" s="37" t="str">
        <f>IF(AND('Mapa final'!$AB$59="Alta",'Mapa final'!$AD$59="Moderado"),CONCATENATE("R9C",'Mapa final'!$R$59),"")</f>
        <v/>
      </c>
      <c r="AA24" s="38" t="str">
        <f>IF(AND('Mapa final'!$AB$60="Alta",'Mapa final'!$AD$60="Moderado"),CONCATENATE("R9C",'Mapa final'!$R$60),"")</f>
        <v/>
      </c>
      <c r="AB24" s="36" t="str">
        <f>IF(AND('Mapa final'!$AB$55="Alta",'Mapa final'!$AD$55="Mayor"),CONCATENATE("R9C",'Mapa final'!$R$55),"")</f>
        <v/>
      </c>
      <c r="AC24" s="37" t="str">
        <f>IF(AND('Mapa final'!$AB$56="Alta",'Mapa final'!$AD$56="Mayor"),CONCATENATE("R9C",'Mapa final'!$R$56),"")</f>
        <v/>
      </c>
      <c r="AD24" s="37" t="str">
        <f>IF(AND('Mapa final'!$AB$57="Alta",'Mapa final'!$AD$57="Mayor"),CONCATENATE("R9C",'Mapa final'!$R$57),"")</f>
        <v/>
      </c>
      <c r="AE24" s="37" t="str">
        <f>IF(AND('Mapa final'!$AB$58="Alta",'Mapa final'!$AD$58="Mayor"),CONCATENATE("R9C",'Mapa final'!$R$58),"")</f>
        <v/>
      </c>
      <c r="AF24" s="37" t="str">
        <f>IF(AND('Mapa final'!$AB$59="Alta",'Mapa final'!$AD$59="Mayor"),CONCATENATE("R9C",'Mapa final'!$R$59),"")</f>
        <v/>
      </c>
      <c r="AG24" s="38" t="str">
        <f>IF(AND('Mapa final'!$AB$60="Alta",'Mapa final'!$AD$60="Mayor"),CONCATENATE("R9C",'Mapa final'!$R$60),"")</f>
        <v/>
      </c>
      <c r="AH24" s="39" t="str">
        <f>IF(AND('Mapa final'!$AB$55="Alta",'Mapa final'!$AD$55="Catastrófico"),CONCATENATE("R9C",'Mapa final'!$R$55),"")</f>
        <v/>
      </c>
      <c r="AI24" s="40" t="str">
        <f>IF(AND('Mapa final'!$AB$56="Alta",'Mapa final'!$AD$56="Catastrófico"),CONCATENATE("R9C",'Mapa final'!$R$56),"")</f>
        <v/>
      </c>
      <c r="AJ24" s="40" t="str">
        <f>IF(AND('Mapa final'!$AB$57="Alta",'Mapa final'!$AD$57="Catastrófico"),CONCATENATE("R9C",'Mapa final'!$R$57),"")</f>
        <v/>
      </c>
      <c r="AK24" s="40" t="str">
        <f>IF(AND('Mapa final'!$AB$58="Alta",'Mapa final'!$AD$58="Catastrófico"),CONCATENATE("R9C",'Mapa final'!$R$58),"")</f>
        <v/>
      </c>
      <c r="AL24" s="40" t="str">
        <f>IF(AND('Mapa final'!$AB$59="Alta",'Mapa final'!$AD$59="Catastrófico"),CONCATENATE("R9C",'Mapa final'!$R$59),"")</f>
        <v/>
      </c>
      <c r="AM24" s="41" t="str">
        <f>IF(AND('Mapa final'!$AB$60="Alta",'Mapa final'!$AD$60="Catastrófico"),CONCATENATE("R9C",'Mapa final'!$R$60),"")</f>
        <v/>
      </c>
      <c r="AN24" s="67"/>
      <c r="AO24" s="570"/>
      <c r="AP24" s="571"/>
      <c r="AQ24" s="571"/>
      <c r="AR24" s="571"/>
      <c r="AS24" s="571"/>
      <c r="AT24" s="572"/>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481"/>
      <c r="C25" s="481"/>
      <c r="D25" s="482"/>
      <c r="E25" s="581"/>
      <c r="F25" s="582"/>
      <c r="G25" s="582"/>
      <c r="H25" s="582"/>
      <c r="I25" s="582"/>
      <c r="J25" s="54" t="str">
        <f>IF(AND('Mapa final'!$AB$61="Alta",'Mapa final'!$AD$61="Leve"),CONCATENATE("R10C",'Mapa final'!$R$61),"")</f>
        <v/>
      </c>
      <c r="K25" s="55" t="str">
        <f>IF(AND('Mapa final'!$AB$62="Alta",'Mapa final'!$AD$62="Leve"),CONCATENATE("R10C",'Mapa final'!$R$62),"")</f>
        <v/>
      </c>
      <c r="L25" s="55" t="str">
        <f>IF(AND('Mapa final'!$AB$63="Alta",'Mapa final'!$AD$63="Leve"),CONCATENATE("R10C",'Mapa final'!$R$63),"")</f>
        <v/>
      </c>
      <c r="M25" s="55" t="str">
        <f>IF(AND('Mapa final'!$AB$64="Alta",'Mapa final'!$AD$64="Leve"),CONCATENATE("R10C",'Mapa final'!$R$64),"")</f>
        <v/>
      </c>
      <c r="N25" s="55" t="str">
        <f>IF(AND('Mapa final'!$AB$65="Alta",'Mapa final'!$AD$65="Leve"),CONCATENATE("R10C",'Mapa final'!$R$65),"")</f>
        <v/>
      </c>
      <c r="O25" s="56" t="str">
        <f>IF(AND('Mapa final'!$AB$66="Alta",'Mapa final'!$AD$66="Leve"),CONCATENATE("R10C",'Mapa final'!$R$66),"")</f>
        <v/>
      </c>
      <c r="P25" s="54" t="str">
        <f>IF(AND('Mapa final'!$AB$61="Alta",'Mapa final'!$AD$61="Menor"),CONCATENATE("R10C",'Mapa final'!$R$61),"")</f>
        <v/>
      </c>
      <c r="Q25" s="55" t="str">
        <f>IF(AND('Mapa final'!$AB$62="Alta",'Mapa final'!$AD$62="Menor"),CONCATENATE("R10C",'Mapa final'!$R$62),"")</f>
        <v/>
      </c>
      <c r="R25" s="55" t="str">
        <f>IF(AND('Mapa final'!$AB$63="Alta",'Mapa final'!$AD$63="Menor"),CONCATENATE("R10C",'Mapa final'!$R$63),"")</f>
        <v/>
      </c>
      <c r="S25" s="55" t="str">
        <f>IF(AND('Mapa final'!$AB$64="Alta",'Mapa final'!$AD$64="Menor"),CONCATENATE("R10C",'Mapa final'!$R$64),"")</f>
        <v/>
      </c>
      <c r="T25" s="55" t="str">
        <f>IF(AND('Mapa final'!$AB$65="Alta",'Mapa final'!$AD$65="Menor"),CONCATENATE("R10C",'Mapa final'!$R$65),"")</f>
        <v/>
      </c>
      <c r="U25" s="56" t="str">
        <f>IF(AND('Mapa final'!$AB$66="Alta",'Mapa final'!$AD$66="Menor"),CONCATENATE("R10C",'Mapa final'!$R$66),"")</f>
        <v/>
      </c>
      <c r="V25" s="42" t="str">
        <f>IF(AND('Mapa final'!$AB$61="Alta",'Mapa final'!$AD$61="Moderado"),CONCATENATE("R10C",'Mapa final'!$R$61),"")</f>
        <v/>
      </c>
      <c r="W25" s="43" t="str">
        <f>IF(AND('Mapa final'!$AB$62="Alta",'Mapa final'!$AD$62="Moderado"),CONCATENATE("R10C",'Mapa final'!$R$62),"")</f>
        <v/>
      </c>
      <c r="X25" s="43" t="str">
        <f>IF(AND('Mapa final'!$AB$63="Alta",'Mapa final'!$AD$63="Moderado"),CONCATENATE("R10C",'Mapa final'!$R$63),"")</f>
        <v/>
      </c>
      <c r="Y25" s="43" t="str">
        <f>IF(AND('Mapa final'!$AB$64="Alta",'Mapa final'!$AD$64="Moderado"),CONCATENATE("R10C",'Mapa final'!$R$64),"")</f>
        <v/>
      </c>
      <c r="Z25" s="43" t="str">
        <f>IF(AND('Mapa final'!$AB$65="Alta",'Mapa final'!$AD$65="Moderado"),CONCATENATE("R10C",'Mapa final'!$R$65),"")</f>
        <v/>
      </c>
      <c r="AA25" s="44" t="str">
        <f>IF(AND('Mapa final'!$AB$66="Alta",'Mapa final'!$AD$66="Moderado"),CONCATENATE("R10C",'Mapa final'!$R$66),"")</f>
        <v/>
      </c>
      <c r="AB25" s="42" t="str">
        <f>IF(AND('Mapa final'!$AB$61="Alta",'Mapa final'!$AD$61="Mayor"),CONCATENATE("R10C",'Mapa final'!$R$61),"")</f>
        <v/>
      </c>
      <c r="AC25" s="43" t="str">
        <f>IF(AND('Mapa final'!$AB$62="Alta",'Mapa final'!$AD$62="Mayor"),CONCATENATE("R10C",'Mapa final'!$R$62),"")</f>
        <v/>
      </c>
      <c r="AD25" s="43" t="str">
        <f>IF(AND('Mapa final'!$AB$63="Alta",'Mapa final'!$AD$63="Mayor"),CONCATENATE("R10C",'Mapa final'!$R$63),"")</f>
        <v/>
      </c>
      <c r="AE25" s="43" t="str">
        <f>IF(AND('Mapa final'!$AB$64="Alta",'Mapa final'!$AD$64="Mayor"),CONCATENATE("R10C",'Mapa final'!$R$64),"")</f>
        <v/>
      </c>
      <c r="AF25" s="43" t="str">
        <f>IF(AND('Mapa final'!$AB$65="Alta",'Mapa final'!$AD$65="Mayor"),CONCATENATE("R10C",'Mapa final'!$R$65),"")</f>
        <v/>
      </c>
      <c r="AG25" s="44" t="str">
        <f>IF(AND('Mapa final'!$AB$66="Alta",'Mapa final'!$AD$66="Mayor"),CONCATENATE("R10C",'Mapa final'!$R$66),"")</f>
        <v/>
      </c>
      <c r="AH25" s="45" t="str">
        <f>IF(AND('Mapa final'!$AB$61="Alta",'Mapa final'!$AD$61="Catastrófico"),CONCATENATE("R10C",'Mapa final'!$R$61),"")</f>
        <v/>
      </c>
      <c r="AI25" s="46" t="str">
        <f>IF(AND('Mapa final'!$AB$62="Alta",'Mapa final'!$AD$62="Catastrófico"),CONCATENATE("R10C",'Mapa final'!$R$62),"")</f>
        <v/>
      </c>
      <c r="AJ25" s="46" t="str">
        <f>IF(AND('Mapa final'!$AB$63="Alta",'Mapa final'!$AD$63="Catastrófico"),CONCATENATE("R10C",'Mapa final'!$R$63),"")</f>
        <v/>
      </c>
      <c r="AK25" s="46" t="str">
        <f>IF(AND('Mapa final'!$AB$64="Alta",'Mapa final'!$AD$64="Catastrófico"),CONCATENATE("R10C",'Mapa final'!$R$64),"")</f>
        <v/>
      </c>
      <c r="AL25" s="46" t="str">
        <f>IF(AND('Mapa final'!$AB$65="Alta",'Mapa final'!$AD$65="Catastrófico"),CONCATENATE("R10C",'Mapa final'!$R$65),"")</f>
        <v/>
      </c>
      <c r="AM25" s="47" t="str">
        <f>IF(AND('Mapa final'!$AB$66="Alta",'Mapa final'!$AD$66="Catastrófico"),CONCATENATE("R10C",'Mapa final'!$R$66),"")</f>
        <v/>
      </c>
      <c r="AN25" s="67"/>
      <c r="AO25" s="573"/>
      <c r="AP25" s="574"/>
      <c r="AQ25" s="574"/>
      <c r="AR25" s="574"/>
      <c r="AS25" s="574"/>
      <c r="AT25" s="575"/>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481"/>
      <c r="C26" s="481"/>
      <c r="D26" s="482"/>
      <c r="E26" s="576" t="s">
        <v>112</v>
      </c>
      <c r="F26" s="577"/>
      <c r="G26" s="577"/>
      <c r="H26" s="577"/>
      <c r="I26" s="594"/>
      <c r="J26" s="48" t="str">
        <f>IF(AND('Mapa final'!$AB$10="Media",'Mapa final'!$AD$10="Leve"),CONCATENATE("R1C",'Mapa final'!$R$10),"")</f>
        <v/>
      </c>
      <c r="K26" s="49" t="str">
        <f>IF(AND('Mapa final'!$AB$11="Media",'Mapa final'!$AD$11="Leve"),CONCATENATE("R1C",'Mapa final'!$R$11),"")</f>
        <v/>
      </c>
      <c r="L26" s="49" t="str">
        <f>IF(AND('Mapa final'!$AB$12="Media",'Mapa final'!$AD$12="Leve"),CONCATENATE("R1C",'Mapa final'!$R$12),"")</f>
        <v/>
      </c>
      <c r="M26" s="49" t="e">
        <f>IF(AND('Mapa final'!#REF!="Media",'Mapa final'!#REF!="Leve"),CONCATENATE("R1C",'Mapa final'!#REF!),"")</f>
        <v>#REF!</v>
      </c>
      <c r="N26" s="49" t="e">
        <f>IF(AND('Mapa final'!#REF!="Media",'Mapa final'!#REF!="Leve"),CONCATENATE("R1C",'Mapa final'!#REF!),"")</f>
        <v>#REF!</v>
      </c>
      <c r="O26" s="50" t="e">
        <f>IF(AND('Mapa final'!#REF!="Media",'Mapa final'!#REF!="Leve"),CONCATENATE("R1C",'Mapa final'!#REF!),"")</f>
        <v>#REF!</v>
      </c>
      <c r="P26" s="48" t="str">
        <f>IF(AND('Mapa final'!$AB$10="Media",'Mapa final'!$AD$10="Menor"),CONCATENATE("R1C",'Mapa final'!$R$10),"")</f>
        <v/>
      </c>
      <c r="Q26" s="49" t="str">
        <f>IF(AND('Mapa final'!$AB$11="Media",'Mapa final'!$AD$11="Menor"),CONCATENATE("R1C",'Mapa final'!$R$11),"")</f>
        <v/>
      </c>
      <c r="R26" s="49" t="str">
        <f>IF(AND('Mapa final'!$AB$12="Media",'Mapa final'!$AD$12="Menor"),CONCATENATE("R1C",'Mapa final'!$R$12),"")</f>
        <v/>
      </c>
      <c r="S26" s="49" t="e">
        <f>IF(AND('Mapa final'!#REF!="Media",'Mapa final'!#REF!="Menor"),CONCATENATE("R1C",'Mapa final'!#REF!),"")</f>
        <v>#REF!</v>
      </c>
      <c r="T26" s="49" t="e">
        <f>IF(AND('Mapa final'!#REF!="Media",'Mapa final'!#REF!="Menor"),CONCATENATE("R1C",'Mapa final'!#REF!),"")</f>
        <v>#REF!</v>
      </c>
      <c r="U26" s="50" t="e">
        <f>IF(AND('Mapa final'!#REF!="Media",'Mapa final'!#REF!="Menor"),CONCATENATE("R1C",'Mapa final'!#REF!),"")</f>
        <v>#REF!</v>
      </c>
      <c r="V26" s="48" t="str">
        <f>IF(AND('Mapa final'!$AB$10="Media",'Mapa final'!$AD$10="Moderado"),CONCATENATE("R1C",'Mapa final'!$R$10),"")</f>
        <v/>
      </c>
      <c r="W26" s="49" t="str">
        <f>IF(AND('Mapa final'!$AB$11="Media",'Mapa final'!$AD$11="Moderado"),CONCATENATE("R1C",'Mapa final'!$R$11),"")</f>
        <v/>
      </c>
      <c r="X26" s="49" t="str">
        <f>IF(AND('Mapa final'!$AB$12="Media",'Mapa final'!$AD$12="Moderado"),CONCATENATE("R1C",'Mapa final'!$R$12),"")</f>
        <v/>
      </c>
      <c r="Y26" s="49" t="e">
        <f>IF(AND('Mapa final'!#REF!="Media",'Mapa final'!#REF!="Moderado"),CONCATENATE("R1C",'Mapa final'!#REF!),"")</f>
        <v>#REF!</v>
      </c>
      <c r="Z26" s="49" t="e">
        <f>IF(AND('Mapa final'!#REF!="Media",'Mapa final'!#REF!="Moderado"),CONCATENATE("R1C",'Mapa final'!#REF!),"")</f>
        <v>#REF!</v>
      </c>
      <c r="AA26" s="50" t="e">
        <f>IF(AND('Mapa final'!#REF!="Media",'Mapa final'!#REF!="Moderado"),CONCATENATE("R1C",'Mapa final'!#REF!),"")</f>
        <v>#REF!</v>
      </c>
      <c r="AB26" s="30" t="str">
        <f>IF(AND('Mapa final'!$AB$10="Media",'Mapa final'!$AD$10="Mayor"),CONCATENATE("R1C",'Mapa final'!$R$10),"")</f>
        <v/>
      </c>
      <c r="AC26" s="31" t="str">
        <f>IF(AND('Mapa final'!$AB$11="Media",'Mapa final'!$AD$11="Mayor"),CONCATENATE("R1C",'Mapa final'!$R$11),"")</f>
        <v/>
      </c>
      <c r="AD26" s="31" t="str">
        <f>IF(AND('Mapa final'!$AB$12="Media",'Mapa final'!$AD$12="Mayor"),CONCATENATE("R1C",'Mapa final'!$R$12),"")</f>
        <v/>
      </c>
      <c r="AE26" s="31" t="e">
        <f>IF(AND('Mapa final'!#REF!="Media",'Mapa final'!#REF!="Mayor"),CONCATENATE("R1C",'Mapa final'!#REF!),"")</f>
        <v>#REF!</v>
      </c>
      <c r="AF26" s="31" t="e">
        <f>IF(AND('Mapa final'!#REF!="Media",'Mapa final'!#REF!="Mayor"),CONCATENATE("R1C",'Mapa final'!#REF!),"")</f>
        <v>#REF!</v>
      </c>
      <c r="AG26" s="32" t="e">
        <f>IF(AND('Mapa final'!#REF!="Media",'Mapa final'!#REF!="Mayor"),CONCATENATE("R1C",'Mapa final'!#REF!),"")</f>
        <v>#REF!</v>
      </c>
      <c r="AH26" s="33" t="str">
        <f>IF(AND('Mapa final'!$AB$10="Media",'Mapa final'!$AD$10="Catastrófico"),CONCATENATE("R1C",'Mapa final'!$R$10),"")</f>
        <v/>
      </c>
      <c r="AI26" s="34" t="str">
        <f>IF(AND('Mapa final'!$AB$11="Media",'Mapa final'!$AD$11="Catastrófico"),CONCATENATE("R1C",'Mapa final'!$R$11),"")</f>
        <v/>
      </c>
      <c r="AJ26" s="34" t="str">
        <f>IF(AND('Mapa final'!$AB$12="Media",'Mapa final'!$AD$12="Catastrófico"),CONCATENATE("R1C",'Mapa final'!$R$12),"")</f>
        <v/>
      </c>
      <c r="AK26" s="34" t="e">
        <f>IF(AND('Mapa final'!#REF!="Media",'Mapa final'!#REF!="Catastrófico"),CONCATENATE("R1C",'Mapa final'!#REF!),"")</f>
        <v>#REF!</v>
      </c>
      <c r="AL26" s="34" t="e">
        <f>IF(AND('Mapa final'!#REF!="Media",'Mapa final'!#REF!="Catastrófico"),CONCATENATE("R1C",'Mapa final'!#REF!),"")</f>
        <v>#REF!</v>
      </c>
      <c r="AM26" s="35" t="e">
        <f>IF(AND('Mapa final'!#REF!="Media",'Mapa final'!#REF!="Catastrófico"),CONCATENATE("R1C",'Mapa final'!#REF!),"")</f>
        <v>#REF!</v>
      </c>
      <c r="AN26" s="67"/>
      <c r="AO26" s="606" t="s">
        <v>80</v>
      </c>
      <c r="AP26" s="607"/>
      <c r="AQ26" s="607"/>
      <c r="AR26" s="607"/>
      <c r="AS26" s="607"/>
      <c r="AT26" s="608"/>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481"/>
      <c r="C27" s="481"/>
      <c r="D27" s="482"/>
      <c r="E27" s="578"/>
      <c r="F27" s="579"/>
      <c r="G27" s="579"/>
      <c r="H27" s="579"/>
      <c r="I27" s="595"/>
      <c r="J27" s="51" t="str">
        <f>IF(AND('Mapa final'!$AB$13="Media",'Mapa final'!$AD$13="Leve"),CONCATENATE("R2C",'Mapa final'!$R$13),"")</f>
        <v/>
      </c>
      <c r="K27" s="52" t="str">
        <f>IF(AND('Mapa final'!$AB$14="Media",'Mapa final'!$AD$14="Leve"),CONCATENATE("R2C",'Mapa final'!$R$14),"")</f>
        <v/>
      </c>
      <c r="L27" s="52" t="str">
        <f>IF(AND('Mapa final'!$AB$15="Media",'Mapa final'!$AD$15="Leve"),CONCATENATE("R2C",'Mapa final'!$R$15),"")</f>
        <v/>
      </c>
      <c r="M27" s="52" t="str">
        <f>IF(AND('Mapa final'!$AB$16="Media",'Mapa final'!$AD$16="Leve"),CONCATENATE("R2C",'Mapa final'!$R$16),"")</f>
        <v/>
      </c>
      <c r="N27" s="52" t="str">
        <f>IF(AND('Mapa final'!$AB$17="Media",'Mapa final'!$AD$17="Leve"),CONCATENATE("R2C",'Mapa final'!$R$17),"")</f>
        <v/>
      </c>
      <c r="O27" s="53" t="str">
        <f>IF(AND('Mapa final'!$AB$18="Media",'Mapa final'!$AD$18="Leve"),CONCATENATE("R2C",'Mapa final'!$R$18),"")</f>
        <v/>
      </c>
      <c r="P27" s="51" t="str">
        <f>IF(AND('Mapa final'!$AB$13="Media",'Mapa final'!$AD$13="Menor"),CONCATENATE("R2C",'Mapa final'!$R$13),"")</f>
        <v/>
      </c>
      <c r="Q27" s="52" t="str">
        <f>IF(AND('Mapa final'!$AB$14="Media",'Mapa final'!$AD$14="Menor"),CONCATENATE("R2C",'Mapa final'!$R$14),"")</f>
        <v/>
      </c>
      <c r="R27" s="52" t="str">
        <f>IF(AND('Mapa final'!$AB$15="Media",'Mapa final'!$AD$15="Menor"),CONCATENATE("R2C",'Mapa final'!$R$15),"")</f>
        <v/>
      </c>
      <c r="S27" s="52" t="str">
        <f>IF(AND('Mapa final'!$AB$16="Media",'Mapa final'!$AD$16="Menor"),CONCATENATE("R2C",'Mapa final'!$R$16),"")</f>
        <v/>
      </c>
      <c r="T27" s="52" t="str">
        <f>IF(AND('Mapa final'!$AB$17="Media",'Mapa final'!$AD$17="Menor"),CONCATENATE("R2C",'Mapa final'!$R$17),"")</f>
        <v/>
      </c>
      <c r="U27" s="53" t="str">
        <f>IF(AND('Mapa final'!$AB$18="Media",'Mapa final'!$AD$18="Menor"),CONCATENATE("R2C",'Mapa final'!$R$18),"")</f>
        <v/>
      </c>
      <c r="V27" s="51" t="str">
        <f>IF(AND('Mapa final'!$AB$13="Media",'Mapa final'!$AD$13="Moderado"),CONCATENATE("R2C",'Mapa final'!$R$13),"")</f>
        <v/>
      </c>
      <c r="W27" s="52" t="str">
        <f>IF(AND('Mapa final'!$AB$14="Media",'Mapa final'!$AD$14="Moderado"),CONCATENATE("R2C",'Mapa final'!$R$14),"")</f>
        <v/>
      </c>
      <c r="X27" s="52" t="str">
        <f>IF(AND('Mapa final'!$AB$15="Media",'Mapa final'!$AD$15="Moderado"),CONCATENATE("R2C",'Mapa final'!$R$15),"")</f>
        <v/>
      </c>
      <c r="Y27" s="52" t="str">
        <f>IF(AND('Mapa final'!$AB$16="Media",'Mapa final'!$AD$16="Moderado"),CONCATENATE("R2C",'Mapa final'!$R$16),"")</f>
        <v/>
      </c>
      <c r="Z27" s="52" t="str">
        <f>IF(AND('Mapa final'!$AB$17="Media",'Mapa final'!$AD$17="Moderado"),CONCATENATE("R2C",'Mapa final'!$R$17),"")</f>
        <v/>
      </c>
      <c r="AA27" s="53" t="str">
        <f>IF(AND('Mapa final'!$AB$18="Media",'Mapa final'!$AD$18="Moderado"),CONCATENATE("R2C",'Mapa final'!$R$18),"")</f>
        <v/>
      </c>
      <c r="AB27" s="36" t="str">
        <f>IF(AND('Mapa final'!$AB$13="Media",'Mapa final'!$AD$13="Mayor"),CONCATENATE("R2C",'Mapa final'!$R$13),"")</f>
        <v/>
      </c>
      <c r="AC27" s="37" t="str">
        <f>IF(AND('Mapa final'!$AB$14="Media",'Mapa final'!$AD$14="Mayor"),CONCATENATE("R2C",'Mapa final'!$R$14),"")</f>
        <v/>
      </c>
      <c r="AD27" s="37" t="str">
        <f>IF(AND('Mapa final'!$AB$15="Media",'Mapa final'!$AD$15="Mayor"),CONCATENATE("R2C",'Mapa final'!$R$15),"")</f>
        <v/>
      </c>
      <c r="AE27" s="37" t="str">
        <f>IF(AND('Mapa final'!$AB$16="Media",'Mapa final'!$AD$16="Mayor"),CONCATENATE("R2C",'Mapa final'!$R$16),"")</f>
        <v/>
      </c>
      <c r="AF27" s="37" t="str">
        <f>IF(AND('Mapa final'!$AB$17="Media",'Mapa final'!$AD$17="Mayor"),CONCATENATE("R2C",'Mapa final'!$R$17),"")</f>
        <v/>
      </c>
      <c r="AG27" s="38" t="str">
        <f>IF(AND('Mapa final'!$AB$18="Media",'Mapa final'!$AD$18="Mayor"),CONCATENATE("R2C",'Mapa final'!$R$18),"")</f>
        <v/>
      </c>
      <c r="AH27" s="39" t="str">
        <f>IF(AND('Mapa final'!$AB$13="Media",'Mapa final'!$AD$13="Catastrófico"),CONCATENATE("R2C",'Mapa final'!$R$13),"")</f>
        <v/>
      </c>
      <c r="AI27" s="40" t="str">
        <f>IF(AND('Mapa final'!$AB$14="Media",'Mapa final'!$AD$14="Catastrófico"),CONCATENATE("R2C",'Mapa final'!$R$14),"")</f>
        <v/>
      </c>
      <c r="AJ27" s="40" t="str">
        <f>IF(AND('Mapa final'!$AB$15="Media",'Mapa final'!$AD$15="Catastrófico"),CONCATENATE("R2C",'Mapa final'!$R$15),"")</f>
        <v/>
      </c>
      <c r="AK27" s="40" t="str">
        <f>IF(AND('Mapa final'!$AB$16="Media",'Mapa final'!$AD$16="Catastrófico"),CONCATENATE("R2C",'Mapa final'!$R$16),"")</f>
        <v/>
      </c>
      <c r="AL27" s="40" t="str">
        <f>IF(AND('Mapa final'!$AB$17="Media",'Mapa final'!$AD$17="Catastrófico"),CONCATENATE("R2C",'Mapa final'!$R$17),"")</f>
        <v/>
      </c>
      <c r="AM27" s="41" t="str">
        <f>IF(AND('Mapa final'!$AB$18="Media",'Mapa final'!$AD$18="Catastrófico"),CONCATENATE("R2C",'Mapa final'!$R$18),"")</f>
        <v/>
      </c>
      <c r="AN27" s="67"/>
      <c r="AO27" s="609"/>
      <c r="AP27" s="610"/>
      <c r="AQ27" s="610"/>
      <c r="AR27" s="610"/>
      <c r="AS27" s="610"/>
      <c r="AT27" s="611"/>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481"/>
      <c r="C28" s="481"/>
      <c r="D28" s="482"/>
      <c r="E28" s="580"/>
      <c r="F28" s="579"/>
      <c r="G28" s="579"/>
      <c r="H28" s="579"/>
      <c r="I28" s="595"/>
      <c r="J28" s="51" t="str">
        <f>IF(AND('Mapa final'!$AB$19="Media",'Mapa final'!$AD$19="Leve"),CONCATENATE("R3C",'Mapa final'!$R$19),"")</f>
        <v/>
      </c>
      <c r="K28" s="52" t="str">
        <f>IF(AND('Mapa final'!$AB$20="Media",'Mapa final'!$AD$20="Leve"),CONCATENATE("R3C",'Mapa final'!$R$20),"")</f>
        <v/>
      </c>
      <c r="L28" s="52" t="str">
        <f>IF(AND('Mapa final'!$AB$21="Media",'Mapa final'!$AD$21="Leve"),CONCATENATE("R3C",'Mapa final'!$R$21),"")</f>
        <v/>
      </c>
      <c r="M28" s="52" t="str">
        <f>IF(AND('Mapa final'!$AB$22="Media",'Mapa final'!$AD$22="Leve"),CONCATENATE("R3C",'Mapa final'!$R$22),"")</f>
        <v/>
      </c>
      <c r="N28" s="52" t="str">
        <f>IF(AND('Mapa final'!$AB$23="Media",'Mapa final'!$AD$23="Leve"),CONCATENATE("R3C",'Mapa final'!$R$23),"")</f>
        <v/>
      </c>
      <c r="O28" s="53" t="str">
        <f>IF(AND('Mapa final'!$AB$24="Media",'Mapa final'!$AD$24="Leve"),CONCATENATE("R3C",'Mapa final'!$R$24),"")</f>
        <v/>
      </c>
      <c r="P28" s="51" t="str">
        <f>IF(AND('Mapa final'!$AB$19="Media",'Mapa final'!$AD$19="Menor"),CONCATENATE("R3C",'Mapa final'!$R$19),"")</f>
        <v/>
      </c>
      <c r="Q28" s="52" t="str">
        <f>IF(AND('Mapa final'!$AB$20="Media",'Mapa final'!$AD$20="Menor"),CONCATENATE("R3C",'Mapa final'!$R$20),"")</f>
        <v/>
      </c>
      <c r="R28" s="52" t="str">
        <f>IF(AND('Mapa final'!$AB$21="Media",'Mapa final'!$AD$21="Menor"),CONCATENATE("R3C",'Mapa final'!$R$21),"")</f>
        <v/>
      </c>
      <c r="S28" s="52" t="str">
        <f>IF(AND('Mapa final'!$AB$22="Media",'Mapa final'!$AD$22="Menor"),CONCATENATE("R3C",'Mapa final'!$R$22),"")</f>
        <v/>
      </c>
      <c r="T28" s="52" t="str">
        <f>IF(AND('Mapa final'!$AB$23="Media",'Mapa final'!$AD$23="Menor"),CONCATENATE("R3C",'Mapa final'!$R$23),"")</f>
        <v/>
      </c>
      <c r="U28" s="53" t="str">
        <f>IF(AND('Mapa final'!$AB$24="Media",'Mapa final'!$AD$24="Menor"),CONCATENATE("R3C",'Mapa final'!$R$24),"")</f>
        <v/>
      </c>
      <c r="V28" s="51" t="str">
        <f>IF(AND('Mapa final'!$AB$19="Media",'Mapa final'!$AD$19="Moderado"),CONCATENATE("R3C",'Mapa final'!$R$19),"")</f>
        <v/>
      </c>
      <c r="W28" s="52" t="str">
        <f>IF(AND('Mapa final'!$AB$20="Media",'Mapa final'!$AD$20="Moderado"),CONCATENATE("R3C",'Mapa final'!$R$20),"")</f>
        <v/>
      </c>
      <c r="X28" s="52" t="str">
        <f>IF(AND('Mapa final'!$AB$21="Media",'Mapa final'!$AD$21="Moderado"),CONCATENATE("R3C",'Mapa final'!$R$21),"")</f>
        <v/>
      </c>
      <c r="Y28" s="52" t="str">
        <f>IF(AND('Mapa final'!$AB$22="Media",'Mapa final'!$AD$22="Moderado"),CONCATENATE("R3C",'Mapa final'!$R$22),"")</f>
        <v/>
      </c>
      <c r="Z28" s="52" t="str">
        <f>IF(AND('Mapa final'!$AB$23="Media",'Mapa final'!$AD$23="Moderado"),CONCATENATE("R3C",'Mapa final'!$R$23),"")</f>
        <v/>
      </c>
      <c r="AA28" s="53" t="str">
        <f>IF(AND('Mapa final'!$AB$24="Media",'Mapa final'!$AD$24="Moderado"),CONCATENATE("R3C",'Mapa final'!$R$24),"")</f>
        <v/>
      </c>
      <c r="AB28" s="36" t="str">
        <f>IF(AND('Mapa final'!$AB$19="Media",'Mapa final'!$AD$19="Mayor"),CONCATENATE("R3C",'Mapa final'!$R$19),"")</f>
        <v/>
      </c>
      <c r="AC28" s="37" t="str">
        <f>IF(AND('Mapa final'!$AB$20="Media",'Mapa final'!$AD$20="Mayor"),CONCATENATE("R3C",'Mapa final'!$R$20),"")</f>
        <v/>
      </c>
      <c r="AD28" s="37" t="str">
        <f>IF(AND('Mapa final'!$AB$21="Media",'Mapa final'!$AD$21="Mayor"),CONCATENATE("R3C",'Mapa final'!$R$21),"")</f>
        <v/>
      </c>
      <c r="AE28" s="37" t="str">
        <f>IF(AND('Mapa final'!$AB$22="Media",'Mapa final'!$AD$22="Mayor"),CONCATENATE("R3C",'Mapa final'!$R$22),"")</f>
        <v/>
      </c>
      <c r="AF28" s="37" t="str">
        <f>IF(AND('Mapa final'!$AB$23="Media",'Mapa final'!$AD$23="Mayor"),CONCATENATE("R3C",'Mapa final'!$R$23),"")</f>
        <v/>
      </c>
      <c r="AG28" s="38" t="str">
        <f>IF(AND('Mapa final'!$AB$24="Media",'Mapa final'!$AD$24="Mayor"),CONCATENATE("R3C",'Mapa final'!$R$24),"")</f>
        <v/>
      </c>
      <c r="AH28" s="39" t="str">
        <f>IF(AND('Mapa final'!$AB$19="Media",'Mapa final'!$AD$19="Catastrófico"),CONCATENATE("R3C",'Mapa final'!$R$19),"")</f>
        <v/>
      </c>
      <c r="AI28" s="40" t="str">
        <f>IF(AND('Mapa final'!$AB$20="Media",'Mapa final'!$AD$20="Catastrófico"),CONCATENATE("R3C",'Mapa final'!$R$20),"")</f>
        <v/>
      </c>
      <c r="AJ28" s="40" t="str">
        <f>IF(AND('Mapa final'!$AB$21="Media",'Mapa final'!$AD$21="Catastrófico"),CONCATENATE("R3C",'Mapa final'!$R$21),"")</f>
        <v/>
      </c>
      <c r="AK28" s="40" t="str">
        <f>IF(AND('Mapa final'!$AB$22="Media",'Mapa final'!$AD$22="Catastrófico"),CONCATENATE("R3C",'Mapa final'!$R$22),"")</f>
        <v/>
      </c>
      <c r="AL28" s="40" t="str">
        <f>IF(AND('Mapa final'!$AB$23="Media",'Mapa final'!$AD$23="Catastrófico"),CONCATENATE("R3C",'Mapa final'!$R$23),"")</f>
        <v/>
      </c>
      <c r="AM28" s="41" t="str">
        <f>IF(AND('Mapa final'!$AB$24="Media",'Mapa final'!$AD$24="Catastrófico"),CONCATENATE("R3C",'Mapa final'!$R$24),"")</f>
        <v/>
      </c>
      <c r="AN28" s="67"/>
      <c r="AO28" s="609"/>
      <c r="AP28" s="610"/>
      <c r="AQ28" s="610"/>
      <c r="AR28" s="610"/>
      <c r="AS28" s="610"/>
      <c r="AT28" s="611"/>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481"/>
      <c r="C29" s="481"/>
      <c r="D29" s="482"/>
      <c r="E29" s="580"/>
      <c r="F29" s="579"/>
      <c r="G29" s="579"/>
      <c r="H29" s="579"/>
      <c r="I29" s="595"/>
      <c r="J29" s="51" t="str">
        <f>IF(AND('Mapa final'!$AB$25="Media",'Mapa final'!$AD$25="Leve"),CONCATENATE("R4C",'Mapa final'!$R$25),"")</f>
        <v/>
      </c>
      <c r="K29" s="52" t="str">
        <f>IF(AND('Mapa final'!$AB$26="Media",'Mapa final'!$AD$26="Leve"),CONCATENATE("R4C",'Mapa final'!$R$26),"")</f>
        <v/>
      </c>
      <c r="L29" s="52" t="str">
        <f>IF(AND('Mapa final'!$AB$27="Media",'Mapa final'!$AD$27="Leve"),CONCATENATE("R4C",'Mapa final'!$R$27),"")</f>
        <v/>
      </c>
      <c r="M29" s="52" t="str">
        <f>IF(AND('Mapa final'!$AB$28="Media",'Mapa final'!$AD$28="Leve"),CONCATENATE("R4C",'Mapa final'!$R$28),"")</f>
        <v/>
      </c>
      <c r="N29" s="52" t="str">
        <f>IF(AND('Mapa final'!$AB$29="Media",'Mapa final'!$AD$29="Leve"),CONCATENATE("R4C",'Mapa final'!$R$29),"")</f>
        <v/>
      </c>
      <c r="O29" s="53" t="str">
        <f>IF(AND('Mapa final'!$AB$30="Media",'Mapa final'!$AD$30="Leve"),CONCATENATE("R4C",'Mapa final'!$R$30),"")</f>
        <v/>
      </c>
      <c r="P29" s="51" t="str">
        <f>IF(AND('Mapa final'!$AB$25="Media",'Mapa final'!$AD$25="Menor"),CONCATENATE("R4C",'Mapa final'!$R$25),"")</f>
        <v/>
      </c>
      <c r="Q29" s="52" t="str">
        <f>IF(AND('Mapa final'!$AB$26="Media",'Mapa final'!$AD$26="Menor"),CONCATENATE("R4C",'Mapa final'!$R$26),"")</f>
        <v/>
      </c>
      <c r="R29" s="52" t="str">
        <f>IF(AND('Mapa final'!$AB$27="Media",'Mapa final'!$AD$27="Menor"),CONCATENATE("R4C",'Mapa final'!$R$27),"")</f>
        <v/>
      </c>
      <c r="S29" s="52" t="str">
        <f>IF(AND('Mapa final'!$AB$28="Media",'Mapa final'!$AD$28="Menor"),CONCATENATE("R4C",'Mapa final'!$R$28),"")</f>
        <v/>
      </c>
      <c r="T29" s="52" t="str">
        <f>IF(AND('Mapa final'!$AB$29="Media",'Mapa final'!$AD$29="Menor"),CONCATENATE("R4C",'Mapa final'!$R$29),"")</f>
        <v/>
      </c>
      <c r="U29" s="53" t="str">
        <f>IF(AND('Mapa final'!$AB$30="Media",'Mapa final'!$AD$30="Menor"),CONCATENATE("R4C",'Mapa final'!$R$30),"")</f>
        <v/>
      </c>
      <c r="V29" s="51" t="str">
        <f>IF(AND('Mapa final'!$AB$25="Media",'Mapa final'!$AD$25="Moderado"),CONCATENATE("R4C",'Mapa final'!$R$25),"")</f>
        <v/>
      </c>
      <c r="W29" s="52" t="str">
        <f>IF(AND('Mapa final'!$AB$26="Media",'Mapa final'!$AD$26="Moderado"),CONCATENATE("R4C",'Mapa final'!$R$26),"")</f>
        <v/>
      </c>
      <c r="X29" s="52" t="str">
        <f>IF(AND('Mapa final'!$AB$27="Media",'Mapa final'!$AD$27="Moderado"),CONCATENATE("R4C",'Mapa final'!$R$27),"")</f>
        <v/>
      </c>
      <c r="Y29" s="52" t="str">
        <f>IF(AND('Mapa final'!$AB$28="Media",'Mapa final'!$AD$28="Moderado"),CONCATENATE("R4C",'Mapa final'!$R$28),"")</f>
        <v/>
      </c>
      <c r="Z29" s="52" t="str">
        <f>IF(AND('Mapa final'!$AB$29="Media",'Mapa final'!$AD$29="Moderado"),CONCATENATE("R4C",'Mapa final'!$R$29),"")</f>
        <v/>
      </c>
      <c r="AA29" s="53" t="str">
        <f>IF(AND('Mapa final'!$AB$30="Media",'Mapa final'!$AD$30="Moderado"),CONCATENATE("R4C",'Mapa final'!$R$30),"")</f>
        <v/>
      </c>
      <c r="AB29" s="36" t="str">
        <f>IF(AND('Mapa final'!$AB$25="Media",'Mapa final'!$AD$25="Mayor"),CONCATENATE("R4C",'Mapa final'!$R$25),"")</f>
        <v/>
      </c>
      <c r="AC29" s="37" t="str">
        <f>IF(AND('Mapa final'!$AB$26="Media",'Mapa final'!$AD$26="Mayor"),CONCATENATE("R4C",'Mapa final'!$R$26),"")</f>
        <v/>
      </c>
      <c r="AD29" s="37" t="str">
        <f>IF(AND('Mapa final'!$AB$27="Media",'Mapa final'!$AD$27="Mayor"),CONCATENATE("R4C",'Mapa final'!$R$27),"")</f>
        <v/>
      </c>
      <c r="AE29" s="37" t="str">
        <f>IF(AND('Mapa final'!$AB$28="Media",'Mapa final'!$AD$28="Mayor"),CONCATENATE("R4C",'Mapa final'!$R$28),"")</f>
        <v/>
      </c>
      <c r="AF29" s="37" t="str">
        <f>IF(AND('Mapa final'!$AB$29="Media",'Mapa final'!$AD$29="Mayor"),CONCATENATE("R4C",'Mapa final'!$R$29),"")</f>
        <v/>
      </c>
      <c r="AG29" s="38" t="str">
        <f>IF(AND('Mapa final'!$AB$30="Media",'Mapa final'!$AD$30="Mayor"),CONCATENATE("R4C",'Mapa final'!$R$30),"")</f>
        <v/>
      </c>
      <c r="AH29" s="39" t="str">
        <f>IF(AND('Mapa final'!$AB$25="Media",'Mapa final'!$AD$25="Catastrófico"),CONCATENATE("R4C",'Mapa final'!$R$25),"")</f>
        <v/>
      </c>
      <c r="AI29" s="40" t="str">
        <f>IF(AND('Mapa final'!$AB$26="Media",'Mapa final'!$AD$26="Catastrófico"),CONCATENATE("R4C",'Mapa final'!$R$26),"")</f>
        <v/>
      </c>
      <c r="AJ29" s="40" t="str">
        <f>IF(AND('Mapa final'!$AB$27="Media",'Mapa final'!$AD$27="Catastrófico"),CONCATENATE("R4C",'Mapa final'!$R$27),"")</f>
        <v/>
      </c>
      <c r="AK29" s="40" t="str">
        <f>IF(AND('Mapa final'!$AB$28="Media",'Mapa final'!$AD$28="Catastrófico"),CONCATENATE("R4C",'Mapa final'!$R$28),"")</f>
        <v/>
      </c>
      <c r="AL29" s="40" t="str">
        <f>IF(AND('Mapa final'!$AB$29="Media",'Mapa final'!$AD$29="Catastrófico"),CONCATENATE("R4C",'Mapa final'!$R$29),"")</f>
        <v/>
      </c>
      <c r="AM29" s="41" t="str">
        <f>IF(AND('Mapa final'!$AB$30="Media",'Mapa final'!$AD$30="Catastrófico"),CONCATENATE("R4C",'Mapa final'!$R$30),"")</f>
        <v/>
      </c>
      <c r="AN29" s="67"/>
      <c r="AO29" s="609"/>
      <c r="AP29" s="610"/>
      <c r="AQ29" s="610"/>
      <c r="AR29" s="610"/>
      <c r="AS29" s="610"/>
      <c r="AT29" s="611"/>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481"/>
      <c r="C30" s="481"/>
      <c r="D30" s="482"/>
      <c r="E30" s="580"/>
      <c r="F30" s="579"/>
      <c r="G30" s="579"/>
      <c r="H30" s="579"/>
      <c r="I30" s="595"/>
      <c r="J30" s="51" t="str">
        <f>IF(AND('Mapa final'!$AB$31="Media",'Mapa final'!$AD$31="Leve"),CONCATENATE("R5C",'Mapa final'!$R$31),"")</f>
        <v/>
      </c>
      <c r="K30" s="52" t="str">
        <f>IF(AND('Mapa final'!$AB$32="Media",'Mapa final'!$AD$32="Leve"),CONCATENATE("R5C",'Mapa final'!$R$32),"")</f>
        <v/>
      </c>
      <c r="L30" s="52" t="str">
        <f>IF(AND('Mapa final'!$AB$33="Media",'Mapa final'!$AD$33="Leve"),CONCATENATE("R5C",'Mapa final'!$R$33),"")</f>
        <v/>
      </c>
      <c r="M30" s="52" t="str">
        <f>IF(AND('Mapa final'!$AB$34="Media",'Mapa final'!$AD$34="Leve"),CONCATENATE("R5C",'Mapa final'!$R$34),"")</f>
        <v/>
      </c>
      <c r="N30" s="52" t="str">
        <f>IF(AND('Mapa final'!$AB$35="Media",'Mapa final'!$AD$35="Leve"),CONCATENATE("R5C",'Mapa final'!$R$35),"")</f>
        <v/>
      </c>
      <c r="O30" s="53" t="str">
        <f>IF(AND('Mapa final'!$AB$36="Media",'Mapa final'!$AD$36="Leve"),CONCATENATE("R5C",'Mapa final'!$R$36),"")</f>
        <v/>
      </c>
      <c r="P30" s="51" t="str">
        <f>IF(AND('Mapa final'!$AB$31="Media",'Mapa final'!$AD$31="Menor"),CONCATENATE("R5C",'Mapa final'!$R$31),"")</f>
        <v/>
      </c>
      <c r="Q30" s="52" t="str">
        <f>IF(AND('Mapa final'!$AB$32="Media",'Mapa final'!$AD$32="Menor"),CONCATENATE("R5C",'Mapa final'!$R$32),"")</f>
        <v/>
      </c>
      <c r="R30" s="52" t="str">
        <f>IF(AND('Mapa final'!$AB$33="Media",'Mapa final'!$AD$33="Menor"),CONCATENATE("R5C",'Mapa final'!$R$33),"")</f>
        <v/>
      </c>
      <c r="S30" s="52" t="str">
        <f>IF(AND('Mapa final'!$AB$34="Media",'Mapa final'!$AD$34="Menor"),CONCATENATE("R5C",'Mapa final'!$R$34),"")</f>
        <v/>
      </c>
      <c r="T30" s="52" t="str">
        <f>IF(AND('Mapa final'!$AB$35="Media",'Mapa final'!$AD$35="Menor"),CONCATENATE("R5C",'Mapa final'!$R$35),"")</f>
        <v/>
      </c>
      <c r="U30" s="53" t="str">
        <f>IF(AND('Mapa final'!$AB$36="Media",'Mapa final'!$AD$36="Menor"),CONCATENATE("R5C",'Mapa final'!$R$36),"")</f>
        <v/>
      </c>
      <c r="V30" s="51" t="str">
        <f>IF(AND('Mapa final'!$AB$31="Media",'Mapa final'!$AD$31="Moderado"),CONCATENATE("R5C",'Mapa final'!$R$31),"")</f>
        <v/>
      </c>
      <c r="W30" s="52" t="str">
        <f>IF(AND('Mapa final'!$AB$32="Media",'Mapa final'!$AD$32="Moderado"),CONCATENATE("R5C",'Mapa final'!$R$32),"")</f>
        <v/>
      </c>
      <c r="X30" s="52" t="str">
        <f>IF(AND('Mapa final'!$AB$33="Media",'Mapa final'!$AD$33="Moderado"),CONCATENATE("R5C",'Mapa final'!$R$33),"")</f>
        <v/>
      </c>
      <c r="Y30" s="52" t="str">
        <f>IF(AND('Mapa final'!$AB$34="Media",'Mapa final'!$AD$34="Moderado"),CONCATENATE("R5C",'Mapa final'!$R$34),"")</f>
        <v/>
      </c>
      <c r="Z30" s="52" t="str">
        <f>IF(AND('Mapa final'!$AB$35="Media",'Mapa final'!$AD$35="Moderado"),CONCATENATE("R5C",'Mapa final'!$R$35),"")</f>
        <v/>
      </c>
      <c r="AA30" s="53" t="str">
        <f>IF(AND('Mapa final'!$AB$36="Media",'Mapa final'!$AD$36="Moderado"),CONCATENATE("R5C",'Mapa final'!$R$36),"")</f>
        <v/>
      </c>
      <c r="AB30" s="36" t="str">
        <f>IF(AND('Mapa final'!$AB$31="Media",'Mapa final'!$AD$31="Mayor"),CONCATENATE("R5C",'Mapa final'!$R$31),"")</f>
        <v/>
      </c>
      <c r="AC30" s="37" t="str">
        <f>IF(AND('Mapa final'!$AB$32="Media",'Mapa final'!$AD$32="Mayor"),CONCATENATE("R5C",'Mapa final'!$R$32),"")</f>
        <v/>
      </c>
      <c r="AD30" s="37" t="str">
        <f>IF(AND('Mapa final'!$AB$33="Media",'Mapa final'!$AD$33="Mayor"),CONCATENATE("R5C",'Mapa final'!$R$33),"")</f>
        <v/>
      </c>
      <c r="AE30" s="37" t="str">
        <f>IF(AND('Mapa final'!$AB$34="Media",'Mapa final'!$AD$34="Mayor"),CONCATENATE("R5C",'Mapa final'!$R$34),"")</f>
        <v/>
      </c>
      <c r="AF30" s="37" t="str">
        <f>IF(AND('Mapa final'!$AB$35="Media",'Mapa final'!$AD$35="Mayor"),CONCATENATE("R5C",'Mapa final'!$R$35),"")</f>
        <v/>
      </c>
      <c r="AG30" s="38" t="str">
        <f>IF(AND('Mapa final'!$AB$36="Media",'Mapa final'!$AD$36="Mayor"),CONCATENATE("R5C",'Mapa final'!$R$36),"")</f>
        <v/>
      </c>
      <c r="AH30" s="39" t="str">
        <f>IF(AND('Mapa final'!$AB$31="Media",'Mapa final'!$AD$31="Catastrófico"),CONCATENATE("R5C",'Mapa final'!$R$31),"")</f>
        <v/>
      </c>
      <c r="AI30" s="40" t="str">
        <f>IF(AND('Mapa final'!$AB$32="Media",'Mapa final'!$AD$32="Catastrófico"),CONCATENATE("R5C",'Mapa final'!$R$32),"")</f>
        <v/>
      </c>
      <c r="AJ30" s="40" t="str">
        <f>IF(AND('Mapa final'!$AB$33="Media",'Mapa final'!$AD$33="Catastrófico"),CONCATENATE("R5C",'Mapa final'!$R$33),"")</f>
        <v/>
      </c>
      <c r="AK30" s="40" t="str">
        <f>IF(AND('Mapa final'!$AB$34="Media",'Mapa final'!$AD$34="Catastrófico"),CONCATENATE("R5C",'Mapa final'!$R$34),"")</f>
        <v/>
      </c>
      <c r="AL30" s="40" t="str">
        <f>IF(AND('Mapa final'!$AB$35="Media",'Mapa final'!$AD$35="Catastrófico"),CONCATENATE("R5C",'Mapa final'!$R$35),"")</f>
        <v/>
      </c>
      <c r="AM30" s="41" t="str">
        <f>IF(AND('Mapa final'!$AB$36="Media",'Mapa final'!$AD$36="Catastrófico"),CONCATENATE("R5C",'Mapa final'!$R$36),"")</f>
        <v/>
      </c>
      <c r="AN30" s="67"/>
      <c r="AO30" s="609"/>
      <c r="AP30" s="610"/>
      <c r="AQ30" s="610"/>
      <c r="AR30" s="610"/>
      <c r="AS30" s="610"/>
      <c r="AT30" s="611"/>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481"/>
      <c r="C31" s="481"/>
      <c r="D31" s="482"/>
      <c r="E31" s="580"/>
      <c r="F31" s="579"/>
      <c r="G31" s="579"/>
      <c r="H31" s="579"/>
      <c r="I31" s="595"/>
      <c r="J31" s="51" t="str">
        <f>IF(AND('Mapa final'!$AB$37="Media",'Mapa final'!$AD$37="Leve"),CONCATENATE("R6C",'Mapa final'!$R$37),"")</f>
        <v/>
      </c>
      <c r="K31" s="52" t="str">
        <f>IF(AND('Mapa final'!$AB$38="Media",'Mapa final'!$AD$38="Leve"),CONCATENATE("R6C",'Mapa final'!$R$38),"")</f>
        <v/>
      </c>
      <c r="L31" s="52" t="str">
        <f>IF(AND('Mapa final'!$AB$39="Media",'Mapa final'!$AD$39="Leve"),CONCATENATE("R6C",'Mapa final'!$R$39),"")</f>
        <v/>
      </c>
      <c r="M31" s="52" t="str">
        <f>IF(AND('Mapa final'!$AB$40="Media",'Mapa final'!$AD$40="Leve"),CONCATENATE("R6C",'Mapa final'!$R$40),"")</f>
        <v/>
      </c>
      <c r="N31" s="52" t="str">
        <f>IF(AND('Mapa final'!$AB$41="Media",'Mapa final'!$AD$41="Leve"),CONCATENATE("R6C",'Mapa final'!$R$41),"")</f>
        <v/>
      </c>
      <c r="O31" s="53" t="str">
        <f>IF(AND('Mapa final'!$AB$42="Media",'Mapa final'!$AD$42="Leve"),CONCATENATE("R6C",'Mapa final'!$R$42),"")</f>
        <v/>
      </c>
      <c r="P31" s="51" t="str">
        <f>IF(AND('Mapa final'!$AB$37="Media",'Mapa final'!$AD$37="Menor"),CONCATENATE("R6C",'Mapa final'!$R$37),"")</f>
        <v/>
      </c>
      <c r="Q31" s="52" t="str">
        <f>IF(AND('Mapa final'!$AB$38="Media",'Mapa final'!$AD$38="Menor"),CONCATENATE("R6C",'Mapa final'!$R$38),"")</f>
        <v/>
      </c>
      <c r="R31" s="52" t="str">
        <f>IF(AND('Mapa final'!$AB$39="Media",'Mapa final'!$AD$39="Menor"),CONCATENATE("R6C",'Mapa final'!$R$39),"")</f>
        <v/>
      </c>
      <c r="S31" s="52" t="str">
        <f>IF(AND('Mapa final'!$AB$40="Media",'Mapa final'!$AD$40="Menor"),CONCATENATE("R6C",'Mapa final'!$R$40),"")</f>
        <v/>
      </c>
      <c r="T31" s="52" t="str">
        <f>IF(AND('Mapa final'!$AB$41="Media",'Mapa final'!$AD$41="Menor"),CONCATENATE("R6C",'Mapa final'!$R$41),"")</f>
        <v/>
      </c>
      <c r="U31" s="53" t="str">
        <f>IF(AND('Mapa final'!$AB$42="Media",'Mapa final'!$AD$42="Menor"),CONCATENATE("R6C",'Mapa final'!$R$42),"")</f>
        <v/>
      </c>
      <c r="V31" s="51" t="str">
        <f>IF(AND('Mapa final'!$AB$37="Media",'Mapa final'!$AD$37="Moderado"),CONCATENATE("R6C",'Mapa final'!$R$37),"")</f>
        <v/>
      </c>
      <c r="W31" s="52" t="str">
        <f>IF(AND('Mapa final'!$AB$38="Media",'Mapa final'!$AD$38="Moderado"),CONCATENATE("R6C",'Mapa final'!$R$38),"")</f>
        <v/>
      </c>
      <c r="X31" s="52" t="str">
        <f>IF(AND('Mapa final'!$AB$39="Media",'Mapa final'!$AD$39="Moderado"),CONCATENATE("R6C",'Mapa final'!$R$39),"")</f>
        <v/>
      </c>
      <c r="Y31" s="52" t="str">
        <f>IF(AND('Mapa final'!$AB$40="Media",'Mapa final'!$AD$40="Moderado"),CONCATENATE("R6C",'Mapa final'!$R$40),"")</f>
        <v/>
      </c>
      <c r="Z31" s="52" t="str">
        <f>IF(AND('Mapa final'!$AB$41="Media",'Mapa final'!$AD$41="Moderado"),CONCATENATE("R6C",'Mapa final'!$R$41),"")</f>
        <v/>
      </c>
      <c r="AA31" s="53" t="str">
        <f>IF(AND('Mapa final'!$AB$42="Media",'Mapa final'!$AD$42="Moderado"),CONCATENATE("R6C",'Mapa final'!$R$42),"")</f>
        <v/>
      </c>
      <c r="AB31" s="36" t="str">
        <f>IF(AND('Mapa final'!$AB$37="Media",'Mapa final'!$AD$37="Mayor"),CONCATENATE("R6C",'Mapa final'!$R$37),"")</f>
        <v/>
      </c>
      <c r="AC31" s="37" t="str">
        <f>IF(AND('Mapa final'!$AB$38="Media",'Mapa final'!$AD$38="Mayor"),CONCATENATE("R6C",'Mapa final'!$R$38),"")</f>
        <v/>
      </c>
      <c r="AD31" s="37" t="str">
        <f>IF(AND('Mapa final'!$AB$39="Media",'Mapa final'!$AD$39="Mayor"),CONCATENATE("R6C",'Mapa final'!$R$39),"")</f>
        <v/>
      </c>
      <c r="AE31" s="37" t="str">
        <f>IF(AND('Mapa final'!$AB$40="Media",'Mapa final'!$AD$40="Mayor"),CONCATENATE("R6C",'Mapa final'!$R$40),"")</f>
        <v/>
      </c>
      <c r="AF31" s="37" t="str">
        <f>IF(AND('Mapa final'!$AB$41="Media",'Mapa final'!$AD$41="Mayor"),CONCATENATE("R6C",'Mapa final'!$R$41),"")</f>
        <v/>
      </c>
      <c r="AG31" s="38" t="str">
        <f>IF(AND('Mapa final'!$AB$42="Media",'Mapa final'!$AD$42="Mayor"),CONCATENATE("R6C",'Mapa final'!$R$42),"")</f>
        <v/>
      </c>
      <c r="AH31" s="39" t="str">
        <f>IF(AND('Mapa final'!$AB$37="Media",'Mapa final'!$AD$37="Catastrófico"),CONCATENATE("R6C",'Mapa final'!$R$37),"")</f>
        <v/>
      </c>
      <c r="AI31" s="40" t="str">
        <f>IF(AND('Mapa final'!$AB$38="Media",'Mapa final'!$AD$38="Catastrófico"),CONCATENATE("R6C",'Mapa final'!$R$38),"")</f>
        <v/>
      </c>
      <c r="AJ31" s="40" t="str">
        <f>IF(AND('Mapa final'!$AB$39="Media",'Mapa final'!$AD$39="Catastrófico"),CONCATENATE("R6C",'Mapa final'!$R$39),"")</f>
        <v/>
      </c>
      <c r="AK31" s="40" t="str">
        <f>IF(AND('Mapa final'!$AB$40="Media",'Mapa final'!$AD$40="Catastrófico"),CONCATENATE("R6C",'Mapa final'!$R$40),"")</f>
        <v/>
      </c>
      <c r="AL31" s="40" t="str">
        <f>IF(AND('Mapa final'!$AB$41="Media",'Mapa final'!$AD$41="Catastrófico"),CONCATENATE("R6C",'Mapa final'!$R$41),"")</f>
        <v/>
      </c>
      <c r="AM31" s="41" t="str">
        <f>IF(AND('Mapa final'!$AB$42="Media",'Mapa final'!$AD$42="Catastrófico"),CONCATENATE("R6C",'Mapa final'!$R$42),"")</f>
        <v/>
      </c>
      <c r="AN31" s="67"/>
      <c r="AO31" s="609"/>
      <c r="AP31" s="610"/>
      <c r="AQ31" s="610"/>
      <c r="AR31" s="610"/>
      <c r="AS31" s="610"/>
      <c r="AT31" s="611"/>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481"/>
      <c r="C32" s="481"/>
      <c r="D32" s="482"/>
      <c r="E32" s="580"/>
      <c r="F32" s="579"/>
      <c r="G32" s="579"/>
      <c r="H32" s="579"/>
      <c r="I32" s="595"/>
      <c r="J32" s="51" t="str">
        <f>IF(AND('Mapa final'!$AB$43="Media",'Mapa final'!$AD$43="Leve"),CONCATENATE("R7C",'Mapa final'!$R$43),"")</f>
        <v/>
      </c>
      <c r="K32" s="52" t="str">
        <f>IF(AND('Mapa final'!$AB$44="Media",'Mapa final'!$AD$44="Leve"),CONCATENATE("R7C",'Mapa final'!$R$44),"")</f>
        <v/>
      </c>
      <c r="L32" s="52" t="str">
        <f>IF(AND('Mapa final'!$AB$45="Media",'Mapa final'!$AD$45="Leve"),CONCATENATE("R7C",'Mapa final'!$R$45),"")</f>
        <v/>
      </c>
      <c r="M32" s="52" t="str">
        <f>IF(AND('Mapa final'!$AB$46="Media",'Mapa final'!$AD$46="Leve"),CONCATENATE("R7C",'Mapa final'!$R$46),"")</f>
        <v/>
      </c>
      <c r="N32" s="52" t="str">
        <f>IF(AND('Mapa final'!$AB$47="Media",'Mapa final'!$AD$47="Leve"),CONCATENATE("R7C",'Mapa final'!$R$47),"")</f>
        <v/>
      </c>
      <c r="O32" s="53" t="str">
        <f>IF(AND('Mapa final'!$AB$48="Media",'Mapa final'!$AD$48="Leve"),CONCATENATE("R7C",'Mapa final'!$R$48),"")</f>
        <v/>
      </c>
      <c r="P32" s="51" t="str">
        <f>IF(AND('Mapa final'!$AB$43="Media",'Mapa final'!$AD$43="Menor"),CONCATENATE("R7C",'Mapa final'!$R$43),"")</f>
        <v/>
      </c>
      <c r="Q32" s="52" t="str">
        <f>IF(AND('Mapa final'!$AB$44="Media",'Mapa final'!$AD$44="Menor"),CONCATENATE("R7C",'Mapa final'!$R$44),"")</f>
        <v/>
      </c>
      <c r="R32" s="52" t="str">
        <f>IF(AND('Mapa final'!$AB$45="Media",'Mapa final'!$AD$45="Menor"),CONCATENATE("R7C",'Mapa final'!$R$45),"")</f>
        <v/>
      </c>
      <c r="S32" s="52" t="str">
        <f>IF(AND('Mapa final'!$AB$46="Media",'Mapa final'!$AD$46="Menor"),CONCATENATE("R7C",'Mapa final'!$R$46),"")</f>
        <v/>
      </c>
      <c r="T32" s="52" t="str">
        <f>IF(AND('Mapa final'!$AB$47="Media",'Mapa final'!$AD$47="Menor"),CONCATENATE("R7C",'Mapa final'!$R$47),"")</f>
        <v/>
      </c>
      <c r="U32" s="53" t="str">
        <f>IF(AND('Mapa final'!$AB$48="Media",'Mapa final'!$AD$48="Menor"),CONCATENATE("R7C",'Mapa final'!$R$48),"")</f>
        <v/>
      </c>
      <c r="V32" s="51" t="str">
        <f>IF(AND('Mapa final'!$AB$43="Media",'Mapa final'!$AD$43="Moderado"),CONCATENATE("R7C",'Mapa final'!$R$43),"")</f>
        <v/>
      </c>
      <c r="W32" s="52" t="str">
        <f>IF(AND('Mapa final'!$AB$44="Media",'Mapa final'!$AD$44="Moderado"),CONCATENATE("R7C",'Mapa final'!$R$44),"")</f>
        <v/>
      </c>
      <c r="X32" s="52" t="str">
        <f>IF(AND('Mapa final'!$AB$45="Media",'Mapa final'!$AD$45="Moderado"),CONCATENATE("R7C",'Mapa final'!$R$45),"")</f>
        <v/>
      </c>
      <c r="Y32" s="52" t="str">
        <f>IF(AND('Mapa final'!$AB$46="Media",'Mapa final'!$AD$46="Moderado"),CONCATENATE("R7C",'Mapa final'!$R$46),"")</f>
        <v/>
      </c>
      <c r="Z32" s="52" t="str">
        <f>IF(AND('Mapa final'!$AB$47="Media",'Mapa final'!$AD$47="Moderado"),CONCATENATE("R7C",'Mapa final'!$R$47),"")</f>
        <v/>
      </c>
      <c r="AA32" s="53" t="str">
        <f>IF(AND('Mapa final'!$AB$48="Media",'Mapa final'!$AD$48="Moderado"),CONCATENATE("R7C",'Mapa final'!$R$48),"")</f>
        <v/>
      </c>
      <c r="AB32" s="36" t="str">
        <f>IF(AND('Mapa final'!$AB$43="Media",'Mapa final'!$AD$43="Mayor"),CONCATENATE("R7C",'Mapa final'!$R$43),"")</f>
        <v/>
      </c>
      <c r="AC32" s="37" t="str">
        <f>IF(AND('Mapa final'!$AB$44="Media",'Mapa final'!$AD$44="Mayor"),CONCATENATE("R7C",'Mapa final'!$R$44),"")</f>
        <v/>
      </c>
      <c r="AD32" s="37" t="str">
        <f>IF(AND('Mapa final'!$AB$45="Media",'Mapa final'!$AD$45="Mayor"),CONCATENATE("R7C",'Mapa final'!$R$45),"")</f>
        <v/>
      </c>
      <c r="AE32" s="37" t="str">
        <f>IF(AND('Mapa final'!$AB$46="Media",'Mapa final'!$AD$46="Mayor"),CONCATENATE("R7C",'Mapa final'!$R$46),"")</f>
        <v/>
      </c>
      <c r="AF32" s="37" t="str">
        <f>IF(AND('Mapa final'!$AB$47="Media",'Mapa final'!$AD$47="Mayor"),CONCATENATE("R7C",'Mapa final'!$R$47),"")</f>
        <v/>
      </c>
      <c r="AG32" s="38" t="str">
        <f>IF(AND('Mapa final'!$AB$48="Media",'Mapa final'!$AD$48="Mayor"),CONCATENATE("R7C",'Mapa final'!$R$48),"")</f>
        <v/>
      </c>
      <c r="AH32" s="39" t="str">
        <f>IF(AND('Mapa final'!$AB$43="Media",'Mapa final'!$AD$43="Catastrófico"),CONCATENATE("R7C",'Mapa final'!$R$43),"")</f>
        <v/>
      </c>
      <c r="AI32" s="40" t="str">
        <f>IF(AND('Mapa final'!$AB$44="Media",'Mapa final'!$AD$44="Catastrófico"),CONCATENATE("R7C",'Mapa final'!$R$44),"")</f>
        <v/>
      </c>
      <c r="AJ32" s="40" t="str">
        <f>IF(AND('Mapa final'!$AB$45="Media",'Mapa final'!$AD$45="Catastrófico"),CONCATENATE("R7C",'Mapa final'!$R$45),"")</f>
        <v/>
      </c>
      <c r="AK32" s="40" t="str">
        <f>IF(AND('Mapa final'!$AB$46="Media",'Mapa final'!$AD$46="Catastrófico"),CONCATENATE("R7C",'Mapa final'!$R$46),"")</f>
        <v/>
      </c>
      <c r="AL32" s="40" t="str">
        <f>IF(AND('Mapa final'!$AB$47="Media",'Mapa final'!$AD$47="Catastrófico"),CONCATENATE("R7C",'Mapa final'!$R$47),"")</f>
        <v/>
      </c>
      <c r="AM32" s="41" t="str">
        <f>IF(AND('Mapa final'!$AB$48="Media",'Mapa final'!$AD$48="Catastrófico"),CONCATENATE("R7C",'Mapa final'!$R$48),"")</f>
        <v/>
      </c>
      <c r="AN32" s="67"/>
      <c r="AO32" s="609"/>
      <c r="AP32" s="610"/>
      <c r="AQ32" s="610"/>
      <c r="AR32" s="610"/>
      <c r="AS32" s="610"/>
      <c r="AT32" s="611"/>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481"/>
      <c r="C33" s="481"/>
      <c r="D33" s="482"/>
      <c r="E33" s="580"/>
      <c r="F33" s="579"/>
      <c r="G33" s="579"/>
      <c r="H33" s="579"/>
      <c r="I33" s="595"/>
      <c r="J33" s="51" t="str">
        <f>IF(AND('Mapa final'!$AB$49="Media",'Mapa final'!$AD$49="Leve"),CONCATENATE("R8C",'Mapa final'!$R$49),"")</f>
        <v/>
      </c>
      <c r="K33" s="52" t="str">
        <f>IF(AND('Mapa final'!$AB$50="Media",'Mapa final'!$AD$50="Leve"),CONCATENATE("R8C",'Mapa final'!$R$50),"")</f>
        <v/>
      </c>
      <c r="L33" s="52" t="str">
        <f>IF(AND('Mapa final'!$AB$51="Media",'Mapa final'!$AD$51="Leve"),CONCATENATE("R8C",'Mapa final'!$R$51),"")</f>
        <v/>
      </c>
      <c r="M33" s="52" t="str">
        <f>IF(AND('Mapa final'!$AB$52="Media",'Mapa final'!$AD$52="Leve"),CONCATENATE("R8C",'Mapa final'!$R$52),"")</f>
        <v/>
      </c>
      <c r="N33" s="52" t="str">
        <f>IF(AND('Mapa final'!$AB$53="Media",'Mapa final'!$AD$53="Leve"),CONCATENATE("R8C",'Mapa final'!$R$53),"")</f>
        <v/>
      </c>
      <c r="O33" s="53" t="str">
        <f>IF(AND('Mapa final'!$AB$54="Media",'Mapa final'!$AD$54="Leve"),CONCATENATE("R8C",'Mapa final'!$R$54),"")</f>
        <v/>
      </c>
      <c r="P33" s="51" t="str">
        <f>IF(AND('Mapa final'!$AB$49="Media",'Mapa final'!$AD$49="Menor"),CONCATENATE("R8C",'Mapa final'!$R$49),"")</f>
        <v/>
      </c>
      <c r="Q33" s="52" t="str">
        <f>IF(AND('Mapa final'!$AB$50="Media",'Mapa final'!$AD$50="Menor"),CONCATENATE("R8C",'Mapa final'!$R$50),"")</f>
        <v/>
      </c>
      <c r="R33" s="52" t="str">
        <f>IF(AND('Mapa final'!$AB$51="Media",'Mapa final'!$AD$51="Menor"),CONCATENATE("R8C",'Mapa final'!$R$51),"")</f>
        <v/>
      </c>
      <c r="S33" s="52" t="str">
        <f>IF(AND('Mapa final'!$AB$52="Media",'Mapa final'!$AD$52="Menor"),CONCATENATE("R8C",'Mapa final'!$R$52),"")</f>
        <v/>
      </c>
      <c r="T33" s="52" t="str">
        <f>IF(AND('Mapa final'!$AB$53="Media",'Mapa final'!$AD$53="Menor"),CONCATENATE("R8C",'Mapa final'!$R$53),"")</f>
        <v/>
      </c>
      <c r="U33" s="53" t="str">
        <f>IF(AND('Mapa final'!$AB$54="Media",'Mapa final'!$AD$54="Menor"),CONCATENATE("R8C",'Mapa final'!$R$54),"")</f>
        <v/>
      </c>
      <c r="V33" s="51" t="str">
        <f>IF(AND('Mapa final'!$AB$49="Media",'Mapa final'!$AD$49="Moderado"),CONCATENATE("R8C",'Mapa final'!$R$49),"")</f>
        <v/>
      </c>
      <c r="W33" s="52" t="str">
        <f>IF(AND('Mapa final'!$AB$50="Media",'Mapa final'!$AD$50="Moderado"),CONCATENATE("R8C",'Mapa final'!$R$50),"")</f>
        <v/>
      </c>
      <c r="X33" s="52" t="str">
        <f>IF(AND('Mapa final'!$AB$51="Media",'Mapa final'!$AD$51="Moderado"),CONCATENATE("R8C",'Mapa final'!$R$51),"")</f>
        <v/>
      </c>
      <c r="Y33" s="52" t="str">
        <f>IF(AND('Mapa final'!$AB$52="Media",'Mapa final'!$AD$52="Moderado"),CONCATENATE("R8C",'Mapa final'!$R$52),"")</f>
        <v/>
      </c>
      <c r="Z33" s="52" t="str">
        <f>IF(AND('Mapa final'!$AB$53="Media",'Mapa final'!$AD$53="Moderado"),CONCATENATE("R8C",'Mapa final'!$R$53),"")</f>
        <v/>
      </c>
      <c r="AA33" s="53" t="str">
        <f>IF(AND('Mapa final'!$AB$54="Media",'Mapa final'!$AD$54="Moderado"),CONCATENATE("R8C",'Mapa final'!$R$54),"")</f>
        <v/>
      </c>
      <c r="AB33" s="36" t="str">
        <f>IF(AND('Mapa final'!$AB$49="Media",'Mapa final'!$AD$49="Mayor"),CONCATENATE("R8C",'Mapa final'!$R$49),"")</f>
        <v/>
      </c>
      <c r="AC33" s="37" t="str">
        <f>IF(AND('Mapa final'!$AB$50="Media",'Mapa final'!$AD$50="Mayor"),CONCATENATE("R8C",'Mapa final'!$R$50),"")</f>
        <v/>
      </c>
      <c r="AD33" s="37" t="str">
        <f>IF(AND('Mapa final'!$AB$51="Media",'Mapa final'!$AD$51="Mayor"),CONCATENATE("R8C",'Mapa final'!$R$51),"")</f>
        <v/>
      </c>
      <c r="AE33" s="37" t="str">
        <f>IF(AND('Mapa final'!$AB$52="Media",'Mapa final'!$AD$52="Mayor"),CONCATENATE("R8C",'Mapa final'!$R$52),"")</f>
        <v/>
      </c>
      <c r="AF33" s="37" t="str">
        <f>IF(AND('Mapa final'!$AB$53="Media",'Mapa final'!$AD$53="Mayor"),CONCATENATE("R8C",'Mapa final'!$R$53),"")</f>
        <v/>
      </c>
      <c r="AG33" s="38" t="str">
        <f>IF(AND('Mapa final'!$AB$54="Media",'Mapa final'!$AD$54="Mayor"),CONCATENATE("R8C",'Mapa final'!$R$54),"")</f>
        <v/>
      </c>
      <c r="AH33" s="39" t="str">
        <f>IF(AND('Mapa final'!$AB$49="Media",'Mapa final'!$AD$49="Catastrófico"),CONCATENATE("R8C",'Mapa final'!$R$49),"")</f>
        <v/>
      </c>
      <c r="AI33" s="40" t="str">
        <f>IF(AND('Mapa final'!$AB$50="Media",'Mapa final'!$AD$50="Catastrófico"),CONCATENATE("R8C",'Mapa final'!$R$50),"")</f>
        <v/>
      </c>
      <c r="AJ33" s="40" t="str">
        <f>IF(AND('Mapa final'!$AB$51="Media",'Mapa final'!$AD$51="Catastrófico"),CONCATENATE("R8C",'Mapa final'!$R$51),"")</f>
        <v/>
      </c>
      <c r="AK33" s="40" t="str">
        <f>IF(AND('Mapa final'!$AB$52="Media",'Mapa final'!$AD$52="Catastrófico"),CONCATENATE("R8C",'Mapa final'!$R$52),"")</f>
        <v/>
      </c>
      <c r="AL33" s="40" t="str">
        <f>IF(AND('Mapa final'!$AB$53="Media",'Mapa final'!$AD$53="Catastrófico"),CONCATENATE("R8C",'Mapa final'!$R$53),"")</f>
        <v/>
      </c>
      <c r="AM33" s="41" t="str">
        <f>IF(AND('Mapa final'!$AB$54="Media",'Mapa final'!$AD$54="Catastrófico"),CONCATENATE("R8C",'Mapa final'!$R$54),"")</f>
        <v/>
      </c>
      <c r="AN33" s="67"/>
      <c r="AO33" s="609"/>
      <c r="AP33" s="610"/>
      <c r="AQ33" s="610"/>
      <c r="AR33" s="610"/>
      <c r="AS33" s="610"/>
      <c r="AT33" s="611"/>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481"/>
      <c r="C34" s="481"/>
      <c r="D34" s="482"/>
      <c r="E34" s="580"/>
      <c r="F34" s="579"/>
      <c r="G34" s="579"/>
      <c r="H34" s="579"/>
      <c r="I34" s="595"/>
      <c r="J34" s="51" t="str">
        <f>IF(AND('Mapa final'!$AB$55="Media",'Mapa final'!$AD$55="Leve"),CONCATENATE("R9C",'Mapa final'!$R$55),"")</f>
        <v/>
      </c>
      <c r="K34" s="52" t="str">
        <f>IF(AND('Mapa final'!$AB$56="Media",'Mapa final'!$AD$56="Leve"),CONCATENATE("R9C",'Mapa final'!$R$56),"")</f>
        <v/>
      </c>
      <c r="L34" s="52" t="str">
        <f>IF(AND('Mapa final'!$AB$57="Media",'Mapa final'!$AD$57="Leve"),CONCATENATE("R9C",'Mapa final'!$R$57),"")</f>
        <v/>
      </c>
      <c r="M34" s="52" t="str">
        <f>IF(AND('Mapa final'!$AB$58="Media",'Mapa final'!$AD$58="Leve"),CONCATENATE("R9C",'Mapa final'!$R$58),"")</f>
        <v/>
      </c>
      <c r="N34" s="52" t="str">
        <f>IF(AND('Mapa final'!$AB$59="Media",'Mapa final'!$AD$59="Leve"),CONCATENATE("R9C",'Mapa final'!$R$59),"")</f>
        <v/>
      </c>
      <c r="O34" s="53" t="str">
        <f>IF(AND('Mapa final'!$AB$60="Media",'Mapa final'!$AD$60="Leve"),CONCATENATE("R9C",'Mapa final'!$R$60),"")</f>
        <v/>
      </c>
      <c r="P34" s="51" t="str">
        <f>IF(AND('Mapa final'!$AB$55="Media",'Mapa final'!$AD$55="Menor"),CONCATENATE("R9C",'Mapa final'!$R$55),"")</f>
        <v/>
      </c>
      <c r="Q34" s="52" t="str">
        <f>IF(AND('Mapa final'!$AB$56="Media",'Mapa final'!$AD$56="Menor"),CONCATENATE("R9C",'Mapa final'!$R$56),"")</f>
        <v/>
      </c>
      <c r="R34" s="52" t="str">
        <f>IF(AND('Mapa final'!$AB$57="Media",'Mapa final'!$AD$57="Menor"),CONCATENATE("R9C",'Mapa final'!$R$57),"")</f>
        <v/>
      </c>
      <c r="S34" s="52" t="str">
        <f>IF(AND('Mapa final'!$AB$58="Media",'Mapa final'!$AD$58="Menor"),CONCATENATE("R9C",'Mapa final'!$R$58),"")</f>
        <v/>
      </c>
      <c r="T34" s="52" t="str">
        <f>IF(AND('Mapa final'!$AB$59="Media",'Mapa final'!$AD$59="Menor"),CONCATENATE("R9C",'Mapa final'!$R$59),"")</f>
        <v/>
      </c>
      <c r="U34" s="53" t="str">
        <f>IF(AND('Mapa final'!$AB$60="Media",'Mapa final'!$AD$60="Menor"),CONCATENATE("R9C",'Mapa final'!$R$60),"")</f>
        <v/>
      </c>
      <c r="V34" s="51" t="str">
        <f>IF(AND('Mapa final'!$AB$55="Media",'Mapa final'!$AD$55="Moderado"),CONCATENATE("R9C",'Mapa final'!$R$55),"")</f>
        <v/>
      </c>
      <c r="W34" s="52" t="str">
        <f>IF(AND('Mapa final'!$AB$56="Media",'Mapa final'!$AD$56="Moderado"),CONCATENATE("R9C",'Mapa final'!$R$56),"")</f>
        <v/>
      </c>
      <c r="X34" s="52" t="str">
        <f>IF(AND('Mapa final'!$AB$57="Media",'Mapa final'!$AD$57="Moderado"),CONCATENATE("R9C",'Mapa final'!$R$57),"")</f>
        <v/>
      </c>
      <c r="Y34" s="52" t="str">
        <f>IF(AND('Mapa final'!$AB$58="Media",'Mapa final'!$AD$58="Moderado"),CONCATENATE("R9C",'Mapa final'!$R$58),"")</f>
        <v/>
      </c>
      <c r="Z34" s="52" t="str">
        <f>IF(AND('Mapa final'!$AB$59="Media",'Mapa final'!$AD$59="Moderado"),CONCATENATE("R9C",'Mapa final'!$R$59),"")</f>
        <v/>
      </c>
      <c r="AA34" s="53" t="str">
        <f>IF(AND('Mapa final'!$AB$60="Media",'Mapa final'!$AD$60="Moderado"),CONCATENATE("R9C",'Mapa final'!$R$60),"")</f>
        <v/>
      </c>
      <c r="AB34" s="36" t="str">
        <f>IF(AND('Mapa final'!$AB$55="Media",'Mapa final'!$AD$55="Mayor"),CONCATENATE("R9C",'Mapa final'!$R$55),"")</f>
        <v/>
      </c>
      <c r="AC34" s="37" t="str">
        <f>IF(AND('Mapa final'!$AB$56="Media",'Mapa final'!$AD$56="Mayor"),CONCATENATE("R9C",'Mapa final'!$R$56),"")</f>
        <v/>
      </c>
      <c r="AD34" s="37" t="str">
        <f>IF(AND('Mapa final'!$AB$57="Media",'Mapa final'!$AD$57="Mayor"),CONCATENATE("R9C",'Mapa final'!$R$57),"")</f>
        <v/>
      </c>
      <c r="AE34" s="37" t="str">
        <f>IF(AND('Mapa final'!$AB$58="Media",'Mapa final'!$AD$58="Mayor"),CONCATENATE("R9C",'Mapa final'!$R$58),"")</f>
        <v/>
      </c>
      <c r="AF34" s="37" t="str">
        <f>IF(AND('Mapa final'!$AB$59="Media",'Mapa final'!$AD$59="Mayor"),CONCATENATE("R9C",'Mapa final'!$R$59),"")</f>
        <v/>
      </c>
      <c r="AG34" s="38" t="str">
        <f>IF(AND('Mapa final'!$AB$60="Media",'Mapa final'!$AD$60="Mayor"),CONCATENATE("R9C",'Mapa final'!$R$60),"")</f>
        <v/>
      </c>
      <c r="AH34" s="39" t="str">
        <f>IF(AND('Mapa final'!$AB$55="Media",'Mapa final'!$AD$55="Catastrófico"),CONCATENATE("R9C",'Mapa final'!$R$55),"")</f>
        <v/>
      </c>
      <c r="AI34" s="40" t="str">
        <f>IF(AND('Mapa final'!$AB$56="Media",'Mapa final'!$AD$56="Catastrófico"),CONCATENATE("R9C",'Mapa final'!$R$56),"")</f>
        <v/>
      </c>
      <c r="AJ34" s="40" t="str">
        <f>IF(AND('Mapa final'!$AB$57="Media",'Mapa final'!$AD$57="Catastrófico"),CONCATENATE("R9C",'Mapa final'!$R$57),"")</f>
        <v/>
      </c>
      <c r="AK34" s="40" t="str">
        <f>IF(AND('Mapa final'!$AB$58="Media",'Mapa final'!$AD$58="Catastrófico"),CONCATENATE("R9C",'Mapa final'!$R$58),"")</f>
        <v/>
      </c>
      <c r="AL34" s="40" t="str">
        <f>IF(AND('Mapa final'!$AB$59="Media",'Mapa final'!$AD$59="Catastrófico"),CONCATENATE("R9C",'Mapa final'!$R$59),"")</f>
        <v/>
      </c>
      <c r="AM34" s="41" t="str">
        <f>IF(AND('Mapa final'!$AB$60="Media",'Mapa final'!$AD$60="Catastrófico"),CONCATENATE("R9C",'Mapa final'!$R$60),"")</f>
        <v/>
      </c>
      <c r="AN34" s="67"/>
      <c r="AO34" s="609"/>
      <c r="AP34" s="610"/>
      <c r="AQ34" s="610"/>
      <c r="AR34" s="610"/>
      <c r="AS34" s="610"/>
      <c r="AT34" s="611"/>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481"/>
      <c r="C35" s="481"/>
      <c r="D35" s="482"/>
      <c r="E35" s="581"/>
      <c r="F35" s="582"/>
      <c r="G35" s="582"/>
      <c r="H35" s="582"/>
      <c r="I35" s="596"/>
      <c r="J35" s="51" t="str">
        <f>IF(AND('Mapa final'!$AB$61="Media",'Mapa final'!$AD$61="Leve"),CONCATENATE("R10C",'Mapa final'!$R$61),"")</f>
        <v/>
      </c>
      <c r="K35" s="52" t="str">
        <f>IF(AND('Mapa final'!$AB$62="Media",'Mapa final'!$AD$62="Leve"),CONCATENATE("R10C",'Mapa final'!$R$62),"")</f>
        <v/>
      </c>
      <c r="L35" s="52" t="str">
        <f>IF(AND('Mapa final'!$AB$63="Media",'Mapa final'!$AD$63="Leve"),CONCATENATE("R10C",'Mapa final'!$R$63),"")</f>
        <v/>
      </c>
      <c r="M35" s="52" t="str">
        <f>IF(AND('Mapa final'!$AB$64="Media",'Mapa final'!$AD$64="Leve"),CONCATENATE("R10C",'Mapa final'!$R$64),"")</f>
        <v/>
      </c>
      <c r="N35" s="52" t="str">
        <f>IF(AND('Mapa final'!$AB$65="Media",'Mapa final'!$AD$65="Leve"),CONCATENATE("R10C",'Mapa final'!$R$65),"")</f>
        <v/>
      </c>
      <c r="O35" s="53" t="str">
        <f>IF(AND('Mapa final'!$AB$66="Media",'Mapa final'!$AD$66="Leve"),CONCATENATE("R10C",'Mapa final'!$R$66),"")</f>
        <v/>
      </c>
      <c r="P35" s="51" t="str">
        <f>IF(AND('Mapa final'!$AB$61="Media",'Mapa final'!$AD$61="Menor"),CONCATENATE("R10C",'Mapa final'!$R$61),"")</f>
        <v/>
      </c>
      <c r="Q35" s="52" t="str">
        <f>IF(AND('Mapa final'!$AB$62="Media",'Mapa final'!$AD$62="Menor"),CONCATENATE("R10C",'Mapa final'!$R$62),"")</f>
        <v/>
      </c>
      <c r="R35" s="52" t="str">
        <f>IF(AND('Mapa final'!$AB$63="Media",'Mapa final'!$AD$63="Menor"),CONCATENATE("R10C",'Mapa final'!$R$63),"")</f>
        <v/>
      </c>
      <c r="S35" s="52" t="str">
        <f>IF(AND('Mapa final'!$AB$64="Media",'Mapa final'!$AD$64="Menor"),CONCATENATE("R10C",'Mapa final'!$R$64),"")</f>
        <v/>
      </c>
      <c r="T35" s="52" t="str">
        <f>IF(AND('Mapa final'!$AB$65="Media",'Mapa final'!$AD$65="Menor"),CONCATENATE("R10C",'Mapa final'!$R$65),"")</f>
        <v/>
      </c>
      <c r="U35" s="53" t="str">
        <f>IF(AND('Mapa final'!$AB$66="Media",'Mapa final'!$AD$66="Menor"),CONCATENATE("R10C",'Mapa final'!$R$66),"")</f>
        <v/>
      </c>
      <c r="V35" s="51" t="str">
        <f>IF(AND('Mapa final'!$AB$61="Media",'Mapa final'!$AD$61="Moderado"),CONCATENATE("R10C",'Mapa final'!$R$61),"")</f>
        <v/>
      </c>
      <c r="W35" s="52" t="str">
        <f>IF(AND('Mapa final'!$AB$62="Media",'Mapa final'!$AD$62="Moderado"),CONCATENATE("R10C",'Mapa final'!$R$62),"")</f>
        <v/>
      </c>
      <c r="X35" s="52" t="str">
        <f>IF(AND('Mapa final'!$AB$63="Media",'Mapa final'!$AD$63="Moderado"),CONCATENATE("R10C",'Mapa final'!$R$63),"")</f>
        <v/>
      </c>
      <c r="Y35" s="52" t="str">
        <f>IF(AND('Mapa final'!$AB$64="Media",'Mapa final'!$AD$64="Moderado"),CONCATENATE("R10C",'Mapa final'!$R$64),"")</f>
        <v/>
      </c>
      <c r="Z35" s="52" t="str">
        <f>IF(AND('Mapa final'!$AB$65="Media",'Mapa final'!$AD$65="Moderado"),CONCATENATE("R10C",'Mapa final'!$R$65),"")</f>
        <v/>
      </c>
      <c r="AA35" s="53" t="str">
        <f>IF(AND('Mapa final'!$AB$66="Media",'Mapa final'!$AD$66="Moderado"),CONCATENATE("R10C",'Mapa final'!$R$66),"")</f>
        <v/>
      </c>
      <c r="AB35" s="42" t="str">
        <f>IF(AND('Mapa final'!$AB$61="Media",'Mapa final'!$AD$61="Mayor"),CONCATENATE("R10C",'Mapa final'!$R$61),"")</f>
        <v/>
      </c>
      <c r="AC35" s="43" t="str">
        <f>IF(AND('Mapa final'!$AB$62="Media",'Mapa final'!$AD$62="Mayor"),CONCATENATE("R10C",'Mapa final'!$R$62),"")</f>
        <v/>
      </c>
      <c r="AD35" s="43" t="str">
        <f>IF(AND('Mapa final'!$AB$63="Media",'Mapa final'!$AD$63="Mayor"),CONCATENATE("R10C",'Mapa final'!$R$63),"")</f>
        <v/>
      </c>
      <c r="AE35" s="43" t="str">
        <f>IF(AND('Mapa final'!$AB$64="Media",'Mapa final'!$AD$64="Mayor"),CONCATENATE("R10C",'Mapa final'!$R$64),"")</f>
        <v/>
      </c>
      <c r="AF35" s="43" t="str">
        <f>IF(AND('Mapa final'!$AB$65="Media",'Mapa final'!$AD$65="Mayor"),CONCATENATE("R10C",'Mapa final'!$R$65),"")</f>
        <v/>
      </c>
      <c r="AG35" s="44" t="str">
        <f>IF(AND('Mapa final'!$AB$66="Media",'Mapa final'!$AD$66="Mayor"),CONCATENATE("R10C",'Mapa final'!$R$66),"")</f>
        <v/>
      </c>
      <c r="AH35" s="45" t="str">
        <f>IF(AND('Mapa final'!$AB$61="Media",'Mapa final'!$AD$61="Catastrófico"),CONCATENATE("R10C",'Mapa final'!$R$61),"")</f>
        <v/>
      </c>
      <c r="AI35" s="46" t="str">
        <f>IF(AND('Mapa final'!$AB$62="Media",'Mapa final'!$AD$62="Catastrófico"),CONCATENATE("R10C",'Mapa final'!$R$62),"")</f>
        <v/>
      </c>
      <c r="AJ35" s="46" t="str">
        <f>IF(AND('Mapa final'!$AB$63="Media",'Mapa final'!$AD$63="Catastrófico"),CONCATENATE("R10C",'Mapa final'!$R$63),"")</f>
        <v/>
      </c>
      <c r="AK35" s="46" t="str">
        <f>IF(AND('Mapa final'!$AB$64="Media",'Mapa final'!$AD$64="Catastrófico"),CONCATENATE("R10C",'Mapa final'!$R$64),"")</f>
        <v/>
      </c>
      <c r="AL35" s="46" t="str">
        <f>IF(AND('Mapa final'!$AB$65="Media",'Mapa final'!$AD$65="Catastrófico"),CONCATENATE("R10C",'Mapa final'!$R$65),"")</f>
        <v/>
      </c>
      <c r="AM35" s="47" t="str">
        <f>IF(AND('Mapa final'!$AB$66="Media",'Mapa final'!$AD$66="Catastrófico"),CONCATENATE("R10C",'Mapa final'!$R$66),"")</f>
        <v/>
      </c>
      <c r="AN35" s="67"/>
      <c r="AO35" s="612"/>
      <c r="AP35" s="613"/>
      <c r="AQ35" s="613"/>
      <c r="AR35" s="613"/>
      <c r="AS35" s="613"/>
      <c r="AT35" s="614"/>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481"/>
      <c r="C36" s="481"/>
      <c r="D36" s="482"/>
      <c r="E36" s="576" t="s">
        <v>109</v>
      </c>
      <c r="F36" s="577"/>
      <c r="G36" s="577"/>
      <c r="H36" s="577"/>
      <c r="I36" s="577"/>
      <c r="J36" s="57" t="str">
        <f>IF(AND('Mapa final'!$AB$10="Baja",'Mapa final'!$AD$10="Leve"),CONCATENATE("R1C",'Mapa final'!$R$10),"")</f>
        <v/>
      </c>
      <c r="K36" s="58" t="str">
        <f>IF(AND('Mapa final'!$AB$11="Baja",'Mapa final'!$AD$11="Leve"),CONCATENATE("R1C",'Mapa final'!$R$11),"")</f>
        <v/>
      </c>
      <c r="L36" s="58" t="str">
        <f>IF(AND('Mapa final'!$AB$12="Baja",'Mapa final'!$AD$12="Leve"),CONCATENATE("R1C",'Mapa final'!$R$12),"")</f>
        <v/>
      </c>
      <c r="M36" s="58" t="e">
        <f>IF(AND('Mapa final'!#REF!="Baja",'Mapa final'!#REF!="Leve"),CONCATENATE("R1C",'Mapa final'!#REF!),"")</f>
        <v>#REF!</v>
      </c>
      <c r="N36" s="58" t="e">
        <f>IF(AND('Mapa final'!#REF!="Baja",'Mapa final'!#REF!="Leve"),CONCATENATE("R1C",'Mapa final'!#REF!),"")</f>
        <v>#REF!</v>
      </c>
      <c r="O36" s="59" t="e">
        <f>IF(AND('Mapa final'!#REF!="Baja",'Mapa final'!#REF!="Leve"),CONCATENATE("R1C",'Mapa final'!#REF!),"")</f>
        <v>#REF!</v>
      </c>
      <c r="P36" s="48" t="str">
        <f>IF(AND('Mapa final'!$AB$10="Baja",'Mapa final'!$AD$10="Menor"),CONCATENATE("R1C",'Mapa final'!$R$10),"")</f>
        <v/>
      </c>
      <c r="Q36" s="49" t="str">
        <f>IF(AND('Mapa final'!$AB$11="Baja",'Mapa final'!$AD$11="Menor"),CONCATENATE("R1C",'Mapa final'!$R$11),"")</f>
        <v/>
      </c>
      <c r="R36" s="49" t="str">
        <f>IF(AND('Mapa final'!$AB$12="Baja",'Mapa final'!$AD$12="Menor"),CONCATENATE("R1C",'Mapa final'!$R$12),"")</f>
        <v/>
      </c>
      <c r="S36" s="49" t="e">
        <f>IF(AND('Mapa final'!#REF!="Baja",'Mapa final'!#REF!="Menor"),CONCATENATE("R1C",'Mapa final'!#REF!),"")</f>
        <v>#REF!</v>
      </c>
      <c r="T36" s="49" t="e">
        <f>IF(AND('Mapa final'!#REF!="Baja",'Mapa final'!#REF!="Menor"),CONCATENATE("R1C",'Mapa final'!#REF!),"")</f>
        <v>#REF!</v>
      </c>
      <c r="U36" s="50" t="e">
        <f>IF(AND('Mapa final'!#REF!="Baja",'Mapa final'!#REF!="Menor"),CONCATENATE("R1C",'Mapa final'!#REF!),"")</f>
        <v>#REF!</v>
      </c>
      <c r="V36" s="48" t="str">
        <f>IF(AND('Mapa final'!$AB$10="Baja",'Mapa final'!$AD$10="Moderado"),CONCATENATE("R1C",'Mapa final'!$R$10),"")</f>
        <v/>
      </c>
      <c r="W36" s="49" t="str">
        <f>IF(AND('Mapa final'!$AB$11="Baja",'Mapa final'!$AD$11="Moderado"),CONCATENATE("R1C",'Mapa final'!$R$11),"")</f>
        <v/>
      </c>
      <c r="X36" s="49" t="str">
        <f>IF(AND('Mapa final'!$AB$12="Baja",'Mapa final'!$AD$12="Moderado"),CONCATENATE("R1C",'Mapa final'!$R$12),"")</f>
        <v/>
      </c>
      <c r="Y36" s="49" t="e">
        <f>IF(AND('Mapa final'!#REF!="Baja",'Mapa final'!#REF!="Moderado"),CONCATENATE("R1C",'Mapa final'!#REF!),"")</f>
        <v>#REF!</v>
      </c>
      <c r="Z36" s="49" t="e">
        <f>IF(AND('Mapa final'!#REF!="Baja",'Mapa final'!#REF!="Moderado"),CONCATENATE("R1C",'Mapa final'!#REF!),"")</f>
        <v>#REF!</v>
      </c>
      <c r="AA36" s="50" t="e">
        <f>IF(AND('Mapa final'!#REF!="Baja",'Mapa final'!#REF!="Moderado"),CONCATENATE("R1C",'Mapa final'!#REF!),"")</f>
        <v>#REF!</v>
      </c>
      <c r="AB36" s="30" t="str">
        <f>IF(AND('Mapa final'!$AB$10="Baja",'Mapa final'!$AD$10="Mayor"),CONCATENATE("R1C",'Mapa final'!$R$10),"")</f>
        <v>R1C1</v>
      </c>
      <c r="AC36" s="31" t="str">
        <f>IF(AND('Mapa final'!$AB$11="Baja",'Mapa final'!$AD$11="Mayor"),CONCATENATE("R1C",'Mapa final'!$R$11),"")</f>
        <v/>
      </c>
      <c r="AD36" s="31" t="str">
        <f>IF(AND('Mapa final'!$AB$12="Baja",'Mapa final'!$AD$12="Mayor"),CONCATENATE("R1C",'Mapa final'!$R$12),"")</f>
        <v/>
      </c>
      <c r="AE36" s="31" t="e">
        <f>IF(AND('Mapa final'!#REF!="Baja",'Mapa final'!#REF!="Mayor"),CONCATENATE("R1C",'Mapa final'!#REF!),"")</f>
        <v>#REF!</v>
      </c>
      <c r="AF36" s="31" t="e">
        <f>IF(AND('Mapa final'!#REF!="Baja",'Mapa final'!#REF!="Mayor"),CONCATENATE("R1C",'Mapa final'!#REF!),"")</f>
        <v>#REF!</v>
      </c>
      <c r="AG36" s="32" t="e">
        <f>IF(AND('Mapa final'!#REF!="Baja",'Mapa final'!#REF!="Mayor"),CONCATENATE("R1C",'Mapa final'!#REF!),"")</f>
        <v>#REF!</v>
      </c>
      <c r="AH36" s="33" t="str">
        <f>IF(AND('Mapa final'!$AB$10="Baja",'Mapa final'!$AD$10="Catastrófico"),CONCATENATE("R1C",'Mapa final'!$R$10),"")</f>
        <v/>
      </c>
      <c r="AI36" s="34" t="str">
        <f>IF(AND('Mapa final'!$AB$11="Baja",'Mapa final'!$AD$11="Catastrófico"),CONCATENATE("R1C",'Mapa final'!$R$11),"")</f>
        <v/>
      </c>
      <c r="AJ36" s="34" t="str">
        <f>IF(AND('Mapa final'!$AB$12="Baja",'Mapa final'!$AD$12="Catastrófico"),CONCATENATE("R1C",'Mapa final'!$R$12),"")</f>
        <v/>
      </c>
      <c r="AK36" s="34" t="e">
        <f>IF(AND('Mapa final'!#REF!="Baja",'Mapa final'!#REF!="Catastrófico"),CONCATENATE("R1C",'Mapa final'!#REF!),"")</f>
        <v>#REF!</v>
      </c>
      <c r="AL36" s="34" t="e">
        <f>IF(AND('Mapa final'!#REF!="Baja",'Mapa final'!#REF!="Catastrófico"),CONCATENATE("R1C",'Mapa final'!#REF!),"")</f>
        <v>#REF!</v>
      </c>
      <c r="AM36" s="35" t="e">
        <f>IF(AND('Mapa final'!#REF!="Baja",'Mapa final'!#REF!="Catastrófico"),CONCATENATE("R1C",'Mapa final'!#REF!),"")</f>
        <v>#REF!</v>
      </c>
      <c r="AN36" s="67"/>
      <c r="AO36" s="597" t="s">
        <v>81</v>
      </c>
      <c r="AP36" s="598"/>
      <c r="AQ36" s="598"/>
      <c r="AR36" s="598"/>
      <c r="AS36" s="598"/>
      <c r="AT36" s="599"/>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481"/>
      <c r="C37" s="481"/>
      <c r="D37" s="482"/>
      <c r="E37" s="578"/>
      <c r="F37" s="579"/>
      <c r="G37" s="579"/>
      <c r="H37" s="579"/>
      <c r="I37" s="579"/>
      <c r="J37" s="60" t="str">
        <f>IF(AND('Mapa final'!$AB$13="Baja",'Mapa final'!$AD$13="Leve"),CONCATENATE("R2C",'Mapa final'!$R$13),"")</f>
        <v/>
      </c>
      <c r="K37" s="61" t="str">
        <f>IF(AND('Mapa final'!$AB$14="Baja",'Mapa final'!$AD$14="Leve"),CONCATENATE("R2C",'Mapa final'!$R$14),"")</f>
        <v/>
      </c>
      <c r="L37" s="61" t="str">
        <f>IF(AND('Mapa final'!$AB$15="Baja",'Mapa final'!$AD$15="Leve"),CONCATENATE("R2C",'Mapa final'!$R$15),"")</f>
        <v/>
      </c>
      <c r="M37" s="61" t="str">
        <f>IF(AND('Mapa final'!$AB$16="Baja",'Mapa final'!$AD$16="Leve"),CONCATENATE("R2C",'Mapa final'!$R$16),"")</f>
        <v/>
      </c>
      <c r="N37" s="61" t="str">
        <f>IF(AND('Mapa final'!$AB$17="Baja",'Mapa final'!$AD$17="Leve"),CONCATENATE("R2C",'Mapa final'!$R$17),"")</f>
        <v/>
      </c>
      <c r="O37" s="62" t="str">
        <f>IF(AND('Mapa final'!$AB$18="Baja",'Mapa final'!$AD$18="Leve"),CONCATENATE("R2C",'Mapa final'!$R$18),"")</f>
        <v/>
      </c>
      <c r="P37" s="51" t="str">
        <f>IF(AND('Mapa final'!$AB$13="Baja",'Mapa final'!$AD$13="Menor"),CONCATENATE("R2C",'Mapa final'!$R$13),"")</f>
        <v/>
      </c>
      <c r="Q37" s="52" t="str">
        <f>IF(AND('Mapa final'!$AB$14="Baja",'Mapa final'!$AD$14="Menor"),CONCATENATE("R2C",'Mapa final'!$R$14),"")</f>
        <v/>
      </c>
      <c r="R37" s="52" t="str">
        <f>IF(AND('Mapa final'!$AB$15="Baja",'Mapa final'!$AD$15="Menor"),CONCATENATE("R2C",'Mapa final'!$R$15),"")</f>
        <v/>
      </c>
      <c r="S37" s="52" t="str">
        <f>IF(AND('Mapa final'!$AB$16="Baja",'Mapa final'!$AD$16="Menor"),CONCATENATE("R2C",'Mapa final'!$R$16),"")</f>
        <v/>
      </c>
      <c r="T37" s="52" t="str">
        <f>IF(AND('Mapa final'!$AB$17="Baja",'Mapa final'!$AD$17="Menor"),CONCATENATE("R2C",'Mapa final'!$R$17),"")</f>
        <v/>
      </c>
      <c r="U37" s="53" t="str">
        <f>IF(AND('Mapa final'!$AB$18="Baja",'Mapa final'!$AD$18="Menor"),CONCATENATE("R2C",'Mapa final'!$R$18),"")</f>
        <v/>
      </c>
      <c r="V37" s="51" t="str">
        <f>IF(AND('Mapa final'!$AB$13="Baja",'Mapa final'!$AD$13="Moderado"),CONCATENATE("R2C",'Mapa final'!$R$13),"")</f>
        <v/>
      </c>
      <c r="W37" s="52" t="str">
        <f>IF(AND('Mapa final'!$AB$14="Baja",'Mapa final'!$AD$14="Moderado"),CONCATENATE("R2C",'Mapa final'!$R$14),"")</f>
        <v/>
      </c>
      <c r="X37" s="52" t="str">
        <f>IF(AND('Mapa final'!$AB$15="Baja",'Mapa final'!$AD$15="Moderado"),CONCATENATE("R2C",'Mapa final'!$R$15),"")</f>
        <v/>
      </c>
      <c r="Y37" s="52" t="str">
        <f>IF(AND('Mapa final'!$AB$16="Baja",'Mapa final'!$AD$16="Moderado"),CONCATENATE("R2C",'Mapa final'!$R$16),"")</f>
        <v/>
      </c>
      <c r="Z37" s="52" t="str">
        <f>IF(AND('Mapa final'!$AB$17="Baja",'Mapa final'!$AD$17="Moderado"),CONCATENATE("R2C",'Mapa final'!$R$17),"")</f>
        <v/>
      </c>
      <c r="AA37" s="53" t="str">
        <f>IF(AND('Mapa final'!$AB$18="Baja",'Mapa final'!$AD$18="Moderado"),CONCATENATE("R2C",'Mapa final'!$R$18),"")</f>
        <v/>
      </c>
      <c r="AB37" s="36" t="str">
        <f>IF(AND('Mapa final'!$AB$13="Baja",'Mapa final'!$AD$13="Mayor"),CONCATENATE("R2C",'Mapa final'!$R$13),"")</f>
        <v/>
      </c>
      <c r="AC37" s="37" t="str">
        <f>IF(AND('Mapa final'!$AB$14="Baja",'Mapa final'!$AD$14="Mayor"),CONCATENATE("R2C",'Mapa final'!$R$14),"")</f>
        <v/>
      </c>
      <c r="AD37" s="37" t="str">
        <f>IF(AND('Mapa final'!$AB$15="Baja",'Mapa final'!$AD$15="Mayor"),CONCATENATE("R2C",'Mapa final'!$R$15),"")</f>
        <v/>
      </c>
      <c r="AE37" s="37" t="str">
        <f>IF(AND('Mapa final'!$AB$16="Baja",'Mapa final'!$AD$16="Mayor"),CONCATENATE("R2C",'Mapa final'!$R$16),"")</f>
        <v/>
      </c>
      <c r="AF37" s="37" t="str">
        <f>IF(AND('Mapa final'!$AB$17="Baja",'Mapa final'!$AD$17="Mayor"),CONCATENATE("R2C",'Mapa final'!$R$17),"")</f>
        <v/>
      </c>
      <c r="AG37" s="38" t="str">
        <f>IF(AND('Mapa final'!$AB$18="Baja",'Mapa final'!$AD$18="Mayor"),CONCATENATE("R2C",'Mapa final'!$R$18),"")</f>
        <v/>
      </c>
      <c r="AH37" s="39" t="str">
        <f>IF(AND('Mapa final'!$AB$13="Baja",'Mapa final'!$AD$13="Catastrófico"),CONCATENATE("R2C",'Mapa final'!$R$13),"")</f>
        <v/>
      </c>
      <c r="AI37" s="40" t="str">
        <f>IF(AND('Mapa final'!$AB$14="Baja",'Mapa final'!$AD$14="Catastrófico"),CONCATENATE("R2C",'Mapa final'!$R$14),"")</f>
        <v/>
      </c>
      <c r="AJ37" s="40" t="str">
        <f>IF(AND('Mapa final'!$AB$15="Baja",'Mapa final'!$AD$15="Catastrófico"),CONCATENATE("R2C",'Mapa final'!$R$15),"")</f>
        <v/>
      </c>
      <c r="AK37" s="40" t="str">
        <f>IF(AND('Mapa final'!$AB$16="Baja",'Mapa final'!$AD$16="Catastrófico"),CONCATENATE("R2C",'Mapa final'!$R$16),"")</f>
        <v/>
      </c>
      <c r="AL37" s="40" t="str">
        <f>IF(AND('Mapa final'!$AB$17="Baja",'Mapa final'!$AD$17="Catastrófico"),CONCATENATE("R2C",'Mapa final'!$R$17),"")</f>
        <v/>
      </c>
      <c r="AM37" s="41" t="str">
        <f>IF(AND('Mapa final'!$AB$18="Baja",'Mapa final'!$AD$18="Catastrófico"),CONCATENATE("R2C",'Mapa final'!$R$18),"")</f>
        <v/>
      </c>
      <c r="AN37" s="67"/>
      <c r="AO37" s="600"/>
      <c r="AP37" s="601"/>
      <c r="AQ37" s="601"/>
      <c r="AR37" s="601"/>
      <c r="AS37" s="601"/>
      <c r="AT37" s="602"/>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481"/>
      <c r="C38" s="481"/>
      <c r="D38" s="482"/>
      <c r="E38" s="580"/>
      <c r="F38" s="579"/>
      <c r="G38" s="579"/>
      <c r="H38" s="579"/>
      <c r="I38" s="579"/>
      <c r="J38" s="60" t="str">
        <f>IF(AND('Mapa final'!$AB$19="Baja",'Mapa final'!$AD$19="Leve"),CONCATENATE("R3C",'Mapa final'!$R$19),"")</f>
        <v/>
      </c>
      <c r="K38" s="61" t="str">
        <f>IF(AND('Mapa final'!$AB$20="Baja",'Mapa final'!$AD$20="Leve"),CONCATENATE("R3C",'Mapa final'!$R$20),"")</f>
        <v/>
      </c>
      <c r="L38" s="61" t="str">
        <f>IF(AND('Mapa final'!$AB$21="Baja",'Mapa final'!$AD$21="Leve"),CONCATENATE("R3C",'Mapa final'!$R$21),"")</f>
        <v/>
      </c>
      <c r="M38" s="61" t="str">
        <f>IF(AND('Mapa final'!$AB$22="Baja",'Mapa final'!$AD$22="Leve"),CONCATENATE("R3C",'Mapa final'!$R$22),"")</f>
        <v/>
      </c>
      <c r="N38" s="61" t="str">
        <f>IF(AND('Mapa final'!$AB$23="Baja",'Mapa final'!$AD$23="Leve"),CONCATENATE("R3C",'Mapa final'!$R$23),"")</f>
        <v/>
      </c>
      <c r="O38" s="62" t="str">
        <f>IF(AND('Mapa final'!$AB$24="Baja",'Mapa final'!$AD$24="Leve"),CONCATENATE("R3C",'Mapa final'!$R$24),"")</f>
        <v/>
      </c>
      <c r="P38" s="51" t="str">
        <f>IF(AND('Mapa final'!$AB$19="Baja",'Mapa final'!$AD$19="Menor"),CONCATENATE("R3C",'Mapa final'!$R$19),"")</f>
        <v/>
      </c>
      <c r="Q38" s="52" t="str">
        <f>IF(AND('Mapa final'!$AB$20="Baja",'Mapa final'!$AD$20="Menor"),CONCATENATE("R3C",'Mapa final'!$R$20),"")</f>
        <v/>
      </c>
      <c r="R38" s="52" t="str">
        <f>IF(AND('Mapa final'!$AB$21="Baja",'Mapa final'!$AD$21="Menor"),CONCATENATE("R3C",'Mapa final'!$R$21),"")</f>
        <v/>
      </c>
      <c r="S38" s="52" t="str">
        <f>IF(AND('Mapa final'!$AB$22="Baja",'Mapa final'!$AD$22="Menor"),CONCATENATE("R3C",'Mapa final'!$R$22),"")</f>
        <v/>
      </c>
      <c r="T38" s="52" t="str">
        <f>IF(AND('Mapa final'!$AB$23="Baja",'Mapa final'!$AD$23="Menor"),CONCATENATE("R3C",'Mapa final'!$R$23),"")</f>
        <v/>
      </c>
      <c r="U38" s="53" t="str">
        <f>IF(AND('Mapa final'!$AB$24="Baja",'Mapa final'!$AD$24="Menor"),CONCATENATE("R3C",'Mapa final'!$R$24),"")</f>
        <v/>
      </c>
      <c r="V38" s="51" t="str">
        <f>IF(AND('Mapa final'!$AB$19="Baja",'Mapa final'!$AD$19="Moderado"),CONCATENATE("R3C",'Mapa final'!$R$19),"")</f>
        <v/>
      </c>
      <c r="W38" s="52" t="str">
        <f>IF(AND('Mapa final'!$AB$20="Baja",'Mapa final'!$AD$20="Moderado"),CONCATENATE("R3C",'Mapa final'!$R$20),"")</f>
        <v/>
      </c>
      <c r="X38" s="52" t="str">
        <f>IF(AND('Mapa final'!$AB$21="Baja",'Mapa final'!$AD$21="Moderado"),CONCATENATE("R3C",'Mapa final'!$R$21),"")</f>
        <v/>
      </c>
      <c r="Y38" s="52" t="str">
        <f>IF(AND('Mapa final'!$AB$22="Baja",'Mapa final'!$AD$22="Moderado"),CONCATENATE("R3C",'Mapa final'!$R$22),"")</f>
        <v/>
      </c>
      <c r="Z38" s="52" t="str">
        <f>IF(AND('Mapa final'!$AB$23="Baja",'Mapa final'!$AD$23="Moderado"),CONCATENATE("R3C",'Mapa final'!$R$23),"")</f>
        <v/>
      </c>
      <c r="AA38" s="53" t="str">
        <f>IF(AND('Mapa final'!$AB$24="Baja",'Mapa final'!$AD$24="Moderado"),CONCATENATE("R3C",'Mapa final'!$R$24),"")</f>
        <v/>
      </c>
      <c r="AB38" s="36" t="str">
        <f>IF(AND('Mapa final'!$AB$19="Baja",'Mapa final'!$AD$19="Mayor"),CONCATENATE("R3C",'Mapa final'!$R$19),"")</f>
        <v/>
      </c>
      <c r="AC38" s="37" t="str">
        <f>IF(AND('Mapa final'!$AB$20="Baja",'Mapa final'!$AD$20="Mayor"),CONCATENATE("R3C",'Mapa final'!$R$20),"")</f>
        <v/>
      </c>
      <c r="AD38" s="37" t="str">
        <f>IF(AND('Mapa final'!$AB$21="Baja",'Mapa final'!$AD$21="Mayor"),CONCATENATE("R3C",'Mapa final'!$R$21),"")</f>
        <v/>
      </c>
      <c r="AE38" s="37" t="str">
        <f>IF(AND('Mapa final'!$AB$22="Baja",'Mapa final'!$AD$22="Mayor"),CONCATENATE("R3C",'Mapa final'!$R$22),"")</f>
        <v/>
      </c>
      <c r="AF38" s="37" t="str">
        <f>IF(AND('Mapa final'!$AB$23="Baja",'Mapa final'!$AD$23="Mayor"),CONCATENATE("R3C",'Mapa final'!$R$23),"")</f>
        <v/>
      </c>
      <c r="AG38" s="38" t="str">
        <f>IF(AND('Mapa final'!$AB$24="Baja",'Mapa final'!$AD$24="Mayor"),CONCATENATE("R3C",'Mapa final'!$R$24),"")</f>
        <v/>
      </c>
      <c r="AH38" s="39" t="str">
        <f>IF(AND('Mapa final'!$AB$19="Baja",'Mapa final'!$AD$19="Catastrófico"),CONCATENATE("R3C",'Mapa final'!$R$19),"")</f>
        <v/>
      </c>
      <c r="AI38" s="40" t="str">
        <f>IF(AND('Mapa final'!$AB$20="Baja",'Mapa final'!$AD$20="Catastrófico"),CONCATENATE("R3C",'Mapa final'!$R$20),"")</f>
        <v/>
      </c>
      <c r="AJ38" s="40" t="str">
        <f>IF(AND('Mapa final'!$AB$21="Baja",'Mapa final'!$AD$21="Catastrófico"),CONCATENATE("R3C",'Mapa final'!$R$21),"")</f>
        <v/>
      </c>
      <c r="AK38" s="40" t="str">
        <f>IF(AND('Mapa final'!$AB$22="Baja",'Mapa final'!$AD$22="Catastrófico"),CONCATENATE("R3C",'Mapa final'!$R$22),"")</f>
        <v/>
      </c>
      <c r="AL38" s="40" t="str">
        <f>IF(AND('Mapa final'!$AB$23="Baja",'Mapa final'!$AD$23="Catastrófico"),CONCATENATE("R3C",'Mapa final'!$R$23),"")</f>
        <v/>
      </c>
      <c r="AM38" s="41" t="str">
        <f>IF(AND('Mapa final'!$AB$24="Baja",'Mapa final'!$AD$24="Catastrófico"),CONCATENATE("R3C",'Mapa final'!$R$24),"")</f>
        <v/>
      </c>
      <c r="AN38" s="67"/>
      <c r="AO38" s="600"/>
      <c r="AP38" s="601"/>
      <c r="AQ38" s="601"/>
      <c r="AR38" s="601"/>
      <c r="AS38" s="601"/>
      <c r="AT38" s="602"/>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481"/>
      <c r="C39" s="481"/>
      <c r="D39" s="482"/>
      <c r="E39" s="580"/>
      <c r="F39" s="579"/>
      <c r="G39" s="579"/>
      <c r="H39" s="579"/>
      <c r="I39" s="579"/>
      <c r="J39" s="60" t="str">
        <f>IF(AND('Mapa final'!$AB$25="Baja",'Mapa final'!$AD$25="Leve"),CONCATENATE("R4C",'Mapa final'!$R$25),"")</f>
        <v/>
      </c>
      <c r="K39" s="61" t="str">
        <f>IF(AND('Mapa final'!$AB$26="Baja",'Mapa final'!$AD$26="Leve"),CONCATENATE("R4C",'Mapa final'!$R$26),"")</f>
        <v/>
      </c>
      <c r="L39" s="61" t="str">
        <f>IF(AND('Mapa final'!$AB$27="Baja",'Mapa final'!$AD$27="Leve"),CONCATENATE("R4C",'Mapa final'!$R$27),"")</f>
        <v/>
      </c>
      <c r="M39" s="61" t="str">
        <f>IF(AND('Mapa final'!$AB$28="Baja",'Mapa final'!$AD$28="Leve"),CONCATENATE("R4C",'Mapa final'!$R$28),"")</f>
        <v/>
      </c>
      <c r="N39" s="61" t="str">
        <f>IF(AND('Mapa final'!$AB$29="Baja",'Mapa final'!$AD$29="Leve"),CONCATENATE("R4C",'Mapa final'!$R$29),"")</f>
        <v/>
      </c>
      <c r="O39" s="62" t="str">
        <f>IF(AND('Mapa final'!$AB$30="Baja",'Mapa final'!$AD$30="Leve"),CONCATENATE("R4C",'Mapa final'!$R$30),"")</f>
        <v/>
      </c>
      <c r="P39" s="51" t="str">
        <f>IF(AND('Mapa final'!$AB$25="Baja",'Mapa final'!$AD$25="Menor"),CONCATENATE("R4C",'Mapa final'!$R$25),"")</f>
        <v/>
      </c>
      <c r="Q39" s="52" t="str">
        <f>IF(AND('Mapa final'!$AB$26="Baja",'Mapa final'!$AD$26="Menor"),CONCATENATE("R4C",'Mapa final'!$R$26),"")</f>
        <v/>
      </c>
      <c r="R39" s="52" t="str">
        <f>IF(AND('Mapa final'!$AB$27="Baja",'Mapa final'!$AD$27="Menor"),CONCATENATE("R4C",'Mapa final'!$R$27),"")</f>
        <v/>
      </c>
      <c r="S39" s="52" t="str">
        <f>IF(AND('Mapa final'!$AB$28="Baja",'Mapa final'!$AD$28="Menor"),CONCATENATE("R4C",'Mapa final'!$R$28),"")</f>
        <v/>
      </c>
      <c r="T39" s="52" t="str">
        <f>IF(AND('Mapa final'!$AB$29="Baja",'Mapa final'!$AD$29="Menor"),CONCATENATE("R4C",'Mapa final'!$R$29),"")</f>
        <v/>
      </c>
      <c r="U39" s="53" t="str">
        <f>IF(AND('Mapa final'!$AB$30="Baja",'Mapa final'!$AD$30="Menor"),CONCATENATE("R4C",'Mapa final'!$R$30),"")</f>
        <v/>
      </c>
      <c r="V39" s="51" t="str">
        <f>IF(AND('Mapa final'!$AB$25="Baja",'Mapa final'!$AD$25="Moderado"),CONCATENATE("R4C",'Mapa final'!$R$25),"")</f>
        <v/>
      </c>
      <c r="W39" s="52" t="str">
        <f>IF(AND('Mapa final'!$AB$26="Baja",'Mapa final'!$AD$26="Moderado"),CONCATENATE("R4C",'Mapa final'!$R$26),"")</f>
        <v/>
      </c>
      <c r="X39" s="52" t="str">
        <f>IF(AND('Mapa final'!$AB$27="Baja",'Mapa final'!$AD$27="Moderado"),CONCATENATE("R4C",'Mapa final'!$R$27),"")</f>
        <v/>
      </c>
      <c r="Y39" s="52" t="str">
        <f>IF(AND('Mapa final'!$AB$28="Baja",'Mapa final'!$AD$28="Moderado"),CONCATENATE("R4C",'Mapa final'!$R$28),"")</f>
        <v/>
      </c>
      <c r="Z39" s="52" t="str">
        <f>IF(AND('Mapa final'!$AB$29="Baja",'Mapa final'!$AD$29="Moderado"),CONCATENATE("R4C",'Mapa final'!$R$29),"")</f>
        <v/>
      </c>
      <c r="AA39" s="53" t="str">
        <f>IF(AND('Mapa final'!$AB$30="Baja",'Mapa final'!$AD$30="Moderado"),CONCATENATE("R4C",'Mapa final'!$R$30),"")</f>
        <v/>
      </c>
      <c r="AB39" s="36" t="str">
        <f>IF(AND('Mapa final'!$AB$25="Baja",'Mapa final'!$AD$25="Mayor"),CONCATENATE("R4C",'Mapa final'!$R$25),"")</f>
        <v/>
      </c>
      <c r="AC39" s="37" t="str">
        <f>IF(AND('Mapa final'!$AB$26="Baja",'Mapa final'!$AD$26="Mayor"),CONCATENATE("R4C",'Mapa final'!$R$26),"")</f>
        <v/>
      </c>
      <c r="AD39" s="37" t="str">
        <f>IF(AND('Mapa final'!$AB$27="Baja",'Mapa final'!$AD$27="Mayor"),CONCATENATE("R4C",'Mapa final'!$R$27),"")</f>
        <v/>
      </c>
      <c r="AE39" s="37" t="str">
        <f>IF(AND('Mapa final'!$AB$28="Baja",'Mapa final'!$AD$28="Mayor"),CONCATENATE("R4C",'Mapa final'!$R$28),"")</f>
        <v/>
      </c>
      <c r="AF39" s="37" t="str">
        <f>IF(AND('Mapa final'!$AB$29="Baja",'Mapa final'!$AD$29="Mayor"),CONCATENATE("R4C",'Mapa final'!$R$29),"")</f>
        <v/>
      </c>
      <c r="AG39" s="38" t="str">
        <f>IF(AND('Mapa final'!$AB$30="Baja",'Mapa final'!$AD$30="Mayor"),CONCATENATE("R4C",'Mapa final'!$R$30),"")</f>
        <v/>
      </c>
      <c r="AH39" s="39" t="str">
        <f>IF(AND('Mapa final'!$AB$25="Baja",'Mapa final'!$AD$25="Catastrófico"),CONCATENATE("R4C",'Mapa final'!$R$25),"")</f>
        <v/>
      </c>
      <c r="AI39" s="40" t="str">
        <f>IF(AND('Mapa final'!$AB$26="Baja",'Mapa final'!$AD$26="Catastrófico"),CONCATENATE("R4C",'Mapa final'!$R$26),"")</f>
        <v/>
      </c>
      <c r="AJ39" s="40" t="str">
        <f>IF(AND('Mapa final'!$AB$27="Baja",'Mapa final'!$AD$27="Catastrófico"),CONCATENATE("R4C",'Mapa final'!$R$27),"")</f>
        <v/>
      </c>
      <c r="AK39" s="40" t="str">
        <f>IF(AND('Mapa final'!$AB$28="Baja",'Mapa final'!$AD$28="Catastrófico"),CONCATENATE("R4C",'Mapa final'!$R$28),"")</f>
        <v/>
      </c>
      <c r="AL39" s="40" t="str">
        <f>IF(AND('Mapa final'!$AB$29="Baja",'Mapa final'!$AD$29="Catastrófico"),CONCATENATE("R4C",'Mapa final'!$R$29),"")</f>
        <v/>
      </c>
      <c r="AM39" s="41" t="str">
        <f>IF(AND('Mapa final'!$AB$30="Baja",'Mapa final'!$AD$30="Catastrófico"),CONCATENATE("R4C",'Mapa final'!$R$30),"")</f>
        <v/>
      </c>
      <c r="AN39" s="67"/>
      <c r="AO39" s="600"/>
      <c r="AP39" s="601"/>
      <c r="AQ39" s="601"/>
      <c r="AR39" s="601"/>
      <c r="AS39" s="601"/>
      <c r="AT39" s="602"/>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481"/>
      <c r="C40" s="481"/>
      <c r="D40" s="482"/>
      <c r="E40" s="580"/>
      <c r="F40" s="579"/>
      <c r="G40" s="579"/>
      <c r="H40" s="579"/>
      <c r="I40" s="579"/>
      <c r="J40" s="60" t="str">
        <f>IF(AND('Mapa final'!$AB$31="Baja",'Mapa final'!$AD$31="Leve"),CONCATENATE("R5C",'Mapa final'!$R$31),"")</f>
        <v/>
      </c>
      <c r="K40" s="61" t="str">
        <f>IF(AND('Mapa final'!$AB$32="Baja",'Mapa final'!$AD$32="Leve"),CONCATENATE("R5C",'Mapa final'!$R$32),"")</f>
        <v/>
      </c>
      <c r="L40" s="61" t="str">
        <f>IF(AND('Mapa final'!$AB$33="Baja",'Mapa final'!$AD$33="Leve"),CONCATENATE("R5C",'Mapa final'!$R$33),"")</f>
        <v/>
      </c>
      <c r="M40" s="61" t="str">
        <f>IF(AND('Mapa final'!$AB$34="Baja",'Mapa final'!$AD$34="Leve"),CONCATENATE("R5C",'Mapa final'!$R$34),"")</f>
        <v/>
      </c>
      <c r="N40" s="61" t="str">
        <f>IF(AND('Mapa final'!$AB$35="Baja",'Mapa final'!$AD$35="Leve"),CONCATENATE("R5C",'Mapa final'!$R$35),"")</f>
        <v/>
      </c>
      <c r="O40" s="62" t="str">
        <f>IF(AND('Mapa final'!$AB$36="Baja",'Mapa final'!$AD$36="Leve"),CONCATENATE("R5C",'Mapa final'!$R$36),"")</f>
        <v/>
      </c>
      <c r="P40" s="51" t="str">
        <f>IF(AND('Mapa final'!$AB$31="Baja",'Mapa final'!$AD$31="Menor"),CONCATENATE("R5C",'Mapa final'!$R$31),"")</f>
        <v/>
      </c>
      <c r="Q40" s="52" t="str">
        <f>IF(AND('Mapa final'!$AB$32="Baja",'Mapa final'!$AD$32="Menor"),CONCATENATE("R5C",'Mapa final'!$R$32),"")</f>
        <v/>
      </c>
      <c r="R40" s="52" t="str">
        <f>IF(AND('Mapa final'!$AB$33="Baja",'Mapa final'!$AD$33="Menor"),CONCATENATE("R5C",'Mapa final'!$R$33),"")</f>
        <v/>
      </c>
      <c r="S40" s="52" t="str">
        <f>IF(AND('Mapa final'!$AB$34="Baja",'Mapa final'!$AD$34="Menor"),CONCATENATE("R5C",'Mapa final'!$R$34),"")</f>
        <v/>
      </c>
      <c r="T40" s="52" t="str">
        <f>IF(AND('Mapa final'!$AB$35="Baja",'Mapa final'!$AD$35="Menor"),CONCATENATE("R5C",'Mapa final'!$R$35),"")</f>
        <v/>
      </c>
      <c r="U40" s="53" t="str">
        <f>IF(AND('Mapa final'!$AB$36="Baja",'Mapa final'!$AD$36="Menor"),CONCATENATE("R5C",'Mapa final'!$R$36),"")</f>
        <v/>
      </c>
      <c r="V40" s="51" t="str">
        <f>IF(AND('Mapa final'!$AB$31="Baja",'Mapa final'!$AD$31="Moderado"),CONCATENATE("R5C",'Mapa final'!$R$31),"")</f>
        <v/>
      </c>
      <c r="W40" s="52" t="str">
        <f>IF(AND('Mapa final'!$AB$32="Baja",'Mapa final'!$AD$32="Moderado"),CONCATENATE("R5C",'Mapa final'!$R$32),"")</f>
        <v/>
      </c>
      <c r="X40" s="52" t="str">
        <f>IF(AND('Mapa final'!$AB$33="Baja",'Mapa final'!$AD$33="Moderado"),CONCATENATE("R5C",'Mapa final'!$R$33),"")</f>
        <v/>
      </c>
      <c r="Y40" s="52" t="str">
        <f>IF(AND('Mapa final'!$AB$34="Baja",'Mapa final'!$AD$34="Moderado"),CONCATENATE("R5C",'Mapa final'!$R$34),"")</f>
        <v/>
      </c>
      <c r="Z40" s="52" t="str">
        <f>IF(AND('Mapa final'!$AB$35="Baja",'Mapa final'!$AD$35="Moderado"),CONCATENATE("R5C",'Mapa final'!$R$35),"")</f>
        <v/>
      </c>
      <c r="AA40" s="53" t="str">
        <f>IF(AND('Mapa final'!$AB$36="Baja",'Mapa final'!$AD$36="Moderado"),CONCATENATE("R5C",'Mapa final'!$R$36),"")</f>
        <v/>
      </c>
      <c r="AB40" s="36" t="str">
        <f>IF(AND('Mapa final'!$AB$31="Baja",'Mapa final'!$AD$31="Mayor"),CONCATENATE("R5C",'Mapa final'!$R$31),"")</f>
        <v/>
      </c>
      <c r="AC40" s="37" t="str">
        <f>IF(AND('Mapa final'!$AB$32="Baja",'Mapa final'!$AD$32="Mayor"),CONCATENATE("R5C",'Mapa final'!$R$32),"")</f>
        <v/>
      </c>
      <c r="AD40" s="37" t="str">
        <f>IF(AND('Mapa final'!$AB$33="Baja",'Mapa final'!$AD$33="Mayor"),CONCATENATE("R5C",'Mapa final'!$R$33),"")</f>
        <v/>
      </c>
      <c r="AE40" s="37" t="str">
        <f>IF(AND('Mapa final'!$AB$34="Baja",'Mapa final'!$AD$34="Mayor"),CONCATENATE("R5C",'Mapa final'!$R$34),"")</f>
        <v/>
      </c>
      <c r="AF40" s="37" t="str">
        <f>IF(AND('Mapa final'!$AB$35="Baja",'Mapa final'!$AD$35="Mayor"),CONCATENATE("R5C",'Mapa final'!$R$35),"")</f>
        <v/>
      </c>
      <c r="AG40" s="38" t="str">
        <f>IF(AND('Mapa final'!$AB$36="Baja",'Mapa final'!$AD$36="Mayor"),CONCATENATE("R5C",'Mapa final'!$R$36),"")</f>
        <v/>
      </c>
      <c r="AH40" s="39" t="str">
        <f>IF(AND('Mapa final'!$AB$31="Baja",'Mapa final'!$AD$31="Catastrófico"),CONCATENATE("R5C",'Mapa final'!$R$31),"")</f>
        <v/>
      </c>
      <c r="AI40" s="40" t="str">
        <f>IF(AND('Mapa final'!$AB$32="Baja",'Mapa final'!$AD$32="Catastrófico"),CONCATENATE("R5C",'Mapa final'!$R$32),"")</f>
        <v/>
      </c>
      <c r="AJ40" s="40" t="str">
        <f>IF(AND('Mapa final'!$AB$33="Baja",'Mapa final'!$AD$33="Catastrófico"),CONCATENATE("R5C",'Mapa final'!$R$33),"")</f>
        <v/>
      </c>
      <c r="AK40" s="40" t="str">
        <f>IF(AND('Mapa final'!$AB$34="Baja",'Mapa final'!$AD$34="Catastrófico"),CONCATENATE("R5C",'Mapa final'!$R$34),"")</f>
        <v/>
      </c>
      <c r="AL40" s="40" t="str">
        <f>IF(AND('Mapa final'!$AB$35="Baja",'Mapa final'!$AD$35="Catastrófico"),CONCATENATE("R5C",'Mapa final'!$R$35),"")</f>
        <v/>
      </c>
      <c r="AM40" s="41" t="str">
        <f>IF(AND('Mapa final'!$AB$36="Baja",'Mapa final'!$AD$36="Catastrófico"),CONCATENATE("R5C",'Mapa final'!$R$36),"")</f>
        <v/>
      </c>
      <c r="AN40" s="67"/>
      <c r="AO40" s="600"/>
      <c r="AP40" s="601"/>
      <c r="AQ40" s="601"/>
      <c r="AR40" s="601"/>
      <c r="AS40" s="601"/>
      <c r="AT40" s="602"/>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481"/>
      <c r="C41" s="481"/>
      <c r="D41" s="482"/>
      <c r="E41" s="580"/>
      <c r="F41" s="579"/>
      <c r="G41" s="579"/>
      <c r="H41" s="579"/>
      <c r="I41" s="579"/>
      <c r="J41" s="60" t="str">
        <f>IF(AND('Mapa final'!$AB$37="Baja",'Mapa final'!$AD$37="Leve"),CONCATENATE("R6C",'Mapa final'!$R$37),"")</f>
        <v/>
      </c>
      <c r="K41" s="61" t="str">
        <f>IF(AND('Mapa final'!$AB$38="Baja",'Mapa final'!$AD$38="Leve"),CONCATENATE("R6C",'Mapa final'!$R$38),"")</f>
        <v/>
      </c>
      <c r="L41" s="61" t="str">
        <f>IF(AND('Mapa final'!$AB$39="Baja",'Mapa final'!$AD$39="Leve"),CONCATENATE("R6C",'Mapa final'!$R$39),"")</f>
        <v/>
      </c>
      <c r="M41" s="61" t="str">
        <f>IF(AND('Mapa final'!$AB$40="Baja",'Mapa final'!$AD$40="Leve"),CONCATENATE("R6C",'Mapa final'!$R$40),"")</f>
        <v/>
      </c>
      <c r="N41" s="61" t="str">
        <f>IF(AND('Mapa final'!$AB$41="Baja",'Mapa final'!$AD$41="Leve"),CONCATENATE("R6C",'Mapa final'!$R$41),"")</f>
        <v/>
      </c>
      <c r="O41" s="62" t="str">
        <f>IF(AND('Mapa final'!$AB$42="Baja",'Mapa final'!$AD$42="Leve"),CONCATENATE("R6C",'Mapa final'!$R$42),"")</f>
        <v/>
      </c>
      <c r="P41" s="51" t="str">
        <f>IF(AND('Mapa final'!$AB$37="Baja",'Mapa final'!$AD$37="Menor"),CONCATENATE("R6C",'Mapa final'!$R$37),"")</f>
        <v/>
      </c>
      <c r="Q41" s="52" t="str">
        <f>IF(AND('Mapa final'!$AB$38="Baja",'Mapa final'!$AD$38="Menor"),CONCATENATE("R6C",'Mapa final'!$R$38),"")</f>
        <v/>
      </c>
      <c r="R41" s="52" t="str">
        <f>IF(AND('Mapa final'!$AB$39="Baja",'Mapa final'!$AD$39="Menor"),CONCATENATE("R6C",'Mapa final'!$R$39),"")</f>
        <v/>
      </c>
      <c r="S41" s="52" t="str">
        <f>IF(AND('Mapa final'!$AB$40="Baja",'Mapa final'!$AD$40="Menor"),CONCATENATE("R6C",'Mapa final'!$R$40),"")</f>
        <v/>
      </c>
      <c r="T41" s="52" t="str">
        <f>IF(AND('Mapa final'!$AB$41="Baja",'Mapa final'!$AD$41="Menor"),CONCATENATE("R6C",'Mapa final'!$R$41),"")</f>
        <v/>
      </c>
      <c r="U41" s="53" t="str">
        <f>IF(AND('Mapa final'!$AB$42="Baja",'Mapa final'!$AD$42="Menor"),CONCATENATE("R6C",'Mapa final'!$R$42),"")</f>
        <v/>
      </c>
      <c r="V41" s="51" t="str">
        <f>IF(AND('Mapa final'!$AB$37="Baja",'Mapa final'!$AD$37="Moderado"),CONCATENATE("R6C",'Mapa final'!$R$37),"")</f>
        <v/>
      </c>
      <c r="W41" s="52" t="str">
        <f>IF(AND('Mapa final'!$AB$38="Baja",'Mapa final'!$AD$38="Moderado"),CONCATENATE("R6C",'Mapa final'!$R$38),"")</f>
        <v/>
      </c>
      <c r="X41" s="52" t="str">
        <f>IF(AND('Mapa final'!$AB$39="Baja",'Mapa final'!$AD$39="Moderado"),CONCATENATE("R6C",'Mapa final'!$R$39),"")</f>
        <v/>
      </c>
      <c r="Y41" s="52" t="str">
        <f>IF(AND('Mapa final'!$AB$40="Baja",'Mapa final'!$AD$40="Moderado"),CONCATENATE("R6C",'Mapa final'!$R$40),"")</f>
        <v/>
      </c>
      <c r="Z41" s="52" t="str">
        <f>IF(AND('Mapa final'!$AB$41="Baja",'Mapa final'!$AD$41="Moderado"),CONCATENATE("R6C",'Mapa final'!$R$41),"")</f>
        <v/>
      </c>
      <c r="AA41" s="53" t="str">
        <f>IF(AND('Mapa final'!$AB$42="Baja",'Mapa final'!$AD$42="Moderado"),CONCATENATE("R6C",'Mapa final'!$R$42),"")</f>
        <v/>
      </c>
      <c r="AB41" s="36" t="str">
        <f>IF(AND('Mapa final'!$AB$37="Baja",'Mapa final'!$AD$37="Mayor"),CONCATENATE("R6C",'Mapa final'!$R$37),"")</f>
        <v/>
      </c>
      <c r="AC41" s="37" t="str">
        <f>IF(AND('Mapa final'!$AB$38="Baja",'Mapa final'!$AD$38="Mayor"),CONCATENATE("R6C",'Mapa final'!$R$38),"")</f>
        <v/>
      </c>
      <c r="AD41" s="37" t="str">
        <f>IF(AND('Mapa final'!$AB$39="Baja",'Mapa final'!$AD$39="Mayor"),CONCATENATE("R6C",'Mapa final'!$R$39),"")</f>
        <v/>
      </c>
      <c r="AE41" s="37" t="str">
        <f>IF(AND('Mapa final'!$AB$40="Baja",'Mapa final'!$AD$40="Mayor"),CONCATENATE("R6C",'Mapa final'!$R$40),"")</f>
        <v/>
      </c>
      <c r="AF41" s="37" t="str">
        <f>IF(AND('Mapa final'!$AB$41="Baja",'Mapa final'!$AD$41="Mayor"),CONCATENATE("R6C",'Mapa final'!$R$41),"")</f>
        <v/>
      </c>
      <c r="AG41" s="38" t="str">
        <f>IF(AND('Mapa final'!$AB$42="Baja",'Mapa final'!$AD$42="Mayor"),CONCATENATE("R6C",'Mapa final'!$R$42),"")</f>
        <v/>
      </c>
      <c r="AH41" s="39" t="str">
        <f>IF(AND('Mapa final'!$AB$37="Baja",'Mapa final'!$AD$37="Catastrófico"),CONCATENATE("R6C",'Mapa final'!$R$37),"")</f>
        <v/>
      </c>
      <c r="AI41" s="40" t="str">
        <f>IF(AND('Mapa final'!$AB$38="Baja",'Mapa final'!$AD$38="Catastrófico"),CONCATENATE("R6C",'Mapa final'!$R$38),"")</f>
        <v/>
      </c>
      <c r="AJ41" s="40" t="str">
        <f>IF(AND('Mapa final'!$AB$39="Baja",'Mapa final'!$AD$39="Catastrófico"),CONCATENATE("R6C",'Mapa final'!$R$39),"")</f>
        <v/>
      </c>
      <c r="AK41" s="40" t="str">
        <f>IF(AND('Mapa final'!$AB$40="Baja",'Mapa final'!$AD$40="Catastrófico"),CONCATENATE("R6C",'Mapa final'!$R$40),"")</f>
        <v/>
      </c>
      <c r="AL41" s="40" t="str">
        <f>IF(AND('Mapa final'!$AB$41="Baja",'Mapa final'!$AD$41="Catastrófico"),CONCATENATE("R6C",'Mapa final'!$R$41),"")</f>
        <v/>
      </c>
      <c r="AM41" s="41" t="str">
        <f>IF(AND('Mapa final'!$AB$42="Baja",'Mapa final'!$AD$42="Catastrófico"),CONCATENATE("R6C",'Mapa final'!$R$42),"")</f>
        <v/>
      </c>
      <c r="AN41" s="67"/>
      <c r="AO41" s="600"/>
      <c r="AP41" s="601"/>
      <c r="AQ41" s="601"/>
      <c r="AR41" s="601"/>
      <c r="AS41" s="601"/>
      <c r="AT41" s="602"/>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481"/>
      <c r="C42" s="481"/>
      <c r="D42" s="482"/>
      <c r="E42" s="580"/>
      <c r="F42" s="579"/>
      <c r="G42" s="579"/>
      <c r="H42" s="579"/>
      <c r="I42" s="579"/>
      <c r="J42" s="60" t="str">
        <f>IF(AND('Mapa final'!$AB$43="Baja",'Mapa final'!$AD$43="Leve"),CONCATENATE("R7C",'Mapa final'!$R$43),"")</f>
        <v/>
      </c>
      <c r="K42" s="61" t="str">
        <f>IF(AND('Mapa final'!$AB$44="Baja",'Mapa final'!$AD$44="Leve"),CONCATENATE("R7C",'Mapa final'!$R$44),"")</f>
        <v/>
      </c>
      <c r="L42" s="61" t="str">
        <f>IF(AND('Mapa final'!$AB$45="Baja",'Mapa final'!$AD$45="Leve"),CONCATENATE("R7C",'Mapa final'!$R$45),"")</f>
        <v/>
      </c>
      <c r="M42" s="61" t="str">
        <f>IF(AND('Mapa final'!$AB$46="Baja",'Mapa final'!$AD$46="Leve"),CONCATENATE("R7C",'Mapa final'!$R$46),"")</f>
        <v/>
      </c>
      <c r="N42" s="61" t="str">
        <f>IF(AND('Mapa final'!$AB$47="Baja",'Mapa final'!$AD$47="Leve"),CONCATENATE("R7C",'Mapa final'!$R$47),"")</f>
        <v/>
      </c>
      <c r="O42" s="62" t="str">
        <f>IF(AND('Mapa final'!$AB$48="Baja",'Mapa final'!$AD$48="Leve"),CONCATENATE("R7C",'Mapa final'!$R$48),"")</f>
        <v/>
      </c>
      <c r="P42" s="51" t="str">
        <f>IF(AND('Mapa final'!$AB$43="Baja",'Mapa final'!$AD$43="Menor"),CONCATENATE("R7C",'Mapa final'!$R$43),"")</f>
        <v/>
      </c>
      <c r="Q42" s="52" t="str">
        <f>IF(AND('Mapa final'!$AB$44="Baja",'Mapa final'!$AD$44="Menor"),CONCATENATE("R7C",'Mapa final'!$R$44),"")</f>
        <v/>
      </c>
      <c r="R42" s="52" t="str">
        <f>IF(AND('Mapa final'!$AB$45="Baja",'Mapa final'!$AD$45="Menor"),CONCATENATE("R7C",'Mapa final'!$R$45),"")</f>
        <v/>
      </c>
      <c r="S42" s="52" t="str">
        <f>IF(AND('Mapa final'!$AB$46="Baja",'Mapa final'!$AD$46="Menor"),CONCATENATE("R7C",'Mapa final'!$R$46),"")</f>
        <v/>
      </c>
      <c r="T42" s="52" t="str">
        <f>IF(AND('Mapa final'!$AB$47="Baja",'Mapa final'!$AD$47="Menor"),CONCATENATE("R7C",'Mapa final'!$R$47),"")</f>
        <v/>
      </c>
      <c r="U42" s="53" t="str">
        <f>IF(AND('Mapa final'!$AB$48="Baja",'Mapa final'!$AD$48="Menor"),CONCATENATE("R7C",'Mapa final'!$R$48),"")</f>
        <v/>
      </c>
      <c r="V42" s="51" t="str">
        <f>IF(AND('Mapa final'!$AB$43="Baja",'Mapa final'!$AD$43="Moderado"),CONCATENATE("R7C",'Mapa final'!$R$43),"")</f>
        <v/>
      </c>
      <c r="W42" s="52" t="str">
        <f>IF(AND('Mapa final'!$AB$44="Baja",'Mapa final'!$AD$44="Moderado"),CONCATENATE("R7C",'Mapa final'!$R$44),"")</f>
        <v/>
      </c>
      <c r="X42" s="52" t="str">
        <f>IF(AND('Mapa final'!$AB$45="Baja",'Mapa final'!$AD$45="Moderado"),CONCATENATE("R7C",'Mapa final'!$R$45),"")</f>
        <v/>
      </c>
      <c r="Y42" s="52" t="str">
        <f>IF(AND('Mapa final'!$AB$46="Baja",'Mapa final'!$AD$46="Moderado"),CONCATENATE("R7C",'Mapa final'!$R$46),"")</f>
        <v/>
      </c>
      <c r="Z42" s="52" t="str">
        <f>IF(AND('Mapa final'!$AB$47="Baja",'Mapa final'!$AD$47="Moderado"),CONCATENATE("R7C",'Mapa final'!$R$47),"")</f>
        <v/>
      </c>
      <c r="AA42" s="53" t="str">
        <f>IF(AND('Mapa final'!$AB$48="Baja",'Mapa final'!$AD$48="Moderado"),CONCATENATE("R7C",'Mapa final'!$R$48),"")</f>
        <v/>
      </c>
      <c r="AB42" s="36" t="str">
        <f>IF(AND('Mapa final'!$AB$43="Baja",'Mapa final'!$AD$43="Mayor"),CONCATENATE("R7C",'Mapa final'!$R$43),"")</f>
        <v/>
      </c>
      <c r="AC42" s="37" t="str">
        <f>IF(AND('Mapa final'!$AB$44="Baja",'Mapa final'!$AD$44="Mayor"),CONCATENATE("R7C",'Mapa final'!$R$44),"")</f>
        <v/>
      </c>
      <c r="AD42" s="37" t="str">
        <f>IF(AND('Mapa final'!$AB$45="Baja",'Mapa final'!$AD$45="Mayor"),CONCATENATE("R7C",'Mapa final'!$R$45),"")</f>
        <v/>
      </c>
      <c r="AE42" s="37" t="str">
        <f>IF(AND('Mapa final'!$AB$46="Baja",'Mapa final'!$AD$46="Mayor"),CONCATENATE("R7C",'Mapa final'!$R$46),"")</f>
        <v/>
      </c>
      <c r="AF42" s="37" t="str">
        <f>IF(AND('Mapa final'!$AB$47="Baja",'Mapa final'!$AD$47="Mayor"),CONCATENATE("R7C",'Mapa final'!$R$47),"")</f>
        <v/>
      </c>
      <c r="AG42" s="38" t="str">
        <f>IF(AND('Mapa final'!$AB$48="Baja",'Mapa final'!$AD$48="Mayor"),CONCATENATE("R7C",'Mapa final'!$R$48),"")</f>
        <v/>
      </c>
      <c r="AH42" s="39" t="str">
        <f>IF(AND('Mapa final'!$AB$43="Baja",'Mapa final'!$AD$43="Catastrófico"),CONCATENATE("R7C",'Mapa final'!$R$43),"")</f>
        <v/>
      </c>
      <c r="AI42" s="40" t="str">
        <f>IF(AND('Mapa final'!$AB$44="Baja",'Mapa final'!$AD$44="Catastrófico"),CONCATENATE("R7C",'Mapa final'!$R$44),"")</f>
        <v/>
      </c>
      <c r="AJ42" s="40" t="str">
        <f>IF(AND('Mapa final'!$AB$45="Baja",'Mapa final'!$AD$45="Catastrófico"),CONCATENATE("R7C",'Mapa final'!$R$45),"")</f>
        <v/>
      </c>
      <c r="AK42" s="40" t="str">
        <f>IF(AND('Mapa final'!$AB$46="Baja",'Mapa final'!$AD$46="Catastrófico"),CONCATENATE("R7C",'Mapa final'!$R$46),"")</f>
        <v/>
      </c>
      <c r="AL42" s="40" t="str">
        <f>IF(AND('Mapa final'!$AB$47="Baja",'Mapa final'!$AD$47="Catastrófico"),CONCATENATE("R7C",'Mapa final'!$R$47),"")</f>
        <v/>
      </c>
      <c r="AM42" s="41" t="str">
        <f>IF(AND('Mapa final'!$AB$48="Baja",'Mapa final'!$AD$48="Catastrófico"),CONCATENATE("R7C",'Mapa final'!$R$48),"")</f>
        <v/>
      </c>
      <c r="AN42" s="67"/>
      <c r="AO42" s="600"/>
      <c r="AP42" s="601"/>
      <c r="AQ42" s="601"/>
      <c r="AR42" s="601"/>
      <c r="AS42" s="601"/>
      <c r="AT42" s="602"/>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481"/>
      <c r="C43" s="481"/>
      <c r="D43" s="482"/>
      <c r="E43" s="580"/>
      <c r="F43" s="579"/>
      <c r="G43" s="579"/>
      <c r="H43" s="579"/>
      <c r="I43" s="579"/>
      <c r="J43" s="60" t="str">
        <f>IF(AND('Mapa final'!$AB$49="Baja",'Mapa final'!$AD$49="Leve"),CONCATENATE("R8C",'Mapa final'!$R$49),"")</f>
        <v/>
      </c>
      <c r="K43" s="61" t="str">
        <f>IF(AND('Mapa final'!$AB$50="Baja",'Mapa final'!$AD$50="Leve"),CONCATENATE("R8C",'Mapa final'!$R$50),"")</f>
        <v/>
      </c>
      <c r="L43" s="61" t="str">
        <f>IF(AND('Mapa final'!$AB$51="Baja",'Mapa final'!$AD$51="Leve"),CONCATENATE("R8C",'Mapa final'!$R$51),"")</f>
        <v/>
      </c>
      <c r="M43" s="61" t="str">
        <f>IF(AND('Mapa final'!$AB$52="Baja",'Mapa final'!$AD$52="Leve"),CONCATENATE("R8C",'Mapa final'!$R$52),"")</f>
        <v/>
      </c>
      <c r="N43" s="61" t="str">
        <f>IF(AND('Mapa final'!$AB$53="Baja",'Mapa final'!$AD$53="Leve"),CONCATENATE("R8C",'Mapa final'!$R$53),"")</f>
        <v/>
      </c>
      <c r="O43" s="62" t="str">
        <f>IF(AND('Mapa final'!$AB$54="Baja",'Mapa final'!$AD$54="Leve"),CONCATENATE("R8C",'Mapa final'!$R$54),"")</f>
        <v/>
      </c>
      <c r="P43" s="51" t="str">
        <f>IF(AND('Mapa final'!$AB$49="Baja",'Mapa final'!$AD$49="Menor"),CONCATENATE("R8C",'Mapa final'!$R$49),"")</f>
        <v/>
      </c>
      <c r="Q43" s="52" t="str">
        <f>IF(AND('Mapa final'!$AB$50="Baja",'Mapa final'!$AD$50="Menor"),CONCATENATE("R8C",'Mapa final'!$R$50),"")</f>
        <v/>
      </c>
      <c r="R43" s="52" t="str">
        <f>IF(AND('Mapa final'!$AB$51="Baja",'Mapa final'!$AD$51="Menor"),CONCATENATE("R8C",'Mapa final'!$R$51),"")</f>
        <v/>
      </c>
      <c r="S43" s="52" t="str">
        <f>IF(AND('Mapa final'!$AB$52="Baja",'Mapa final'!$AD$52="Menor"),CONCATENATE("R8C",'Mapa final'!$R$52),"")</f>
        <v/>
      </c>
      <c r="T43" s="52" t="str">
        <f>IF(AND('Mapa final'!$AB$53="Baja",'Mapa final'!$AD$53="Menor"),CONCATENATE("R8C",'Mapa final'!$R$53),"")</f>
        <v/>
      </c>
      <c r="U43" s="53" t="str">
        <f>IF(AND('Mapa final'!$AB$54="Baja",'Mapa final'!$AD$54="Menor"),CONCATENATE("R8C",'Mapa final'!$R$54),"")</f>
        <v/>
      </c>
      <c r="V43" s="51" t="str">
        <f>IF(AND('Mapa final'!$AB$49="Baja",'Mapa final'!$AD$49="Moderado"),CONCATENATE("R8C",'Mapa final'!$R$49),"")</f>
        <v/>
      </c>
      <c r="W43" s="52" t="str">
        <f>IF(AND('Mapa final'!$AB$50="Baja",'Mapa final'!$AD$50="Moderado"),CONCATENATE("R8C",'Mapa final'!$R$50),"")</f>
        <v/>
      </c>
      <c r="X43" s="52" t="str">
        <f>IF(AND('Mapa final'!$AB$51="Baja",'Mapa final'!$AD$51="Moderado"),CONCATENATE("R8C",'Mapa final'!$R$51),"")</f>
        <v/>
      </c>
      <c r="Y43" s="52" t="str">
        <f>IF(AND('Mapa final'!$AB$52="Baja",'Mapa final'!$AD$52="Moderado"),CONCATENATE("R8C",'Mapa final'!$R$52),"")</f>
        <v/>
      </c>
      <c r="Z43" s="52" t="str">
        <f>IF(AND('Mapa final'!$AB$53="Baja",'Mapa final'!$AD$53="Moderado"),CONCATENATE("R8C",'Mapa final'!$R$53),"")</f>
        <v/>
      </c>
      <c r="AA43" s="53" t="str">
        <f>IF(AND('Mapa final'!$AB$54="Baja",'Mapa final'!$AD$54="Moderado"),CONCATENATE("R8C",'Mapa final'!$R$54),"")</f>
        <v/>
      </c>
      <c r="AB43" s="36" t="str">
        <f>IF(AND('Mapa final'!$AB$49="Baja",'Mapa final'!$AD$49="Mayor"),CONCATENATE("R8C",'Mapa final'!$R$49),"")</f>
        <v/>
      </c>
      <c r="AC43" s="37" t="str">
        <f>IF(AND('Mapa final'!$AB$50="Baja",'Mapa final'!$AD$50="Mayor"),CONCATENATE("R8C",'Mapa final'!$R$50),"")</f>
        <v/>
      </c>
      <c r="AD43" s="37" t="str">
        <f>IF(AND('Mapa final'!$AB$51="Baja",'Mapa final'!$AD$51="Mayor"),CONCATENATE("R8C",'Mapa final'!$R$51),"")</f>
        <v/>
      </c>
      <c r="AE43" s="37" t="str">
        <f>IF(AND('Mapa final'!$AB$52="Baja",'Mapa final'!$AD$52="Mayor"),CONCATENATE("R8C",'Mapa final'!$R$52),"")</f>
        <v/>
      </c>
      <c r="AF43" s="37" t="str">
        <f>IF(AND('Mapa final'!$AB$53="Baja",'Mapa final'!$AD$53="Mayor"),CONCATENATE("R8C",'Mapa final'!$R$53),"")</f>
        <v/>
      </c>
      <c r="AG43" s="38" t="str">
        <f>IF(AND('Mapa final'!$AB$54="Baja",'Mapa final'!$AD$54="Mayor"),CONCATENATE("R8C",'Mapa final'!$R$54),"")</f>
        <v/>
      </c>
      <c r="AH43" s="39" t="str">
        <f>IF(AND('Mapa final'!$AB$49="Baja",'Mapa final'!$AD$49="Catastrófico"),CONCATENATE("R8C",'Mapa final'!$R$49),"")</f>
        <v/>
      </c>
      <c r="AI43" s="40" t="str">
        <f>IF(AND('Mapa final'!$AB$50="Baja",'Mapa final'!$AD$50="Catastrófico"),CONCATENATE("R8C",'Mapa final'!$R$50),"")</f>
        <v/>
      </c>
      <c r="AJ43" s="40" t="str">
        <f>IF(AND('Mapa final'!$AB$51="Baja",'Mapa final'!$AD$51="Catastrófico"),CONCATENATE("R8C",'Mapa final'!$R$51),"")</f>
        <v/>
      </c>
      <c r="AK43" s="40" t="str">
        <f>IF(AND('Mapa final'!$AB$52="Baja",'Mapa final'!$AD$52="Catastrófico"),CONCATENATE("R8C",'Mapa final'!$R$52),"")</f>
        <v/>
      </c>
      <c r="AL43" s="40" t="str">
        <f>IF(AND('Mapa final'!$AB$53="Baja",'Mapa final'!$AD$53="Catastrófico"),CONCATENATE("R8C",'Mapa final'!$R$53),"")</f>
        <v/>
      </c>
      <c r="AM43" s="41" t="str">
        <f>IF(AND('Mapa final'!$AB$54="Baja",'Mapa final'!$AD$54="Catastrófico"),CONCATENATE("R8C",'Mapa final'!$R$54),"")</f>
        <v/>
      </c>
      <c r="AN43" s="67"/>
      <c r="AO43" s="600"/>
      <c r="AP43" s="601"/>
      <c r="AQ43" s="601"/>
      <c r="AR43" s="601"/>
      <c r="AS43" s="601"/>
      <c r="AT43" s="602"/>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481"/>
      <c r="C44" s="481"/>
      <c r="D44" s="482"/>
      <c r="E44" s="580"/>
      <c r="F44" s="579"/>
      <c r="G44" s="579"/>
      <c r="H44" s="579"/>
      <c r="I44" s="579"/>
      <c r="J44" s="60" t="str">
        <f>IF(AND('Mapa final'!$AB$55="Baja",'Mapa final'!$AD$55="Leve"),CONCATENATE("R9C",'Mapa final'!$R$55),"")</f>
        <v/>
      </c>
      <c r="K44" s="61" t="str">
        <f>IF(AND('Mapa final'!$AB$56="Baja",'Mapa final'!$AD$56="Leve"),CONCATENATE("R9C",'Mapa final'!$R$56),"")</f>
        <v/>
      </c>
      <c r="L44" s="61" t="str">
        <f>IF(AND('Mapa final'!$AB$57="Baja",'Mapa final'!$AD$57="Leve"),CONCATENATE("R9C",'Mapa final'!$R$57),"")</f>
        <v/>
      </c>
      <c r="M44" s="61" t="str">
        <f>IF(AND('Mapa final'!$AB$58="Baja",'Mapa final'!$AD$58="Leve"),CONCATENATE("R9C",'Mapa final'!$R$58),"")</f>
        <v/>
      </c>
      <c r="N44" s="61" t="str">
        <f>IF(AND('Mapa final'!$AB$59="Baja",'Mapa final'!$AD$59="Leve"),CONCATENATE("R9C",'Mapa final'!$R$59),"")</f>
        <v/>
      </c>
      <c r="O44" s="62" t="str">
        <f>IF(AND('Mapa final'!$AB$60="Baja",'Mapa final'!$AD$60="Leve"),CONCATENATE("R9C",'Mapa final'!$R$60),"")</f>
        <v/>
      </c>
      <c r="P44" s="51" t="str">
        <f>IF(AND('Mapa final'!$AB$55="Baja",'Mapa final'!$AD$55="Menor"),CONCATENATE("R9C",'Mapa final'!$R$55),"")</f>
        <v/>
      </c>
      <c r="Q44" s="52" t="str">
        <f>IF(AND('Mapa final'!$AB$56="Baja",'Mapa final'!$AD$56="Menor"),CONCATENATE("R9C",'Mapa final'!$R$56),"")</f>
        <v/>
      </c>
      <c r="R44" s="52" t="str">
        <f>IF(AND('Mapa final'!$AB$57="Baja",'Mapa final'!$AD$57="Menor"),CONCATENATE("R9C",'Mapa final'!$R$57),"")</f>
        <v/>
      </c>
      <c r="S44" s="52" t="str">
        <f>IF(AND('Mapa final'!$AB$58="Baja",'Mapa final'!$AD$58="Menor"),CONCATENATE("R9C",'Mapa final'!$R$58),"")</f>
        <v/>
      </c>
      <c r="T44" s="52" t="str">
        <f>IF(AND('Mapa final'!$AB$59="Baja",'Mapa final'!$AD$59="Menor"),CONCATENATE("R9C",'Mapa final'!$R$59),"")</f>
        <v/>
      </c>
      <c r="U44" s="53" t="str">
        <f>IF(AND('Mapa final'!$AB$60="Baja",'Mapa final'!$AD$60="Menor"),CONCATENATE("R9C",'Mapa final'!$R$60),"")</f>
        <v/>
      </c>
      <c r="V44" s="51" t="str">
        <f>IF(AND('Mapa final'!$AB$55="Baja",'Mapa final'!$AD$55="Moderado"),CONCATENATE("R9C",'Mapa final'!$R$55),"")</f>
        <v/>
      </c>
      <c r="W44" s="52" t="str">
        <f>IF(AND('Mapa final'!$AB$56="Baja",'Mapa final'!$AD$56="Moderado"),CONCATENATE("R9C",'Mapa final'!$R$56),"")</f>
        <v/>
      </c>
      <c r="X44" s="52" t="str">
        <f>IF(AND('Mapa final'!$AB$57="Baja",'Mapa final'!$AD$57="Moderado"),CONCATENATE("R9C",'Mapa final'!$R$57),"")</f>
        <v/>
      </c>
      <c r="Y44" s="52" t="str">
        <f>IF(AND('Mapa final'!$AB$58="Baja",'Mapa final'!$AD$58="Moderado"),CONCATENATE("R9C",'Mapa final'!$R$58),"")</f>
        <v/>
      </c>
      <c r="Z44" s="52" t="str">
        <f>IF(AND('Mapa final'!$AB$59="Baja",'Mapa final'!$AD$59="Moderado"),CONCATENATE("R9C",'Mapa final'!$R$59),"")</f>
        <v/>
      </c>
      <c r="AA44" s="53" t="str">
        <f>IF(AND('Mapa final'!$AB$60="Baja",'Mapa final'!$AD$60="Moderado"),CONCATENATE("R9C",'Mapa final'!$R$60),"")</f>
        <v/>
      </c>
      <c r="AB44" s="36" t="str">
        <f>IF(AND('Mapa final'!$AB$55="Baja",'Mapa final'!$AD$55="Mayor"),CONCATENATE("R9C",'Mapa final'!$R$55),"")</f>
        <v/>
      </c>
      <c r="AC44" s="37" t="str">
        <f>IF(AND('Mapa final'!$AB$56="Baja",'Mapa final'!$AD$56="Mayor"),CONCATENATE("R9C",'Mapa final'!$R$56),"")</f>
        <v/>
      </c>
      <c r="AD44" s="37" t="str">
        <f>IF(AND('Mapa final'!$AB$57="Baja",'Mapa final'!$AD$57="Mayor"),CONCATENATE("R9C",'Mapa final'!$R$57),"")</f>
        <v/>
      </c>
      <c r="AE44" s="37" t="str">
        <f>IF(AND('Mapa final'!$AB$58="Baja",'Mapa final'!$AD$58="Mayor"),CONCATENATE("R9C",'Mapa final'!$R$58),"")</f>
        <v/>
      </c>
      <c r="AF44" s="37" t="str">
        <f>IF(AND('Mapa final'!$AB$59="Baja",'Mapa final'!$AD$59="Mayor"),CONCATENATE("R9C",'Mapa final'!$R$59),"")</f>
        <v/>
      </c>
      <c r="AG44" s="38" t="str">
        <f>IF(AND('Mapa final'!$AB$60="Baja",'Mapa final'!$AD$60="Mayor"),CONCATENATE("R9C",'Mapa final'!$R$60),"")</f>
        <v/>
      </c>
      <c r="AH44" s="39" t="str">
        <f>IF(AND('Mapa final'!$AB$55="Baja",'Mapa final'!$AD$55="Catastrófico"),CONCATENATE("R9C",'Mapa final'!$R$55),"")</f>
        <v/>
      </c>
      <c r="AI44" s="40" t="str">
        <f>IF(AND('Mapa final'!$AB$56="Baja",'Mapa final'!$AD$56="Catastrófico"),CONCATENATE("R9C",'Mapa final'!$R$56),"")</f>
        <v/>
      </c>
      <c r="AJ44" s="40" t="str">
        <f>IF(AND('Mapa final'!$AB$57="Baja",'Mapa final'!$AD$57="Catastrófico"),CONCATENATE("R9C",'Mapa final'!$R$57),"")</f>
        <v/>
      </c>
      <c r="AK44" s="40" t="str">
        <f>IF(AND('Mapa final'!$AB$58="Baja",'Mapa final'!$AD$58="Catastrófico"),CONCATENATE("R9C",'Mapa final'!$R$58),"")</f>
        <v/>
      </c>
      <c r="AL44" s="40" t="str">
        <f>IF(AND('Mapa final'!$AB$59="Baja",'Mapa final'!$AD$59="Catastrófico"),CONCATENATE("R9C",'Mapa final'!$R$59),"")</f>
        <v/>
      </c>
      <c r="AM44" s="41" t="str">
        <f>IF(AND('Mapa final'!$AB$60="Baja",'Mapa final'!$AD$60="Catastrófico"),CONCATENATE("R9C",'Mapa final'!$R$60),"")</f>
        <v/>
      </c>
      <c r="AN44" s="67"/>
      <c r="AO44" s="600"/>
      <c r="AP44" s="601"/>
      <c r="AQ44" s="601"/>
      <c r="AR44" s="601"/>
      <c r="AS44" s="601"/>
      <c r="AT44" s="602"/>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481"/>
      <c r="C45" s="481"/>
      <c r="D45" s="482"/>
      <c r="E45" s="581"/>
      <c r="F45" s="582"/>
      <c r="G45" s="582"/>
      <c r="H45" s="582"/>
      <c r="I45" s="582"/>
      <c r="J45" s="63" t="str">
        <f>IF(AND('Mapa final'!$AB$61="Baja",'Mapa final'!$AD$61="Leve"),CONCATENATE("R10C",'Mapa final'!$R$61),"")</f>
        <v/>
      </c>
      <c r="K45" s="64" t="str">
        <f>IF(AND('Mapa final'!$AB$62="Baja",'Mapa final'!$AD$62="Leve"),CONCATENATE("R10C",'Mapa final'!$R$62),"")</f>
        <v/>
      </c>
      <c r="L45" s="64" t="str">
        <f>IF(AND('Mapa final'!$AB$63="Baja",'Mapa final'!$AD$63="Leve"),CONCATENATE("R10C",'Mapa final'!$R$63),"")</f>
        <v/>
      </c>
      <c r="M45" s="64" t="str">
        <f>IF(AND('Mapa final'!$AB$64="Baja",'Mapa final'!$AD$64="Leve"),CONCATENATE("R10C",'Mapa final'!$R$64),"")</f>
        <v/>
      </c>
      <c r="N45" s="64" t="str">
        <f>IF(AND('Mapa final'!$AB$65="Baja",'Mapa final'!$AD$65="Leve"),CONCATENATE("R10C",'Mapa final'!$R$65),"")</f>
        <v/>
      </c>
      <c r="O45" s="65" t="str">
        <f>IF(AND('Mapa final'!$AB$66="Baja",'Mapa final'!$AD$66="Leve"),CONCATENATE("R10C",'Mapa final'!$R$66),"")</f>
        <v/>
      </c>
      <c r="P45" s="51" t="str">
        <f>IF(AND('Mapa final'!$AB$61="Baja",'Mapa final'!$AD$61="Menor"),CONCATENATE("R10C",'Mapa final'!$R$61),"")</f>
        <v/>
      </c>
      <c r="Q45" s="52" t="str">
        <f>IF(AND('Mapa final'!$AB$62="Baja",'Mapa final'!$AD$62="Menor"),CONCATENATE("R10C",'Mapa final'!$R$62),"")</f>
        <v/>
      </c>
      <c r="R45" s="52" t="str">
        <f>IF(AND('Mapa final'!$AB$63="Baja",'Mapa final'!$AD$63="Menor"),CONCATENATE("R10C",'Mapa final'!$R$63),"")</f>
        <v/>
      </c>
      <c r="S45" s="52" t="str">
        <f>IF(AND('Mapa final'!$AB$64="Baja",'Mapa final'!$AD$64="Menor"),CONCATENATE("R10C",'Mapa final'!$R$64),"")</f>
        <v/>
      </c>
      <c r="T45" s="52" t="str">
        <f>IF(AND('Mapa final'!$AB$65="Baja",'Mapa final'!$AD$65="Menor"),CONCATENATE("R10C",'Mapa final'!$R$65),"")</f>
        <v/>
      </c>
      <c r="U45" s="53" t="str">
        <f>IF(AND('Mapa final'!$AB$66="Baja",'Mapa final'!$AD$66="Menor"),CONCATENATE("R10C",'Mapa final'!$R$66),"")</f>
        <v/>
      </c>
      <c r="V45" s="54" t="str">
        <f>IF(AND('Mapa final'!$AB$61="Baja",'Mapa final'!$AD$61="Moderado"),CONCATENATE("R10C",'Mapa final'!$R$61),"")</f>
        <v/>
      </c>
      <c r="W45" s="55" t="str">
        <f>IF(AND('Mapa final'!$AB$62="Baja",'Mapa final'!$AD$62="Moderado"),CONCATENATE("R10C",'Mapa final'!$R$62),"")</f>
        <v/>
      </c>
      <c r="X45" s="55" t="str">
        <f>IF(AND('Mapa final'!$AB$63="Baja",'Mapa final'!$AD$63="Moderado"),CONCATENATE("R10C",'Mapa final'!$R$63),"")</f>
        <v/>
      </c>
      <c r="Y45" s="55" t="str">
        <f>IF(AND('Mapa final'!$AB$64="Baja",'Mapa final'!$AD$64="Moderado"),CONCATENATE("R10C",'Mapa final'!$R$64),"")</f>
        <v/>
      </c>
      <c r="Z45" s="55" t="str">
        <f>IF(AND('Mapa final'!$AB$65="Baja",'Mapa final'!$AD$65="Moderado"),CONCATENATE("R10C",'Mapa final'!$R$65),"")</f>
        <v/>
      </c>
      <c r="AA45" s="56" t="str">
        <f>IF(AND('Mapa final'!$AB$66="Baja",'Mapa final'!$AD$66="Moderado"),CONCATENATE("R10C",'Mapa final'!$R$66),"")</f>
        <v/>
      </c>
      <c r="AB45" s="42" t="str">
        <f>IF(AND('Mapa final'!$AB$61="Baja",'Mapa final'!$AD$61="Mayor"),CONCATENATE("R10C",'Mapa final'!$R$61),"")</f>
        <v/>
      </c>
      <c r="AC45" s="43" t="str">
        <f>IF(AND('Mapa final'!$AB$62="Baja",'Mapa final'!$AD$62="Mayor"),CONCATENATE("R10C",'Mapa final'!$R$62),"")</f>
        <v/>
      </c>
      <c r="AD45" s="43" t="str">
        <f>IF(AND('Mapa final'!$AB$63="Baja",'Mapa final'!$AD$63="Mayor"),CONCATENATE("R10C",'Mapa final'!$R$63),"")</f>
        <v/>
      </c>
      <c r="AE45" s="43" t="str">
        <f>IF(AND('Mapa final'!$AB$64="Baja",'Mapa final'!$AD$64="Mayor"),CONCATENATE("R10C",'Mapa final'!$R$64),"")</f>
        <v/>
      </c>
      <c r="AF45" s="43" t="str">
        <f>IF(AND('Mapa final'!$AB$65="Baja",'Mapa final'!$AD$65="Mayor"),CONCATENATE("R10C",'Mapa final'!$R$65),"")</f>
        <v/>
      </c>
      <c r="AG45" s="44" t="str">
        <f>IF(AND('Mapa final'!$AB$66="Baja",'Mapa final'!$AD$66="Mayor"),CONCATENATE("R10C",'Mapa final'!$R$66),"")</f>
        <v/>
      </c>
      <c r="AH45" s="45" t="str">
        <f>IF(AND('Mapa final'!$AB$61="Baja",'Mapa final'!$AD$61="Catastrófico"),CONCATENATE("R10C",'Mapa final'!$R$61),"")</f>
        <v/>
      </c>
      <c r="AI45" s="46" t="str">
        <f>IF(AND('Mapa final'!$AB$62="Baja",'Mapa final'!$AD$62="Catastrófico"),CONCATENATE("R10C",'Mapa final'!$R$62),"")</f>
        <v/>
      </c>
      <c r="AJ45" s="46" t="str">
        <f>IF(AND('Mapa final'!$AB$63="Baja",'Mapa final'!$AD$63="Catastrófico"),CONCATENATE("R10C",'Mapa final'!$R$63),"")</f>
        <v/>
      </c>
      <c r="AK45" s="46" t="str">
        <f>IF(AND('Mapa final'!$AB$64="Baja",'Mapa final'!$AD$64="Catastrófico"),CONCATENATE("R10C",'Mapa final'!$R$64),"")</f>
        <v/>
      </c>
      <c r="AL45" s="46" t="str">
        <f>IF(AND('Mapa final'!$AB$65="Baja",'Mapa final'!$AD$65="Catastrófico"),CONCATENATE("R10C",'Mapa final'!$R$65),"")</f>
        <v/>
      </c>
      <c r="AM45" s="47" t="str">
        <f>IF(AND('Mapa final'!$AB$66="Baja",'Mapa final'!$AD$66="Catastrófico"),CONCATENATE("R10C",'Mapa final'!$R$66),"")</f>
        <v/>
      </c>
      <c r="AN45" s="67"/>
      <c r="AO45" s="603"/>
      <c r="AP45" s="604"/>
      <c r="AQ45" s="604"/>
      <c r="AR45" s="604"/>
      <c r="AS45" s="604"/>
      <c r="AT45" s="605"/>
    </row>
    <row r="46" spans="1:80" ht="46.5" customHeight="1" x14ac:dyDescent="0.45">
      <c r="A46" s="67"/>
      <c r="B46" s="481"/>
      <c r="C46" s="481"/>
      <c r="D46" s="482"/>
      <c r="E46" s="576" t="s">
        <v>108</v>
      </c>
      <c r="F46" s="577"/>
      <c r="G46" s="577"/>
      <c r="H46" s="577"/>
      <c r="I46" s="594"/>
      <c r="J46" s="57" t="str">
        <f>IF(AND('Mapa final'!$AB$10="Muy Baja",'Mapa final'!$AD$10="Leve"),CONCATENATE("R1C",'Mapa final'!$R$10),"")</f>
        <v/>
      </c>
      <c r="K46" s="58" t="str">
        <f>IF(AND('Mapa final'!$AB$11="Muy Baja",'Mapa final'!$AD$11="Leve"),CONCATENATE("R1C",'Mapa final'!$R$11),"")</f>
        <v/>
      </c>
      <c r="L46" s="58" t="str">
        <f>IF(AND('Mapa final'!$AB$12="Muy Baja",'Mapa final'!$AD$12="Leve"),CONCATENATE("R1C",'Mapa final'!$R$12),"")</f>
        <v/>
      </c>
      <c r="M46" s="58" t="e">
        <f>IF(AND('Mapa final'!#REF!="Muy Baja",'Mapa final'!#REF!="Leve"),CONCATENATE("R1C",'Mapa final'!#REF!),"")</f>
        <v>#REF!</v>
      </c>
      <c r="N46" s="58" t="e">
        <f>IF(AND('Mapa final'!#REF!="Muy Baja",'Mapa final'!#REF!="Leve"),CONCATENATE("R1C",'Mapa final'!#REF!),"")</f>
        <v>#REF!</v>
      </c>
      <c r="O46" s="59" t="e">
        <f>IF(AND('Mapa final'!#REF!="Muy Baja",'Mapa final'!#REF!="Leve"),CONCATENATE("R1C",'Mapa final'!#REF!),"")</f>
        <v>#REF!</v>
      </c>
      <c r="P46" s="57" t="str">
        <f>IF(AND('Mapa final'!$AB$10="Muy Baja",'Mapa final'!$AD$10="Menor"),CONCATENATE("R1C",'Mapa final'!$R$10),"")</f>
        <v/>
      </c>
      <c r="Q46" s="58" t="str">
        <f>IF(AND('Mapa final'!$AB$11="Muy Baja",'Mapa final'!$AD$11="Menor"),CONCATENATE("R1C",'Mapa final'!$R$11),"")</f>
        <v/>
      </c>
      <c r="R46" s="58" t="str">
        <f>IF(AND('Mapa final'!$AB$12="Muy Baja",'Mapa final'!$AD$12="Menor"),CONCATENATE("R1C",'Mapa final'!$R$12),"")</f>
        <v/>
      </c>
      <c r="S46" s="58" t="e">
        <f>IF(AND('Mapa final'!#REF!="Muy Baja",'Mapa final'!#REF!="Menor"),CONCATENATE("R1C",'Mapa final'!#REF!),"")</f>
        <v>#REF!</v>
      </c>
      <c r="T46" s="58" t="e">
        <f>IF(AND('Mapa final'!#REF!="Muy Baja",'Mapa final'!#REF!="Menor"),CONCATENATE("R1C",'Mapa final'!#REF!),"")</f>
        <v>#REF!</v>
      </c>
      <c r="U46" s="59" t="e">
        <f>IF(AND('Mapa final'!#REF!="Muy Baja",'Mapa final'!#REF!="Menor"),CONCATENATE("R1C",'Mapa final'!#REF!),"")</f>
        <v>#REF!</v>
      </c>
      <c r="V46" s="48" t="str">
        <f>IF(AND('Mapa final'!$AB$10="Muy Baja",'Mapa final'!$AD$10="Moderado"),CONCATENATE("R1C",'Mapa final'!$R$10),"")</f>
        <v/>
      </c>
      <c r="W46" s="66" t="str">
        <f>IF(AND('Mapa final'!$AB$11="Muy Baja",'Mapa final'!$AD$11="Moderado"),CONCATENATE("R1C",'Mapa final'!$R$11),"")</f>
        <v/>
      </c>
      <c r="X46" s="49" t="str">
        <f>IF(AND('Mapa final'!$AB$12="Muy Baja",'Mapa final'!$AD$12="Moderado"),CONCATENATE("R1C",'Mapa final'!$R$12),"")</f>
        <v/>
      </c>
      <c r="Y46" s="49" t="e">
        <f>IF(AND('Mapa final'!#REF!="Muy Baja",'Mapa final'!#REF!="Moderado"),CONCATENATE("R1C",'Mapa final'!#REF!),"")</f>
        <v>#REF!</v>
      </c>
      <c r="Z46" s="49" t="e">
        <f>IF(AND('Mapa final'!#REF!="Muy Baja",'Mapa final'!#REF!="Moderado"),CONCATENATE("R1C",'Mapa final'!#REF!),"")</f>
        <v>#REF!</v>
      </c>
      <c r="AA46" s="50" t="e">
        <f>IF(AND('Mapa final'!#REF!="Muy Baja",'Mapa final'!#REF!="Moderado"),CONCATENATE("R1C",'Mapa final'!#REF!),"")</f>
        <v>#REF!</v>
      </c>
      <c r="AB46" s="30" t="str">
        <f>IF(AND('Mapa final'!$AB$10="Muy Baja",'Mapa final'!$AD$10="Mayor"),CONCATENATE("R1C",'Mapa final'!$R$10),"")</f>
        <v/>
      </c>
      <c r="AC46" s="31" t="str">
        <f>IF(AND('Mapa final'!$AB$11="Muy Baja",'Mapa final'!$AD$11="Mayor"),CONCATENATE("R1C",'Mapa final'!$R$11),"")</f>
        <v>R1C2</v>
      </c>
      <c r="AD46" s="31" t="str">
        <f>IF(AND('Mapa final'!$AB$12="Muy Baja",'Mapa final'!$AD$12="Mayor"),CONCATENATE("R1C",'Mapa final'!$R$12),"")</f>
        <v>R1C3</v>
      </c>
      <c r="AE46" s="31" t="e">
        <f>IF(AND('Mapa final'!#REF!="Muy Baja",'Mapa final'!#REF!="Mayor"),CONCATENATE("R1C",'Mapa final'!#REF!),"")</f>
        <v>#REF!</v>
      </c>
      <c r="AF46" s="31" t="e">
        <f>IF(AND('Mapa final'!#REF!="Muy Baja",'Mapa final'!#REF!="Mayor"),CONCATENATE("R1C",'Mapa final'!#REF!),"")</f>
        <v>#REF!</v>
      </c>
      <c r="AG46" s="32" t="e">
        <f>IF(AND('Mapa final'!#REF!="Muy Baja",'Mapa final'!#REF!="Mayor"),CONCATENATE("R1C",'Mapa final'!#REF!),"")</f>
        <v>#REF!</v>
      </c>
      <c r="AH46" s="33" t="str">
        <f>IF(AND('Mapa final'!$AB$10="Muy Baja",'Mapa final'!$AD$10="Catastrófico"),CONCATENATE("R1C",'Mapa final'!$R$10),"")</f>
        <v/>
      </c>
      <c r="AI46" s="34" t="str">
        <f>IF(AND('Mapa final'!$AB$11="Muy Baja",'Mapa final'!$AD$11="Catastrófico"),CONCATENATE("R1C",'Mapa final'!$R$11),"")</f>
        <v/>
      </c>
      <c r="AJ46" s="34" t="str">
        <f>IF(AND('Mapa final'!$AB$12="Muy Baja",'Mapa final'!$AD$12="Catastrófico"),CONCATENATE("R1C",'Mapa final'!$R$12),"")</f>
        <v/>
      </c>
      <c r="AK46" s="34" t="e">
        <f>IF(AND('Mapa final'!#REF!="Muy Baja",'Mapa final'!#REF!="Catastrófico"),CONCATENATE("R1C",'Mapa final'!#REF!),"")</f>
        <v>#REF!</v>
      </c>
      <c r="AL46" s="34" t="e">
        <f>IF(AND('Mapa final'!#REF!="Muy Baja",'Mapa final'!#REF!="Catastrófico"),CONCATENATE("R1C",'Mapa final'!#REF!),"")</f>
        <v>#REF!</v>
      </c>
      <c r="AM46" s="35" t="e">
        <f>IF(AND('Mapa final'!#REF!="Muy Baja",'Mapa final'!#REF!="Catastrófico"),CONCATENATE("R1C",'Mapa final'!#REF!),"")</f>
        <v>#REF!</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481"/>
      <c r="C47" s="481"/>
      <c r="D47" s="482"/>
      <c r="E47" s="578"/>
      <c r="F47" s="579"/>
      <c r="G47" s="579"/>
      <c r="H47" s="579"/>
      <c r="I47" s="595"/>
      <c r="J47" s="60" t="str">
        <f>IF(AND('Mapa final'!$AB$13="Muy Baja",'Mapa final'!$AD$13="Leve"),CONCATENATE("R2C",'Mapa final'!$R$13),"")</f>
        <v/>
      </c>
      <c r="K47" s="61" t="str">
        <f>IF(AND('Mapa final'!$AB$14="Muy Baja",'Mapa final'!$AD$14="Leve"),CONCATENATE("R2C",'Mapa final'!$R$14),"")</f>
        <v/>
      </c>
      <c r="L47" s="61" t="str">
        <f>IF(AND('Mapa final'!$AB$15="Muy Baja",'Mapa final'!$AD$15="Leve"),CONCATENATE("R2C",'Mapa final'!$R$15),"")</f>
        <v/>
      </c>
      <c r="M47" s="61" t="str">
        <f>IF(AND('Mapa final'!$AB$16="Muy Baja",'Mapa final'!$AD$16="Leve"),CONCATENATE("R2C",'Mapa final'!$R$16),"")</f>
        <v/>
      </c>
      <c r="N47" s="61" t="str">
        <f>IF(AND('Mapa final'!$AB$17="Muy Baja",'Mapa final'!$AD$17="Leve"),CONCATENATE("R2C",'Mapa final'!$R$17),"")</f>
        <v/>
      </c>
      <c r="O47" s="62" t="str">
        <f>IF(AND('Mapa final'!$AB$18="Muy Baja",'Mapa final'!$AD$18="Leve"),CONCATENATE("R2C",'Mapa final'!$R$18),"")</f>
        <v/>
      </c>
      <c r="P47" s="60" t="str">
        <f>IF(AND('Mapa final'!$AB$13="Muy Baja",'Mapa final'!$AD$13="Menor"),CONCATENATE("R2C",'Mapa final'!$R$13),"")</f>
        <v/>
      </c>
      <c r="Q47" s="61" t="str">
        <f>IF(AND('Mapa final'!$AB$14="Muy Baja",'Mapa final'!$AD$14="Menor"),CONCATENATE("R2C",'Mapa final'!$R$14),"")</f>
        <v/>
      </c>
      <c r="R47" s="61" t="str">
        <f>IF(AND('Mapa final'!$AB$15="Muy Baja",'Mapa final'!$AD$15="Menor"),CONCATENATE("R2C",'Mapa final'!$R$15),"")</f>
        <v/>
      </c>
      <c r="S47" s="61" t="str">
        <f>IF(AND('Mapa final'!$AB$16="Muy Baja",'Mapa final'!$AD$16="Menor"),CONCATENATE("R2C",'Mapa final'!$R$16),"")</f>
        <v/>
      </c>
      <c r="T47" s="61" t="str">
        <f>IF(AND('Mapa final'!$AB$17="Muy Baja",'Mapa final'!$AD$17="Menor"),CONCATENATE("R2C",'Mapa final'!$R$17),"")</f>
        <v/>
      </c>
      <c r="U47" s="62" t="str">
        <f>IF(AND('Mapa final'!$AB$18="Muy Baja",'Mapa final'!$AD$18="Menor"),CONCATENATE("R2C",'Mapa final'!$R$18),"")</f>
        <v/>
      </c>
      <c r="V47" s="51" t="str">
        <f>IF(AND('Mapa final'!$AB$13="Muy Baja",'Mapa final'!$AD$13="Moderado"),CONCATENATE("R2C",'Mapa final'!$R$13),"")</f>
        <v/>
      </c>
      <c r="W47" s="52" t="str">
        <f>IF(AND('Mapa final'!$AB$14="Muy Baja",'Mapa final'!$AD$14="Moderado"),CONCATENATE("R2C",'Mapa final'!$R$14),"")</f>
        <v/>
      </c>
      <c r="X47" s="52" t="str">
        <f>IF(AND('Mapa final'!$AB$15="Muy Baja",'Mapa final'!$AD$15="Moderado"),CONCATENATE("R2C",'Mapa final'!$R$15),"")</f>
        <v/>
      </c>
      <c r="Y47" s="52" t="str">
        <f>IF(AND('Mapa final'!$AB$16="Muy Baja",'Mapa final'!$AD$16="Moderado"),CONCATENATE("R2C",'Mapa final'!$R$16),"")</f>
        <v/>
      </c>
      <c r="Z47" s="52" t="str">
        <f>IF(AND('Mapa final'!$AB$17="Muy Baja",'Mapa final'!$AD$17="Moderado"),CONCATENATE("R2C",'Mapa final'!$R$17),"")</f>
        <v/>
      </c>
      <c r="AA47" s="53" t="str">
        <f>IF(AND('Mapa final'!$AB$18="Muy Baja",'Mapa final'!$AD$18="Moderado"),CONCATENATE("R2C",'Mapa final'!$R$18),"")</f>
        <v/>
      </c>
      <c r="AB47" s="36" t="str">
        <f>IF(AND('Mapa final'!$AB$13="Muy Baja",'Mapa final'!$AD$13="Mayor"),CONCATENATE("R2C",'Mapa final'!$R$13),"")</f>
        <v/>
      </c>
      <c r="AC47" s="37" t="str">
        <f>IF(AND('Mapa final'!$AB$14="Muy Baja",'Mapa final'!$AD$14="Mayor"),CONCATENATE("R2C",'Mapa final'!$R$14),"")</f>
        <v/>
      </c>
      <c r="AD47" s="37" t="str">
        <f>IF(AND('Mapa final'!$AB$15="Muy Baja",'Mapa final'!$AD$15="Mayor"),CONCATENATE("R2C",'Mapa final'!$R$15),"")</f>
        <v/>
      </c>
      <c r="AE47" s="37" t="str">
        <f>IF(AND('Mapa final'!$AB$16="Muy Baja",'Mapa final'!$AD$16="Mayor"),CONCATENATE("R2C",'Mapa final'!$R$16),"")</f>
        <v/>
      </c>
      <c r="AF47" s="37" t="str">
        <f>IF(AND('Mapa final'!$AB$17="Muy Baja",'Mapa final'!$AD$17="Mayor"),CONCATENATE("R2C",'Mapa final'!$R$17),"")</f>
        <v/>
      </c>
      <c r="AG47" s="38" t="str">
        <f>IF(AND('Mapa final'!$AB$18="Muy Baja",'Mapa final'!$AD$18="Mayor"),CONCATENATE("R2C",'Mapa final'!$R$18),"")</f>
        <v/>
      </c>
      <c r="AH47" s="39" t="str">
        <f>IF(AND('Mapa final'!$AB$13="Muy Baja",'Mapa final'!$AD$13="Catastrófico"),CONCATENATE("R2C",'Mapa final'!$R$13),"")</f>
        <v/>
      </c>
      <c r="AI47" s="40" t="str">
        <f>IF(AND('Mapa final'!$AB$14="Muy Baja",'Mapa final'!$AD$14="Catastrófico"),CONCATENATE("R2C",'Mapa final'!$R$14),"")</f>
        <v/>
      </c>
      <c r="AJ47" s="40" t="str">
        <f>IF(AND('Mapa final'!$AB$15="Muy Baja",'Mapa final'!$AD$15="Catastrófico"),CONCATENATE("R2C",'Mapa final'!$R$15),"")</f>
        <v/>
      </c>
      <c r="AK47" s="40" t="str">
        <f>IF(AND('Mapa final'!$AB$16="Muy Baja",'Mapa final'!$AD$16="Catastrófico"),CONCATENATE("R2C",'Mapa final'!$R$16),"")</f>
        <v/>
      </c>
      <c r="AL47" s="40" t="str">
        <f>IF(AND('Mapa final'!$AB$17="Muy Baja",'Mapa final'!$AD$17="Catastrófico"),CONCATENATE("R2C",'Mapa final'!$R$17),"")</f>
        <v/>
      </c>
      <c r="AM47" s="41" t="str">
        <f>IF(AND('Mapa final'!$AB$18="Muy Baja",'Mapa final'!$AD$18="Catastrófico"),CONCATENATE("R2C",'Mapa final'!$R$18),"")</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481"/>
      <c r="C48" s="481"/>
      <c r="D48" s="482"/>
      <c r="E48" s="578"/>
      <c r="F48" s="579"/>
      <c r="G48" s="579"/>
      <c r="H48" s="579"/>
      <c r="I48" s="595"/>
      <c r="J48" s="60" t="str">
        <f>IF(AND('Mapa final'!$AB$19="Muy Baja",'Mapa final'!$AD$19="Leve"),CONCATENATE("R3C",'Mapa final'!$R$19),"")</f>
        <v/>
      </c>
      <c r="K48" s="61" t="str">
        <f>IF(AND('Mapa final'!$AB$20="Muy Baja",'Mapa final'!$AD$20="Leve"),CONCATENATE("R3C",'Mapa final'!$R$20),"")</f>
        <v/>
      </c>
      <c r="L48" s="61" t="str">
        <f>IF(AND('Mapa final'!$AB$21="Muy Baja",'Mapa final'!$AD$21="Leve"),CONCATENATE("R3C",'Mapa final'!$R$21),"")</f>
        <v/>
      </c>
      <c r="M48" s="61" t="str">
        <f>IF(AND('Mapa final'!$AB$22="Muy Baja",'Mapa final'!$AD$22="Leve"),CONCATENATE("R3C",'Mapa final'!$R$22),"")</f>
        <v/>
      </c>
      <c r="N48" s="61" t="str">
        <f>IF(AND('Mapa final'!$AB$23="Muy Baja",'Mapa final'!$AD$23="Leve"),CONCATENATE("R3C",'Mapa final'!$R$23),"")</f>
        <v/>
      </c>
      <c r="O48" s="62" t="str">
        <f>IF(AND('Mapa final'!$AB$24="Muy Baja",'Mapa final'!$AD$24="Leve"),CONCATENATE("R3C",'Mapa final'!$R$24),"")</f>
        <v/>
      </c>
      <c r="P48" s="60" t="str">
        <f>IF(AND('Mapa final'!$AB$19="Muy Baja",'Mapa final'!$AD$19="Menor"),CONCATENATE("R3C",'Mapa final'!$R$19),"")</f>
        <v/>
      </c>
      <c r="Q48" s="61" t="str">
        <f>IF(AND('Mapa final'!$AB$20="Muy Baja",'Mapa final'!$AD$20="Menor"),CONCATENATE("R3C",'Mapa final'!$R$20),"")</f>
        <v/>
      </c>
      <c r="R48" s="61" t="str">
        <f>IF(AND('Mapa final'!$AB$21="Muy Baja",'Mapa final'!$AD$21="Menor"),CONCATENATE("R3C",'Mapa final'!$R$21),"")</f>
        <v/>
      </c>
      <c r="S48" s="61" t="str">
        <f>IF(AND('Mapa final'!$AB$22="Muy Baja",'Mapa final'!$AD$22="Menor"),CONCATENATE("R3C",'Mapa final'!$R$22),"")</f>
        <v/>
      </c>
      <c r="T48" s="61" t="str">
        <f>IF(AND('Mapa final'!$AB$23="Muy Baja",'Mapa final'!$AD$23="Menor"),CONCATENATE("R3C",'Mapa final'!$R$23),"")</f>
        <v/>
      </c>
      <c r="U48" s="62" t="str">
        <f>IF(AND('Mapa final'!$AB$24="Muy Baja",'Mapa final'!$AD$24="Menor"),CONCATENATE("R3C",'Mapa final'!$R$24),"")</f>
        <v/>
      </c>
      <c r="V48" s="51" t="str">
        <f>IF(AND('Mapa final'!$AB$19="Muy Baja",'Mapa final'!$AD$19="Moderado"),CONCATENATE("R3C",'Mapa final'!$R$19),"")</f>
        <v/>
      </c>
      <c r="W48" s="52" t="str">
        <f>IF(AND('Mapa final'!$AB$20="Muy Baja",'Mapa final'!$AD$20="Moderado"),CONCATENATE("R3C",'Mapa final'!$R$20),"")</f>
        <v/>
      </c>
      <c r="X48" s="52" t="str">
        <f>IF(AND('Mapa final'!$AB$21="Muy Baja",'Mapa final'!$AD$21="Moderado"),CONCATENATE("R3C",'Mapa final'!$R$21),"")</f>
        <v/>
      </c>
      <c r="Y48" s="52" t="str">
        <f>IF(AND('Mapa final'!$AB$22="Muy Baja",'Mapa final'!$AD$22="Moderado"),CONCATENATE("R3C",'Mapa final'!$R$22),"")</f>
        <v/>
      </c>
      <c r="Z48" s="52" t="str">
        <f>IF(AND('Mapa final'!$AB$23="Muy Baja",'Mapa final'!$AD$23="Moderado"),CONCATENATE("R3C",'Mapa final'!$R$23),"")</f>
        <v/>
      </c>
      <c r="AA48" s="53" t="str">
        <f>IF(AND('Mapa final'!$AB$24="Muy Baja",'Mapa final'!$AD$24="Moderado"),CONCATENATE("R3C",'Mapa final'!$R$24),"")</f>
        <v/>
      </c>
      <c r="AB48" s="36" t="str">
        <f>IF(AND('Mapa final'!$AB$19="Muy Baja",'Mapa final'!$AD$19="Mayor"),CONCATENATE("R3C",'Mapa final'!$R$19),"")</f>
        <v/>
      </c>
      <c r="AC48" s="37" t="str">
        <f>IF(AND('Mapa final'!$AB$20="Muy Baja",'Mapa final'!$AD$20="Mayor"),CONCATENATE("R3C",'Mapa final'!$R$20),"")</f>
        <v/>
      </c>
      <c r="AD48" s="37" t="str">
        <f>IF(AND('Mapa final'!$AB$21="Muy Baja",'Mapa final'!$AD$21="Mayor"),CONCATENATE("R3C",'Mapa final'!$R$21),"")</f>
        <v/>
      </c>
      <c r="AE48" s="37" t="str">
        <f>IF(AND('Mapa final'!$AB$22="Muy Baja",'Mapa final'!$AD$22="Mayor"),CONCATENATE("R3C",'Mapa final'!$R$22),"")</f>
        <v/>
      </c>
      <c r="AF48" s="37" t="str">
        <f>IF(AND('Mapa final'!$AB$23="Muy Baja",'Mapa final'!$AD$23="Mayor"),CONCATENATE("R3C",'Mapa final'!$R$23),"")</f>
        <v/>
      </c>
      <c r="AG48" s="38" t="str">
        <f>IF(AND('Mapa final'!$AB$24="Muy Baja",'Mapa final'!$AD$24="Mayor"),CONCATENATE("R3C",'Mapa final'!$R$24),"")</f>
        <v/>
      </c>
      <c r="AH48" s="39" t="str">
        <f>IF(AND('Mapa final'!$AB$19="Muy Baja",'Mapa final'!$AD$19="Catastrófico"),CONCATENATE("R3C",'Mapa final'!$R$19),"")</f>
        <v/>
      </c>
      <c r="AI48" s="40" t="str">
        <f>IF(AND('Mapa final'!$AB$20="Muy Baja",'Mapa final'!$AD$20="Catastrófico"),CONCATENATE("R3C",'Mapa final'!$R$20),"")</f>
        <v/>
      </c>
      <c r="AJ48" s="40" t="str">
        <f>IF(AND('Mapa final'!$AB$21="Muy Baja",'Mapa final'!$AD$21="Catastrófico"),CONCATENATE("R3C",'Mapa final'!$R$21),"")</f>
        <v/>
      </c>
      <c r="AK48" s="40" t="str">
        <f>IF(AND('Mapa final'!$AB$22="Muy Baja",'Mapa final'!$AD$22="Catastrófico"),CONCATENATE("R3C",'Mapa final'!$R$22),"")</f>
        <v/>
      </c>
      <c r="AL48" s="40" t="str">
        <f>IF(AND('Mapa final'!$AB$23="Muy Baja",'Mapa final'!$AD$23="Catastrófico"),CONCATENATE("R3C",'Mapa final'!$R$23),"")</f>
        <v/>
      </c>
      <c r="AM48" s="41" t="str">
        <f>IF(AND('Mapa final'!$AB$24="Muy Baja",'Mapa final'!$AD$24="Catastrófico"),CONCATENATE("R3C",'Mapa final'!$R$24),"")</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481"/>
      <c r="C49" s="481"/>
      <c r="D49" s="482"/>
      <c r="E49" s="580"/>
      <c r="F49" s="579"/>
      <c r="G49" s="579"/>
      <c r="H49" s="579"/>
      <c r="I49" s="595"/>
      <c r="J49" s="60" t="str">
        <f>IF(AND('Mapa final'!$AB$25="Muy Baja",'Mapa final'!$AD$25="Leve"),CONCATENATE("R4C",'Mapa final'!$R$25),"")</f>
        <v/>
      </c>
      <c r="K49" s="61" t="str">
        <f>IF(AND('Mapa final'!$AB$26="Muy Baja",'Mapa final'!$AD$26="Leve"),CONCATENATE("R4C",'Mapa final'!$R$26),"")</f>
        <v/>
      </c>
      <c r="L49" s="61" t="str">
        <f>IF(AND('Mapa final'!$AB$27="Muy Baja",'Mapa final'!$AD$27="Leve"),CONCATENATE("R4C",'Mapa final'!$R$27),"")</f>
        <v/>
      </c>
      <c r="M49" s="61" t="str">
        <f>IF(AND('Mapa final'!$AB$28="Muy Baja",'Mapa final'!$AD$28="Leve"),CONCATENATE("R4C",'Mapa final'!$R$28),"")</f>
        <v/>
      </c>
      <c r="N49" s="61" t="str">
        <f>IF(AND('Mapa final'!$AB$29="Muy Baja",'Mapa final'!$AD$29="Leve"),CONCATENATE("R4C",'Mapa final'!$R$29),"")</f>
        <v/>
      </c>
      <c r="O49" s="62" t="str">
        <f>IF(AND('Mapa final'!$AB$30="Muy Baja",'Mapa final'!$AD$30="Leve"),CONCATENATE("R4C",'Mapa final'!$R$30),"")</f>
        <v/>
      </c>
      <c r="P49" s="60" t="str">
        <f>IF(AND('Mapa final'!$AB$25="Muy Baja",'Mapa final'!$AD$25="Menor"),CONCATENATE("R4C",'Mapa final'!$R$25),"")</f>
        <v/>
      </c>
      <c r="Q49" s="61" t="str">
        <f>IF(AND('Mapa final'!$AB$26="Muy Baja",'Mapa final'!$AD$26="Menor"),CONCATENATE("R4C",'Mapa final'!$R$26),"")</f>
        <v/>
      </c>
      <c r="R49" s="61" t="str">
        <f>IF(AND('Mapa final'!$AB$27="Muy Baja",'Mapa final'!$AD$27="Menor"),CONCATENATE("R4C",'Mapa final'!$R$27),"")</f>
        <v/>
      </c>
      <c r="S49" s="61" t="str">
        <f>IF(AND('Mapa final'!$AB$28="Muy Baja",'Mapa final'!$AD$28="Menor"),CONCATENATE("R4C",'Mapa final'!$R$28),"")</f>
        <v/>
      </c>
      <c r="T49" s="61" t="str">
        <f>IF(AND('Mapa final'!$AB$29="Muy Baja",'Mapa final'!$AD$29="Menor"),CONCATENATE("R4C",'Mapa final'!$R$29),"")</f>
        <v/>
      </c>
      <c r="U49" s="62" t="str">
        <f>IF(AND('Mapa final'!$AB$30="Muy Baja",'Mapa final'!$AD$30="Menor"),CONCATENATE("R4C",'Mapa final'!$R$30),"")</f>
        <v/>
      </c>
      <c r="V49" s="51" t="str">
        <f>IF(AND('Mapa final'!$AB$25="Muy Baja",'Mapa final'!$AD$25="Moderado"),CONCATENATE("R4C",'Mapa final'!$R$25),"")</f>
        <v/>
      </c>
      <c r="W49" s="52" t="str">
        <f>IF(AND('Mapa final'!$AB$26="Muy Baja",'Mapa final'!$AD$26="Moderado"),CONCATENATE("R4C",'Mapa final'!$R$26),"")</f>
        <v/>
      </c>
      <c r="X49" s="52" t="str">
        <f>IF(AND('Mapa final'!$AB$27="Muy Baja",'Mapa final'!$AD$27="Moderado"),CONCATENATE("R4C",'Mapa final'!$R$27),"")</f>
        <v/>
      </c>
      <c r="Y49" s="52" t="str">
        <f>IF(AND('Mapa final'!$AB$28="Muy Baja",'Mapa final'!$AD$28="Moderado"),CONCATENATE("R4C",'Mapa final'!$R$28),"")</f>
        <v/>
      </c>
      <c r="Z49" s="52" t="str">
        <f>IF(AND('Mapa final'!$AB$29="Muy Baja",'Mapa final'!$AD$29="Moderado"),CONCATENATE("R4C",'Mapa final'!$R$29),"")</f>
        <v/>
      </c>
      <c r="AA49" s="53" t="str">
        <f>IF(AND('Mapa final'!$AB$30="Muy Baja",'Mapa final'!$AD$30="Moderado"),CONCATENATE("R4C",'Mapa final'!$R$30),"")</f>
        <v/>
      </c>
      <c r="AB49" s="36" t="str">
        <f>IF(AND('Mapa final'!$AB$25="Muy Baja",'Mapa final'!$AD$25="Mayor"),CONCATENATE("R4C",'Mapa final'!$R$25),"")</f>
        <v/>
      </c>
      <c r="AC49" s="37" t="str">
        <f>IF(AND('Mapa final'!$AB$26="Muy Baja",'Mapa final'!$AD$26="Mayor"),CONCATENATE("R4C",'Mapa final'!$R$26),"")</f>
        <v/>
      </c>
      <c r="AD49" s="37" t="str">
        <f>IF(AND('Mapa final'!$AB$27="Muy Baja",'Mapa final'!$AD$27="Mayor"),CONCATENATE("R4C",'Mapa final'!$R$27),"")</f>
        <v/>
      </c>
      <c r="AE49" s="37" t="str">
        <f>IF(AND('Mapa final'!$AB$28="Muy Baja",'Mapa final'!$AD$28="Mayor"),CONCATENATE("R4C",'Mapa final'!$R$28),"")</f>
        <v/>
      </c>
      <c r="AF49" s="37" t="str">
        <f>IF(AND('Mapa final'!$AB$29="Muy Baja",'Mapa final'!$AD$29="Mayor"),CONCATENATE("R4C",'Mapa final'!$R$29),"")</f>
        <v/>
      </c>
      <c r="AG49" s="38" t="str">
        <f>IF(AND('Mapa final'!$AB$30="Muy Baja",'Mapa final'!$AD$30="Mayor"),CONCATENATE("R4C",'Mapa final'!$R$30),"")</f>
        <v/>
      </c>
      <c r="AH49" s="39" t="str">
        <f>IF(AND('Mapa final'!$AB$25="Muy Baja",'Mapa final'!$AD$25="Catastrófico"),CONCATENATE("R4C",'Mapa final'!$R$25),"")</f>
        <v/>
      </c>
      <c r="AI49" s="40" t="str">
        <f>IF(AND('Mapa final'!$AB$26="Muy Baja",'Mapa final'!$AD$26="Catastrófico"),CONCATENATE("R4C",'Mapa final'!$R$26),"")</f>
        <v/>
      </c>
      <c r="AJ49" s="40" t="str">
        <f>IF(AND('Mapa final'!$AB$27="Muy Baja",'Mapa final'!$AD$27="Catastrófico"),CONCATENATE("R4C",'Mapa final'!$R$27),"")</f>
        <v/>
      </c>
      <c r="AK49" s="40" t="str">
        <f>IF(AND('Mapa final'!$AB$28="Muy Baja",'Mapa final'!$AD$28="Catastrófico"),CONCATENATE("R4C",'Mapa final'!$R$28),"")</f>
        <v/>
      </c>
      <c r="AL49" s="40" t="str">
        <f>IF(AND('Mapa final'!$AB$29="Muy Baja",'Mapa final'!$AD$29="Catastrófico"),CONCATENATE("R4C",'Mapa final'!$R$29),"")</f>
        <v/>
      </c>
      <c r="AM49" s="41" t="str">
        <f>IF(AND('Mapa final'!$AB$30="Muy Baja",'Mapa final'!$AD$30="Catastrófico"),CONCATENATE("R4C",'Mapa final'!$R$30),"")</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481"/>
      <c r="C50" s="481"/>
      <c r="D50" s="482"/>
      <c r="E50" s="580"/>
      <c r="F50" s="579"/>
      <c r="G50" s="579"/>
      <c r="H50" s="579"/>
      <c r="I50" s="595"/>
      <c r="J50" s="60" t="str">
        <f>IF(AND('Mapa final'!$AB$31="Muy Baja",'Mapa final'!$AD$31="Leve"),CONCATENATE("R5C",'Mapa final'!$R$31),"")</f>
        <v/>
      </c>
      <c r="K50" s="61" t="str">
        <f>IF(AND('Mapa final'!$AB$32="Muy Baja",'Mapa final'!$AD$32="Leve"),CONCATENATE("R5C",'Mapa final'!$R$32),"")</f>
        <v/>
      </c>
      <c r="L50" s="61" t="str">
        <f>IF(AND('Mapa final'!$AB$33="Muy Baja",'Mapa final'!$AD$33="Leve"),CONCATENATE("R5C",'Mapa final'!$R$33),"")</f>
        <v/>
      </c>
      <c r="M50" s="61" t="str">
        <f>IF(AND('Mapa final'!$AB$34="Muy Baja",'Mapa final'!$AD$34="Leve"),CONCATENATE("R5C",'Mapa final'!$R$34),"")</f>
        <v/>
      </c>
      <c r="N50" s="61" t="str">
        <f>IF(AND('Mapa final'!$AB$35="Muy Baja",'Mapa final'!$AD$35="Leve"),CONCATENATE("R5C",'Mapa final'!$R$35),"")</f>
        <v/>
      </c>
      <c r="O50" s="62" t="str">
        <f>IF(AND('Mapa final'!$AB$36="Muy Baja",'Mapa final'!$AD$36="Leve"),CONCATENATE("R5C",'Mapa final'!$R$36),"")</f>
        <v/>
      </c>
      <c r="P50" s="60" t="str">
        <f>IF(AND('Mapa final'!$AB$31="Muy Baja",'Mapa final'!$AD$31="Menor"),CONCATENATE("R5C",'Mapa final'!$R$31),"")</f>
        <v/>
      </c>
      <c r="Q50" s="61" t="str">
        <f>IF(AND('Mapa final'!$AB$32="Muy Baja",'Mapa final'!$AD$32="Menor"),CONCATENATE("R5C",'Mapa final'!$R$32),"")</f>
        <v/>
      </c>
      <c r="R50" s="61" t="str">
        <f>IF(AND('Mapa final'!$AB$33="Muy Baja",'Mapa final'!$AD$33="Menor"),CONCATENATE("R5C",'Mapa final'!$R$33),"")</f>
        <v/>
      </c>
      <c r="S50" s="61" t="str">
        <f>IF(AND('Mapa final'!$AB$34="Muy Baja",'Mapa final'!$AD$34="Menor"),CONCATENATE("R5C",'Mapa final'!$R$34),"")</f>
        <v/>
      </c>
      <c r="T50" s="61" t="str">
        <f>IF(AND('Mapa final'!$AB$35="Muy Baja",'Mapa final'!$AD$35="Menor"),CONCATENATE("R5C",'Mapa final'!$R$35),"")</f>
        <v/>
      </c>
      <c r="U50" s="62" t="str">
        <f>IF(AND('Mapa final'!$AB$36="Muy Baja",'Mapa final'!$AD$36="Menor"),CONCATENATE("R5C",'Mapa final'!$R$36),"")</f>
        <v/>
      </c>
      <c r="V50" s="51" t="str">
        <f>IF(AND('Mapa final'!$AB$31="Muy Baja",'Mapa final'!$AD$31="Moderado"),CONCATENATE("R5C",'Mapa final'!$R$31),"")</f>
        <v/>
      </c>
      <c r="W50" s="52" t="str">
        <f>IF(AND('Mapa final'!$AB$32="Muy Baja",'Mapa final'!$AD$32="Moderado"),CONCATENATE("R5C",'Mapa final'!$R$32),"")</f>
        <v/>
      </c>
      <c r="X50" s="52" t="str">
        <f>IF(AND('Mapa final'!$AB$33="Muy Baja",'Mapa final'!$AD$33="Moderado"),CONCATENATE("R5C",'Mapa final'!$R$33),"")</f>
        <v/>
      </c>
      <c r="Y50" s="52" t="str">
        <f>IF(AND('Mapa final'!$AB$34="Muy Baja",'Mapa final'!$AD$34="Moderado"),CONCATENATE("R5C",'Mapa final'!$R$34),"")</f>
        <v/>
      </c>
      <c r="Z50" s="52" t="str">
        <f>IF(AND('Mapa final'!$AB$35="Muy Baja",'Mapa final'!$AD$35="Moderado"),CONCATENATE("R5C",'Mapa final'!$R$35),"")</f>
        <v/>
      </c>
      <c r="AA50" s="53" t="str">
        <f>IF(AND('Mapa final'!$AB$36="Muy Baja",'Mapa final'!$AD$36="Moderado"),CONCATENATE("R5C",'Mapa final'!$R$36),"")</f>
        <v/>
      </c>
      <c r="AB50" s="36" t="str">
        <f>IF(AND('Mapa final'!$AB$31="Muy Baja",'Mapa final'!$AD$31="Mayor"),CONCATENATE("R5C",'Mapa final'!$R$31),"")</f>
        <v/>
      </c>
      <c r="AC50" s="37" t="str">
        <f>IF(AND('Mapa final'!$AB$32="Muy Baja",'Mapa final'!$AD$32="Mayor"),CONCATENATE("R5C",'Mapa final'!$R$32),"")</f>
        <v/>
      </c>
      <c r="AD50" s="37" t="str">
        <f>IF(AND('Mapa final'!$AB$33="Muy Baja",'Mapa final'!$AD$33="Mayor"),CONCATENATE("R5C",'Mapa final'!$R$33),"")</f>
        <v/>
      </c>
      <c r="AE50" s="37" t="str">
        <f>IF(AND('Mapa final'!$AB$34="Muy Baja",'Mapa final'!$AD$34="Mayor"),CONCATENATE("R5C",'Mapa final'!$R$34),"")</f>
        <v/>
      </c>
      <c r="AF50" s="37" t="str">
        <f>IF(AND('Mapa final'!$AB$35="Muy Baja",'Mapa final'!$AD$35="Mayor"),CONCATENATE("R5C",'Mapa final'!$R$35),"")</f>
        <v/>
      </c>
      <c r="AG50" s="38" t="str">
        <f>IF(AND('Mapa final'!$AB$36="Muy Baja",'Mapa final'!$AD$36="Mayor"),CONCATENATE("R5C",'Mapa final'!$R$36),"")</f>
        <v/>
      </c>
      <c r="AH50" s="39" t="str">
        <f>IF(AND('Mapa final'!$AB$31="Muy Baja",'Mapa final'!$AD$31="Catastrófico"),CONCATENATE("R5C",'Mapa final'!$R$31),"")</f>
        <v/>
      </c>
      <c r="AI50" s="40" t="str">
        <f>IF(AND('Mapa final'!$AB$32="Muy Baja",'Mapa final'!$AD$32="Catastrófico"),CONCATENATE("R5C",'Mapa final'!$R$32),"")</f>
        <v/>
      </c>
      <c r="AJ50" s="40" t="str">
        <f>IF(AND('Mapa final'!$AB$33="Muy Baja",'Mapa final'!$AD$33="Catastrófico"),CONCATENATE("R5C",'Mapa final'!$R$33),"")</f>
        <v/>
      </c>
      <c r="AK50" s="40" t="str">
        <f>IF(AND('Mapa final'!$AB$34="Muy Baja",'Mapa final'!$AD$34="Catastrófico"),CONCATENATE("R5C",'Mapa final'!$R$34),"")</f>
        <v/>
      </c>
      <c r="AL50" s="40" t="str">
        <f>IF(AND('Mapa final'!$AB$35="Muy Baja",'Mapa final'!$AD$35="Catastrófico"),CONCATENATE("R5C",'Mapa final'!$R$35),"")</f>
        <v/>
      </c>
      <c r="AM50" s="41" t="str">
        <f>IF(AND('Mapa final'!$AB$36="Muy Baja",'Mapa final'!$AD$36="Catastrófico"),CONCATENATE("R5C",'Mapa final'!$R$36),"")</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481"/>
      <c r="C51" s="481"/>
      <c r="D51" s="482"/>
      <c r="E51" s="580"/>
      <c r="F51" s="579"/>
      <c r="G51" s="579"/>
      <c r="H51" s="579"/>
      <c r="I51" s="595"/>
      <c r="J51" s="60" t="str">
        <f>IF(AND('Mapa final'!$AB$37="Muy Baja",'Mapa final'!$AD$37="Leve"),CONCATENATE("R6C",'Mapa final'!$R$37),"")</f>
        <v/>
      </c>
      <c r="K51" s="61" t="str">
        <f>IF(AND('Mapa final'!$AB$38="Muy Baja",'Mapa final'!$AD$38="Leve"),CONCATENATE("R6C",'Mapa final'!$R$38),"")</f>
        <v/>
      </c>
      <c r="L51" s="61" t="str">
        <f>IF(AND('Mapa final'!$AB$39="Muy Baja",'Mapa final'!$AD$39="Leve"),CONCATENATE("R6C",'Mapa final'!$R$39),"")</f>
        <v/>
      </c>
      <c r="M51" s="61" t="str">
        <f>IF(AND('Mapa final'!$AB$40="Muy Baja",'Mapa final'!$AD$40="Leve"),CONCATENATE("R6C",'Mapa final'!$R$40),"")</f>
        <v/>
      </c>
      <c r="N51" s="61" t="str">
        <f>IF(AND('Mapa final'!$AB$41="Muy Baja",'Mapa final'!$AD$41="Leve"),CONCATENATE("R6C",'Mapa final'!$R$41),"")</f>
        <v/>
      </c>
      <c r="O51" s="62" t="str">
        <f>IF(AND('Mapa final'!$AB$42="Muy Baja",'Mapa final'!$AD$42="Leve"),CONCATENATE("R6C",'Mapa final'!$R$42),"")</f>
        <v/>
      </c>
      <c r="P51" s="60" t="str">
        <f>IF(AND('Mapa final'!$AB$37="Muy Baja",'Mapa final'!$AD$37="Menor"),CONCATENATE("R6C",'Mapa final'!$R$37),"")</f>
        <v/>
      </c>
      <c r="Q51" s="61" t="str">
        <f>IF(AND('Mapa final'!$AB$38="Muy Baja",'Mapa final'!$AD$38="Menor"),CONCATENATE("R6C",'Mapa final'!$R$38),"")</f>
        <v/>
      </c>
      <c r="R51" s="61" t="str">
        <f>IF(AND('Mapa final'!$AB$39="Muy Baja",'Mapa final'!$AD$39="Menor"),CONCATENATE("R6C",'Mapa final'!$R$39),"")</f>
        <v/>
      </c>
      <c r="S51" s="61" t="str">
        <f>IF(AND('Mapa final'!$AB$40="Muy Baja",'Mapa final'!$AD$40="Menor"),CONCATENATE("R6C",'Mapa final'!$R$40),"")</f>
        <v/>
      </c>
      <c r="T51" s="61" t="str">
        <f>IF(AND('Mapa final'!$AB$41="Muy Baja",'Mapa final'!$AD$41="Menor"),CONCATENATE("R6C",'Mapa final'!$R$41),"")</f>
        <v/>
      </c>
      <c r="U51" s="62" t="str">
        <f>IF(AND('Mapa final'!$AB$42="Muy Baja",'Mapa final'!$AD$42="Menor"),CONCATENATE("R6C",'Mapa final'!$R$42),"")</f>
        <v/>
      </c>
      <c r="V51" s="51" t="str">
        <f>IF(AND('Mapa final'!$AB$37="Muy Baja",'Mapa final'!$AD$37="Moderado"),CONCATENATE("R6C",'Mapa final'!$R$37),"")</f>
        <v/>
      </c>
      <c r="W51" s="52" t="str">
        <f>IF(AND('Mapa final'!$AB$38="Muy Baja",'Mapa final'!$AD$38="Moderado"),CONCATENATE("R6C",'Mapa final'!$R$38),"")</f>
        <v/>
      </c>
      <c r="X51" s="52" t="str">
        <f>IF(AND('Mapa final'!$AB$39="Muy Baja",'Mapa final'!$AD$39="Moderado"),CONCATENATE("R6C",'Mapa final'!$R$39),"")</f>
        <v/>
      </c>
      <c r="Y51" s="52" t="str">
        <f>IF(AND('Mapa final'!$AB$40="Muy Baja",'Mapa final'!$AD$40="Moderado"),CONCATENATE("R6C",'Mapa final'!$R$40),"")</f>
        <v/>
      </c>
      <c r="Z51" s="52" t="str">
        <f>IF(AND('Mapa final'!$AB$41="Muy Baja",'Mapa final'!$AD$41="Moderado"),CONCATENATE("R6C",'Mapa final'!$R$41),"")</f>
        <v/>
      </c>
      <c r="AA51" s="53" t="str">
        <f>IF(AND('Mapa final'!$AB$42="Muy Baja",'Mapa final'!$AD$42="Moderado"),CONCATENATE("R6C",'Mapa final'!$R$42),"")</f>
        <v/>
      </c>
      <c r="AB51" s="36" t="str">
        <f>IF(AND('Mapa final'!$AB$37="Muy Baja",'Mapa final'!$AD$37="Mayor"),CONCATENATE("R6C",'Mapa final'!$R$37),"")</f>
        <v/>
      </c>
      <c r="AC51" s="37" t="str">
        <f>IF(AND('Mapa final'!$AB$38="Muy Baja",'Mapa final'!$AD$38="Mayor"),CONCATENATE("R6C",'Mapa final'!$R$38),"")</f>
        <v/>
      </c>
      <c r="AD51" s="37" t="str">
        <f>IF(AND('Mapa final'!$AB$39="Muy Baja",'Mapa final'!$AD$39="Mayor"),CONCATENATE("R6C",'Mapa final'!$R$39),"")</f>
        <v/>
      </c>
      <c r="AE51" s="37" t="str">
        <f>IF(AND('Mapa final'!$AB$40="Muy Baja",'Mapa final'!$AD$40="Mayor"),CONCATENATE("R6C",'Mapa final'!$R$40),"")</f>
        <v/>
      </c>
      <c r="AF51" s="37" t="str">
        <f>IF(AND('Mapa final'!$AB$41="Muy Baja",'Mapa final'!$AD$41="Mayor"),CONCATENATE("R6C",'Mapa final'!$R$41),"")</f>
        <v/>
      </c>
      <c r="AG51" s="38" t="str">
        <f>IF(AND('Mapa final'!$AB$42="Muy Baja",'Mapa final'!$AD$42="Mayor"),CONCATENATE("R6C",'Mapa final'!$R$42),"")</f>
        <v/>
      </c>
      <c r="AH51" s="39" t="str">
        <f>IF(AND('Mapa final'!$AB$37="Muy Baja",'Mapa final'!$AD$37="Catastrófico"),CONCATENATE("R6C",'Mapa final'!$R$37),"")</f>
        <v/>
      </c>
      <c r="AI51" s="40" t="str">
        <f>IF(AND('Mapa final'!$AB$38="Muy Baja",'Mapa final'!$AD$38="Catastrófico"),CONCATENATE("R6C",'Mapa final'!$R$38),"")</f>
        <v/>
      </c>
      <c r="AJ51" s="40" t="str">
        <f>IF(AND('Mapa final'!$AB$39="Muy Baja",'Mapa final'!$AD$39="Catastrófico"),CONCATENATE("R6C",'Mapa final'!$R$39),"")</f>
        <v/>
      </c>
      <c r="AK51" s="40" t="str">
        <f>IF(AND('Mapa final'!$AB$40="Muy Baja",'Mapa final'!$AD$40="Catastrófico"),CONCATENATE("R6C",'Mapa final'!$R$40),"")</f>
        <v/>
      </c>
      <c r="AL51" s="40" t="str">
        <f>IF(AND('Mapa final'!$AB$41="Muy Baja",'Mapa final'!$AD$41="Catastrófico"),CONCATENATE("R6C",'Mapa final'!$R$41),"")</f>
        <v/>
      </c>
      <c r="AM51" s="41" t="str">
        <f>IF(AND('Mapa final'!$AB$42="Muy Baja",'Mapa final'!$AD$42="Catastrófico"),CONCATENATE("R6C",'Mapa final'!$R$42),"")</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481"/>
      <c r="C52" s="481"/>
      <c r="D52" s="482"/>
      <c r="E52" s="580"/>
      <c r="F52" s="579"/>
      <c r="G52" s="579"/>
      <c r="H52" s="579"/>
      <c r="I52" s="595"/>
      <c r="J52" s="60" t="str">
        <f>IF(AND('Mapa final'!$AB$43="Muy Baja",'Mapa final'!$AD$43="Leve"),CONCATENATE("R7C",'Mapa final'!$R$43),"")</f>
        <v/>
      </c>
      <c r="K52" s="61" t="str">
        <f>IF(AND('Mapa final'!$AB$44="Muy Baja",'Mapa final'!$AD$44="Leve"),CONCATENATE("R7C",'Mapa final'!$R$44),"")</f>
        <v/>
      </c>
      <c r="L52" s="61" t="str">
        <f>IF(AND('Mapa final'!$AB$45="Muy Baja",'Mapa final'!$AD$45="Leve"),CONCATENATE("R7C",'Mapa final'!$R$45),"")</f>
        <v/>
      </c>
      <c r="M52" s="61" t="str">
        <f>IF(AND('Mapa final'!$AB$46="Muy Baja",'Mapa final'!$AD$46="Leve"),CONCATENATE("R7C",'Mapa final'!$R$46),"")</f>
        <v/>
      </c>
      <c r="N52" s="61" t="str">
        <f>IF(AND('Mapa final'!$AB$47="Muy Baja",'Mapa final'!$AD$47="Leve"),CONCATENATE("R7C",'Mapa final'!$R$47),"")</f>
        <v/>
      </c>
      <c r="O52" s="62" t="str">
        <f>IF(AND('Mapa final'!$AB$48="Muy Baja",'Mapa final'!$AD$48="Leve"),CONCATENATE("R7C",'Mapa final'!$R$48),"")</f>
        <v/>
      </c>
      <c r="P52" s="60" t="str">
        <f>IF(AND('Mapa final'!$AB$43="Muy Baja",'Mapa final'!$AD$43="Menor"),CONCATENATE("R7C",'Mapa final'!$R$43),"")</f>
        <v/>
      </c>
      <c r="Q52" s="61" t="str">
        <f>IF(AND('Mapa final'!$AB$44="Muy Baja",'Mapa final'!$AD$44="Menor"),CONCATENATE("R7C",'Mapa final'!$R$44),"")</f>
        <v/>
      </c>
      <c r="R52" s="61" t="str">
        <f>IF(AND('Mapa final'!$AB$45="Muy Baja",'Mapa final'!$AD$45="Menor"),CONCATENATE("R7C",'Mapa final'!$R$45),"")</f>
        <v/>
      </c>
      <c r="S52" s="61" t="str">
        <f>IF(AND('Mapa final'!$AB$46="Muy Baja",'Mapa final'!$AD$46="Menor"),CONCATENATE("R7C",'Mapa final'!$R$46),"")</f>
        <v/>
      </c>
      <c r="T52" s="61" t="str">
        <f>IF(AND('Mapa final'!$AB$47="Muy Baja",'Mapa final'!$AD$47="Menor"),CONCATENATE("R7C",'Mapa final'!$R$47),"")</f>
        <v/>
      </c>
      <c r="U52" s="62" t="str">
        <f>IF(AND('Mapa final'!$AB$48="Muy Baja",'Mapa final'!$AD$48="Menor"),CONCATENATE("R7C",'Mapa final'!$R$48),"")</f>
        <v/>
      </c>
      <c r="V52" s="51" t="str">
        <f>IF(AND('Mapa final'!$AB$43="Muy Baja",'Mapa final'!$AD$43="Moderado"),CONCATENATE("R7C",'Mapa final'!$R$43),"")</f>
        <v/>
      </c>
      <c r="W52" s="52" t="str">
        <f>IF(AND('Mapa final'!$AB$44="Muy Baja",'Mapa final'!$AD$44="Moderado"),CONCATENATE("R7C",'Mapa final'!$R$44),"")</f>
        <v/>
      </c>
      <c r="X52" s="52" t="str">
        <f>IF(AND('Mapa final'!$AB$45="Muy Baja",'Mapa final'!$AD$45="Moderado"),CONCATENATE("R7C",'Mapa final'!$R$45),"")</f>
        <v/>
      </c>
      <c r="Y52" s="52" t="str">
        <f>IF(AND('Mapa final'!$AB$46="Muy Baja",'Mapa final'!$AD$46="Moderado"),CONCATENATE("R7C",'Mapa final'!$R$46),"")</f>
        <v/>
      </c>
      <c r="Z52" s="52" t="str">
        <f>IF(AND('Mapa final'!$AB$47="Muy Baja",'Mapa final'!$AD$47="Moderado"),CONCATENATE("R7C",'Mapa final'!$R$47),"")</f>
        <v/>
      </c>
      <c r="AA52" s="53" t="str">
        <f>IF(AND('Mapa final'!$AB$48="Muy Baja",'Mapa final'!$AD$48="Moderado"),CONCATENATE("R7C",'Mapa final'!$R$48),"")</f>
        <v/>
      </c>
      <c r="AB52" s="36" t="str">
        <f>IF(AND('Mapa final'!$AB$43="Muy Baja",'Mapa final'!$AD$43="Mayor"),CONCATENATE("R7C",'Mapa final'!$R$43),"")</f>
        <v/>
      </c>
      <c r="AC52" s="37" t="str">
        <f>IF(AND('Mapa final'!$AB$44="Muy Baja",'Mapa final'!$AD$44="Mayor"),CONCATENATE("R7C",'Mapa final'!$R$44),"")</f>
        <v/>
      </c>
      <c r="AD52" s="37" t="str">
        <f>IF(AND('Mapa final'!$AB$45="Muy Baja",'Mapa final'!$AD$45="Mayor"),CONCATENATE("R7C",'Mapa final'!$R$45),"")</f>
        <v/>
      </c>
      <c r="AE52" s="37" t="str">
        <f>IF(AND('Mapa final'!$AB$46="Muy Baja",'Mapa final'!$AD$46="Mayor"),CONCATENATE("R7C",'Mapa final'!$R$46),"")</f>
        <v/>
      </c>
      <c r="AF52" s="37" t="str">
        <f>IF(AND('Mapa final'!$AB$47="Muy Baja",'Mapa final'!$AD$47="Mayor"),CONCATENATE("R7C",'Mapa final'!$R$47),"")</f>
        <v/>
      </c>
      <c r="AG52" s="38" t="str">
        <f>IF(AND('Mapa final'!$AB$48="Muy Baja",'Mapa final'!$AD$48="Mayor"),CONCATENATE("R7C",'Mapa final'!$R$48),"")</f>
        <v/>
      </c>
      <c r="AH52" s="39" t="str">
        <f>IF(AND('Mapa final'!$AB$43="Muy Baja",'Mapa final'!$AD$43="Catastrófico"),CONCATENATE("R7C",'Mapa final'!$R$43),"")</f>
        <v/>
      </c>
      <c r="AI52" s="40" t="str">
        <f>IF(AND('Mapa final'!$AB$44="Muy Baja",'Mapa final'!$AD$44="Catastrófico"),CONCATENATE("R7C",'Mapa final'!$R$44),"")</f>
        <v/>
      </c>
      <c r="AJ52" s="40" t="str">
        <f>IF(AND('Mapa final'!$AB$45="Muy Baja",'Mapa final'!$AD$45="Catastrófico"),CONCATENATE("R7C",'Mapa final'!$R$45),"")</f>
        <v/>
      </c>
      <c r="AK52" s="40" t="str">
        <f>IF(AND('Mapa final'!$AB$46="Muy Baja",'Mapa final'!$AD$46="Catastrófico"),CONCATENATE("R7C",'Mapa final'!$R$46),"")</f>
        <v/>
      </c>
      <c r="AL52" s="40" t="str">
        <f>IF(AND('Mapa final'!$AB$47="Muy Baja",'Mapa final'!$AD$47="Catastrófico"),CONCATENATE("R7C",'Mapa final'!$R$47),"")</f>
        <v/>
      </c>
      <c r="AM52" s="41" t="str">
        <f>IF(AND('Mapa final'!$AB$48="Muy Baja",'Mapa final'!$AD$48="Catastrófico"),CONCATENATE("R7C",'Mapa final'!$R$48),"")</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481"/>
      <c r="C53" s="481"/>
      <c r="D53" s="482"/>
      <c r="E53" s="580"/>
      <c r="F53" s="579"/>
      <c r="G53" s="579"/>
      <c r="H53" s="579"/>
      <c r="I53" s="595"/>
      <c r="J53" s="60" t="str">
        <f>IF(AND('Mapa final'!$AB$49="Muy Baja",'Mapa final'!$AD$49="Leve"),CONCATENATE("R8C",'Mapa final'!$R$49),"")</f>
        <v/>
      </c>
      <c r="K53" s="61" t="str">
        <f>IF(AND('Mapa final'!$AB$50="Muy Baja",'Mapa final'!$AD$50="Leve"),CONCATENATE("R8C",'Mapa final'!$R$50),"")</f>
        <v/>
      </c>
      <c r="L53" s="61" t="str">
        <f>IF(AND('Mapa final'!$AB$51="Muy Baja",'Mapa final'!$AD$51="Leve"),CONCATENATE("R8C",'Mapa final'!$R$51),"")</f>
        <v/>
      </c>
      <c r="M53" s="61" t="str">
        <f>IF(AND('Mapa final'!$AB$52="Muy Baja",'Mapa final'!$AD$52="Leve"),CONCATENATE("R8C",'Mapa final'!$R$52),"")</f>
        <v/>
      </c>
      <c r="N53" s="61" t="str">
        <f>IF(AND('Mapa final'!$AB$53="Muy Baja",'Mapa final'!$AD$53="Leve"),CONCATENATE("R8C",'Mapa final'!$R$53),"")</f>
        <v/>
      </c>
      <c r="O53" s="62" t="str">
        <f>IF(AND('Mapa final'!$AB$54="Muy Baja",'Mapa final'!$AD$54="Leve"),CONCATENATE("R8C",'Mapa final'!$R$54),"")</f>
        <v/>
      </c>
      <c r="P53" s="60" t="str">
        <f>IF(AND('Mapa final'!$AB$49="Muy Baja",'Mapa final'!$AD$49="Menor"),CONCATENATE("R8C",'Mapa final'!$R$49),"")</f>
        <v/>
      </c>
      <c r="Q53" s="61" t="str">
        <f>IF(AND('Mapa final'!$AB$50="Muy Baja",'Mapa final'!$AD$50="Menor"),CONCATENATE("R8C",'Mapa final'!$R$50),"")</f>
        <v/>
      </c>
      <c r="R53" s="61" t="str">
        <f>IF(AND('Mapa final'!$AB$51="Muy Baja",'Mapa final'!$AD$51="Menor"),CONCATENATE("R8C",'Mapa final'!$R$51),"")</f>
        <v/>
      </c>
      <c r="S53" s="61" t="str">
        <f>IF(AND('Mapa final'!$AB$52="Muy Baja",'Mapa final'!$AD$52="Menor"),CONCATENATE("R8C",'Mapa final'!$R$52),"")</f>
        <v/>
      </c>
      <c r="T53" s="61" t="str">
        <f>IF(AND('Mapa final'!$AB$53="Muy Baja",'Mapa final'!$AD$53="Menor"),CONCATENATE("R8C",'Mapa final'!$R$53),"")</f>
        <v/>
      </c>
      <c r="U53" s="62" t="str">
        <f>IF(AND('Mapa final'!$AB$54="Muy Baja",'Mapa final'!$AD$54="Menor"),CONCATENATE("R8C",'Mapa final'!$R$54),"")</f>
        <v/>
      </c>
      <c r="V53" s="51" t="str">
        <f>IF(AND('Mapa final'!$AB$49="Muy Baja",'Mapa final'!$AD$49="Moderado"),CONCATENATE("R8C",'Mapa final'!$R$49),"")</f>
        <v/>
      </c>
      <c r="W53" s="52" t="str">
        <f>IF(AND('Mapa final'!$AB$50="Muy Baja",'Mapa final'!$AD$50="Moderado"),CONCATENATE("R8C",'Mapa final'!$R$50),"")</f>
        <v/>
      </c>
      <c r="X53" s="52" t="str">
        <f>IF(AND('Mapa final'!$AB$51="Muy Baja",'Mapa final'!$AD$51="Moderado"),CONCATENATE("R8C",'Mapa final'!$R$51),"")</f>
        <v/>
      </c>
      <c r="Y53" s="52" t="str">
        <f>IF(AND('Mapa final'!$AB$52="Muy Baja",'Mapa final'!$AD$52="Moderado"),CONCATENATE("R8C",'Mapa final'!$R$52),"")</f>
        <v/>
      </c>
      <c r="Z53" s="52" t="str">
        <f>IF(AND('Mapa final'!$AB$53="Muy Baja",'Mapa final'!$AD$53="Moderado"),CONCATENATE("R8C",'Mapa final'!$R$53),"")</f>
        <v/>
      </c>
      <c r="AA53" s="53" t="str">
        <f>IF(AND('Mapa final'!$AB$54="Muy Baja",'Mapa final'!$AD$54="Moderado"),CONCATENATE("R8C",'Mapa final'!$R$54),"")</f>
        <v/>
      </c>
      <c r="AB53" s="36" t="str">
        <f>IF(AND('Mapa final'!$AB$49="Muy Baja",'Mapa final'!$AD$49="Mayor"),CONCATENATE("R8C",'Mapa final'!$R$49),"")</f>
        <v/>
      </c>
      <c r="AC53" s="37" t="str">
        <f>IF(AND('Mapa final'!$AB$50="Muy Baja",'Mapa final'!$AD$50="Mayor"),CONCATENATE("R8C",'Mapa final'!$R$50),"")</f>
        <v/>
      </c>
      <c r="AD53" s="37" t="str">
        <f>IF(AND('Mapa final'!$AB$51="Muy Baja",'Mapa final'!$AD$51="Mayor"),CONCATENATE("R8C",'Mapa final'!$R$51),"")</f>
        <v/>
      </c>
      <c r="AE53" s="37" t="str">
        <f>IF(AND('Mapa final'!$AB$52="Muy Baja",'Mapa final'!$AD$52="Mayor"),CONCATENATE("R8C",'Mapa final'!$R$52),"")</f>
        <v/>
      </c>
      <c r="AF53" s="37" t="str">
        <f>IF(AND('Mapa final'!$AB$53="Muy Baja",'Mapa final'!$AD$53="Mayor"),CONCATENATE("R8C",'Mapa final'!$R$53),"")</f>
        <v/>
      </c>
      <c r="AG53" s="38" t="str">
        <f>IF(AND('Mapa final'!$AB$54="Muy Baja",'Mapa final'!$AD$54="Mayor"),CONCATENATE("R8C",'Mapa final'!$R$54),"")</f>
        <v/>
      </c>
      <c r="AH53" s="39" t="str">
        <f>IF(AND('Mapa final'!$AB$49="Muy Baja",'Mapa final'!$AD$49="Catastrófico"),CONCATENATE("R8C",'Mapa final'!$R$49),"")</f>
        <v/>
      </c>
      <c r="AI53" s="40" t="str">
        <f>IF(AND('Mapa final'!$AB$50="Muy Baja",'Mapa final'!$AD$50="Catastrófico"),CONCATENATE("R8C",'Mapa final'!$R$50),"")</f>
        <v/>
      </c>
      <c r="AJ53" s="40" t="str">
        <f>IF(AND('Mapa final'!$AB$51="Muy Baja",'Mapa final'!$AD$51="Catastrófico"),CONCATENATE("R8C",'Mapa final'!$R$51),"")</f>
        <v/>
      </c>
      <c r="AK53" s="40" t="str">
        <f>IF(AND('Mapa final'!$AB$52="Muy Baja",'Mapa final'!$AD$52="Catastrófico"),CONCATENATE("R8C",'Mapa final'!$R$52),"")</f>
        <v/>
      </c>
      <c r="AL53" s="40" t="str">
        <f>IF(AND('Mapa final'!$AB$53="Muy Baja",'Mapa final'!$AD$53="Catastrófico"),CONCATENATE("R8C",'Mapa final'!$R$53),"")</f>
        <v/>
      </c>
      <c r="AM53" s="41" t="str">
        <f>IF(AND('Mapa final'!$AB$54="Muy Baja",'Mapa final'!$AD$54="Catastrófico"),CONCATENATE("R8C",'Mapa final'!$R$54),"")</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481"/>
      <c r="C54" s="481"/>
      <c r="D54" s="482"/>
      <c r="E54" s="580"/>
      <c r="F54" s="579"/>
      <c r="G54" s="579"/>
      <c r="H54" s="579"/>
      <c r="I54" s="595"/>
      <c r="J54" s="60" t="str">
        <f>IF(AND('Mapa final'!$AB$55="Muy Baja",'Mapa final'!$AD$55="Leve"),CONCATENATE("R9C",'Mapa final'!$R$55),"")</f>
        <v/>
      </c>
      <c r="K54" s="61" t="str">
        <f>IF(AND('Mapa final'!$AB$56="Muy Baja",'Mapa final'!$AD$56="Leve"),CONCATENATE("R9C",'Mapa final'!$R$56),"")</f>
        <v/>
      </c>
      <c r="L54" s="61" t="str">
        <f>IF(AND('Mapa final'!$AB$57="Muy Baja",'Mapa final'!$AD$57="Leve"),CONCATENATE("R9C",'Mapa final'!$R$57),"")</f>
        <v/>
      </c>
      <c r="M54" s="61" t="str">
        <f>IF(AND('Mapa final'!$AB$58="Muy Baja",'Mapa final'!$AD$58="Leve"),CONCATENATE("R9C",'Mapa final'!$R$58),"")</f>
        <v/>
      </c>
      <c r="N54" s="61" t="str">
        <f>IF(AND('Mapa final'!$AB$59="Muy Baja",'Mapa final'!$AD$59="Leve"),CONCATENATE("R9C",'Mapa final'!$R$59),"")</f>
        <v/>
      </c>
      <c r="O54" s="62" t="str">
        <f>IF(AND('Mapa final'!$AB$60="Muy Baja",'Mapa final'!$AD$60="Leve"),CONCATENATE("R9C",'Mapa final'!$R$60),"")</f>
        <v/>
      </c>
      <c r="P54" s="60" t="str">
        <f>IF(AND('Mapa final'!$AB$55="Muy Baja",'Mapa final'!$AD$55="Menor"),CONCATENATE("R9C",'Mapa final'!$R$55),"")</f>
        <v/>
      </c>
      <c r="Q54" s="61" t="str">
        <f>IF(AND('Mapa final'!$AB$56="Muy Baja",'Mapa final'!$AD$56="Menor"),CONCATENATE("R9C",'Mapa final'!$R$56),"")</f>
        <v/>
      </c>
      <c r="R54" s="61" t="str">
        <f>IF(AND('Mapa final'!$AB$57="Muy Baja",'Mapa final'!$AD$57="Menor"),CONCATENATE("R9C",'Mapa final'!$R$57),"")</f>
        <v/>
      </c>
      <c r="S54" s="61" t="str">
        <f>IF(AND('Mapa final'!$AB$58="Muy Baja",'Mapa final'!$AD$58="Menor"),CONCATENATE("R9C",'Mapa final'!$R$58),"")</f>
        <v/>
      </c>
      <c r="T54" s="61" t="str">
        <f>IF(AND('Mapa final'!$AB$59="Muy Baja",'Mapa final'!$AD$59="Menor"),CONCATENATE("R9C",'Mapa final'!$R$59),"")</f>
        <v/>
      </c>
      <c r="U54" s="62" t="str">
        <f>IF(AND('Mapa final'!$AB$60="Muy Baja",'Mapa final'!$AD$60="Menor"),CONCATENATE("R9C",'Mapa final'!$R$60),"")</f>
        <v/>
      </c>
      <c r="V54" s="51" t="str">
        <f>IF(AND('Mapa final'!$AB$55="Muy Baja",'Mapa final'!$AD$55="Moderado"),CONCATENATE("R9C",'Mapa final'!$R$55),"")</f>
        <v/>
      </c>
      <c r="W54" s="52" t="str">
        <f>IF(AND('Mapa final'!$AB$56="Muy Baja",'Mapa final'!$AD$56="Moderado"),CONCATENATE("R9C",'Mapa final'!$R$56),"")</f>
        <v/>
      </c>
      <c r="X54" s="52" t="str">
        <f>IF(AND('Mapa final'!$AB$57="Muy Baja",'Mapa final'!$AD$57="Moderado"),CONCATENATE("R9C",'Mapa final'!$R$57),"")</f>
        <v/>
      </c>
      <c r="Y54" s="52" t="str">
        <f>IF(AND('Mapa final'!$AB$58="Muy Baja",'Mapa final'!$AD$58="Moderado"),CONCATENATE("R9C",'Mapa final'!$R$58),"")</f>
        <v/>
      </c>
      <c r="Z54" s="52" t="str">
        <f>IF(AND('Mapa final'!$AB$59="Muy Baja",'Mapa final'!$AD$59="Moderado"),CONCATENATE("R9C",'Mapa final'!$R$59),"")</f>
        <v/>
      </c>
      <c r="AA54" s="53" t="str">
        <f>IF(AND('Mapa final'!$AB$60="Muy Baja",'Mapa final'!$AD$60="Moderado"),CONCATENATE("R9C",'Mapa final'!$R$60),"")</f>
        <v/>
      </c>
      <c r="AB54" s="36" t="str">
        <f>IF(AND('Mapa final'!$AB$55="Muy Baja",'Mapa final'!$AD$55="Mayor"),CONCATENATE("R9C",'Mapa final'!$R$55),"")</f>
        <v/>
      </c>
      <c r="AC54" s="37" t="str">
        <f>IF(AND('Mapa final'!$AB$56="Muy Baja",'Mapa final'!$AD$56="Mayor"),CONCATENATE("R9C",'Mapa final'!$R$56),"")</f>
        <v/>
      </c>
      <c r="AD54" s="37" t="str">
        <f>IF(AND('Mapa final'!$AB$57="Muy Baja",'Mapa final'!$AD$57="Mayor"),CONCATENATE("R9C",'Mapa final'!$R$57),"")</f>
        <v/>
      </c>
      <c r="AE54" s="37" t="str">
        <f>IF(AND('Mapa final'!$AB$58="Muy Baja",'Mapa final'!$AD$58="Mayor"),CONCATENATE("R9C",'Mapa final'!$R$58),"")</f>
        <v/>
      </c>
      <c r="AF54" s="37" t="str">
        <f>IF(AND('Mapa final'!$AB$59="Muy Baja",'Mapa final'!$AD$59="Mayor"),CONCATENATE("R9C",'Mapa final'!$R$59),"")</f>
        <v/>
      </c>
      <c r="AG54" s="38" t="str">
        <f>IF(AND('Mapa final'!$AB$60="Muy Baja",'Mapa final'!$AD$60="Mayor"),CONCATENATE("R9C",'Mapa final'!$R$60),"")</f>
        <v/>
      </c>
      <c r="AH54" s="39" t="str">
        <f>IF(AND('Mapa final'!$AB$55="Muy Baja",'Mapa final'!$AD$55="Catastrófico"),CONCATENATE("R9C",'Mapa final'!$R$55),"")</f>
        <v/>
      </c>
      <c r="AI54" s="40" t="str">
        <f>IF(AND('Mapa final'!$AB$56="Muy Baja",'Mapa final'!$AD$56="Catastrófico"),CONCATENATE("R9C",'Mapa final'!$R$56),"")</f>
        <v/>
      </c>
      <c r="AJ54" s="40" t="str">
        <f>IF(AND('Mapa final'!$AB$57="Muy Baja",'Mapa final'!$AD$57="Catastrófico"),CONCATENATE("R9C",'Mapa final'!$R$57),"")</f>
        <v/>
      </c>
      <c r="AK54" s="40" t="str">
        <f>IF(AND('Mapa final'!$AB$58="Muy Baja",'Mapa final'!$AD$58="Catastrófico"),CONCATENATE("R9C",'Mapa final'!$R$58),"")</f>
        <v/>
      </c>
      <c r="AL54" s="40" t="str">
        <f>IF(AND('Mapa final'!$AB$59="Muy Baja",'Mapa final'!$AD$59="Catastrófico"),CONCATENATE("R9C",'Mapa final'!$R$59),"")</f>
        <v/>
      </c>
      <c r="AM54" s="41" t="str">
        <f>IF(AND('Mapa final'!$AB$60="Muy Baja",'Mapa final'!$AD$60="Catastrófico"),CONCATENATE("R9C",'Mapa final'!$R$60),"")</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481"/>
      <c r="C55" s="481"/>
      <c r="D55" s="482"/>
      <c r="E55" s="581"/>
      <c r="F55" s="582"/>
      <c r="G55" s="582"/>
      <c r="H55" s="582"/>
      <c r="I55" s="596"/>
      <c r="J55" s="63" t="str">
        <f>IF(AND('Mapa final'!$AB$61="Muy Baja",'Mapa final'!$AD$61="Leve"),CONCATENATE("R10C",'Mapa final'!$R$61),"")</f>
        <v/>
      </c>
      <c r="K55" s="64" t="str">
        <f>IF(AND('Mapa final'!$AB$62="Muy Baja",'Mapa final'!$AD$62="Leve"),CONCATENATE("R10C",'Mapa final'!$R$62),"")</f>
        <v/>
      </c>
      <c r="L55" s="64" t="str">
        <f>IF(AND('Mapa final'!$AB$63="Muy Baja",'Mapa final'!$AD$63="Leve"),CONCATENATE("R10C",'Mapa final'!$R$63),"")</f>
        <v/>
      </c>
      <c r="M55" s="64" t="str">
        <f>IF(AND('Mapa final'!$AB$64="Muy Baja",'Mapa final'!$AD$64="Leve"),CONCATENATE("R10C",'Mapa final'!$R$64),"")</f>
        <v/>
      </c>
      <c r="N55" s="64" t="str">
        <f>IF(AND('Mapa final'!$AB$65="Muy Baja",'Mapa final'!$AD$65="Leve"),CONCATENATE("R10C",'Mapa final'!$R$65),"")</f>
        <v/>
      </c>
      <c r="O55" s="65" t="str">
        <f>IF(AND('Mapa final'!$AB$66="Muy Baja",'Mapa final'!$AD$66="Leve"),CONCATENATE("R10C",'Mapa final'!$R$66),"")</f>
        <v/>
      </c>
      <c r="P55" s="63" t="str">
        <f>IF(AND('Mapa final'!$AB$61="Muy Baja",'Mapa final'!$AD$61="Menor"),CONCATENATE("R10C",'Mapa final'!$R$61),"")</f>
        <v/>
      </c>
      <c r="Q55" s="64" t="str">
        <f>IF(AND('Mapa final'!$AB$62="Muy Baja",'Mapa final'!$AD$62="Menor"),CONCATENATE("R10C",'Mapa final'!$R$62),"")</f>
        <v/>
      </c>
      <c r="R55" s="64" t="str">
        <f>IF(AND('Mapa final'!$AB$63="Muy Baja",'Mapa final'!$AD$63="Menor"),CONCATENATE("R10C",'Mapa final'!$R$63),"")</f>
        <v/>
      </c>
      <c r="S55" s="64" t="str">
        <f>IF(AND('Mapa final'!$AB$64="Muy Baja",'Mapa final'!$AD$64="Menor"),CONCATENATE("R10C",'Mapa final'!$R$64),"")</f>
        <v/>
      </c>
      <c r="T55" s="64" t="str">
        <f>IF(AND('Mapa final'!$AB$65="Muy Baja",'Mapa final'!$AD$65="Menor"),CONCATENATE("R10C",'Mapa final'!$R$65),"")</f>
        <v/>
      </c>
      <c r="U55" s="65" t="str">
        <f>IF(AND('Mapa final'!$AB$66="Muy Baja",'Mapa final'!$AD$66="Menor"),CONCATENATE("R10C",'Mapa final'!$R$66),"")</f>
        <v/>
      </c>
      <c r="V55" s="54" t="str">
        <f>IF(AND('Mapa final'!$AB$61="Muy Baja",'Mapa final'!$AD$61="Moderado"),CONCATENATE("R10C",'Mapa final'!$R$61),"")</f>
        <v/>
      </c>
      <c r="W55" s="55" t="str">
        <f>IF(AND('Mapa final'!$AB$62="Muy Baja",'Mapa final'!$AD$62="Moderado"),CONCATENATE("R10C",'Mapa final'!$R$62),"")</f>
        <v/>
      </c>
      <c r="X55" s="55" t="str">
        <f>IF(AND('Mapa final'!$AB$63="Muy Baja",'Mapa final'!$AD$63="Moderado"),CONCATENATE("R10C",'Mapa final'!$R$63),"")</f>
        <v/>
      </c>
      <c r="Y55" s="55" t="str">
        <f>IF(AND('Mapa final'!$AB$64="Muy Baja",'Mapa final'!$AD$64="Moderado"),CONCATENATE("R10C",'Mapa final'!$R$64),"")</f>
        <v/>
      </c>
      <c r="Z55" s="55" t="str">
        <f>IF(AND('Mapa final'!$AB$65="Muy Baja",'Mapa final'!$AD$65="Moderado"),CONCATENATE("R10C",'Mapa final'!$R$65),"")</f>
        <v/>
      </c>
      <c r="AA55" s="56" t="str">
        <f>IF(AND('Mapa final'!$AB$66="Muy Baja",'Mapa final'!$AD$66="Moderado"),CONCATENATE("R10C",'Mapa final'!$R$66),"")</f>
        <v/>
      </c>
      <c r="AB55" s="42" t="str">
        <f>IF(AND('Mapa final'!$AB$61="Muy Baja",'Mapa final'!$AD$61="Mayor"),CONCATENATE("R10C",'Mapa final'!$R$61),"")</f>
        <v/>
      </c>
      <c r="AC55" s="43" t="str">
        <f>IF(AND('Mapa final'!$AB$62="Muy Baja",'Mapa final'!$AD$62="Mayor"),CONCATENATE("R10C",'Mapa final'!$R$62),"")</f>
        <v/>
      </c>
      <c r="AD55" s="43" t="str">
        <f>IF(AND('Mapa final'!$AB$63="Muy Baja",'Mapa final'!$AD$63="Mayor"),CONCATENATE("R10C",'Mapa final'!$R$63),"")</f>
        <v/>
      </c>
      <c r="AE55" s="43" t="str">
        <f>IF(AND('Mapa final'!$AB$64="Muy Baja",'Mapa final'!$AD$64="Mayor"),CONCATENATE("R10C",'Mapa final'!$R$64),"")</f>
        <v/>
      </c>
      <c r="AF55" s="43" t="str">
        <f>IF(AND('Mapa final'!$AB$65="Muy Baja",'Mapa final'!$AD$65="Mayor"),CONCATENATE("R10C",'Mapa final'!$R$65),"")</f>
        <v/>
      </c>
      <c r="AG55" s="44" t="str">
        <f>IF(AND('Mapa final'!$AB$66="Muy Baja",'Mapa final'!$AD$66="Mayor"),CONCATENATE("R10C",'Mapa final'!$R$66),"")</f>
        <v/>
      </c>
      <c r="AH55" s="45" t="str">
        <f>IF(AND('Mapa final'!$AB$61="Muy Baja",'Mapa final'!$AD$61="Catastrófico"),CONCATENATE("R10C",'Mapa final'!$R$61),"")</f>
        <v/>
      </c>
      <c r="AI55" s="46" t="str">
        <f>IF(AND('Mapa final'!$AB$62="Muy Baja",'Mapa final'!$AD$62="Catastrófico"),CONCATENATE("R10C",'Mapa final'!$R$62),"")</f>
        <v/>
      </c>
      <c r="AJ55" s="46" t="str">
        <f>IF(AND('Mapa final'!$AB$63="Muy Baja",'Mapa final'!$AD$63="Catastrófico"),CONCATENATE("R10C",'Mapa final'!$R$63),"")</f>
        <v/>
      </c>
      <c r="AK55" s="46" t="str">
        <f>IF(AND('Mapa final'!$AB$64="Muy Baja",'Mapa final'!$AD$64="Catastrófico"),CONCATENATE("R10C",'Mapa final'!$R$64),"")</f>
        <v/>
      </c>
      <c r="AL55" s="46" t="str">
        <f>IF(AND('Mapa final'!$AB$65="Muy Baja",'Mapa final'!$AD$65="Catastrófico"),CONCATENATE("R10C",'Mapa final'!$R$65),"")</f>
        <v/>
      </c>
      <c r="AM55" s="47" t="str">
        <f>IF(AND('Mapa final'!$AB$66="Muy Baja",'Mapa final'!$AD$66="Catastrófico"),CONCATENATE("R10C",'Mapa final'!$R$66),"")</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576" t="s">
        <v>107</v>
      </c>
      <c r="K56" s="577"/>
      <c r="L56" s="577"/>
      <c r="M56" s="577"/>
      <c r="N56" s="577"/>
      <c r="O56" s="594"/>
      <c r="P56" s="576" t="s">
        <v>106</v>
      </c>
      <c r="Q56" s="577"/>
      <c r="R56" s="577"/>
      <c r="S56" s="577"/>
      <c r="T56" s="577"/>
      <c r="U56" s="594"/>
      <c r="V56" s="576" t="s">
        <v>105</v>
      </c>
      <c r="W56" s="577"/>
      <c r="X56" s="577"/>
      <c r="Y56" s="577"/>
      <c r="Z56" s="577"/>
      <c r="AA56" s="594"/>
      <c r="AB56" s="576" t="s">
        <v>104</v>
      </c>
      <c r="AC56" s="615"/>
      <c r="AD56" s="577"/>
      <c r="AE56" s="577"/>
      <c r="AF56" s="577"/>
      <c r="AG56" s="594"/>
      <c r="AH56" s="576" t="s">
        <v>103</v>
      </c>
      <c r="AI56" s="577"/>
      <c r="AJ56" s="577"/>
      <c r="AK56" s="577"/>
      <c r="AL56" s="577"/>
      <c r="AM56" s="594"/>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580"/>
      <c r="K57" s="579"/>
      <c r="L57" s="579"/>
      <c r="M57" s="579"/>
      <c r="N57" s="579"/>
      <c r="O57" s="595"/>
      <c r="P57" s="580"/>
      <c r="Q57" s="579"/>
      <c r="R57" s="579"/>
      <c r="S57" s="579"/>
      <c r="T57" s="579"/>
      <c r="U57" s="595"/>
      <c r="V57" s="580"/>
      <c r="W57" s="579"/>
      <c r="X57" s="579"/>
      <c r="Y57" s="579"/>
      <c r="Z57" s="579"/>
      <c r="AA57" s="595"/>
      <c r="AB57" s="580"/>
      <c r="AC57" s="579"/>
      <c r="AD57" s="579"/>
      <c r="AE57" s="579"/>
      <c r="AF57" s="579"/>
      <c r="AG57" s="595"/>
      <c r="AH57" s="580"/>
      <c r="AI57" s="579"/>
      <c r="AJ57" s="579"/>
      <c r="AK57" s="579"/>
      <c r="AL57" s="579"/>
      <c r="AM57" s="595"/>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580"/>
      <c r="K58" s="579"/>
      <c r="L58" s="579"/>
      <c r="M58" s="579"/>
      <c r="N58" s="579"/>
      <c r="O58" s="595"/>
      <c r="P58" s="580"/>
      <c r="Q58" s="579"/>
      <c r="R58" s="579"/>
      <c r="S58" s="579"/>
      <c r="T58" s="579"/>
      <c r="U58" s="595"/>
      <c r="V58" s="580"/>
      <c r="W58" s="579"/>
      <c r="X58" s="579"/>
      <c r="Y58" s="579"/>
      <c r="Z58" s="579"/>
      <c r="AA58" s="595"/>
      <c r="AB58" s="580"/>
      <c r="AC58" s="579"/>
      <c r="AD58" s="579"/>
      <c r="AE58" s="579"/>
      <c r="AF58" s="579"/>
      <c r="AG58" s="595"/>
      <c r="AH58" s="580"/>
      <c r="AI58" s="579"/>
      <c r="AJ58" s="579"/>
      <c r="AK58" s="579"/>
      <c r="AL58" s="579"/>
      <c r="AM58" s="595"/>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580"/>
      <c r="K59" s="579"/>
      <c r="L59" s="579"/>
      <c r="M59" s="579"/>
      <c r="N59" s="579"/>
      <c r="O59" s="595"/>
      <c r="P59" s="580"/>
      <c r="Q59" s="579"/>
      <c r="R59" s="579"/>
      <c r="S59" s="579"/>
      <c r="T59" s="579"/>
      <c r="U59" s="595"/>
      <c r="V59" s="580"/>
      <c r="W59" s="579"/>
      <c r="X59" s="579"/>
      <c r="Y59" s="579"/>
      <c r="Z59" s="579"/>
      <c r="AA59" s="595"/>
      <c r="AB59" s="580"/>
      <c r="AC59" s="579"/>
      <c r="AD59" s="579"/>
      <c r="AE59" s="579"/>
      <c r="AF59" s="579"/>
      <c r="AG59" s="595"/>
      <c r="AH59" s="580"/>
      <c r="AI59" s="579"/>
      <c r="AJ59" s="579"/>
      <c r="AK59" s="579"/>
      <c r="AL59" s="579"/>
      <c r="AM59" s="595"/>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580"/>
      <c r="K60" s="579"/>
      <c r="L60" s="579"/>
      <c r="M60" s="579"/>
      <c r="N60" s="579"/>
      <c r="O60" s="595"/>
      <c r="P60" s="580"/>
      <c r="Q60" s="579"/>
      <c r="R60" s="579"/>
      <c r="S60" s="579"/>
      <c r="T60" s="579"/>
      <c r="U60" s="595"/>
      <c r="V60" s="580"/>
      <c r="W60" s="579"/>
      <c r="X60" s="579"/>
      <c r="Y60" s="579"/>
      <c r="Z60" s="579"/>
      <c r="AA60" s="595"/>
      <c r="AB60" s="580"/>
      <c r="AC60" s="579"/>
      <c r="AD60" s="579"/>
      <c r="AE60" s="579"/>
      <c r="AF60" s="579"/>
      <c r="AG60" s="595"/>
      <c r="AH60" s="580"/>
      <c r="AI60" s="579"/>
      <c r="AJ60" s="579"/>
      <c r="AK60" s="579"/>
      <c r="AL60" s="579"/>
      <c r="AM60" s="595"/>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581"/>
      <c r="K61" s="582"/>
      <c r="L61" s="582"/>
      <c r="M61" s="582"/>
      <c r="N61" s="582"/>
      <c r="O61" s="596"/>
      <c r="P61" s="581"/>
      <c r="Q61" s="582"/>
      <c r="R61" s="582"/>
      <c r="S61" s="582"/>
      <c r="T61" s="582"/>
      <c r="U61" s="596"/>
      <c r="V61" s="581"/>
      <c r="W61" s="582"/>
      <c r="X61" s="582"/>
      <c r="Y61" s="582"/>
      <c r="Z61" s="582"/>
      <c r="AA61" s="596"/>
      <c r="AB61" s="581"/>
      <c r="AC61" s="582"/>
      <c r="AD61" s="582"/>
      <c r="AE61" s="582"/>
      <c r="AF61" s="582"/>
      <c r="AG61" s="596"/>
      <c r="AH61" s="581"/>
      <c r="AI61" s="582"/>
      <c r="AJ61" s="582"/>
      <c r="AK61" s="582"/>
      <c r="AL61" s="582"/>
      <c r="AM61" s="596"/>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workbookViewId="0">
      <selection activeCell="F4" sqref="F4"/>
    </sheetView>
  </sheetViews>
  <sheetFormatPr baseColWidth="10" defaultRowHeight="14.4" x14ac:dyDescent="0.3"/>
  <cols>
    <col min="2" max="2" width="24.109375" customWidth="1"/>
    <col min="3" max="3" width="70.109375" customWidth="1"/>
    <col min="4" max="4" width="29.88671875" customWidth="1"/>
  </cols>
  <sheetData>
    <row r="1" spans="1:37" ht="23.4" x14ac:dyDescent="0.3">
      <c r="A1" s="67"/>
      <c r="B1" s="616" t="s">
        <v>55</v>
      </c>
      <c r="C1" s="616"/>
      <c r="D1" s="616"/>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52</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51</v>
      </c>
      <c r="C4" s="14" t="s">
        <v>97</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53</v>
      </c>
      <c r="C5" s="17" t="s">
        <v>98</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102</v>
      </c>
      <c r="C6" s="17" t="s">
        <v>99</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100</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54</v>
      </c>
      <c r="C8" s="17" t="s">
        <v>101</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24"/>
  <sheetViews>
    <sheetView zoomScale="70" zoomScaleNormal="70" workbookViewId="0">
      <selection activeCell="C14" sqref="C14"/>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617" t="s">
        <v>62</v>
      </c>
      <c r="C1" s="617"/>
      <c r="D1" s="617"/>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26" t="s">
        <v>56</v>
      </c>
      <c r="D3" s="126" t="s">
        <v>57</v>
      </c>
      <c r="E3" s="89"/>
      <c r="F3" s="89"/>
      <c r="G3" s="89"/>
      <c r="H3" s="89"/>
      <c r="I3" s="89"/>
      <c r="J3" s="89"/>
      <c r="K3" s="89"/>
      <c r="L3" s="89"/>
      <c r="M3" s="89"/>
      <c r="N3" s="89"/>
      <c r="O3" s="89"/>
      <c r="P3" s="89"/>
      <c r="Q3" s="89"/>
      <c r="R3" s="89"/>
      <c r="S3" s="89"/>
      <c r="T3" s="89"/>
      <c r="U3" s="89"/>
    </row>
    <row r="4" spans="1:21" ht="32.4" x14ac:dyDescent="0.3">
      <c r="A4" s="89" t="s">
        <v>82</v>
      </c>
      <c r="B4" s="127" t="s">
        <v>96</v>
      </c>
      <c r="C4" s="128" t="s">
        <v>205</v>
      </c>
      <c r="D4" s="129" t="s">
        <v>92</v>
      </c>
      <c r="E4" s="89"/>
      <c r="F4" s="89"/>
      <c r="G4" s="89"/>
      <c r="H4" s="89"/>
      <c r="I4" s="89"/>
      <c r="J4" s="89"/>
      <c r="K4" s="89"/>
      <c r="L4" s="89"/>
      <c r="M4" s="89"/>
      <c r="N4" s="89"/>
      <c r="O4" s="89"/>
      <c r="P4" s="89"/>
      <c r="Q4" s="89"/>
      <c r="R4" s="89"/>
      <c r="S4" s="89"/>
      <c r="T4" s="89"/>
      <c r="U4" s="89"/>
    </row>
    <row r="5" spans="1:21" ht="64.8" x14ac:dyDescent="0.3">
      <c r="A5" s="89" t="s">
        <v>83</v>
      </c>
      <c r="B5" s="130" t="s">
        <v>58</v>
      </c>
      <c r="C5" s="131" t="s">
        <v>206</v>
      </c>
      <c r="D5" s="132" t="s">
        <v>93</v>
      </c>
      <c r="E5" s="89"/>
      <c r="F5" s="89"/>
      <c r="G5" s="89"/>
      <c r="H5" s="89"/>
      <c r="I5" s="89"/>
      <c r="J5" s="89"/>
      <c r="K5" s="89"/>
      <c r="L5" s="89"/>
      <c r="M5" s="89"/>
      <c r="N5" s="89"/>
      <c r="O5" s="89"/>
      <c r="P5" s="89"/>
      <c r="Q5" s="89"/>
      <c r="R5" s="89"/>
      <c r="S5" s="89"/>
      <c r="T5" s="89"/>
      <c r="U5" s="89"/>
    </row>
    <row r="6" spans="1:21" ht="64.8" x14ac:dyDescent="0.3">
      <c r="A6" s="89" t="s">
        <v>80</v>
      </c>
      <c r="B6" s="133" t="s">
        <v>59</v>
      </c>
      <c r="C6" s="131" t="s">
        <v>210</v>
      </c>
      <c r="D6" s="132" t="s">
        <v>95</v>
      </c>
      <c r="E6" s="89"/>
      <c r="F6" s="89"/>
      <c r="G6" s="89"/>
      <c r="H6" s="89"/>
      <c r="I6" s="89"/>
      <c r="J6" s="89"/>
      <c r="K6" s="89"/>
      <c r="L6" s="89"/>
      <c r="M6" s="89"/>
      <c r="N6" s="89"/>
      <c r="O6" s="89"/>
      <c r="P6" s="89"/>
      <c r="Q6" s="89"/>
      <c r="R6" s="89"/>
      <c r="S6" s="89"/>
      <c r="T6" s="89"/>
      <c r="U6" s="89"/>
    </row>
    <row r="7" spans="1:21" ht="97.2" x14ac:dyDescent="0.3">
      <c r="A7" s="89" t="s">
        <v>7</v>
      </c>
      <c r="B7" s="134" t="s">
        <v>60</v>
      </c>
      <c r="C7" s="131" t="s">
        <v>211</v>
      </c>
      <c r="D7" s="132" t="s">
        <v>94</v>
      </c>
      <c r="E7" s="89"/>
      <c r="F7" s="89"/>
      <c r="G7" s="89"/>
      <c r="H7" s="89"/>
      <c r="I7" s="89"/>
      <c r="J7" s="89"/>
      <c r="K7" s="89"/>
      <c r="L7" s="89"/>
      <c r="M7" s="89"/>
      <c r="N7" s="89"/>
      <c r="O7" s="89"/>
      <c r="P7" s="89"/>
      <c r="Q7" s="89"/>
      <c r="R7" s="89"/>
      <c r="S7" s="89"/>
      <c r="T7" s="89"/>
      <c r="U7" s="89"/>
    </row>
    <row r="8" spans="1:21" ht="64.8" x14ac:dyDescent="0.3">
      <c r="A8" s="89" t="s">
        <v>84</v>
      </c>
      <c r="B8" s="135" t="s">
        <v>61</v>
      </c>
      <c r="C8" s="131" t="s">
        <v>207</v>
      </c>
      <c r="D8" s="132" t="s">
        <v>113</v>
      </c>
      <c r="E8" s="89"/>
      <c r="F8" s="89"/>
      <c r="G8" s="89"/>
      <c r="H8" s="89"/>
      <c r="I8" s="89"/>
      <c r="J8" s="89"/>
      <c r="K8" s="89"/>
      <c r="L8" s="89"/>
      <c r="M8" s="89"/>
      <c r="N8" s="89"/>
      <c r="O8" s="89"/>
      <c r="P8" s="89"/>
      <c r="Q8" s="89"/>
      <c r="R8" s="89"/>
      <c r="S8" s="89"/>
      <c r="T8" s="89"/>
      <c r="U8" s="89"/>
    </row>
    <row r="9" spans="1:21" s="23" customFormat="1" ht="20.399999999999999" x14ac:dyDescent="0.3">
      <c r="A9" s="87"/>
      <c r="B9" s="87"/>
      <c r="C9" s="139"/>
      <c r="D9" s="139"/>
      <c r="E9" s="87"/>
      <c r="F9" s="87"/>
      <c r="G9" s="87"/>
      <c r="H9" s="87"/>
      <c r="I9" s="87"/>
      <c r="J9" s="87"/>
      <c r="K9" s="87"/>
      <c r="L9" s="87"/>
      <c r="M9" s="87"/>
      <c r="N9" s="87"/>
      <c r="O9" s="87"/>
      <c r="P9" s="87"/>
      <c r="Q9" s="87"/>
      <c r="R9" s="87"/>
      <c r="S9" s="87"/>
      <c r="T9" s="87"/>
      <c r="U9" s="87"/>
    </row>
    <row r="10" spans="1:21" s="23" customFormat="1" x14ac:dyDescent="0.3">
      <c r="A10" s="87"/>
      <c r="B10" s="140"/>
      <c r="C10" s="140"/>
      <c r="D10" s="140"/>
      <c r="E10" s="87"/>
      <c r="F10" s="87"/>
      <c r="G10" s="87"/>
      <c r="H10" s="87"/>
      <c r="I10" s="87"/>
      <c r="J10" s="87"/>
      <c r="K10" s="87"/>
      <c r="L10" s="87"/>
      <c r="M10" s="87"/>
      <c r="N10" s="87"/>
      <c r="O10" s="87"/>
      <c r="P10" s="87"/>
      <c r="Q10" s="87"/>
      <c r="R10" s="87"/>
      <c r="S10" s="87"/>
      <c r="T10" s="87"/>
      <c r="U10" s="87"/>
    </row>
    <row r="11" spans="1:21" s="23" customFormat="1" x14ac:dyDescent="0.3">
      <c r="A11" s="87"/>
      <c r="B11" s="87" t="s">
        <v>90</v>
      </c>
      <c r="C11" s="87" t="s">
        <v>209</v>
      </c>
      <c r="D11" s="87" t="s">
        <v>143</v>
      </c>
      <c r="E11" s="87"/>
      <c r="F11" s="87"/>
      <c r="G11" s="87"/>
      <c r="H11" s="87"/>
      <c r="I11" s="87"/>
      <c r="J11" s="87"/>
      <c r="K11" s="87"/>
      <c r="L11" s="87"/>
      <c r="M11" s="87"/>
      <c r="N11" s="87"/>
      <c r="O11" s="87"/>
      <c r="P11" s="87"/>
      <c r="Q11" s="87"/>
      <c r="R11" s="87"/>
      <c r="S11" s="87"/>
      <c r="T11" s="87"/>
      <c r="U11" s="87"/>
    </row>
    <row r="12" spans="1:21" s="23" customFormat="1" x14ac:dyDescent="0.3">
      <c r="A12" s="87"/>
      <c r="B12" s="87" t="s">
        <v>88</v>
      </c>
      <c r="C12" s="87" t="s">
        <v>208</v>
      </c>
      <c r="D12" s="87" t="s">
        <v>144</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212</v>
      </c>
      <c r="D13" s="87" t="s">
        <v>145</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214</v>
      </c>
      <c r="D14" s="87" t="s">
        <v>146</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213</v>
      </c>
      <c r="D15" s="87" t="s">
        <v>147</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39"/>
      <c r="D22" s="139"/>
      <c r="E22" s="87"/>
      <c r="F22" s="87"/>
      <c r="G22" s="87"/>
      <c r="H22" s="87"/>
      <c r="I22" s="87"/>
      <c r="J22" s="87"/>
      <c r="K22" s="87"/>
      <c r="L22" s="87"/>
      <c r="M22" s="87"/>
      <c r="N22" s="87"/>
      <c r="O22" s="87"/>
    </row>
    <row r="23" spans="1:15" s="23" customFormat="1" ht="20.399999999999999" x14ac:dyDescent="0.3">
      <c r="A23" s="87"/>
      <c r="B23" s="87"/>
      <c r="C23" s="139"/>
      <c r="D23" s="139"/>
      <c r="E23" s="87"/>
      <c r="F23" s="87"/>
      <c r="G23" s="87"/>
      <c r="H23" s="87"/>
      <c r="I23" s="87"/>
      <c r="J23" s="87"/>
      <c r="K23" s="87"/>
      <c r="L23" s="87"/>
      <c r="M23" s="87"/>
      <c r="N23" s="87"/>
      <c r="O23" s="87"/>
    </row>
    <row r="24" spans="1:15" s="23" customFormat="1" ht="20.399999999999999" x14ac:dyDescent="0.3">
      <c r="A24" s="87"/>
      <c r="B24" s="87"/>
      <c r="C24" s="139"/>
      <c r="D24" s="139"/>
      <c r="E24" s="87"/>
      <c r="F24" s="87"/>
      <c r="G24" s="87"/>
      <c r="H24" s="87"/>
      <c r="I24" s="87"/>
      <c r="J24" s="87"/>
      <c r="K24" s="87"/>
      <c r="L24" s="87"/>
      <c r="M24" s="87"/>
      <c r="N24" s="87"/>
      <c r="O24" s="87"/>
    </row>
    <row r="25" spans="1:15" s="23" customFormat="1" ht="20.399999999999999" x14ac:dyDescent="0.3">
      <c r="A25" s="87"/>
      <c r="B25" s="87"/>
      <c r="C25" s="139"/>
      <c r="D25" s="139"/>
      <c r="E25" s="87"/>
      <c r="F25" s="87"/>
      <c r="G25" s="87"/>
      <c r="H25" s="87"/>
      <c r="I25" s="87"/>
      <c r="J25" s="87"/>
      <c r="K25" s="87"/>
      <c r="L25" s="87"/>
      <c r="M25" s="87"/>
      <c r="N25" s="87"/>
      <c r="O25" s="87"/>
    </row>
    <row r="26" spans="1:15" s="23" customFormat="1" ht="20.399999999999999" x14ac:dyDescent="0.3">
      <c r="A26" s="87"/>
      <c r="B26" s="87"/>
      <c r="C26" s="139"/>
      <c r="D26" s="139"/>
      <c r="E26" s="87"/>
      <c r="F26" s="87"/>
      <c r="G26" s="87"/>
      <c r="H26" s="87"/>
      <c r="I26" s="87"/>
      <c r="J26" s="87"/>
      <c r="K26" s="87"/>
      <c r="L26" s="87"/>
      <c r="M26" s="87"/>
      <c r="N26" s="87"/>
      <c r="O26" s="87"/>
    </row>
    <row r="27" spans="1:15" s="23" customFormat="1" ht="20.399999999999999" x14ac:dyDescent="0.3">
      <c r="A27" s="87"/>
      <c r="B27" s="87"/>
      <c r="C27" s="139"/>
      <c r="D27" s="139"/>
      <c r="E27" s="87"/>
      <c r="F27" s="87"/>
      <c r="G27" s="87"/>
      <c r="H27" s="87"/>
      <c r="I27" s="87"/>
      <c r="J27" s="87"/>
      <c r="K27" s="87"/>
      <c r="L27" s="87"/>
      <c r="M27" s="87"/>
      <c r="N27" s="87"/>
      <c r="O27" s="87"/>
    </row>
    <row r="28" spans="1:15" s="23" customFormat="1" ht="20.399999999999999" x14ac:dyDescent="0.3">
      <c r="A28" s="87"/>
      <c r="B28" s="87"/>
      <c r="C28" s="139"/>
      <c r="D28" s="139"/>
      <c r="E28" s="87"/>
      <c r="F28" s="87"/>
      <c r="G28" s="87"/>
      <c r="H28" s="87"/>
      <c r="I28" s="87"/>
      <c r="J28" s="87"/>
      <c r="K28" s="87"/>
      <c r="L28" s="87"/>
      <c r="M28" s="87"/>
      <c r="N28" s="87"/>
      <c r="O28" s="87"/>
    </row>
    <row r="29" spans="1:15" s="23" customFormat="1" ht="20.399999999999999" x14ac:dyDescent="0.3">
      <c r="A29" s="87"/>
      <c r="B29" s="87"/>
      <c r="C29" s="139"/>
      <c r="D29" s="139"/>
      <c r="E29" s="87"/>
      <c r="F29" s="87"/>
      <c r="G29" s="87"/>
      <c r="H29" s="87"/>
      <c r="I29" s="87"/>
      <c r="J29" s="87"/>
      <c r="K29" s="87"/>
      <c r="L29" s="87"/>
      <c r="M29" s="87"/>
      <c r="N29" s="87"/>
      <c r="O29" s="87"/>
    </row>
    <row r="30" spans="1:15" s="23" customFormat="1" ht="20.399999999999999" x14ac:dyDescent="0.3">
      <c r="A30" s="87"/>
      <c r="B30" s="87"/>
      <c r="C30" s="139"/>
      <c r="D30" s="139"/>
      <c r="E30" s="87"/>
      <c r="F30" s="87"/>
      <c r="G30" s="87"/>
      <c r="H30" s="87"/>
      <c r="I30" s="87"/>
      <c r="J30" s="87"/>
      <c r="K30" s="87"/>
      <c r="L30" s="87"/>
      <c r="M30" s="87"/>
      <c r="N30" s="87"/>
      <c r="O30" s="87"/>
    </row>
    <row r="31" spans="1:15" s="23" customFormat="1" ht="20.399999999999999" x14ac:dyDescent="0.3">
      <c r="A31" s="87"/>
      <c r="B31" s="87"/>
      <c r="C31" s="139"/>
      <c r="D31" s="139"/>
      <c r="E31" s="87"/>
      <c r="F31" s="87"/>
      <c r="G31" s="87"/>
      <c r="H31" s="87"/>
      <c r="I31" s="87"/>
      <c r="J31" s="87"/>
      <c r="K31" s="87"/>
      <c r="L31" s="87"/>
      <c r="M31" s="87"/>
      <c r="N31" s="87"/>
      <c r="O31" s="87"/>
    </row>
    <row r="32" spans="1:15" s="23" customFormat="1" ht="20.399999999999999" x14ac:dyDescent="0.3">
      <c r="A32" s="87"/>
      <c r="B32" s="87"/>
      <c r="C32" s="139"/>
      <c r="D32" s="139"/>
      <c r="E32" s="87"/>
      <c r="F32" s="87"/>
      <c r="G32" s="87"/>
      <c r="H32" s="87"/>
      <c r="I32" s="87"/>
      <c r="J32" s="87"/>
      <c r="K32" s="87"/>
      <c r="L32" s="87"/>
      <c r="M32" s="87"/>
      <c r="N32" s="87"/>
      <c r="O32" s="87"/>
    </row>
    <row r="33" spans="1:15" s="23" customFormat="1" ht="20.399999999999999" x14ac:dyDescent="0.3">
      <c r="A33" s="87"/>
      <c r="B33" s="87"/>
      <c r="C33" s="139"/>
      <c r="D33" s="139"/>
      <c r="E33" s="87"/>
      <c r="F33" s="87"/>
      <c r="G33" s="87"/>
      <c r="H33" s="87"/>
      <c r="I33" s="87"/>
      <c r="J33" s="87"/>
      <c r="K33" s="87"/>
      <c r="L33" s="87"/>
      <c r="M33" s="87"/>
      <c r="N33" s="87"/>
      <c r="O33" s="87"/>
    </row>
    <row r="34" spans="1:15" s="23" customFormat="1" ht="20.399999999999999" x14ac:dyDescent="0.3">
      <c r="A34" s="87"/>
      <c r="B34" s="87"/>
      <c r="C34" s="139"/>
      <c r="D34" s="139"/>
      <c r="E34" s="87"/>
      <c r="F34" s="87"/>
      <c r="G34" s="87"/>
      <c r="H34" s="87"/>
      <c r="I34" s="87"/>
      <c r="J34" s="87"/>
      <c r="K34" s="87"/>
      <c r="L34" s="87"/>
      <c r="M34" s="87"/>
      <c r="N34" s="87"/>
      <c r="O34" s="87"/>
    </row>
    <row r="35" spans="1:15" s="23" customFormat="1" ht="20.399999999999999" x14ac:dyDescent="0.3">
      <c r="A35" s="87"/>
      <c r="B35" s="87"/>
      <c r="C35" s="139"/>
      <c r="D35" s="139"/>
      <c r="E35" s="87"/>
      <c r="F35" s="87"/>
      <c r="G35" s="87"/>
      <c r="H35" s="87"/>
      <c r="I35" s="87"/>
      <c r="J35" s="87"/>
      <c r="K35" s="87"/>
      <c r="L35" s="87"/>
      <c r="M35" s="87"/>
      <c r="N35" s="87"/>
      <c r="O35" s="87"/>
    </row>
    <row r="36" spans="1:15" s="23" customFormat="1" ht="20.399999999999999" x14ac:dyDescent="0.3">
      <c r="A36" s="87"/>
      <c r="B36" s="87"/>
      <c r="C36" s="139"/>
      <c r="D36" s="139"/>
      <c r="E36" s="87"/>
      <c r="F36" s="87"/>
      <c r="G36" s="87"/>
      <c r="H36" s="87"/>
      <c r="I36" s="87"/>
      <c r="J36" s="87"/>
      <c r="K36" s="87"/>
      <c r="L36" s="87"/>
      <c r="M36" s="87"/>
      <c r="N36" s="87"/>
      <c r="O36" s="87"/>
    </row>
    <row r="37" spans="1:15" s="23" customFormat="1" ht="20.399999999999999" x14ac:dyDescent="0.3">
      <c r="A37" s="87"/>
      <c r="B37" s="87"/>
      <c r="C37" s="139"/>
      <c r="D37" s="139"/>
      <c r="E37" s="87"/>
      <c r="F37" s="87"/>
      <c r="G37" s="87"/>
      <c r="H37" s="87"/>
      <c r="I37" s="87"/>
      <c r="J37" s="87"/>
      <c r="K37" s="87"/>
      <c r="L37" s="87"/>
      <c r="M37" s="87"/>
      <c r="N37" s="87"/>
      <c r="O37" s="87"/>
    </row>
    <row r="38" spans="1:15" s="23" customFormat="1" ht="20.399999999999999" x14ac:dyDescent="0.3">
      <c r="A38" s="87"/>
      <c r="B38" s="87"/>
      <c r="C38" s="139"/>
      <c r="D38" s="139"/>
      <c r="E38" s="87"/>
      <c r="F38" s="87"/>
      <c r="G38" s="87"/>
      <c r="H38" s="87"/>
      <c r="I38" s="87"/>
      <c r="J38" s="87"/>
      <c r="K38" s="87"/>
      <c r="L38" s="87"/>
      <c r="M38" s="87"/>
      <c r="N38" s="87"/>
      <c r="O38" s="87"/>
    </row>
    <row r="39" spans="1:15" s="23" customFormat="1" ht="20.399999999999999" x14ac:dyDescent="0.3">
      <c r="A39" s="87"/>
      <c r="B39" s="87"/>
      <c r="C39" s="139"/>
      <c r="D39" s="139"/>
      <c r="E39" s="87"/>
      <c r="F39" s="87"/>
      <c r="G39" s="87"/>
      <c r="H39" s="87"/>
      <c r="I39" s="87"/>
      <c r="J39" s="87"/>
      <c r="K39" s="87"/>
      <c r="L39" s="87"/>
      <c r="M39" s="87"/>
      <c r="N39" s="87"/>
      <c r="O39" s="87"/>
    </row>
    <row r="40" spans="1:15" s="23" customFormat="1" ht="20.399999999999999" x14ac:dyDescent="0.3">
      <c r="A40" s="87"/>
      <c r="B40" s="87"/>
      <c r="C40" s="139"/>
      <c r="D40" s="139"/>
      <c r="E40" s="87"/>
      <c r="F40" s="87"/>
      <c r="G40" s="87"/>
      <c r="H40" s="87"/>
      <c r="I40" s="87"/>
      <c r="J40" s="87"/>
      <c r="K40" s="87"/>
      <c r="L40" s="87"/>
      <c r="M40" s="87"/>
      <c r="N40" s="87"/>
      <c r="O40" s="87"/>
    </row>
    <row r="41" spans="1:15" s="23" customFormat="1" ht="20.399999999999999" x14ac:dyDescent="0.3">
      <c r="A41" s="87"/>
      <c r="B41" s="87"/>
      <c r="C41" s="139"/>
      <c r="D41" s="139"/>
      <c r="E41" s="87"/>
      <c r="F41" s="87"/>
      <c r="G41" s="87"/>
      <c r="H41" s="87"/>
      <c r="I41" s="87"/>
      <c r="J41" s="87"/>
      <c r="K41" s="87"/>
      <c r="L41" s="87"/>
      <c r="M41" s="87"/>
      <c r="N41" s="87"/>
      <c r="O41" s="87"/>
    </row>
    <row r="42" spans="1:15" s="23" customFormat="1" ht="20.399999999999999" x14ac:dyDescent="0.3">
      <c r="A42" s="87"/>
      <c r="B42" s="87"/>
      <c r="C42" s="139"/>
      <c r="D42" s="139"/>
      <c r="E42" s="87"/>
      <c r="F42" s="87"/>
      <c r="G42" s="87"/>
      <c r="H42" s="87"/>
      <c r="I42" s="87"/>
      <c r="J42" s="87"/>
      <c r="K42" s="87"/>
      <c r="L42" s="87"/>
      <c r="M42" s="87"/>
      <c r="N42" s="87"/>
      <c r="O42" s="87"/>
    </row>
    <row r="43" spans="1:15" s="23" customFormat="1" ht="20.399999999999999" x14ac:dyDescent="0.3">
      <c r="A43" s="87"/>
      <c r="B43" s="87"/>
      <c r="C43" s="139"/>
      <c r="D43" s="139"/>
      <c r="E43" s="87"/>
      <c r="F43" s="87"/>
      <c r="G43" s="87"/>
      <c r="H43" s="87"/>
      <c r="I43" s="87"/>
      <c r="J43" s="87"/>
      <c r="K43" s="87"/>
      <c r="L43" s="87"/>
      <c r="M43" s="87"/>
      <c r="N43" s="87"/>
      <c r="O43" s="87"/>
    </row>
    <row r="44" spans="1:15" s="23" customFormat="1" ht="20.399999999999999" x14ac:dyDescent="0.3">
      <c r="A44" s="87"/>
      <c r="B44" s="87"/>
      <c r="C44" s="139"/>
      <c r="D44" s="139"/>
      <c r="E44" s="87"/>
      <c r="F44" s="87"/>
      <c r="G44" s="87"/>
      <c r="H44" s="87"/>
      <c r="I44" s="87"/>
      <c r="J44" s="87"/>
      <c r="K44" s="87"/>
      <c r="L44" s="87"/>
      <c r="M44" s="87"/>
      <c r="N44" s="87"/>
      <c r="O44" s="87"/>
    </row>
    <row r="45" spans="1:15" s="23" customFormat="1" ht="20.399999999999999" x14ac:dyDescent="0.3">
      <c r="A45" s="87"/>
      <c r="B45" s="87"/>
      <c r="C45" s="139"/>
      <c r="D45" s="139"/>
      <c r="E45" s="87"/>
      <c r="F45" s="87"/>
      <c r="G45" s="87"/>
      <c r="H45" s="87"/>
      <c r="I45" s="87"/>
      <c r="J45" s="87"/>
      <c r="K45" s="87"/>
      <c r="L45" s="87"/>
      <c r="M45" s="87"/>
      <c r="N45" s="87"/>
      <c r="O45" s="87"/>
    </row>
    <row r="46" spans="1:15" s="23" customFormat="1" ht="20.399999999999999" x14ac:dyDescent="0.3">
      <c r="A46" s="87"/>
      <c r="B46" s="87"/>
      <c r="C46" s="139"/>
      <c r="D46" s="139"/>
      <c r="E46" s="87"/>
      <c r="F46" s="87"/>
      <c r="G46" s="87"/>
      <c r="H46" s="87"/>
      <c r="I46" s="87"/>
      <c r="J46" s="87"/>
      <c r="K46" s="87"/>
      <c r="L46" s="87"/>
      <c r="M46" s="87"/>
      <c r="N46" s="87"/>
      <c r="O46" s="87"/>
    </row>
    <row r="47" spans="1:15" s="23" customFormat="1" ht="20.399999999999999" x14ac:dyDescent="0.3">
      <c r="A47" s="87"/>
      <c r="B47" s="87"/>
      <c r="C47" s="139"/>
      <c r="D47" s="139"/>
      <c r="E47" s="87"/>
      <c r="F47" s="87"/>
      <c r="G47" s="87"/>
      <c r="H47" s="87"/>
      <c r="I47" s="87"/>
      <c r="J47" s="87"/>
      <c r="K47" s="87"/>
      <c r="L47" s="87"/>
      <c r="M47" s="87"/>
      <c r="N47" s="87"/>
      <c r="O47" s="87"/>
    </row>
    <row r="48" spans="1:15" s="23" customFormat="1" ht="20.399999999999999" x14ac:dyDescent="0.3">
      <c r="A48" s="87"/>
      <c r="B48" s="87"/>
      <c r="C48" s="139"/>
      <c r="D48" s="139"/>
      <c r="E48" s="87"/>
      <c r="F48" s="87"/>
      <c r="G48" s="87"/>
      <c r="H48" s="87"/>
      <c r="I48" s="87"/>
      <c r="J48" s="87"/>
      <c r="K48" s="87"/>
      <c r="L48" s="87"/>
      <c r="M48" s="87"/>
      <c r="N48" s="87"/>
      <c r="O48" s="87"/>
    </row>
    <row r="49" spans="1:15" s="23" customFormat="1" ht="20.399999999999999" x14ac:dyDescent="0.3">
      <c r="A49" s="87"/>
      <c r="B49" s="87"/>
      <c r="C49" s="139"/>
      <c r="D49" s="139"/>
      <c r="E49" s="87"/>
      <c r="F49" s="87"/>
      <c r="G49" s="87"/>
      <c r="H49" s="87"/>
      <c r="I49" s="87"/>
      <c r="J49" s="87"/>
      <c r="K49" s="87"/>
      <c r="L49" s="87"/>
      <c r="M49" s="87"/>
      <c r="N49" s="87"/>
      <c r="O49" s="87"/>
    </row>
    <row r="50" spans="1:15" s="23" customFormat="1" ht="20.399999999999999" x14ac:dyDescent="0.3">
      <c r="A50" s="87"/>
      <c r="B50" s="87"/>
      <c r="C50" s="139"/>
      <c r="D50" s="139"/>
      <c r="E50" s="87"/>
      <c r="F50" s="87"/>
      <c r="G50" s="87"/>
      <c r="H50" s="87"/>
      <c r="I50" s="87"/>
      <c r="J50" s="87"/>
      <c r="K50" s="87"/>
      <c r="L50" s="87"/>
      <c r="M50" s="87"/>
      <c r="N50" s="87"/>
      <c r="O50" s="87"/>
    </row>
    <row r="51" spans="1:15" s="23" customFormat="1" ht="20.399999999999999" x14ac:dyDescent="0.3">
      <c r="A51" s="87"/>
      <c r="B51" s="87"/>
      <c r="C51" s="139"/>
      <c r="D51" s="139"/>
      <c r="E51" s="87"/>
      <c r="F51" s="87"/>
      <c r="G51" s="87"/>
      <c r="H51" s="87"/>
      <c r="I51" s="87"/>
      <c r="J51" s="87"/>
      <c r="K51" s="87"/>
      <c r="L51" s="87"/>
      <c r="M51" s="87"/>
      <c r="N51" s="87"/>
      <c r="O51" s="87"/>
    </row>
    <row r="52" spans="1:15" s="23" customFormat="1" ht="20.399999999999999" x14ac:dyDescent="0.3">
      <c r="A52" s="87"/>
      <c r="C52" s="141"/>
      <c r="D52" s="141"/>
    </row>
    <row r="53" spans="1:15" s="23" customFormat="1" ht="20.399999999999999" x14ac:dyDescent="0.3">
      <c r="A53" s="87"/>
      <c r="C53" s="141"/>
      <c r="D53" s="141"/>
    </row>
    <row r="54" spans="1:15" s="23" customFormat="1" ht="20.399999999999999" x14ac:dyDescent="0.3">
      <c r="A54" s="87"/>
      <c r="C54" s="141"/>
      <c r="D54" s="141"/>
    </row>
    <row r="55" spans="1:15" s="23" customFormat="1" ht="20.399999999999999" x14ac:dyDescent="0.3">
      <c r="A55" s="87"/>
      <c r="C55" s="141"/>
      <c r="D55" s="141"/>
    </row>
    <row r="56" spans="1:15" s="23" customFormat="1" ht="20.399999999999999" x14ac:dyDescent="0.3">
      <c r="A56" s="87"/>
      <c r="C56" s="141"/>
      <c r="D56" s="141"/>
    </row>
    <row r="57" spans="1:15" s="23" customFormat="1" ht="20.399999999999999" x14ac:dyDescent="0.3">
      <c r="A57" s="87"/>
      <c r="C57" s="141"/>
      <c r="D57" s="141"/>
    </row>
    <row r="58" spans="1:15" s="23" customFormat="1" ht="20.399999999999999" x14ac:dyDescent="0.3">
      <c r="A58" s="87"/>
      <c r="C58" s="141"/>
      <c r="D58" s="141"/>
    </row>
    <row r="59" spans="1:15" s="23" customFormat="1" ht="20.399999999999999" x14ac:dyDescent="0.3">
      <c r="A59" s="87"/>
      <c r="C59" s="141"/>
      <c r="D59" s="141"/>
    </row>
    <row r="60" spans="1:15" s="23" customFormat="1" ht="20.399999999999999" x14ac:dyDescent="0.3">
      <c r="A60" s="87"/>
      <c r="C60" s="141"/>
      <c r="D60" s="141"/>
    </row>
    <row r="61" spans="1:15" s="23" customFormat="1" ht="20.399999999999999" x14ac:dyDescent="0.3">
      <c r="A61" s="87"/>
      <c r="C61" s="141"/>
      <c r="D61" s="141"/>
    </row>
    <row r="62" spans="1:15" s="23" customFormat="1" ht="20.399999999999999" x14ac:dyDescent="0.3">
      <c r="A62" s="87"/>
      <c r="C62" s="141"/>
      <c r="D62" s="141"/>
    </row>
    <row r="63" spans="1:15" s="23" customFormat="1" ht="20.399999999999999" x14ac:dyDescent="0.3">
      <c r="A63" s="87"/>
      <c r="C63" s="141"/>
      <c r="D63" s="141"/>
    </row>
    <row r="64" spans="1:15" s="23" customFormat="1" ht="20.399999999999999" x14ac:dyDescent="0.3">
      <c r="A64" s="87"/>
      <c r="C64" s="141"/>
      <c r="D64" s="141"/>
    </row>
    <row r="65" spans="1:4" s="23" customFormat="1" ht="20.399999999999999" x14ac:dyDescent="0.3">
      <c r="A65" s="87"/>
      <c r="C65" s="141"/>
      <c r="D65" s="141"/>
    </row>
    <row r="66" spans="1:4" s="23" customFormat="1" ht="20.399999999999999" x14ac:dyDescent="0.3">
      <c r="A66" s="87"/>
      <c r="C66" s="141"/>
      <c r="D66" s="141"/>
    </row>
    <row r="67" spans="1:4" s="23" customFormat="1" ht="20.399999999999999" x14ac:dyDescent="0.3">
      <c r="A67" s="87"/>
      <c r="C67" s="141"/>
      <c r="D67" s="141"/>
    </row>
    <row r="68" spans="1:4" s="23" customFormat="1" ht="20.399999999999999" x14ac:dyDescent="0.3">
      <c r="A68" s="87"/>
      <c r="C68" s="141"/>
      <c r="D68" s="141"/>
    </row>
    <row r="69" spans="1:4" s="23" customFormat="1" ht="20.399999999999999" x14ac:dyDescent="0.3">
      <c r="A69" s="87"/>
      <c r="C69" s="141"/>
      <c r="D69" s="141"/>
    </row>
    <row r="70" spans="1:4" s="23" customFormat="1" ht="20.399999999999999" x14ac:dyDescent="0.3">
      <c r="A70" s="87"/>
      <c r="C70" s="141"/>
      <c r="D70" s="141"/>
    </row>
    <row r="71" spans="1:4" s="23" customFormat="1" ht="20.399999999999999" x14ac:dyDescent="0.3">
      <c r="A71" s="87"/>
      <c r="C71" s="141"/>
      <c r="D71" s="141"/>
    </row>
    <row r="72" spans="1:4" s="23" customFormat="1" ht="20.399999999999999" x14ac:dyDescent="0.3">
      <c r="A72" s="87"/>
      <c r="C72" s="141"/>
      <c r="D72" s="141"/>
    </row>
    <row r="73" spans="1:4" s="23" customFormat="1" ht="20.399999999999999" x14ac:dyDescent="0.3">
      <c r="A73" s="87"/>
      <c r="C73" s="141"/>
      <c r="D73" s="141"/>
    </row>
    <row r="74" spans="1:4" s="23" customFormat="1" ht="20.399999999999999" x14ac:dyDescent="0.3">
      <c r="A74" s="87"/>
      <c r="C74" s="141"/>
      <c r="D74" s="141"/>
    </row>
    <row r="75" spans="1:4" s="23" customFormat="1" ht="20.399999999999999" x14ac:dyDescent="0.3">
      <c r="A75" s="87"/>
      <c r="C75" s="141"/>
      <c r="D75" s="141"/>
    </row>
    <row r="76" spans="1:4" s="23" customFormat="1" ht="20.399999999999999" x14ac:dyDescent="0.3">
      <c r="A76" s="87"/>
      <c r="C76" s="141"/>
      <c r="D76" s="141"/>
    </row>
    <row r="77" spans="1:4" s="23" customFormat="1" ht="20.399999999999999" x14ac:dyDescent="0.3">
      <c r="A77" s="87"/>
      <c r="C77" s="141"/>
      <c r="D77" s="141"/>
    </row>
    <row r="78" spans="1:4" s="23" customFormat="1" ht="20.399999999999999" x14ac:dyDescent="0.3">
      <c r="A78" s="87"/>
      <c r="C78" s="141"/>
      <c r="D78" s="141"/>
    </row>
    <row r="79" spans="1:4" s="23" customFormat="1" ht="20.399999999999999" x14ac:dyDescent="0.3">
      <c r="A79" s="87"/>
      <c r="C79" s="141"/>
      <c r="D79" s="141"/>
    </row>
    <row r="80" spans="1:4" s="23" customFormat="1" ht="20.399999999999999" x14ac:dyDescent="0.3">
      <c r="A80" s="87"/>
      <c r="C80" s="141"/>
      <c r="D80" s="141"/>
    </row>
    <row r="81" spans="1:4" s="23" customFormat="1" ht="20.399999999999999" x14ac:dyDescent="0.3">
      <c r="A81" s="87"/>
      <c r="C81" s="141"/>
      <c r="D81" s="141"/>
    </row>
    <row r="82" spans="1:4" s="23" customFormat="1" ht="20.399999999999999" x14ac:dyDescent="0.3">
      <c r="A82" s="87"/>
      <c r="C82" s="141"/>
      <c r="D82" s="141"/>
    </row>
    <row r="83" spans="1:4" s="23" customFormat="1" ht="20.399999999999999" x14ac:dyDescent="0.3">
      <c r="A83" s="87"/>
      <c r="C83" s="141"/>
      <c r="D83" s="141"/>
    </row>
    <row r="84" spans="1:4" s="23" customFormat="1" ht="20.399999999999999" x14ac:dyDescent="0.3">
      <c r="A84" s="87"/>
      <c r="C84" s="141"/>
      <c r="D84" s="141"/>
    </row>
    <row r="85" spans="1:4" s="23" customFormat="1" ht="20.399999999999999" x14ac:dyDescent="0.3">
      <c r="A85" s="87"/>
      <c r="C85" s="141"/>
      <c r="D85" s="141"/>
    </row>
    <row r="86" spans="1:4" s="23" customFormat="1" ht="20.399999999999999" x14ac:dyDescent="0.3">
      <c r="A86" s="87"/>
      <c r="C86" s="141"/>
      <c r="D86" s="141"/>
    </row>
    <row r="87" spans="1:4" s="23" customFormat="1" ht="20.399999999999999" x14ac:dyDescent="0.3">
      <c r="A87" s="87"/>
      <c r="C87" s="141"/>
      <c r="D87" s="141"/>
    </row>
    <row r="88" spans="1:4" s="23" customFormat="1" ht="20.399999999999999" x14ac:dyDescent="0.3">
      <c r="A88" s="87"/>
      <c r="C88" s="141"/>
      <c r="D88" s="141"/>
    </row>
    <row r="89" spans="1:4" s="23" customFormat="1" ht="20.399999999999999" x14ac:dyDescent="0.3">
      <c r="A89" s="87"/>
      <c r="C89" s="141"/>
      <c r="D89" s="141"/>
    </row>
    <row r="90" spans="1:4" s="23" customFormat="1" ht="20.399999999999999" x14ac:dyDescent="0.3">
      <c r="A90" s="87"/>
      <c r="C90" s="141"/>
      <c r="D90" s="141"/>
    </row>
    <row r="91" spans="1:4" s="23" customFormat="1" ht="20.399999999999999" x14ac:dyDescent="0.3">
      <c r="A91" s="87"/>
      <c r="C91" s="141"/>
      <c r="D91" s="141"/>
    </row>
    <row r="92" spans="1:4" s="23" customFormat="1" ht="20.399999999999999" x14ac:dyDescent="0.3">
      <c r="A92" s="87"/>
      <c r="C92" s="141"/>
      <c r="D92" s="141"/>
    </row>
    <row r="93" spans="1:4" s="23" customFormat="1" ht="20.399999999999999" x14ac:dyDescent="0.3">
      <c r="A93" s="87"/>
      <c r="C93" s="141"/>
      <c r="D93" s="141"/>
    </row>
    <row r="94" spans="1:4" s="23" customFormat="1" ht="20.399999999999999" x14ac:dyDescent="0.3">
      <c r="A94" s="87"/>
      <c r="C94" s="141"/>
      <c r="D94" s="141"/>
    </row>
    <row r="95" spans="1:4" s="23" customFormat="1" ht="20.399999999999999" x14ac:dyDescent="0.3">
      <c r="A95" s="87"/>
      <c r="C95" s="141"/>
      <c r="D95" s="141"/>
    </row>
    <row r="96" spans="1:4" s="23" customFormat="1" ht="20.399999999999999" x14ac:dyDescent="0.3">
      <c r="A96" s="87"/>
      <c r="C96" s="141"/>
      <c r="D96" s="141"/>
    </row>
    <row r="97" spans="1:4" s="23" customFormat="1" ht="20.399999999999999" x14ac:dyDescent="0.3">
      <c r="A97" s="87"/>
      <c r="C97" s="141"/>
      <c r="D97" s="141"/>
    </row>
    <row r="98" spans="1:4" s="23" customFormat="1" ht="20.399999999999999" x14ac:dyDescent="0.3">
      <c r="A98" s="87"/>
      <c r="C98" s="141"/>
      <c r="D98" s="141"/>
    </row>
    <row r="99" spans="1:4" s="23" customFormat="1" ht="20.399999999999999" x14ac:dyDescent="0.3">
      <c r="A99" s="87"/>
      <c r="C99" s="141"/>
      <c r="D99" s="141"/>
    </row>
    <row r="100" spans="1:4" s="23" customFormat="1" ht="20.399999999999999" x14ac:dyDescent="0.3">
      <c r="A100" s="87"/>
      <c r="C100" s="141"/>
      <c r="D100" s="141"/>
    </row>
    <row r="101" spans="1:4" s="23" customFormat="1" ht="20.399999999999999" x14ac:dyDescent="0.3">
      <c r="A101" s="87"/>
      <c r="C101" s="141"/>
      <c r="D101" s="141"/>
    </row>
    <row r="102" spans="1:4" s="23" customFormat="1" ht="20.399999999999999" x14ac:dyDescent="0.3">
      <c r="A102" s="87"/>
      <c r="C102" s="141"/>
      <c r="D102" s="141"/>
    </row>
    <row r="103" spans="1:4" s="23" customFormat="1" ht="20.399999999999999" x14ac:dyDescent="0.3">
      <c r="A103" s="87"/>
      <c r="C103" s="141"/>
      <c r="D103" s="141"/>
    </row>
    <row r="104" spans="1:4" s="23" customFormat="1" ht="20.399999999999999" x14ac:dyDescent="0.3">
      <c r="A104" s="87"/>
      <c r="C104" s="141"/>
      <c r="D104" s="141"/>
    </row>
    <row r="105" spans="1:4" s="23" customFormat="1" ht="20.399999999999999" x14ac:dyDescent="0.3">
      <c r="A105" s="87"/>
      <c r="C105" s="141"/>
      <c r="D105" s="141"/>
    </row>
    <row r="106" spans="1:4" s="23" customFormat="1" ht="20.399999999999999" x14ac:dyDescent="0.3">
      <c r="A106" s="87"/>
      <c r="C106" s="141"/>
      <c r="D106" s="141"/>
    </row>
    <row r="107" spans="1:4" s="23" customFormat="1" ht="20.399999999999999" x14ac:dyDescent="0.3">
      <c r="A107" s="87"/>
      <c r="C107" s="141"/>
      <c r="D107" s="141"/>
    </row>
    <row r="108" spans="1:4" s="23" customFormat="1" ht="20.399999999999999" x14ac:dyDescent="0.3">
      <c r="A108" s="87"/>
      <c r="C108" s="141"/>
      <c r="D108" s="141"/>
    </row>
    <row r="109" spans="1:4" s="23" customFormat="1" ht="20.399999999999999" x14ac:dyDescent="0.3">
      <c r="A109" s="87"/>
      <c r="C109" s="141"/>
      <c r="D109" s="141"/>
    </row>
    <row r="110" spans="1:4" s="23" customFormat="1" ht="20.399999999999999" x14ac:dyDescent="0.3">
      <c r="A110" s="87"/>
      <c r="C110" s="141"/>
      <c r="D110" s="141"/>
    </row>
    <row r="111" spans="1:4" s="23" customFormat="1" ht="20.399999999999999" x14ac:dyDescent="0.3">
      <c r="A111" s="87"/>
      <c r="C111" s="141"/>
      <c r="D111" s="141"/>
    </row>
    <row r="112" spans="1:4" s="23" customFormat="1" ht="20.399999999999999" x14ac:dyDescent="0.3">
      <c r="A112" s="87"/>
      <c r="C112" s="141"/>
      <c r="D112" s="141"/>
    </row>
    <row r="113" spans="1:4" s="23" customFormat="1" ht="20.399999999999999" x14ac:dyDescent="0.3">
      <c r="A113" s="87"/>
      <c r="C113" s="141"/>
      <c r="D113" s="141"/>
    </row>
    <row r="114" spans="1:4" s="23" customFormat="1" ht="20.399999999999999" x14ac:dyDescent="0.3">
      <c r="A114" s="87"/>
      <c r="C114" s="141"/>
      <c r="D114" s="141"/>
    </row>
    <row r="115" spans="1:4" s="23" customFormat="1" ht="20.399999999999999" x14ac:dyDescent="0.3">
      <c r="A115" s="87"/>
      <c r="C115" s="141"/>
      <c r="D115" s="141"/>
    </row>
    <row r="116" spans="1:4" s="23" customFormat="1" ht="20.399999999999999" x14ac:dyDescent="0.3">
      <c r="A116" s="87"/>
      <c r="C116" s="141"/>
      <c r="D116" s="141"/>
    </row>
    <row r="117" spans="1:4" s="23" customFormat="1" ht="20.399999999999999" x14ac:dyDescent="0.3">
      <c r="A117" s="87"/>
      <c r="C117" s="141"/>
      <c r="D117" s="141"/>
    </row>
    <row r="118" spans="1:4" s="23" customFormat="1" ht="20.399999999999999" x14ac:dyDescent="0.3">
      <c r="A118" s="87"/>
      <c r="C118" s="141"/>
      <c r="D118" s="141"/>
    </row>
    <row r="119" spans="1:4" s="23" customFormat="1" ht="20.399999999999999" x14ac:dyDescent="0.3">
      <c r="A119" s="87"/>
      <c r="C119" s="141"/>
      <c r="D119" s="141"/>
    </row>
    <row r="120" spans="1:4" s="23" customFormat="1" ht="20.399999999999999" x14ac:dyDescent="0.3">
      <c r="A120" s="87"/>
      <c r="C120" s="141"/>
      <c r="D120" s="141"/>
    </row>
    <row r="121" spans="1:4" s="23" customFormat="1" ht="20.399999999999999" x14ac:dyDescent="0.3">
      <c r="A121" s="87"/>
      <c r="C121" s="141"/>
      <c r="D121" s="141"/>
    </row>
    <row r="122" spans="1:4" s="23" customFormat="1" ht="20.399999999999999" x14ac:dyDescent="0.3">
      <c r="A122" s="87"/>
      <c r="C122" s="141"/>
      <c r="D122" s="141"/>
    </row>
    <row r="123" spans="1:4" s="23" customFormat="1" ht="20.399999999999999" x14ac:dyDescent="0.3">
      <c r="A123" s="87"/>
      <c r="C123" s="141"/>
      <c r="D123" s="141"/>
    </row>
    <row r="124" spans="1:4" s="23" customFormat="1" ht="20.399999999999999" x14ac:dyDescent="0.3">
      <c r="A124" s="87"/>
      <c r="C124" s="141"/>
      <c r="D124" s="141"/>
    </row>
    <row r="125" spans="1:4" s="23" customFormat="1" ht="20.399999999999999" x14ac:dyDescent="0.3">
      <c r="A125" s="87"/>
      <c r="C125" s="141"/>
      <c r="D125" s="141"/>
    </row>
    <row r="126" spans="1:4" s="23" customFormat="1" ht="20.399999999999999" x14ac:dyDescent="0.3">
      <c r="A126" s="87"/>
      <c r="C126" s="141"/>
      <c r="D126" s="141"/>
    </row>
    <row r="127" spans="1:4" s="23" customFormat="1" ht="20.399999999999999" x14ac:dyDescent="0.3">
      <c r="A127" s="87"/>
      <c r="C127" s="141"/>
      <c r="D127" s="141"/>
    </row>
    <row r="128" spans="1:4" s="23" customFormat="1" ht="20.399999999999999" x14ac:dyDescent="0.3">
      <c r="A128" s="87"/>
      <c r="C128" s="141"/>
      <c r="D128" s="141"/>
    </row>
    <row r="129" spans="1:4" s="23" customFormat="1" ht="20.399999999999999" x14ac:dyDescent="0.3">
      <c r="A129" s="87"/>
      <c r="C129" s="141"/>
      <c r="D129" s="141"/>
    </row>
    <row r="130" spans="1:4" s="23" customFormat="1" ht="20.399999999999999" x14ac:dyDescent="0.3">
      <c r="A130" s="87"/>
      <c r="C130" s="141"/>
      <c r="D130" s="141"/>
    </row>
    <row r="131" spans="1:4" s="23" customFormat="1" ht="20.399999999999999" x14ac:dyDescent="0.3">
      <c r="A131" s="87"/>
      <c r="C131" s="141"/>
      <c r="D131" s="141"/>
    </row>
    <row r="132" spans="1:4" s="23" customFormat="1" ht="20.399999999999999" x14ac:dyDescent="0.3">
      <c r="A132" s="87"/>
      <c r="C132" s="141"/>
      <c r="D132" s="141"/>
    </row>
    <row r="133" spans="1:4" s="23" customFormat="1" ht="20.399999999999999" x14ac:dyDescent="0.3">
      <c r="A133" s="87"/>
      <c r="C133" s="141"/>
      <c r="D133" s="141"/>
    </row>
    <row r="134" spans="1:4" s="23" customFormat="1" ht="20.399999999999999" x14ac:dyDescent="0.3">
      <c r="A134" s="87"/>
      <c r="C134" s="141"/>
      <c r="D134" s="141"/>
    </row>
    <row r="135" spans="1:4" s="23" customFormat="1" ht="20.399999999999999" x14ac:dyDescent="0.3">
      <c r="A135" s="87"/>
      <c r="C135" s="141"/>
      <c r="D135" s="141"/>
    </row>
    <row r="136" spans="1:4" s="23" customFormat="1" ht="20.399999999999999" x14ac:dyDescent="0.3">
      <c r="A136" s="87"/>
      <c r="C136" s="141"/>
      <c r="D136" s="141"/>
    </row>
    <row r="137" spans="1:4" s="23" customFormat="1" ht="20.399999999999999" x14ac:dyDescent="0.3">
      <c r="A137" s="87"/>
      <c r="C137" s="141"/>
      <c r="D137" s="141"/>
    </row>
    <row r="138" spans="1:4" s="23" customFormat="1" ht="20.399999999999999" x14ac:dyDescent="0.3">
      <c r="A138" s="87"/>
      <c r="C138" s="141"/>
      <c r="D138" s="141"/>
    </row>
    <row r="139" spans="1:4" s="23" customFormat="1" ht="20.399999999999999" x14ac:dyDescent="0.3">
      <c r="A139" s="87"/>
      <c r="C139" s="141"/>
      <c r="D139" s="141"/>
    </row>
    <row r="140" spans="1:4" s="23" customFormat="1" ht="20.399999999999999" x14ac:dyDescent="0.3">
      <c r="A140" s="87"/>
      <c r="C140" s="141"/>
      <c r="D140" s="141"/>
    </row>
    <row r="141" spans="1:4" s="23" customFormat="1" ht="20.399999999999999" x14ac:dyDescent="0.3">
      <c r="A141" s="87"/>
      <c r="C141" s="141"/>
      <c r="D141" s="141"/>
    </row>
    <row r="142" spans="1:4" s="23" customFormat="1" ht="20.399999999999999" x14ac:dyDescent="0.3">
      <c r="A142" s="87"/>
      <c r="C142" s="141"/>
      <c r="D142" s="141"/>
    </row>
    <row r="143" spans="1:4" s="23" customFormat="1" ht="20.399999999999999" x14ac:dyDescent="0.3">
      <c r="A143" s="87"/>
      <c r="C143" s="141"/>
      <c r="D143" s="141"/>
    </row>
    <row r="144" spans="1:4" s="23" customFormat="1" ht="20.399999999999999" x14ac:dyDescent="0.3">
      <c r="A144" s="87"/>
      <c r="C144" s="141"/>
      <c r="D144" s="141"/>
    </row>
    <row r="145" spans="1:4" s="23" customFormat="1" ht="20.399999999999999" x14ac:dyDescent="0.3">
      <c r="A145" s="87"/>
      <c r="C145" s="141"/>
      <c r="D145" s="141"/>
    </row>
    <row r="146" spans="1:4" s="23" customFormat="1" ht="20.399999999999999" x14ac:dyDescent="0.3">
      <c r="A146" s="87"/>
      <c r="C146" s="141"/>
      <c r="D146" s="141"/>
    </row>
    <row r="147" spans="1:4" s="23" customFormat="1" ht="20.399999999999999" x14ac:dyDescent="0.3">
      <c r="A147" s="87"/>
      <c r="C147" s="141"/>
      <c r="D147" s="141"/>
    </row>
    <row r="148" spans="1:4" s="23" customFormat="1" ht="20.399999999999999" x14ac:dyDescent="0.3">
      <c r="A148" s="87"/>
      <c r="C148" s="141"/>
      <c r="D148" s="141"/>
    </row>
    <row r="149" spans="1:4" s="23" customFormat="1" ht="20.399999999999999" x14ac:dyDescent="0.3">
      <c r="A149" s="87"/>
      <c r="C149" s="141"/>
      <c r="D149" s="141"/>
    </row>
    <row r="150" spans="1:4" s="23" customFormat="1" ht="20.399999999999999" x14ac:dyDescent="0.3">
      <c r="A150" s="87"/>
      <c r="C150" s="141"/>
      <c r="D150" s="141"/>
    </row>
    <row r="151" spans="1:4" s="23" customFormat="1" ht="20.399999999999999" x14ac:dyDescent="0.3">
      <c r="A151" s="87"/>
      <c r="C151" s="141"/>
      <c r="D151" s="141"/>
    </row>
    <row r="152" spans="1:4" s="23" customFormat="1" ht="20.399999999999999" x14ac:dyDescent="0.3">
      <c r="A152" s="87"/>
      <c r="C152" s="141"/>
      <c r="D152" s="141"/>
    </row>
    <row r="153" spans="1:4" s="23" customFormat="1" ht="20.399999999999999" x14ac:dyDescent="0.3">
      <c r="A153" s="87"/>
      <c r="C153" s="141"/>
      <c r="D153" s="141"/>
    </row>
    <row r="154" spans="1:4" s="23" customFormat="1" ht="20.399999999999999" x14ac:dyDescent="0.3">
      <c r="A154" s="87"/>
      <c r="C154" s="141"/>
      <c r="D154" s="141"/>
    </row>
    <row r="155" spans="1:4" s="23" customFormat="1" ht="20.399999999999999" x14ac:dyDescent="0.3">
      <c r="A155" s="87"/>
      <c r="C155" s="141"/>
      <c r="D155" s="141"/>
    </row>
    <row r="156" spans="1:4" s="23" customFormat="1" ht="20.399999999999999" x14ac:dyDescent="0.3">
      <c r="A156" s="87"/>
      <c r="C156" s="141"/>
      <c r="D156" s="141"/>
    </row>
    <row r="157" spans="1:4" s="23" customFormat="1" ht="20.399999999999999" x14ac:dyDescent="0.3">
      <c r="A157" s="87"/>
      <c r="C157" s="141"/>
      <c r="D157" s="141"/>
    </row>
    <row r="158" spans="1:4" s="23" customFormat="1" ht="20.399999999999999" x14ac:dyDescent="0.3">
      <c r="A158" s="87"/>
      <c r="C158" s="141"/>
      <c r="D158" s="141"/>
    </row>
    <row r="159" spans="1:4" s="23" customFormat="1" ht="20.399999999999999" x14ac:dyDescent="0.3">
      <c r="A159" s="87"/>
      <c r="C159" s="141"/>
      <c r="D159" s="141"/>
    </row>
    <row r="160" spans="1:4" s="23" customFormat="1" ht="20.399999999999999" x14ac:dyDescent="0.3">
      <c r="A160" s="87"/>
      <c r="C160" s="141"/>
      <c r="D160" s="141"/>
    </row>
    <row r="161" spans="1:4" s="23" customFormat="1" ht="20.399999999999999" x14ac:dyDescent="0.3">
      <c r="A161" s="87"/>
      <c r="C161" s="141"/>
      <c r="D161" s="141"/>
    </row>
    <row r="162" spans="1:4" s="23" customFormat="1" ht="20.399999999999999" x14ac:dyDescent="0.3">
      <c r="A162" s="87"/>
      <c r="C162" s="141"/>
      <c r="D162" s="141"/>
    </row>
    <row r="163" spans="1:4" s="23" customFormat="1" ht="20.399999999999999" x14ac:dyDescent="0.3">
      <c r="A163" s="87"/>
      <c r="C163" s="141"/>
      <c r="D163" s="141"/>
    </row>
    <row r="164" spans="1:4" s="23" customFormat="1" ht="20.399999999999999" x14ac:dyDescent="0.3">
      <c r="A164" s="87"/>
      <c r="C164" s="141"/>
      <c r="D164" s="141"/>
    </row>
    <row r="165" spans="1:4" s="23" customFormat="1" ht="20.399999999999999" x14ac:dyDescent="0.3">
      <c r="A165" s="87"/>
      <c r="C165" s="141"/>
      <c r="D165" s="141"/>
    </row>
    <row r="166" spans="1:4" s="23" customFormat="1" ht="20.399999999999999" x14ac:dyDescent="0.3">
      <c r="A166" s="87"/>
      <c r="C166" s="141"/>
      <c r="D166" s="141"/>
    </row>
    <row r="167" spans="1:4" s="23" customFormat="1" ht="20.399999999999999" x14ac:dyDescent="0.3">
      <c r="A167" s="87"/>
      <c r="C167" s="141"/>
      <c r="D167" s="141"/>
    </row>
    <row r="168" spans="1:4" s="23" customFormat="1" ht="20.399999999999999" x14ac:dyDescent="0.3">
      <c r="A168" s="87"/>
      <c r="C168" s="141"/>
      <c r="D168" s="141"/>
    </row>
    <row r="169" spans="1:4" s="23" customFormat="1" ht="20.399999999999999" x14ac:dyDescent="0.3">
      <c r="A169" s="87"/>
      <c r="C169" s="141"/>
      <c r="D169" s="141"/>
    </row>
    <row r="170" spans="1:4" s="23" customFormat="1" ht="20.399999999999999" x14ac:dyDescent="0.3">
      <c r="A170" s="87"/>
      <c r="C170" s="141"/>
      <c r="D170" s="141"/>
    </row>
    <row r="171" spans="1:4" s="23" customFormat="1" ht="20.399999999999999" x14ac:dyDescent="0.3">
      <c r="A171" s="87"/>
      <c r="C171" s="141"/>
      <c r="D171" s="141"/>
    </row>
    <row r="172" spans="1:4" s="23" customFormat="1" ht="20.399999999999999" x14ac:dyDescent="0.3">
      <c r="A172" s="87"/>
      <c r="C172" s="141"/>
      <c r="D172" s="141"/>
    </row>
    <row r="173" spans="1:4" s="23" customFormat="1" ht="20.399999999999999" x14ac:dyDescent="0.3">
      <c r="A173" s="87"/>
      <c r="C173" s="141"/>
      <c r="D173" s="141"/>
    </row>
    <row r="174" spans="1:4" s="23" customFormat="1" ht="20.399999999999999" x14ac:dyDescent="0.3">
      <c r="A174" s="87"/>
      <c r="C174" s="141"/>
      <c r="D174" s="141"/>
    </row>
    <row r="175" spans="1:4" s="23" customFormat="1" ht="20.399999999999999" x14ac:dyDescent="0.3">
      <c r="A175" s="87"/>
      <c r="C175" s="141"/>
      <c r="D175" s="141"/>
    </row>
    <row r="176" spans="1:4" s="23" customFormat="1" ht="20.399999999999999" x14ac:dyDescent="0.3">
      <c r="A176" s="87"/>
      <c r="C176" s="141"/>
      <c r="D176" s="141"/>
    </row>
    <row r="177" spans="1:4" s="23" customFormat="1" ht="20.399999999999999" x14ac:dyDescent="0.3">
      <c r="A177" s="87"/>
      <c r="C177" s="141"/>
      <c r="D177" s="141"/>
    </row>
    <row r="178" spans="1:4" s="23" customFormat="1" ht="20.399999999999999" x14ac:dyDescent="0.3">
      <c r="A178" s="87"/>
      <c r="C178" s="141"/>
      <c r="D178" s="141"/>
    </row>
    <row r="179" spans="1:4" s="23" customFormat="1" ht="20.399999999999999" x14ac:dyDescent="0.3">
      <c r="A179" s="87"/>
      <c r="C179" s="141"/>
      <c r="D179" s="141"/>
    </row>
    <row r="180" spans="1:4" s="23" customFormat="1" ht="20.399999999999999" x14ac:dyDescent="0.3">
      <c r="A180" s="87"/>
      <c r="C180" s="141"/>
      <c r="D180" s="141"/>
    </row>
    <row r="181" spans="1:4" s="23" customFormat="1" ht="20.399999999999999" x14ac:dyDescent="0.3">
      <c r="A181" s="87"/>
      <c r="C181" s="141"/>
      <c r="D181" s="141"/>
    </row>
    <row r="182" spans="1:4" s="23" customFormat="1" ht="20.399999999999999" x14ac:dyDescent="0.3">
      <c r="A182" s="87"/>
      <c r="C182" s="141"/>
      <c r="D182" s="141"/>
    </row>
    <row r="183" spans="1:4" s="23" customFormat="1" ht="20.399999999999999" x14ac:dyDescent="0.3">
      <c r="A183" s="87"/>
      <c r="C183" s="141"/>
      <c r="D183" s="141"/>
    </row>
    <row r="184" spans="1:4" s="23" customFormat="1" ht="20.399999999999999" x14ac:dyDescent="0.3">
      <c r="A184" s="87"/>
      <c r="C184" s="141"/>
      <c r="D184" s="141"/>
    </row>
    <row r="185" spans="1:4" s="23" customFormat="1" ht="20.399999999999999" x14ac:dyDescent="0.3">
      <c r="A185" s="87"/>
      <c r="C185" s="141"/>
      <c r="D185" s="141"/>
    </row>
    <row r="186" spans="1:4" s="23" customFormat="1" ht="20.399999999999999" x14ac:dyDescent="0.3">
      <c r="A186" s="87"/>
      <c r="C186" s="141"/>
      <c r="D186" s="141"/>
    </row>
    <row r="187" spans="1:4" s="23" customFormat="1" ht="20.399999999999999" x14ac:dyDescent="0.3">
      <c r="A187" s="87"/>
      <c r="C187" s="141"/>
      <c r="D187" s="141"/>
    </row>
    <row r="188" spans="1:4" s="23" customFormat="1" ht="20.399999999999999" x14ac:dyDescent="0.3">
      <c r="A188" s="87"/>
      <c r="C188" s="141"/>
      <c r="D188" s="141"/>
    </row>
    <row r="189" spans="1:4" s="23" customFormat="1" ht="20.399999999999999" x14ac:dyDescent="0.3">
      <c r="A189" s="87"/>
      <c r="C189" s="141"/>
      <c r="D189" s="141"/>
    </row>
    <row r="190" spans="1:4" s="23" customFormat="1" ht="20.399999999999999" x14ac:dyDescent="0.3">
      <c r="A190" s="87"/>
      <c r="C190" s="141"/>
      <c r="D190" s="141"/>
    </row>
    <row r="191" spans="1:4" s="23" customFormat="1" ht="20.399999999999999" x14ac:dyDescent="0.3">
      <c r="A191" s="87"/>
      <c r="C191" s="141"/>
      <c r="D191" s="141"/>
    </row>
    <row r="192" spans="1:4" s="23" customFormat="1" ht="20.399999999999999" x14ac:dyDescent="0.3">
      <c r="A192" s="87"/>
      <c r="C192" s="141"/>
      <c r="D192" s="141"/>
    </row>
    <row r="193" spans="1:4" s="23" customFormat="1" ht="20.399999999999999" x14ac:dyDescent="0.3">
      <c r="A193" s="87"/>
      <c r="C193" s="141"/>
      <c r="D193" s="141"/>
    </row>
    <row r="194" spans="1:4" s="23" customFormat="1" ht="20.399999999999999" x14ac:dyDescent="0.3">
      <c r="A194" s="87"/>
      <c r="C194" s="141"/>
      <c r="D194" s="141"/>
    </row>
    <row r="195" spans="1:4" s="23" customFormat="1" ht="20.399999999999999" x14ac:dyDescent="0.3">
      <c r="A195" s="87"/>
      <c r="C195" s="141"/>
      <c r="D195" s="141"/>
    </row>
    <row r="196" spans="1:4" s="23" customFormat="1" ht="20.399999999999999" x14ac:dyDescent="0.3">
      <c r="A196" s="87"/>
      <c r="C196" s="141"/>
      <c r="D196" s="141"/>
    </row>
    <row r="197" spans="1:4" s="23" customFormat="1" ht="20.399999999999999" x14ac:dyDescent="0.3">
      <c r="A197" s="87"/>
      <c r="C197" s="141"/>
      <c r="D197" s="141"/>
    </row>
    <row r="198" spans="1:4" s="23" customFormat="1" ht="20.399999999999999" x14ac:dyDescent="0.3">
      <c r="A198" s="87"/>
      <c r="C198" s="141"/>
      <c r="D198" s="141"/>
    </row>
    <row r="199" spans="1:4" s="23" customFormat="1" ht="20.399999999999999" x14ac:dyDescent="0.3">
      <c r="A199" s="87"/>
      <c r="C199" s="141"/>
      <c r="D199" s="141"/>
    </row>
    <row r="200" spans="1:4" s="23" customFormat="1" ht="20.399999999999999" x14ac:dyDescent="0.3">
      <c r="A200" s="87"/>
      <c r="C200" s="141"/>
      <c r="D200" s="141"/>
    </row>
    <row r="201" spans="1:4" s="23" customFormat="1" ht="20.399999999999999" x14ac:dyDescent="0.3">
      <c r="A201" s="87"/>
      <c r="C201" s="141"/>
      <c r="D201" s="141"/>
    </row>
    <row r="202" spans="1:4" s="23" customFormat="1" ht="20.399999999999999" x14ac:dyDescent="0.3">
      <c r="A202" s="87"/>
      <c r="C202" s="141"/>
      <c r="D202" s="141"/>
    </row>
    <row r="203" spans="1:4" s="23" customFormat="1" ht="20.399999999999999" x14ac:dyDescent="0.3">
      <c r="A203" s="87"/>
      <c r="C203" s="141"/>
      <c r="D203" s="141"/>
    </row>
    <row r="204" spans="1:4" s="23" customFormat="1" ht="20.399999999999999" x14ac:dyDescent="0.3">
      <c r="A204" s="87"/>
      <c r="C204" s="141"/>
      <c r="D204" s="141"/>
    </row>
    <row r="205" spans="1:4" s="23" customFormat="1" ht="20.399999999999999" x14ac:dyDescent="0.3">
      <c r="A205" s="87"/>
      <c r="C205" s="141"/>
      <c r="D205" s="141"/>
    </row>
    <row r="206" spans="1:4" s="23" customFormat="1" ht="20.399999999999999" x14ac:dyDescent="0.3">
      <c r="A206" s="87"/>
      <c r="C206" s="141"/>
      <c r="D206" s="141"/>
    </row>
    <row r="207" spans="1:4" s="23" customFormat="1" ht="20.399999999999999" x14ac:dyDescent="0.3">
      <c r="A207" s="87"/>
      <c r="C207" s="141"/>
      <c r="D207" s="141"/>
    </row>
    <row r="208" spans="1:4" s="23" customFormat="1" x14ac:dyDescent="0.3">
      <c r="A208" s="87"/>
    </row>
    <row r="209" spans="1:8" s="23" customFormat="1" ht="20.399999999999999" x14ac:dyDescent="0.3">
      <c r="A209" s="87"/>
      <c r="B209" s="142" t="s">
        <v>87</v>
      </c>
      <c r="C209" s="142" t="s">
        <v>140</v>
      </c>
      <c r="D209" s="143" t="s">
        <v>87</v>
      </c>
      <c r="E209" s="143" t="s">
        <v>140</v>
      </c>
    </row>
    <row r="210" spans="1:8" s="23" customFormat="1" ht="42" x14ac:dyDescent="0.4">
      <c r="A210" s="87"/>
      <c r="B210" s="144" t="s">
        <v>89</v>
      </c>
      <c r="C210" s="144" t="s">
        <v>205</v>
      </c>
      <c r="D210" s="23" t="s">
        <v>89</v>
      </c>
      <c r="F210" s="23" t="str">
        <f>IF(NOT(ISBLANK(D210)),D210,IF(NOT(ISBLANK(E210)),"     "&amp;E210,FALSE))</f>
        <v>Afectación Económica o presupuestal</v>
      </c>
      <c r="G210" s="23" t="s">
        <v>89</v>
      </c>
      <c r="H210" s="23" t="str">
        <f>IF(NOT(ISERROR(MATCH(G210,_xlfn.ANCHORARRAY(B221),0))),F223&amp;"Por favor no seleccionar los criterios de impacto",G210)</f>
        <v>❌Por favor no seleccionar los criterios de impacto</v>
      </c>
    </row>
    <row r="211" spans="1:8" s="23" customFormat="1" ht="42" x14ac:dyDescent="0.4">
      <c r="A211" s="87"/>
      <c r="B211" s="144" t="s">
        <v>89</v>
      </c>
      <c r="C211" s="144" t="s">
        <v>206</v>
      </c>
      <c r="E211" s="23" t="s">
        <v>205</v>
      </c>
      <c r="F211" s="23" t="str">
        <f t="shared" ref="F211:F221" si="0">IF(NOT(ISBLANK(D211)),D211,IF(NOT(ISBLANK(E211)),"     "&amp;E211,FALSE))</f>
        <v xml:space="preserve">     Afectación menor a 200 SMLMV</v>
      </c>
    </row>
    <row r="212" spans="1:8" s="23" customFormat="1" ht="42" x14ac:dyDescent="0.4">
      <c r="A212" s="87"/>
      <c r="B212" s="144" t="s">
        <v>89</v>
      </c>
      <c r="C212" s="144" t="s">
        <v>210</v>
      </c>
      <c r="E212" s="23" t="s">
        <v>206</v>
      </c>
      <c r="F212" s="23" t="str">
        <f t="shared" si="0"/>
        <v xml:space="preserve">     Entre 200 y 1000 SMLMV</v>
      </c>
    </row>
    <row r="213" spans="1:8" s="23" customFormat="1" ht="42" x14ac:dyDescent="0.4">
      <c r="A213" s="87"/>
      <c r="B213" s="144" t="s">
        <v>89</v>
      </c>
      <c r="C213" s="144" t="s">
        <v>211</v>
      </c>
      <c r="E213" s="23" t="s">
        <v>210</v>
      </c>
      <c r="F213" s="23" t="str">
        <f t="shared" si="0"/>
        <v xml:space="preserve">     Entre 1000 y 5000 SMLMV </v>
      </c>
    </row>
    <row r="214" spans="1:8" s="23" customFormat="1" ht="42" x14ac:dyDescent="0.4">
      <c r="A214" s="87"/>
      <c r="B214" s="144" t="s">
        <v>89</v>
      </c>
      <c r="C214" s="144" t="s">
        <v>207</v>
      </c>
      <c r="E214" s="23" t="s">
        <v>211</v>
      </c>
      <c r="F214" s="23" t="str">
        <f t="shared" si="0"/>
        <v xml:space="preserve">     Entre 5000 y 10000 SMLMV</v>
      </c>
    </row>
    <row r="215" spans="1:8" s="23" customFormat="1" ht="21" x14ac:dyDescent="0.4">
      <c r="A215" s="87"/>
      <c r="B215" s="144" t="s">
        <v>57</v>
      </c>
      <c r="C215" s="144" t="s">
        <v>92</v>
      </c>
      <c r="E215" s="23" t="s">
        <v>207</v>
      </c>
      <c r="F215" s="23" t="str">
        <f t="shared" si="0"/>
        <v xml:space="preserve">     Mayor a 10000 SMLMV</v>
      </c>
    </row>
    <row r="216" spans="1:8" s="23" customFormat="1" ht="63" x14ac:dyDescent="0.4">
      <c r="A216" s="87"/>
      <c r="B216" s="144" t="s">
        <v>57</v>
      </c>
      <c r="C216" s="144" t="s">
        <v>93</v>
      </c>
      <c r="D216" s="23" t="s">
        <v>57</v>
      </c>
      <c r="F216" s="23" t="str">
        <f t="shared" si="0"/>
        <v>Pérdida Reputacional</v>
      </c>
    </row>
    <row r="217" spans="1:8" s="23" customFormat="1" ht="42" x14ac:dyDescent="0.4">
      <c r="A217" s="87"/>
      <c r="B217" s="144" t="s">
        <v>57</v>
      </c>
      <c r="C217" s="144" t="s">
        <v>95</v>
      </c>
      <c r="E217" s="23" t="s">
        <v>92</v>
      </c>
      <c r="F217" s="23" t="str">
        <f>IF(NOT(ISBLANK(D217)),D217,IF(NOT(ISBLANK(E217)),"     "&amp;E217,FALSE))</f>
        <v xml:space="preserve">     El riesgo afecta la imagen de alguna área de la organización</v>
      </c>
    </row>
    <row r="218" spans="1:8" s="23" customFormat="1" ht="63" x14ac:dyDescent="0.4">
      <c r="A218" s="87"/>
      <c r="B218" s="144" t="s">
        <v>57</v>
      </c>
      <c r="C218" s="144"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44" t="s">
        <v>57</v>
      </c>
      <c r="C219" s="144" t="s">
        <v>113</v>
      </c>
      <c r="E219" s="23" t="s">
        <v>95</v>
      </c>
      <c r="F219" s="23" t="str">
        <f t="shared" si="0"/>
        <v xml:space="preserve">     El riesgo afecta la imagen de la entidad con algunos usuarios de relevancia frente al logro de los objetivos</v>
      </c>
    </row>
    <row r="220" spans="1:8" s="23" customFormat="1" x14ac:dyDescent="0.3">
      <c r="A220" s="87"/>
      <c r="E220" s="23" t="s">
        <v>94</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113</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45" t="s">
        <v>141</v>
      </c>
    </row>
    <row r="224" spans="1:8" s="23" customFormat="1" x14ac:dyDescent="0.3">
      <c r="F224" s="145" t="s">
        <v>142</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Contexto</vt:lpstr>
      <vt:lpstr>Priorizacion de Causas</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2025-04-21T19:50:07Z</dcterms:modified>
</cp:coreProperties>
</file>