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2. BIM (MARZ-ABRIL-25)\2. CTRL INTERNO\"/>
    </mc:Choice>
  </mc:AlternateContent>
  <xr:revisionPtr revIDLastSave="0" documentId="13_ncr:1_{7B4C3D81-3525-43B9-8481-9CB16D46EECF}"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 sheetId="28" r:id="rId3"/>
    <sheet name="DOFA" sheetId="30"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Hoja2" sheetId="24" r:id="rId11"/>
    <sheet name="Hoja3" sheetId="25" r:id="rId12"/>
    <sheet name="Opciones Tratamiento" sheetId="16" state="hidden" r:id="rId13"/>
    <sheet name="Hoja1" sheetId="11" state="hidden" r:id="rId14"/>
  </sheets>
  <externalReferences>
    <externalReference r:id="rId15"/>
    <externalReference r:id="rId16"/>
    <externalReference r:id="rId17"/>
    <externalReference r:id="rId18"/>
    <externalReference r:id="rId19"/>
    <externalReference r:id="rId20"/>
  </externalReferences>
  <calcPr calcId="191029"/>
  <pivotCaches>
    <pivotCache cacheId="4" r:id="rId2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0" l="1"/>
  <c r="R53" i="28" l="1"/>
  <c r="S53" i="28" s="1"/>
  <c r="T53" i="28" s="1"/>
  <c r="B53" i="28"/>
  <c r="E13" i="1" s="1"/>
  <c r="R52" i="28"/>
  <c r="S52" i="28" s="1"/>
  <c r="T52" i="28" s="1"/>
  <c r="B52" i="28"/>
  <c r="E10" i="1" s="1"/>
  <c r="R51" i="28"/>
  <c r="S51" i="28" s="1"/>
  <c r="T51" i="28" s="1"/>
  <c r="B51" i="28"/>
  <c r="E14" i="1" s="1"/>
  <c r="R50" i="28"/>
  <c r="S50" i="28" s="1"/>
  <c r="T50" i="28" s="1"/>
  <c r="B50" i="28"/>
  <c r="E11" i="1" s="1"/>
  <c r="R49" i="28"/>
  <c r="S49" i="28" s="1"/>
  <c r="T49" i="28" s="1"/>
  <c r="B49" i="28"/>
  <c r="R48" i="28"/>
  <c r="S48" i="28" s="1"/>
  <c r="T48" i="28" s="1"/>
  <c r="B48" i="28"/>
  <c r="E12" i="1" s="1"/>
  <c r="R47" i="28"/>
  <c r="S47" i="28" s="1"/>
  <c r="T47" i="28" s="1"/>
  <c r="B47" i="28"/>
  <c r="R46" i="28"/>
  <c r="S46" i="28" s="1"/>
  <c r="T46" i="28" s="1"/>
  <c r="B46" i="28"/>
  <c r="R45" i="28"/>
  <c r="S45" i="28" s="1"/>
  <c r="T45" i="28" s="1"/>
  <c r="B45" i="28"/>
  <c r="R44" i="28"/>
  <c r="S44" i="28" s="1"/>
  <c r="T44" i="28" s="1"/>
  <c r="B44" i="28"/>
  <c r="S43" i="28"/>
  <c r="R43" i="28"/>
  <c r="H42" i="28"/>
  <c r="G42" i="28"/>
  <c r="F42" i="28"/>
  <c r="E42" i="28"/>
  <c r="D42" i="28"/>
  <c r="C42" i="28"/>
  <c r="B42" i="28"/>
  <c r="H41" i="28"/>
  <c r="G41" i="28"/>
  <c r="F41" i="28"/>
  <c r="E41" i="28"/>
  <c r="D41" i="28"/>
  <c r="C41" i="28"/>
  <c r="B41" i="28"/>
  <c r="S40" i="28"/>
  <c r="T40" i="28" s="1"/>
  <c r="R40" i="28"/>
  <c r="B40" i="28"/>
  <c r="H39" i="28"/>
  <c r="G39" i="28"/>
  <c r="F39" i="28"/>
  <c r="E39" i="28"/>
  <c r="D39" i="28"/>
  <c r="C39" i="28"/>
  <c r="B39" i="28"/>
  <c r="S38" i="28"/>
  <c r="T38" i="28" s="1"/>
  <c r="R38" i="28"/>
  <c r="B38" i="28"/>
  <c r="S37" i="28"/>
  <c r="T37" i="28" s="1"/>
  <c r="R37" i="28"/>
  <c r="B37" i="28"/>
  <c r="H36" i="28"/>
  <c r="G36" i="28"/>
  <c r="F36" i="28"/>
  <c r="E36" i="28"/>
  <c r="D36" i="28"/>
  <c r="C36" i="28"/>
  <c r="B36" i="28"/>
  <c r="S35" i="28"/>
  <c r="T35" i="28" s="1"/>
  <c r="H35" i="28"/>
  <c r="G35" i="28"/>
  <c r="F35" i="28"/>
  <c r="E35" i="28"/>
  <c r="D35" i="28"/>
  <c r="C35" i="28"/>
  <c r="B35" i="28"/>
  <c r="H34" i="28"/>
  <c r="G34" i="28"/>
  <c r="F34" i="28"/>
  <c r="E34" i="28"/>
  <c r="D34" i="28"/>
  <c r="C34" i="28"/>
  <c r="B34" i="28"/>
  <c r="S33" i="28"/>
  <c r="T33" i="28" s="1"/>
  <c r="R33" i="28"/>
  <c r="B33" i="28"/>
  <c r="S32" i="28"/>
  <c r="T32" i="28" s="1"/>
  <c r="C32" i="28"/>
  <c r="R32" i="28" s="1"/>
  <c r="B32" i="28"/>
  <c r="H31" i="28"/>
  <c r="G31" i="28"/>
  <c r="F31" i="28"/>
  <c r="E31" i="28"/>
  <c r="D31" i="28"/>
  <c r="C31" i="28"/>
  <c r="B31" i="28"/>
  <c r="T30" i="28"/>
  <c r="S30" i="28"/>
  <c r="R30" i="28"/>
  <c r="B30" i="28"/>
  <c r="H29" i="28"/>
  <c r="G29" i="28"/>
  <c r="F29" i="28"/>
  <c r="E29" i="28"/>
  <c r="D29" i="28"/>
  <c r="C29" i="28"/>
  <c r="B29" i="28"/>
  <c r="T28" i="28"/>
  <c r="S28" i="28"/>
  <c r="R28" i="28"/>
  <c r="B28" i="28"/>
  <c r="S27" i="28"/>
  <c r="T27" i="28" s="1"/>
  <c r="R27" i="28"/>
  <c r="S26" i="28"/>
  <c r="T26" i="28" s="1"/>
  <c r="R26" i="28"/>
  <c r="B26" i="28"/>
  <c r="S25" i="28"/>
  <c r="T25" i="28" s="1"/>
  <c r="R25" i="28"/>
  <c r="B25" i="28"/>
  <c r="S24" i="28"/>
  <c r="T24" i="28" s="1"/>
  <c r="R24" i="28"/>
  <c r="B24" i="28"/>
  <c r="S23" i="28"/>
  <c r="R23" i="28"/>
  <c r="B23" i="28"/>
  <c r="S22" i="28"/>
  <c r="R22" i="28"/>
  <c r="B22" i="28"/>
  <c r="S21" i="28"/>
  <c r="R21" i="28"/>
  <c r="B21" i="28"/>
  <c r="S20" i="28"/>
  <c r="R20" i="28"/>
  <c r="B20" i="28"/>
  <c r="S19" i="28"/>
  <c r="T19" i="28" s="1"/>
  <c r="R19" i="28"/>
  <c r="B19" i="28"/>
  <c r="S18" i="28"/>
  <c r="T18" i="28" s="1"/>
  <c r="R18" i="28"/>
  <c r="B18" i="28"/>
  <c r="S17" i="28"/>
  <c r="T17" i="28" s="1"/>
  <c r="R17" i="28"/>
  <c r="B17" i="28"/>
  <c r="S16" i="28"/>
  <c r="T16" i="28" s="1"/>
  <c r="R16" i="28"/>
  <c r="B16" i="28"/>
  <c r="S15" i="28"/>
  <c r="T15" i="28" s="1"/>
  <c r="R15" i="28"/>
  <c r="B15" i="28"/>
  <c r="S14" i="28"/>
  <c r="T14" i="28" s="1"/>
  <c r="R14" i="28"/>
  <c r="B14" i="28"/>
  <c r="S13" i="28"/>
  <c r="T13" i="28" s="1"/>
  <c r="R13" i="28"/>
  <c r="B13" i="28"/>
  <c r="S12" i="28"/>
  <c r="T12" i="28" s="1"/>
  <c r="R12" i="28"/>
  <c r="B12" i="28"/>
  <c r="S11" i="28"/>
  <c r="R11" i="28"/>
  <c r="B11" i="28"/>
  <c r="A7" i="28"/>
  <c r="A6" i="28"/>
  <c r="R35" i="28" l="1"/>
  <c r="R42" i="28"/>
  <c r="S39" i="28"/>
  <c r="T39" i="28" s="1"/>
  <c r="R36" i="28"/>
  <c r="S42" i="28"/>
  <c r="T42" i="28" s="1"/>
  <c r="R41" i="28"/>
  <c r="S34" i="28"/>
  <c r="T34" i="28" s="1"/>
  <c r="R29" i="28"/>
  <c r="S54" i="28" s="1"/>
  <c r="S31" i="28"/>
  <c r="T31" i="28" s="1"/>
  <c r="R39" i="28"/>
  <c r="R31" i="28"/>
  <c r="S36" i="28"/>
  <c r="T36" i="28" s="1"/>
  <c r="S41" i="28"/>
  <c r="T41" i="28" s="1"/>
  <c r="S29" i="28"/>
  <c r="S55" i="28" s="1"/>
  <c r="R34" i="28"/>
  <c r="T11" i="28"/>
  <c r="T29" i="28" l="1"/>
  <c r="T13" i="1"/>
  <c r="W10" i="1" l="1"/>
  <c r="K13" i="1" l="1"/>
  <c r="L13" i="1" s="1"/>
  <c r="K12" i="1"/>
  <c r="L12" i="1" s="1"/>
  <c r="K11" i="1"/>
  <c r="L11" i="1" s="1"/>
  <c r="W13" i="1"/>
  <c r="W12" i="1"/>
  <c r="T12" i="1"/>
  <c r="W11" i="1"/>
  <c r="T11" i="1"/>
  <c r="W62" i="1" l="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W15" i="1"/>
  <c r="T15" i="1"/>
  <c r="W14" i="1"/>
  <c r="T14" i="1"/>
  <c r="AE23" i="1" l="1"/>
  <c r="AD23" i="1" s="1"/>
  <c r="AE31" i="1"/>
  <c r="AD31" i="1" s="1"/>
  <c r="AE35" i="1"/>
  <c r="AD35" i="1" s="1"/>
  <c r="AE43" i="1"/>
  <c r="AD43" i="1" s="1"/>
  <c r="AE47" i="1"/>
  <c r="AD47" i="1" s="1"/>
  <c r="AE55" i="1"/>
  <c r="AD55" i="1" s="1"/>
  <c r="AE17" i="1"/>
  <c r="AD17" i="1" s="1"/>
  <c r="AE25" i="1"/>
  <c r="AD25" i="1" s="1"/>
  <c r="AE29" i="1"/>
  <c r="AD29" i="1" s="1"/>
  <c r="AE37" i="1"/>
  <c r="AD37" i="1" s="1"/>
  <c r="AE41" i="1"/>
  <c r="AD41" i="1" s="1"/>
  <c r="AE16" i="1"/>
  <c r="AD16" i="1" s="1"/>
  <c r="AE20" i="1"/>
  <c r="AD20" i="1" s="1"/>
  <c r="AE24" i="1"/>
  <c r="AD24" i="1" s="1"/>
  <c r="AE28" i="1"/>
  <c r="AD28" i="1" s="1"/>
  <c r="AE32" i="1"/>
  <c r="AD32" i="1" s="1"/>
  <c r="AE36" i="1"/>
  <c r="AD36" i="1" s="1"/>
  <c r="AE40" i="1"/>
  <c r="AD40" i="1" s="1"/>
  <c r="AE44" i="1"/>
  <c r="AD44" i="1" s="1"/>
  <c r="AE48" i="1"/>
  <c r="AD48" i="1" s="1"/>
  <c r="AE52" i="1"/>
  <c r="AD52" i="1" s="1"/>
  <c r="AE60" i="1"/>
  <c r="AD60" i="1" s="1"/>
  <c r="AE19" i="1"/>
  <c r="AD19" i="1" s="1"/>
  <c r="AE59" i="1"/>
  <c r="AD59" i="1" s="1"/>
  <c r="AE56" i="1"/>
  <c r="AD56" i="1" s="1"/>
  <c r="AE49" i="1"/>
  <c r="AD49" i="1" s="1"/>
  <c r="AE53" i="1"/>
  <c r="AD53" i="1" s="1"/>
  <c r="AE61" i="1"/>
  <c r="AD61" i="1" s="1"/>
  <c r="AE18" i="1"/>
  <c r="AD18" i="1" s="1"/>
  <c r="AE22" i="1"/>
  <c r="AD22" i="1" s="1"/>
  <c r="AE26" i="1"/>
  <c r="AD26" i="1" s="1"/>
  <c r="AE30" i="1"/>
  <c r="AD30" i="1" s="1"/>
  <c r="AE34" i="1"/>
  <c r="AD34" i="1" s="1"/>
  <c r="AE38" i="1"/>
  <c r="AD38" i="1" s="1"/>
  <c r="AE42" i="1"/>
  <c r="AD42" i="1" s="1"/>
  <c r="AE46" i="1"/>
  <c r="AD46" i="1" s="1"/>
  <c r="AE50" i="1"/>
  <c r="AD50" i="1" s="1"/>
  <c r="AE54" i="1"/>
  <c r="AD54" i="1" s="1"/>
  <c r="AE58" i="1"/>
  <c r="AD58" i="1" s="1"/>
  <c r="AE62" i="1"/>
  <c r="AD62" i="1" s="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39" i="1"/>
  <c r="AA41" i="1"/>
  <c r="AA43" i="1"/>
  <c r="AE39" i="1"/>
  <c r="AD39" i="1" s="1"/>
  <c r="AA40" i="1"/>
  <c r="AA42" i="1"/>
  <c r="AA44" i="1"/>
  <c r="AA33" i="1"/>
  <c r="AA35" i="1"/>
  <c r="AA37" i="1"/>
  <c r="AE33" i="1"/>
  <c r="AD33" i="1" s="1"/>
  <c r="AA34" i="1"/>
  <c r="AA36" i="1"/>
  <c r="AA38" i="1"/>
  <c r="AA27" i="1"/>
  <c r="AA29" i="1"/>
  <c r="AA31" i="1"/>
  <c r="AE27" i="1"/>
  <c r="AD27" i="1" s="1"/>
  <c r="AA28" i="1"/>
  <c r="AA30" i="1"/>
  <c r="AA32" i="1"/>
  <c r="AA21" i="1"/>
  <c r="AA23" i="1"/>
  <c r="AA25" i="1"/>
  <c r="AE21" i="1"/>
  <c r="AD21" i="1" s="1"/>
  <c r="AA22" i="1"/>
  <c r="AA24" i="1"/>
  <c r="AA26" i="1"/>
  <c r="AA15" i="1"/>
  <c r="AA17" i="1"/>
  <c r="AA19" i="1"/>
  <c r="AE15" i="1"/>
  <c r="AD15" i="1" s="1"/>
  <c r="AA16" i="1"/>
  <c r="AA18" i="1"/>
  <c r="AA20" i="1"/>
  <c r="AC62" i="1" l="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9" i="1"/>
  <c r="AB39" i="1"/>
  <c r="AF39" i="1" s="1"/>
  <c r="AC38" i="1"/>
  <c r="AB38" i="1"/>
  <c r="AF38" i="1" s="1"/>
  <c r="AC36" i="1"/>
  <c r="AB36" i="1"/>
  <c r="AF36" i="1" s="1"/>
  <c r="AC34" i="1"/>
  <c r="AB34" i="1"/>
  <c r="AF34" i="1" s="1"/>
  <c r="AC37" i="1"/>
  <c r="AB37" i="1"/>
  <c r="AF37" i="1" s="1"/>
  <c r="AC35" i="1"/>
  <c r="AB35" i="1"/>
  <c r="AF35" i="1" s="1"/>
  <c r="AC33" i="1"/>
  <c r="AB33" i="1"/>
  <c r="AF33" i="1" s="1"/>
  <c r="AC32" i="1"/>
  <c r="AB32" i="1"/>
  <c r="AF32" i="1" s="1"/>
  <c r="AC30" i="1"/>
  <c r="AB30" i="1"/>
  <c r="AF30" i="1" s="1"/>
  <c r="AC28" i="1"/>
  <c r="AB28" i="1"/>
  <c r="AF28" i="1" s="1"/>
  <c r="AB31" i="1"/>
  <c r="AF31" i="1" s="1"/>
  <c r="AC31" i="1"/>
  <c r="AB29" i="1"/>
  <c r="AF29" i="1" s="1"/>
  <c r="AC29" i="1"/>
  <c r="AC27" i="1"/>
  <c r="AB27" i="1"/>
  <c r="AF27" i="1" s="1"/>
  <c r="AC26" i="1"/>
  <c r="AB26" i="1"/>
  <c r="AF26" i="1" s="1"/>
  <c r="AC24" i="1"/>
  <c r="AB24" i="1"/>
  <c r="AF24" i="1" s="1"/>
  <c r="AC22" i="1"/>
  <c r="AB22" i="1"/>
  <c r="AF22" i="1" s="1"/>
  <c r="AC25" i="1"/>
  <c r="AB25" i="1"/>
  <c r="AF25" i="1" s="1"/>
  <c r="AC23" i="1"/>
  <c r="AB23" i="1"/>
  <c r="AF23" i="1" s="1"/>
  <c r="AC21" i="1"/>
  <c r="AB21" i="1"/>
  <c r="AF21" i="1" s="1"/>
  <c r="AC18" i="1"/>
  <c r="AB18" i="1"/>
  <c r="AF18" i="1" s="1"/>
  <c r="AC16" i="1"/>
  <c r="AB16" i="1"/>
  <c r="AF16" i="1" s="1"/>
  <c r="AC19" i="1"/>
  <c r="AB19" i="1"/>
  <c r="AF19" i="1" s="1"/>
  <c r="AC20" i="1"/>
  <c r="AB20" i="1"/>
  <c r="AF20" i="1" s="1"/>
  <c r="AC17" i="1"/>
  <c r="AB17" i="1"/>
  <c r="AF17" i="1" s="1"/>
  <c r="AC15" i="1"/>
  <c r="AB15" i="1"/>
  <c r="AF15" i="1" s="1"/>
  <c r="K10" i="1" l="1"/>
  <c r="L10" i="1" s="1"/>
  <c r="K15" i="1"/>
  <c r="L15" i="1" s="1"/>
  <c r="K21" i="1"/>
  <c r="K27" i="1"/>
  <c r="L27" i="1" s="1"/>
  <c r="K33" i="1"/>
  <c r="L33" i="1" s="1"/>
  <c r="K39" i="1"/>
  <c r="L39" i="1" s="1"/>
  <c r="K45" i="1"/>
  <c r="L45" i="1" s="1"/>
  <c r="K51" i="1"/>
  <c r="L51" i="1" s="1"/>
  <c r="K57" i="1"/>
  <c r="L57" i="1" s="1"/>
  <c r="N46" i="1"/>
  <c r="N29" i="1"/>
  <c r="N22" i="1"/>
  <c r="N56" i="1"/>
  <c r="N48" i="1"/>
  <c r="N38" i="1"/>
  <c r="N20" i="1"/>
  <c r="N42" i="1"/>
  <c r="N34" i="1"/>
  <c r="N58" i="1"/>
  <c r="N44" i="1"/>
  <c r="N62" i="1"/>
  <c r="N35" i="1"/>
  <c r="N25" i="1"/>
  <c r="N53" i="1"/>
  <c r="N30" i="1"/>
  <c r="N36" i="1"/>
  <c r="N41" i="1"/>
  <c r="N61" i="1"/>
  <c r="N19" i="1"/>
  <c r="N17" i="1"/>
  <c r="N24" i="1"/>
  <c r="N60" i="1"/>
  <c r="N32" i="1"/>
  <c r="N26" i="1"/>
  <c r="N55" i="1"/>
  <c r="N16" i="1"/>
  <c r="N40" i="1"/>
  <c r="N49" i="1"/>
  <c r="N18" i="1"/>
  <c r="N52" i="1"/>
  <c r="N43" i="1"/>
  <c r="N31" i="1"/>
  <c r="N50" i="1"/>
  <c r="N23" i="1"/>
  <c r="N47" i="1"/>
  <c r="N59" i="1"/>
  <c r="N28" i="1"/>
  <c r="N54" i="1"/>
  <c r="N37" i="1"/>
  <c r="L21" i="1" l="1"/>
  <c r="F217" i="13" l="1"/>
  <c r="T10" i="1" l="1"/>
  <c r="AA10" i="1" l="1"/>
  <c r="F221" i="13"/>
  <c r="F211" i="13"/>
  <c r="F212" i="13"/>
  <c r="F213" i="13"/>
  <c r="F214" i="13"/>
  <c r="F215" i="13"/>
  <c r="F216" i="13"/>
  <c r="F218" i="13"/>
  <c r="F219" i="13"/>
  <c r="F220" i="13"/>
  <c r="F210" i="13"/>
  <c r="B221" i="13" a="1"/>
  <c r="AC10" i="1" l="1"/>
  <c r="AA11" i="1" s="1"/>
  <c r="AB10" i="1"/>
  <c r="B221" i="13"/>
  <c r="AC11" i="1" l="1"/>
  <c r="AA12" i="1" s="1"/>
  <c r="AB1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C12" i="1" l="1"/>
  <c r="AA13" i="1" s="1"/>
  <c r="AB12" i="1"/>
  <c r="K14" i="1"/>
  <c r="AC13" i="1" l="1"/>
  <c r="AB13" i="1"/>
  <c r="L14" i="1"/>
  <c r="AA14" i="1" s="1"/>
  <c r="AC14" i="1" l="1"/>
  <c r="AB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13" i="1" s="1"/>
  <c r="O13" i="1" s="1"/>
  <c r="P13" i="1" l="1"/>
  <c r="AE13" i="1" s="1"/>
  <c r="Q13" i="1"/>
  <c r="N11" i="1"/>
  <c r="O11" i="1" s="1"/>
  <c r="P11" i="1" s="1"/>
  <c r="AE11" i="1" s="1"/>
  <c r="N12" i="1"/>
  <c r="O12" i="1" s="1"/>
  <c r="N15" i="1"/>
  <c r="O15" i="1" s="1"/>
  <c r="N14" i="1"/>
  <c r="O14" i="1" s="1"/>
  <c r="N21" i="1"/>
  <c r="O21" i="1" s="1"/>
  <c r="N10" i="1"/>
  <c r="O10" i="1" s="1"/>
  <c r="N27" i="1"/>
  <c r="O27" i="1" s="1"/>
  <c r="N33" i="1"/>
  <c r="O33" i="1" s="1"/>
  <c r="N39" i="1"/>
  <c r="O39" i="1" s="1"/>
  <c r="N51" i="1"/>
  <c r="O51" i="1" s="1"/>
  <c r="N45" i="1"/>
  <c r="O45" i="1" s="1"/>
  <c r="N57" i="1"/>
  <c r="O57" i="1" s="1"/>
  <c r="AK16" i="19" l="1"/>
  <c r="Y46" i="19"/>
  <c r="Y16" i="19"/>
  <c r="AE36" i="19"/>
  <c r="M36" i="19"/>
  <c r="M46" i="19"/>
  <c r="Y6" i="19"/>
  <c r="AE46" i="19"/>
  <c r="AK36" i="19"/>
  <c r="S36" i="19"/>
  <c r="S6" i="19"/>
  <c r="AK26" i="19"/>
  <c r="S26" i="19"/>
  <c r="M26" i="19"/>
  <c r="S16" i="19"/>
  <c r="S46" i="19"/>
  <c r="M16" i="19"/>
  <c r="Y26" i="19"/>
  <c r="AK46" i="19"/>
  <c r="AE26" i="19"/>
  <c r="AE16" i="19"/>
  <c r="AE6" i="19"/>
  <c r="AK6" i="19"/>
  <c r="Y36" i="19"/>
  <c r="M6" i="19"/>
  <c r="Q11" i="1"/>
  <c r="P12" i="1"/>
  <c r="AE12" i="1" s="1"/>
  <c r="Q12" i="1"/>
  <c r="Q39" i="1"/>
  <c r="V42" i="18"/>
  <c r="P26" i="18"/>
  <c r="AH42" i="18"/>
  <c r="AB10" i="18"/>
  <c r="AB18" i="18"/>
  <c r="AH18" i="18"/>
  <c r="AH26" i="18"/>
  <c r="AB26" i="18"/>
  <c r="P18" i="18"/>
  <c r="P42" i="18"/>
  <c r="J34" i="18"/>
  <c r="J10" i="18"/>
  <c r="V18" i="18"/>
  <c r="V26" i="18"/>
  <c r="J18" i="18"/>
  <c r="J26" i="18"/>
  <c r="AH34" i="18"/>
  <c r="V34" i="18"/>
  <c r="P39" i="1"/>
  <c r="AB42" i="18"/>
  <c r="J42" i="18"/>
  <c r="AH10" i="18"/>
  <c r="V10" i="18"/>
  <c r="P10" i="18"/>
  <c r="AB34" i="18"/>
  <c r="P34" i="18"/>
  <c r="T16" i="18"/>
  <c r="T40" i="18"/>
  <c r="AF24" i="18"/>
  <c r="AF8" i="18"/>
  <c r="T24" i="18"/>
  <c r="AF40" i="18"/>
  <c r="N16" i="18"/>
  <c r="AL32" i="18"/>
  <c r="Z16" i="18"/>
  <c r="Q33" i="1"/>
  <c r="AL8" i="18"/>
  <c r="AL16" i="18"/>
  <c r="N8" i="18"/>
  <c r="P33" i="1"/>
  <c r="Z32" i="18"/>
  <c r="N40" i="18"/>
  <c r="AL40" i="18"/>
  <c r="Z40" i="18"/>
  <c r="N32" i="18"/>
  <c r="AF16" i="18"/>
  <c r="AF32" i="18"/>
  <c r="Z8" i="18"/>
  <c r="N24" i="18"/>
  <c r="T8" i="18"/>
  <c r="AL24" i="18"/>
  <c r="T32" i="18"/>
  <c r="Z24" i="18"/>
  <c r="AD8" i="18"/>
  <c r="AD16" i="18"/>
  <c r="X16" i="18"/>
  <c r="X40" i="18"/>
  <c r="L16" i="18"/>
  <c r="L32" i="18"/>
  <c r="AD40" i="18"/>
  <c r="R32" i="18"/>
  <c r="R40" i="18"/>
  <c r="L40" i="18"/>
  <c r="AJ32" i="18"/>
  <c r="AJ8" i="18"/>
  <c r="AJ40" i="18"/>
  <c r="X24" i="18"/>
  <c r="L8" i="18"/>
  <c r="AD32" i="18"/>
  <c r="R16" i="18"/>
  <c r="X8" i="18"/>
  <c r="AD24" i="18"/>
  <c r="X32" i="18"/>
  <c r="Q27" i="1"/>
  <c r="R24" i="18"/>
  <c r="P27" i="1"/>
  <c r="L24" i="18"/>
  <c r="R8" i="18"/>
  <c r="AJ24" i="18"/>
  <c r="AJ16" i="18"/>
  <c r="AL34" i="18"/>
  <c r="N34" i="18"/>
  <c r="Z18" i="18"/>
  <c r="P51" i="1"/>
  <c r="AL10" i="18"/>
  <c r="AF42" i="18"/>
  <c r="Z10" i="18"/>
  <c r="Q51" i="1"/>
  <c r="N26" i="18"/>
  <c r="AL18" i="18"/>
  <c r="T42" i="18"/>
  <c r="Z26" i="18"/>
  <c r="Z42" i="18"/>
  <c r="AL42" i="18"/>
  <c r="T34" i="18"/>
  <c r="AF34" i="18"/>
  <c r="N18" i="18"/>
  <c r="AF18" i="18"/>
  <c r="AL26" i="18"/>
  <c r="AF26" i="18"/>
  <c r="N42" i="18"/>
  <c r="AF10" i="18"/>
  <c r="T18" i="18"/>
  <c r="N10" i="18"/>
  <c r="T10" i="18"/>
  <c r="T26" i="18"/>
  <c r="Z34" i="18"/>
  <c r="P38" i="18"/>
  <c r="P6" i="18"/>
  <c r="V38" i="18"/>
  <c r="AB6" i="18"/>
  <c r="AH30" i="18"/>
  <c r="J6" i="18"/>
  <c r="P10" i="1"/>
  <c r="AE10" i="1" s="1"/>
  <c r="P14" i="18"/>
  <c r="J38" i="18"/>
  <c r="AH22" i="18"/>
  <c r="V6" i="18"/>
  <c r="AB38" i="18"/>
  <c r="Q10" i="1"/>
  <c r="AH38" i="18"/>
  <c r="J22" i="18"/>
  <c r="AB30" i="18"/>
  <c r="AH14" i="18"/>
  <c r="V22" i="18"/>
  <c r="V14" i="18"/>
  <c r="J14" i="18"/>
  <c r="AH6" i="18"/>
  <c r="P30" i="18"/>
  <c r="AB22" i="18"/>
  <c r="J30" i="18"/>
  <c r="P22" i="18"/>
  <c r="V30" i="18"/>
  <c r="AB14" i="18"/>
  <c r="P21" i="1"/>
  <c r="J8" i="18"/>
  <c r="AB16" i="18"/>
  <c r="V40" i="18"/>
  <c r="AH32" i="18"/>
  <c r="P8" i="18"/>
  <c r="AH40" i="18"/>
  <c r="J32" i="18"/>
  <c r="Q21" i="1"/>
  <c r="AB8" i="18"/>
  <c r="AB24" i="18"/>
  <c r="J40" i="18"/>
  <c r="P16" i="18"/>
  <c r="AB40" i="18"/>
  <c r="V32" i="18"/>
  <c r="AH16" i="18"/>
  <c r="J24" i="18"/>
  <c r="P24" i="18"/>
  <c r="V24" i="18"/>
  <c r="AH8" i="18"/>
  <c r="AH24" i="18"/>
  <c r="V8" i="18"/>
  <c r="V16" i="18"/>
  <c r="P32" i="18"/>
  <c r="J16" i="18"/>
  <c r="P40" i="18"/>
  <c r="AB32" i="18"/>
  <c r="V36" i="18"/>
  <c r="P12" i="18"/>
  <c r="V12" i="18"/>
  <c r="AB44" i="18"/>
  <c r="P44" i="18"/>
  <c r="J12" i="18"/>
  <c r="P28" i="18"/>
  <c r="V20" i="18"/>
  <c r="AH12" i="18"/>
  <c r="J28" i="18"/>
  <c r="AB12" i="18"/>
  <c r="V28" i="18"/>
  <c r="AH36" i="18"/>
  <c r="AB28" i="18"/>
  <c r="AH28" i="18"/>
  <c r="Q57" i="1"/>
  <c r="J20" i="18"/>
  <c r="AH20" i="18"/>
  <c r="P20" i="18"/>
  <c r="AB36" i="18"/>
  <c r="V44" i="18"/>
  <c r="AB20" i="18"/>
  <c r="AH44" i="18"/>
  <c r="P57" i="1"/>
  <c r="J44" i="18"/>
  <c r="P36" i="18"/>
  <c r="J36" i="18"/>
  <c r="L38" i="18"/>
  <c r="AD22" i="18"/>
  <c r="AJ22" i="18"/>
  <c r="AD6" i="18"/>
  <c r="P14" i="1"/>
  <c r="AE14" i="1" s="1"/>
  <c r="AD14" i="1" s="1"/>
  <c r="X14" i="18"/>
  <c r="R6" i="18"/>
  <c r="L30" i="18"/>
  <c r="X6" i="18"/>
  <c r="X30" i="18"/>
  <c r="R38" i="18"/>
  <c r="AJ6" i="18"/>
  <c r="AJ14" i="18"/>
  <c r="R22" i="18"/>
  <c r="R14" i="18"/>
  <c r="AJ30" i="18"/>
  <c r="L14" i="18"/>
  <c r="L6" i="18"/>
  <c r="AD38" i="18"/>
  <c r="AD14" i="18"/>
  <c r="Q14" i="1"/>
  <c r="X38" i="18"/>
  <c r="X22" i="18"/>
  <c r="AJ38" i="18"/>
  <c r="R30" i="18"/>
  <c r="L22" i="18"/>
  <c r="AD30" i="18"/>
  <c r="AD42" i="18"/>
  <c r="AD18" i="18"/>
  <c r="AD26" i="18"/>
  <c r="AJ42" i="18"/>
  <c r="R26" i="18"/>
  <c r="AD34" i="18"/>
  <c r="R34" i="18"/>
  <c r="L18" i="18"/>
  <c r="R10" i="18"/>
  <c r="L42" i="18"/>
  <c r="AJ18" i="18"/>
  <c r="L34" i="18"/>
  <c r="L26" i="18"/>
  <c r="X10" i="18"/>
  <c r="Q45" i="1"/>
  <c r="X26" i="18"/>
  <c r="AJ26" i="18"/>
  <c r="AD10" i="18"/>
  <c r="P45" i="1"/>
  <c r="R42" i="18"/>
  <c r="AJ10" i="18"/>
  <c r="X42" i="18"/>
  <c r="L10" i="18"/>
  <c r="R18" i="18"/>
  <c r="X34" i="18"/>
  <c r="AJ34" i="18"/>
  <c r="X18" i="18"/>
  <c r="Z6" i="18"/>
  <c r="N6" i="18"/>
  <c r="AF14" i="18"/>
  <c r="T6" i="18"/>
  <c r="AL22" i="18"/>
  <c r="T14" i="18"/>
  <c r="AL6" i="18"/>
  <c r="N14" i="18"/>
  <c r="AL14" i="18"/>
  <c r="AF6" i="18"/>
  <c r="AF30" i="18"/>
  <c r="P15" i="1"/>
  <c r="N38" i="18"/>
  <c r="Z38" i="18"/>
  <c r="AL38" i="18"/>
  <c r="AF22" i="18"/>
  <c r="T30" i="18"/>
  <c r="Z22" i="18"/>
  <c r="Z14" i="18"/>
  <c r="N30" i="18"/>
  <c r="AL30" i="18"/>
  <c r="Q15" i="1"/>
  <c r="N22" i="18"/>
  <c r="Z30" i="18"/>
  <c r="T22" i="18"/>
  <c r="AF38" i="18"/>
  <c r="T38" i="18"/>
  <c r="X16" i="19" l="1"/>
  <c r="L26" i="19"/>
  <c r="AJ6" i="19"/>
  <c r="X46" i="19"/>
  <c r="R36" i="19"/>
  <c r="AJ26" i="19"/>
  <c r="R16" i="19"/>
  <c r="L6" i="19"/>
  <c r="AJ36" i="19"/>
  <c r="AJ46" i="19"/>
  <c r="R26" i="19"/>
  <c r="L16" i="19"/>
  <c r="AD36" i="19"/>
  <c r="R46" i="19"/>
  <c r="L36" i="19"/>
  <c r="X6" i="19"/>
  <c r="AD46" i="19"/>
  <c r="L46" i="19"/>
  <c r="R6" i="19"/>
  <c r="X26" i="19"/>
  <c r="AD6" i="19"/>
  <c r="AD16" i="19"/>
  <c r="X36" i="19"/>
  <c r="AJ16" i="19"/>
  <c r="AD26" i="19"/>
  <c r="AD10" i="1"/>
  <c r="AF14" i="1"/>
  <c r="J47" i="19"/>
  <c r="J7" i="19"/>
  <c r="AB37" i="19"/>
  <c r="V47" i="19"/>
  <c r="P27" i="19"/>
  <c r="AH7" i="19"/>
  <c r="P17" i="19"/>
  <c r="V17" i="19"/>
  <c r="V7" i="19"/>
  <c r="AH47" i="19"/>
  <c r="AB27" i="19"/>
  <c r="J27" i="19"/>
  <c r="AH37" i="19"/>
  <c r="V37" i="19"/>
  <c r="V27" i="19"/>
  <c r="J17" i="19"/>
  <c r="AB7" i="19"/>
  <c r="P37" i="19"/>
  <c r="AH17" i="19"/>
  <c r="AB47" i="19"/>
  <c r="J37" i="19"/>
  <c r="P7" i="19"/>
  <c r="AB17" i="19"/>
  <c r="P47" i="19"/>
  <c r="AH27" i="19"/>
  <c r="P36" i="19" l="1"/>
  <c r="AH6" i="19"/>
  <c r="P26" i="19"/>
  <c r="AH46" i="19"/>
  <c r="AH36" i="19"/>
  <c r="AB46" i="19"/>
  <c r="J36" i="19"/>
  <c r="J26" i="19"/>
  <c r="J16" i="19"/>
  <c r="V26" i="19"/>
  <c r="V46" i="19"/>
  <c r="V16" i="19"/>
  <c r="AH26" i="19"/>
  <c r="AF10" i="1"/>
  <c r="V36" i="19"/>
  <c r="AB6" i="19"/>
  <c r="AB16" i="19"/>
  <c r="J6" i="19"/>
  <c r="AB26" i="19"/>
  <c r="P6" i="19"/>
  <c r="AH16" i="19"/>
  <c r="AB36" i="19"/>
  <c r="J46" i="19"/>
  <c r="P16" i="19"/>
  <c r="P46" i="19"/>
  <c r="V6" i="19"/>
  <c r="W26" i="19"/>
  <c r="AC46" i="19"/>
  <c r="W6" i="19"/>
  <c r="AC6" i="19"/>
  <c r="W16" i="19"/>
  <c r="AC36" i="19"/>
  <c r="K6" i="19"/>
  <c r="K46" i="19"/>
  <c r="W46" i="19"/>
  <c r="Q46" i="19"/>
  <c r="K26" i="19"/>
  <c r="AI36" i="19"/>
  <c r="AC16" i="19"/>
  <c r="AI26" i="19"/>
  <c r="Q6" i="19"/>
  <c r="Q36" i="19"/>
  <c r="K36" i="19"/>
  <c r="AC26" i="19"/>
  <c r="Q26" i="19"/>
  <c r="AI46" i="19"/>
  <c r="AI6" i="19"/>
  <c r="W36" i="19"/>
  <c r="K16" i="19"/>
  <c r="Q16" i="19"/>
  <c r="AI1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<sst xmlns="http://schemas.openxmlformats.org/spreadsheetml/2006/main" count="607" uniqueCount="441">
  <si>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</si>
  <si>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</si>
  <si>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</si>
  <si>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</si>
  <si>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</si>
  <si>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</si>
  <si>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</si>
  <si>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</si>
  <si>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</si>
  <si>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</si>
  <si>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</si>
  <si>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</si>
  <si>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</si>
  <si>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</si>
  <si>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</si>
  <si>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</si>
  <si>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</si>
  <si>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</si>
  <si>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</si>
  <si>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</si>
  <si>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</si>
  <si>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</si>
  <si>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</si>
  <si>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</si>
  <si>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</si>
  <si>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</si>
  <si>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</si>
  <si>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</si>
  <si>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</si>
  <si>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</si>
  <si>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</si>
  <si>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</si>
  <si>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</si>
  <si>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</si>
  <si>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</si>
  <si>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</si>
  <si>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</si>
  <si>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</si>
  <si>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</si>
  <si>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</si>
  <si>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</si>
  <si>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</si>
  <si>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</si>
  <si>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</si>
  <si>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</si>
  <si>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</si>
  <si>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</si>
  <si>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</si>
  <si>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</si>
  <si>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</si>
  <si>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</si>
  <si>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</si>
  <si>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</si>
  <si>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</si>
  <si>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</si>
  <si>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</si>
  <si>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</si>
  <si>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</si>
  <si>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</si>
  <si>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</si>
  <si>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</si>
  <si>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</si>
  <si>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</si>
  <si>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</si>
  <si>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</si>
  <si>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</si>
  <si>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</si>
  <si>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</si>
  <si>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</si>
  <si>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</si>
  <si>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</si>
  <si>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</si>
  <si>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</si>
  <si>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</si>
  <si>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</si>
  <si>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</si>
  <si>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</si>
  <si>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</si>
  <si>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</si>
  <si>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</si>
  <si>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</si>
  <si>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</si>
  <si>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</si>
  <si>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</si>
  <si>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</si>
  <si>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</si>
  <si>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</si>
  <si>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</si>
  <si>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</si>
  <si>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</si>
  <si>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</si>
  <si>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</si>
  <si>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</si>
  <si>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</si>
  <si>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</si>
  <si>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</si>
  <si>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</si>
  <si>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</si>
  <si>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</si>
  <si>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</si>
  <si>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</si>
  <si>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</si>
  <si>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</si>
  <si>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</si>
  <si>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</si>
  <si>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</si>
  <si>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</si>
  <si>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</si>
  <si>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</si>
  <si>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</si>
  <si>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</si>
  <si>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</si>
  <si>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</si>
  <si>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</si>
  <si>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</si>
  <si>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</si>
  <si>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</si>
  <si>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</si>
  <si>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</si>
  <si>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</si>
  <si>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</si>
  <si>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</si>
  <si>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</si>
  <si>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</si>
  <si>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</si>
  <si>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</si>
  <si>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</si>
  <si>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</si>
  <si>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</si>
  <si>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</si>
  <si>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</si>
  <si>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</si>
  <si>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</si>
  <si>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</si>
  <si>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</si>
  <si>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</si>
  <si>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</si>
  <si>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</si>
  <si>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</si>
  <si>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</si>
  <si>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</si>
  <si>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</si>
  <si>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</si>
  <si>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</si>
  <si>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</si>
  <si>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</si>
  <si>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</si>
  <si>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</si>
  <si>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</si>
  <si>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</si>
  <si>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</si>
  <si>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</si>
  <si>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</si>
  <si>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</si>
  <si>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</si>
  <si>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</si>
  <si>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</si>
  <si>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</si>
  <si>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</si>
  <si>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</si>
  <si>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</si>
  <si>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</si>
  <si>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</si>
  <si>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</si>
  <si>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</si>
  <si>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</si>
  <si>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</si>
  <si>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</si>
  <si>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</si>
  <si>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</si>
  <si>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</si>
  <si>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</si>
  <si>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</si>
  <si>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</si>
  <si>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</si>
  <si>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</si>
  <si>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</si>
  <si>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</si>
  <si>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</si>
  <si>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</si>
  <si>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</si>
  <si>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</si>
  <si>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</si>
  <si>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</si>
  <si>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</si>
  <si>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</si>
  <si>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</si>
  <si>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</si>
  <si>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</si>
  <si>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</si>
  <si>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</si>
  <si>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</si>
  <si>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</si>
  <si>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</si>
  <si>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</si>
  <si>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</si>
  <si>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</si>
  <si>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</si>
  <si>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</si>
  <si>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</si>
  <si>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</si>
  <si>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</si>
  <si>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</si>
  <si>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</si>
  <si>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</si>
  <si>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</si>
  <si>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</si>
  <si>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</si>
  <si>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</si>
  <si>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</si>
  <si>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</si>
  <si>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</si>
  <si>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</si>
  <si>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</si>
  <si>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</si>
  <si>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</si>
  <si>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</si>
  <si>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</si>
  <si>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</si>
  <si>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</si>
  <si>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</si>
  <si>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</si>
  <si>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</si>
  <si>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</si>
  <si>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</si>
  <si>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</si>
  <si>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</si>
  <si>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</si>
  <si>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</si>
  <si>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</si>
  <si>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</si>
  <si>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</si>
  <si>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</si>
  <si>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</si>
  <si>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</si>
  <si>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</si>
  <si>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</si>
  <si>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</si>
  <si>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</si>
  <si>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</si>
  <si>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</si>
  <si>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</si>
  <si>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</si>
  <si>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SUMA TOTAL</t>
  </si>
  <si>
    <t xml:space="preserve">
MATRIZ DOFA
IDENTIFICACION DE FACTORES 
Y
DEFINICION DE ESTRATEGIAS
</t>
  </si>
  <si>
    <t>NEGATIVOS</t>
  </si>
  <si>
    <t>POSITIVOS</t>
  </si>
  <si>
    <t>DEBILIDADES (D)</t>
  </si>
  <si>
    <t>FORTALEZAS (F)</t>
  </si>
  <si>
    <t>OPORTUNIDADES (O)</t>
  </si>
  <si>
    <t>AMENAZAS (A)</t>
  </si>
  <si>
    <t>Tipo de Riesgos</t>
  </si>
  <si>
    <r>
      <t>FORMATO:</t>
    </r>
    <r>
      <rPr>
        <sz val="11"/>
        <color rgb="FF000000"/>
        <rFont val="Arial"/>
        <family val="2"/>
      </rPr>
      <t xml:space="preserve"> MATRIZ DOFA</t>
    </r>
  </si>
  <si>
    <r>
      <t xml:space="preserve">FORMATO: </t>
    </r>
    <r>
      <rPr>
        <sz val="11"/>
        <color rgb="FF000000"/>
        <rFont val="Arial"/>
        <family val="2"/>
      </rPr>
      <t>CONTEXTO ESTRATEGICO</t>
    </r>
  </si>
  <si>
    <r>
      <rPr>
        <b/>
        <sz val="11"/>
        <color theme="1"/>
        <rFont val="Arial"/>
        <family val="2"/>
      </rPr>
      <t xml:space="preserve">Versión: </t>
    </r>
    <r>
      <rPr>
        <sz val="11"/>
        <color theme="1"/>
        <rFont val="Arial"/>
        <family val="2"/>
      </rPr>
      <t>01</t>
    </r>
  </si>
  <si>
    <r>
      <rPr>
        <b/>
        <sz val="11"/>
        <color theme="1"/>
        <rFont val="Arial"/>
        <family val="2"/>
      </rPr>
      <t xml:space="preserve">Código: </t>
    </r>
    <r>
      <rPr>
        <sz val="11"/>
        <color theme="1"/>
        <rFont val="Arial"/>
        <family val="2"/>
      </rPr>
      <t>FOR-029-PRO-SIG-01</t>
    </r>
  </si>
  <si>
    <r>
      <t xml:space="preserve">Versión: </t>
    </r>
    <r>
      <rPr>
        <sz val="11"/>
        <color rgb="FF000000"/>
        <rFont val="Arial"/>
        <family val="2"/>
      </rPr>
      <t>01</t>
    </r>
  </si>
  <si>
    <r>
      <t xml:space="preserve">Fecha:    </t>
    </r>
    <r>
      <rPr>
        <sz val="11"/>
        <color rgb="FF000000"/>
        <rFont val="Arial"/>
        <family val="2"/>
      </rPr>
      <t>21/02/2024</t>
    </r>
  </si>
  <si>
    <r>
      <t>Código</t>
    </r>
    <r>
      <rPr>
        <sz val="11"/>
        <color rgb="FF000000"/>
        <rFont val="Arial"/>
        <family val="2"/>
      </rPr>
      <t>: FOR-029-PRO-SIG-01</t>
    </r>
  </si>
  <si>
    <r>
      <t xml:space="preserve">PROCESO: </t>
    </r>
    <r>
      <rPr>
        <sz val="11"/>
        <color rgb="FF000000"/>
        <rFont val="Arial"/>
        <family val="2"/>
      </rPr>
      <t>SISTEMA INTEGRADO DE GESTIÓN Y MIPG</t>
    </r>
  </si>
  <si>
    <t>LEGALES Y REGLAMENTARIOS</t>
  </si>
  <si>
    <t>Constantes cambios normativos, diversidad jurídica.</t>
  </si>
  <si>
    <t>PERSONAL DE LA ENTIDAD (Capacidad del personal, políticas de manejo del talento humano, idoneidad)</t>
  </si>
  <si>
    <t>INTERACCIÓN CON LOS PROCESOS</t>
  </si>
  <si>
    <t xml:space="preserve">Cambios normativos en los que establecen responsabilidades a las Oficinas de Control Interno. </t>
  </si>
  <si>
    <t xml:space="preserve">Demoras en la entrega de información por parte de las unidades administrativas, en respuesta a los requerimientos de la oficina. </t>
  </si>
  <si>
    <t xml:space="preserve">Conflicto de interés no comunicado </t>
  </si>
  <si>
    <t>Falta de compromiso de los líderes de los procesos en la implementación de mejoras, asociadas a los planes de mejoramiento y en atención a las recomendaciones establecidas en los informes emitidos por la Oficina de Control Interno.</t>
  </si>
  <si>
    <t>Acciones de orden público que atenten contra la integridad de los Auditores.</t>
  </si>
  <si>
    <t>PROCESOS OPERATIVOS</t>
  </si>
  <si>
    <t>Asignación de auditorias a procesos no acordes al perfil profesional del auditor.</t>
  </si>
  <si>
    <t>NORMATIVIDAD</t>
  </si>
  <si>
    <t>Constante innovación tecnológica y herramientas de conectividad</t>
  </si>
  <si>
    <t>Trafico de influencias.</t>
  </si>
  <si>
    <t>COMUNICACIÓN ENTRE LOS PROCESOS</t>
  </si>
  <si>
    <t xml:space="preserve">Adquisición de equipos eficientes energéticamente (con menor consumo de energía). </t>
  </si>
  <si>
    <t>Omisión en la aplicación de la normativa asociada al seguimiento y/o evaluación</t>
  </si>
  <si>
    <t>Prevalencia de intereses particulares sobre intereses generales.</t>
  </si>
  <si>
    <t xml:space="preserve">Omitir información relevante para la auditoría, con conocimiento de causa. </t>
  </si>
  <si>
    <t xml:space="preserve">La deforestación </t>
  </si>
  <si>
    <t>TECNOLOGÍA (integridad de datos, disponibilidad de datos y sistemas, desarrollo, producción, mantenimiento de sistemas de información)</t>
  </si>
  <si>
    <t xml:space="preserve">Deficiencia en la infraestructura tecnológica que soporta la plataforma pisami, generando lentitud e indisponibilidad del sistema de información. </t>
  </si>
  <si>
    <t>Desarrollo Sostenible</t>
  </si>
  <si>
    <t>ECONÓMICOS Y FINANCIEROS</t>
  </si>
  <si>
    <t xml:space="preserve">Aumento de la demanda de servicios </t>
  </si>
  <si>
    <t xml:space="preserve">Sistemas de información no integrados </t>
  </si>
  <si>
    <t>Unidades administrativas ubicadas en diferentes sitios de la ciudad (Ibagué).</t>
  </si>
  <si>
    <t>PRIORIZACION DE CAUSAS (Amenazas y Debilidades)</t>
  </si>
  <si>
    <t>¿SE  PRIORIZA LA CAUSA EN EL ANÁLISIS DOFA?</t>
  </si>
  <si>
    <t>NO</t>
  </si>
  <si>
    <t xml:space="preserve">Conflicto de interes no comunicado </t>
  </si>
  <si>
    <t>SI</t>
  </si>
  <si>
    <t xml:space="preserve">Nota: se incluye en la Dofa los que estén sobre &gt;=4.0 </t>
  </si>
  <si>
    <t>PROCESO: SISTEMA INTEGRADO DE GESTIÓN Y MIPG</t>
  </si>
  <si>
    <t xml:space="preserve">1. Personal insuficiente para auditar la totalidad de procesos críticos. </t>
  </si>
  <si>
    <t xml:space="preserve">1. Independencia para desarrollar las funciones asignadas a la Oficina de Control Interno </t>
  </si>
  <si>
    <t xml:space="preserve">2. Deficiencia del personal en redacción de informes y formulación de hallazgos. </t>
  </si>
  <si>
    <t xml:space="preserve">2. Acceso a consulta de sistemas de información desarrollados e implementados en la entidad. </t>
  </si>
  <si>
    <t>3. Asignación de auditorias a procesos no acordes al perfil profesional del auditor.</t>
  </si>
  <si>
    <t>3. Talento Humano con formación multidisciplinaria, especializado y con experiencia.</t>
  </si>
  <si>
    <t xml:space="preserve">4. Falta de articulación entre la Secretaría de Planeación y la Oficina de Control Interno. </t>
  </si>
  <si>
    <t xml:space="preserve">4. Capacitación permanente en temas transversales y propios de la oficina </t>
  </si>
  <si>
    <t xml:space="preserve">5. Equipos tecnológicos obsoletos. </t>
  </si>
  <si>
    <t>5. Conocimiento de la entidad, proceso y procedimientos documentados.</t>
  </si>
  <si>
    <t>6. Ausencia de perfil profesional de planta: Ingeniero ambiental , ingeniero civil y abogado.</t>
  </si>
  <si>
    <t>6. Plan anual de auditoría (Programación anual de las actividades a realizar por la Oficina de Control Interno).</t>
  </si>
  <si>
    <t xml:space="preserve">7. Estatuto de auditoria y código del auditor interno. </t>
  </si>
  <si>
    <t xml:space="preserve">8. desconocimiento de actualización normativa </t>
  </si>
  <si>
    <t xml:space="preserve">8. Convocar y establecer las temáticas a tratar en el Comité Institucional de Coordinación de Control Interno y ejercer la secretaría técnica </t>
  </si>
  <si>
    <t xml:space="preserve">9. Conflicto de interés no comunicado </t>
  </si>
  <si>
    <t>9. Rol de asesoría y acompañamiento</t>
  </si>
  <si>
    <t xml:space="preserve">10. Aplicación cultural oportuna de los indicadores del proceso. </t>
  </si>
  <si>
    <t xml:space="preserve">11. Comité municipal de auditoria presidido por la Jefe de la oficina de control interno. </t>
  </si>
  <si>
    <t>ESTRATEGIA DO (SUPERVIVENCIA)
consiste en contrarrestar Debilidades por medio de Oportunidades.</t>
  </si>
  <si>
    <t>ESTRATEGIA FO (CRECIMIENTO)
Utilizar fortalezas para optimizar oportunidades.</t>
  </si>
  <si>
    <t xml:space="preserve">1. Cambios de Gobierno (Estilos de Dirección) </t>
  </si>
  <si>
    <r>
      <t>D</t>
    </r>
    <r>
      <rPr>
        <vertAlign val="subscript"/>
        <sz val="10"/>
        <color theme="1"/>
        <rFont val="Arial"/>
        <family val="2"/>
      </rPr>
      <t>1,6,</t>
    </r>
    <r>
      <rPr>
        <sz val="10"/>
        <color theme="1"/>
        <rFont val="Arial"/>
        <family val="2"/>
      </rPr>
      <t>O</t>
    </r>
    <r>
      <rPr>
        <vertAlign val="subscript"/>
        <sz val="10"/>
        <color theme="1"/>
        <rFont val="Arial"/>
        <family val="2"/>
      </rPr>
      <t>6,17</t>
    </r>
    <r>
      <rPr>
        <sz val="10"/>
        <color theme="1"/>
        <rFont val="Arial"/>
        <family val="2"/>
      </rPr>
      <t>. Solicitar a la Dirección de Talento Humano la contratación o nombramiento de personal profesional en ingeniería ambiental, ingeniero civil y abogado.</t>
    </r>
  </si>
  <si>
    <r>
      <rPr>
        <b/>
        <sz val="10"/>
        <color theme="1"/>
        <rFont val="Arial"/>
        <family val="2"/>
      </rPr>
      <t>F</t>
    </r>
    <r>
      <rPr>
        <b/>
        <vertAlign val="subscript"/>
        <sz val="10"/>
        <color theme="1"/>
        <rFont val="Arial"/>
        <family val="2"/>
      </rPr>
      <t>1,8,</t>
    </r>
    <r>
      <rPr>
        <b/>
        <sz val="10"/>
        <color theme="1"/>
        <rFont val="Arial"/>
        <family val="2"/>
      </rPr>
      <t>O</t>
    </r>
    <r>
      <rPr>
        <b/>
        <vertAlign val="subscript"/>
        <sz val="10"/>
        <color theme="1"/>
        <rFont val="Arial"/>
        <family val="2"/>
      </rPr>
      <t xml:space="preserve">14 </t>
    </r>
    <r>
      <rPr>
        <sz val="10"/>
        <color theme="1"/>
        <rFont val="Arial"/>
        <family val="2"/>
      </rPr>
      <t>Socializar los informes de la Oficina en Comité de Coordinación, generando alertas tempranas para la toma de decisiones.</t>
    </r>
  </si>
  <si>
    <t xml:space="preserve">2. Constante innovación tecnológica. Acceso a páginas web de entes de control y entidades reguladoras (DAFP, CNSC, DNP, etc.), facilitando la consulta de normas y disposiciones que regulan el accionar de la Oficina de Control Interno) y demás herramientas que facilitan la conectividad. </t>
  </si>
  <si>
    <t xml:space="preserve">D2,O5 Solicitar a la Dirección de Talento Humano capacitación al personal auditor en redacción de informes y formulación de hallazgos. </t>
  </si>
  <si>
    <t>F2,O3 Solicitar soporte técnico a la Secretaría de las TIC para el manejo de los aplicativos desarrollados por la entidad.</t>
  </si>
  <si>
    <t xml:space="preserve">3. Apoyo técnico por parte de la Secretaría de las TIC. </t>
  </si>
  <si>
    <t xml:space="preserve">D4,O7 Realizar mesas de trabajo con la Dirección de Fortalecimiento Institucional y Dirección de Planeación del Desarrollo para tratar temas asociados a la evaluación de la gestión por dependencias y a la gestión de riesgos . </t>
  </si>
  <si>
    <t xml:space="preserve">F4,O5. Solicitar a la Dirección de Talento Humano capacitaciones en las temáticas requeridas por el personal adscrito a la Oficina asignado para elaborar el informe y realizar internamente la multiplicación de la capacitación. </t>
  </si>
  <si>
    <t xml:space="preserve">4. Asistencia al Comité de gestión y desempeño y demás comités como invitado </t>
  </si>
  <si>
    <r>
      <rPr>
        <b/>
        <sz val="10"/>
        <color theme="1"/>
        <rFont val="Arial"/>
        <family val="2"/>
      </rPr>
      <t>D</t>
    </r>
    <r>
      <rPr>
        <b/>
        <vertAlign val="subscript"/>
        <sz val="10"/>
        <color theme="1"/>
        <rFont val="Arial"/>
        <family val="2"/>
      </rPr>
      <t>5</t>
    </r>
    <r>
      <rPr>
        <b/>
        <sz val="10"/>
        <color theme="1"/>
        <rFont val="Arial"/>
        <family val="2"/>
      </rPr>
      <t>O</t>
    </r>
    <r>
      <rPr>
        <b/>
        <vertAlign val="subscript"/>
        <sz val="10"/>
        <color theme="1"/>
        <rFont val="Arial"/>
        <family val="2"/>
      </rPr>
      <t>2,3</t>
    </r>
    <r>
      <rPr>
        <sz val="10"/>
        <color theme="1"/>
        <rFont val="Arial"/>
        <family val="2"/>
      </rPr>
      <t xml:space="preserve"> Diligenciar el formato de necesidades registrando la necesidad de equipos tecnológicos para el personal adscrito a la Oficina y requerir soporte técnico cuando se requiera.</t>
    </r>
  </si>
  <si>
    <t>F3,5,8,9,O7,14. Asesorar al nivel directivo en el Comité de Coordinación de Control Interno.</t>
  </si>
  <si>
    <t xml:space="preserve">5. Programa Institucional de Capacitación </t>
  </si>
  <si>
    <t xml:space="preserve">D8,12,O19 Consultar los cambios normativos que aplican a control interno socializados en el grupo WhatsApp Mi Tolima y darlos a conocer al equipo de control interno y en caso que la jefe de la Oficina lo considere necesario solicitar a talento humano capacitación y multiplicarla a los compañeros de trabajo. </t>
  </si>
  <si>
    <t>6. Plan de previsión del talento humano. ( Dirección de Talento Humano)</t>
  </si>
  <si>
    <t xml:space="preserve">7. Mesas de trabajo con las unidades administrativas. </t>
  </si>
  <si>
    <t xml:space="preserve">D11,O14,F6,10  Establecer el orden del día del Comité de Coordinación de Control Interno previa consulta de la aplicación trimestral del indicador  índice de informes socializados en el Comité y el acta anterior del comité. </t>
  </si>
  <si>
    <t xml:space="preserve">8. Código de integridad y buen gobierno actualizado y adoptado en la entidad en el que se establece:  Valores, principios y lineamientos para identificar y declarar los conflictos de interés (Adoptado mediante el Decreto 612 del 24 de noviembre de 2020) </t>
  </si>
  <si>
    <t xml:space="preserve">9. Oficina de Control Disciplinario. </t>
  </si>
  <si>
    <t xml:space="preserve">11. Línea Rita de Secretaria de Transparencia de Presidencia de la Republica y sistema general de alertas -SIGAP de la CGR. </t>
  </si>
  <si>
    <t xml:space="preserve">13. Entidad certificada ISO 9001:2015, ISO 14001:2015 y ISO 45001: 2018 </t>
  </si>
  <si>
    <t>14. Comité de Coordinación de Control Interno, creado e implementado</t>
  </si>
  <si>
    <t>17. Reorganización y rediseño de la administración municipal en el programa de gobierno de la Alcaldesa y el Plan de desarrollo municipal 2024-2027.</t>
  </si>
  <si>
    <t xml:space="preserve">18. Código de integridad y buen gobierno documentado e implementado en la entidad. </t>
  </si>
  <si>
    <t xml:space="preserve">19. Creación del grupo Mi Tolima por experto técnico en temas de control interno conformado por jefes de control interno de entidades públicas, en el cual se socializa cambios normativos que competen al área de control interno. </t>
  </si>
  <si>
    <t xml:space="preserve">20. Plan Institucional de Gestión Ambiental “PIGA” de la administración municipal de Ibagué. (SGA - ISO 14001) bajo el cual se establece la disposición final de elementos que contaminan el medio ambiente (baterías, tóner, residuos de aparatos eléctricos y electrónicos).
</t>
  </si>
  <si>
    <t>ESTRATEGIA DA (CONTINGENCIA)
Cuando el riesgo se materialice a partir de la combinación de debilidades
con amenazas, para formular acciones de contingencia.</t>
  </si>
  <si>
    <t xml:space="preserve">ESTRATEGIA FA (SUPERVIVENCIA)
Utilizar fortalezas para contrarrestar amenazas
</t>
  </si>
  <si>
    <t>A1,2D1,3, 8 Solicitar personal en comisión o por contrato de prestación de servicios, con conocimientos y experiencia que aporten al cumplimiento de las actividades propias de la Oficina de Control Interno.</t>
  </si>
  <si>
    <t>A1F4 Solicitar a talento humano capacitación en las  actualizaciones normativas y realizar jornadas internas de actualización.</t>
  </si>
  <si>
    <t xml:space="preserve">1. Constantes cambios normativos y diversidad jurídica </t>
  </si>
  <si>
    <t xml:space="preserve">A2,D1,3. Solicitar a la Dirección de Talento Humano, capacitación sobre los cambios normativos que apliquen a la oficina de control interno. </t>
  </si>
  <si>
    <r>
      <t>2.</t>
    </r>
    <r>
      <rPr>
        <b/>
        <sz val="10"/>
        <color theme="1"/>
        <rFont val="Arial"/>
        <family val="2"/>
      </rPr>
      <t xml:space="preserve"> </t>
    </r>
    <r>
      <rPr>
        <sz val="10"/>
        <color theme="1"/>
        <rFont val="Arial"/>
        <family val="2"/>
      </rPr>
      <t xml:space="preserve">Cambios normativos en los que establecen responsabilidades a las Oficinas de Control Interno. </t>
    </r>
  </si>
  <si>
    <t xml:space="preserve">A6,D7 Reportar a Control Disciplinario los eventos de faltas con posible incidencia disciplinaria, en los que se encuentre inmerso de personal adscrito a la Oficina de Control interno.  </t>
  </si>
  <si>
    <t>A5F4,9 Generar observaciones en los procesos auditados que presenten falencias en la documentación de procedimientos, orientadas a que los líderes de los procesos con su equipos de trabajo implementen las mejoras requeridas actualizando los procedimientos.</t>
  </si>
  <si>
    <r>
      <t>3.</t>
    </r>
    <r>
      <rPr>
        <b/>
        <sz val="10"/>
        <color theme="1"/>
        <rFont val="Arial"/>
        <family val="2"/>
      </rPr>
      <t xml:space="preserve"> </t>
    </r>
    <r>
      <rPr>
        <sz val="10"/>
        <color theme="1"/>
        <rFont val="Arial"/>
        <family val="2"/>
      </rPr>
      <t xml:space="preserve">Fallas en aplicativos por congestión para cargue o reporte de información a entes de control. </t>
    </r>
  </si>
  <si>
    <t>A3,4,D5  Tomar pantallazos de las fallas en el aplicativo y solicitar el cargue extemporáneo de informes a entes de entes de control, anexando evidencia de las fallas; haciendo uso del lineamiento establecido en las resoluciones vigentes del ente de control para la solicitud de prorroga.</t>
  </si>
  <si>
    <t>4. Demoras en la entrega de información por parte de las unidades administrativas, en respuesta a los requerimientos de la oficina.</t>
  </si>
  <si>
    <t>5. Ausencia de formulación de controles y de registros en los procedimientos a auditar</t>
  </si>
  <si>
    <t xml:space="preserve">6. Tráfico de influencias </t>
  </si>
  <si>
    <t xml:space="preserve">A1,2F4 Solicitar a la Dirección de Talento Humano capacitaciones en las temáticas requeridas por el personal adscrito a la Oficina asignado para elaborar el informe y realizar internamente la multiplicación de la capacitación. </t>
  </si>
  <si>
    <t xml:space="preserve">7. Falta de compromiso de los líderes de los procesos en la implementación de mejora, asociada a los planes de mejoramiento y en atención a las recomendaciones establecidas en los informes emitidos por la oficina de Control Interno.  </t>
  </si>
  <si>
    <t xml:space="preserve">A1,2F6,8 Ajustar el Plan anual de Auditoria, programando actividades a cargo de la Oficina producto de actualizaciones normativas. </t>
  </si>
  <si>
    <t>8. Sistemas de Información no integrados</t>
  </si>
  <si>
    <r>
      <t>A</t>
    </r>
    <r>
      <rPr>
        <vertAlign val="subscript"/>
        <sz val="10"/>
        <rFont val="Arial"/>
        <family val="2"/>
      </rPr>
      <t>9</t>
    </r>
    <r>
      <rPr>
        <sz val="10"/>
        <rFont val="Arial"/>
        <family val="2"/>
      </rPr>
      <t xml:space="preserve"> F</t>
    </r>
    <r>
      <rPr>
        <vertAlign val="subscript"/>
        <sz val="10"/>
        <rFont val="Arial"/>
        <family val="2"/>
      </rPr>
      <t>2</t>
    </r>
    <r>
      <rPr>
        <sz val="10"/>
        <rFont val="Arial"/>
        <family val="2"/>
      </rPr>
      <t>, Solicitar a la Secretaria de las TIC mejorar el rendimiento del aplicativo PISAMI.</t>
    </r>
  </si>
  <si>
    <t xml:space="preserve">9. Deficiencia en la infraestructura tecnológica que soporta la plataforma pisami, generando lentitud e indisponibilidad del sistema de información. </t>
  </si>
  <si>
    <t xml:space="preserve">A12,F8 Recomendar a la alta dirección en el Comité de Coordinación de Control Interno, asignar en personal de planta el responsable de la consulta diaria de la correspondencia y los correos institucionales; con el fin de emitir respuesta oportuna a los requerimientos de la oficina y evitar sanciones por respuesta inoportuna a los entes de control.  </t>
  </si>
  <si>
    <t>12. 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t>
  </si>
  <si>
    <t>Fecha:  21/02/2024</t>
  </si>
  <si>
    <t>Página: 1 de 1</t>
  </si>
  <si>
    <t xml:space="preserve">PROCESO: Gestión de Evaluación y Seguimiento </t>
  </si>
  <si>
    <t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</si>
  <si>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Ausencia de perfil profesional de planta: Ingeniero ambiental , ingeniero civil y abogado.</t>
  </si>
  <si>
    <t xml:space="preserve">La inclusión social </t>
  </si>
  <si>
    <t>Ausencia de formulación controles y de registros en los procedimientos a auditar.</t>
  </si>
  <si>
    <t xml:space="preserve">Deficiencia del personal en redacción de informes y formulación de hallazgos. </t>
  </si>
  <si>
    <t>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t>
  </si>
  <si>
    <t xml:space="preserve">Falta de articulación entre la Secretaría de Planeación y la Oficina de Control Interno. </t>
  </si>
  <si>
    <t xml:space="preserve">Cambios de Gobierno ( estilos de dirección) </t>
  </si>
  <si>
    <t>Fallas en aplicativos por congestión para cargue o reporte de información a entes de control.</t>
  </si>
  <si>
    <t>Disposición final de elementos que contaminan el medio ambiente (baterías, tóner, residuos de aparatos eléctricos y electrónicos).</t>
  </si>
  <si>
    <t xml:space="preserve">Desconocimiento del personal adscrito a la Oficina de control interno de los cambios normativos que impliquen nuevos informes a cargo de la Oficina o modificaciones a la periodicidad del reporte de los informes de ley. </t>
  </si>
  <si>
    <t xml:space="preserve">Falta de cultura en la clasificación de residuos al depositarlos en los recipientes destinados para hacerlo. </t>
  </si>
  <si>
    <t>Entidades públicas realizando cargue de informes de ley a través de aplicativos de entes de control, de forma simultanea. (Control interno contable, derechos de autor y furag).</t>
  </si>
  <si>
    <t>Gestión</t>
  </si>
  <si>
    <t>Líderes de proceso asignando   en personal vinculado mediante contrato de prestación de servicios la responsabilidad de reportes de ley a los entes de control, y a su vez, la emisión de respuestas a los requerimientos de dichos entes.</t>
  </si>
  <si>
    <t xml:space="preserve">Multa o sanción del ente de control </t>
  </si>
  <si>
    <t xml:space="preserve">La actividad generadora del riesgo se presenta en la realizacion del cargue de informes ley en los aplicativo establecidos por el ente de control, actividad que se documentada en: Guia rendicición de la cuenta anual a la contraloria Municipal, guía rendición de la cuenta a la contraloria general, guía informe de control interno contable, guia informe de derechos de autor y procedimiento evaluación del sistema de control interno con énfasis del reporte Furag). </t>
  </si>
  <si>
    <t>Fuente: Adaptado de Curso Riesgo Operativo Universidad del Rosario por Dirección de Gestión y Desempeño Institucional de Función Pública, 2020.</t>
  </si>
  <si>
    <t>01/01/2025 al 31/12/2025</t>
  </si>
  <si>
    <t>Jefe de Coordinación de Control Interno</t>
  </si>
  <si>
    <t>El profesional especializado asignado para diligenciar y actualizar la matriz del normograma del proceso:  Gestión de evaluación y seguimiento, deberá informar al jefe de la oficina,   cada vez que se presenten cambios normativos que requieran  la generación de nuevos  informes, con el fin de  ajustar o actualizar   el plan de Anual de Auditoria   confrontando  la fecha de emisión del informe con la disponibilidad del personal en el cronograma del plan anual de auditoria, para  asignar  el responsable de elaborar el nuevo  informe; garantizando la emisión  oportuna del mismo al ente de control;   en caso de no contar con personal disponible o el perfil indicado  la  jefe   solicita a la Dirección de Talento Humano la asignación de personal idóneo para  elaborar  el informe o gestionar  la  contratación de personal.  Como evidencia queda el Plan  Anual de auditoria ajustado y  publicado en la web, el acta de Comité de Coordinación de Control Interno que registre la aprobación de la actualización  del Plan, el  informe generado publicado en la web y el  memorando de solicitud de personal idóneo para elaborar el informe.</t>
  </si>
  <si>
    <t>El auditor asignado en el plan anual de auditoria para realizar el informe de ley o coordinar el cargue en los aplicativos del ente del control, cada vez que realiza un informe o lo coordina;  verifica que los líderes de procesos responsables del reporte de información, designen en personal de planta, diligenciamiento de la información solicitada en formatos y sus respectivos anexos,  con el fin de asegurar que realicen adecuadamente la validación de la información  dentro de los plazos establecidos  en los aplicativos dispuestos por el ente de control; para ello cada auditor proyecta  una circular solicitando a los líderes de proceso que asignen la responsabilidad del reporte de la información solicitada, en personal de planta, con el fin de garantizar la calidad y  oportunidad del reporte del informe al ente de control. Fijando como fecha límite para el reporte 7 días previos al vencimiento del término. En el caso de detectar que el reporte no esté a cargo de personal de planta, se reitera el cumplimiento de esta directriz. Como evidencia de ejecución de control queda la circular proyectada, la respuesta emitida por la unidad administrativa citando el nombre y cargo del funcionario asignado y el memorando del reiterado si fue necesario.</t>
  </si>
  <si>
    <t>Los auditores responsables de la elaboración de los informes de ley, al momento de generar el informe, emitir una circular a las áreas correspondientes, relacionando el reporte que debe presentarse y estableciendo la fecha límite para la emisión de la respuesta al requerimiento. Esta fecha debe fijarse con al menos 7 días hábiles previos al vencimiento del plazo establecido por la normativa, con el objetivo de asegurar que el informe o reporte se cargue oportunamente al ente de control. Para determinar la fecha de entrega de la información por parte de las unidades administrativas, se debe confrontar la fecha límite para la emisión del reporte con la fecha establecida por el ente de control, de modo que se disponga del tiempo necesario para solicitar una prórroga, en caso de ser necesario.
Vencido el plazo establecido, el auditor debe consultar el aplicativo de correspondencia PISAMI y, al mismo tiempo, coordinar con el auxiliar administrativo para verificar si la información solicitada ha sido recibida. Si la respuesta es afirmativa, se procederá a realizar las actividades necesarias para generar el informe. En caso contrario, se deberá comunicar a jefe el estado del requerimiento para que gestione la entrega inmediata de la información.
Como evidencia de la ejecución del control, se deberá dejar constancia de lo siguiente: el memorando o circular que respalda el requerimiento oportuno de la información y la información recibida, la cual debe ser incluida en los expedientes de la serie documental asociada a los respectivos informes. En caso de desviación, se generará evidencia de la reiteración del requerimiento mediante el correo institucional de la Oficina y/o el aplicativo de correspondencia PISAMI, si se ha reiterado mediante memorando.</t>
  </si>
  <si>
    <t>A3, A10, 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 su vez, las resoluciones vigentes para rendir el informe.</t>
  </si>
  <si>
    <t>07/03/2025
09/05/2025
04/07/2025
05/09/2025
07/11/2025</t>
  </si>
  <si>
    <t xml:space="preserve">Incumplimiento del  rol de liderazgo estratégico </t>
  </si>
  <si>
    <r>
      <rPr>
        <sz val="10"/>
        <color rgb="FFFF0000"/>
        <rFont val="Arial"/>
        <family val="2"/>
      </rPr>
      <t>Posibilidad de</t>
    </r>
    <r>
      <rPr>
        <sz val="10"/>
        <rFont val="Arial"/>
        <family val="2"/>
      </rPr>
      <t xml:space="preserve"> afectacion reputacional </t>
    </r>
    <r>
      <rPr>
        <sz val="10"/>
        <color rgb="FFFF0000"/>
        <rFont val="Arial"/>
        <family val="2"/>
      </rPr>
      <t>por</t>
    </r>
    <r>
      <rPr>
        <sz val="10"/>
        <rFont val="Arial"/>
        <family val="2"/>
      </rPr>
      <t xml:space="preserve"> Multa o sanción del ente de control </t>
    </r>
    <r>
      <rPr>
        <sz val="10"/>
        <color rgb="FFFF0000"/>
        <rFont val="Arial"/>
        <family val="2"/>
      </rPr>
      <t>debido a</t>
    </r>
    <r>
      <rPr>
        <sz val="10"/>
        <rFont val="Arial"/>
        <family val="2"/>
      </rPr>
      <t xml:space="preserve"> la Inoportunidad en el cargue de informes de ley a través de aplicativos dispuestos por entes de control </t>
    </r>
  </si>
  <si>
    <r>
      <rPr>
        <sz val="11"/>
        <color rgb="FFFF0000"/>
        <rFont val="Arial Narrow"/>
        <family val="2"/>
      </rPr>
      <t>Posibilidad de</t>
    </r>
    <r>
      <rPr>
        <sz val="11"/>
        <rFont val="Arial Narrow"/>
        <family val="2"/>
      </rPr>
      <t xml:space="preserve"> afectación reputacional  </t>
    </r>
    <r>
      <rPr>
        <sz val="11"/>
        <color rgb="FFFF0000"/>
        <rFont val="Arial Narrow"/>
        <family val="2"/>
      </rPr>
      <t>por</t>
    </r>
    <r>
      <rPr>
        <sz val="11"/>
        <rFont val="Arial Narrow"/>
        <family val="2"/>
      </rPr>
      <t xml:space="preserve"> incumplimiento del rol  de liderazgo estratégico, </t>
    </r>
    <r>
      <rPr>
        <sz val="11"/>
        <color rgb="FFFF0000"/>
        <rFont val="Arial Narrow"/>
        <family val="2"/>
      </rPr>
      <t xml:space="preserve">debido a </t>
    </r>
    <r>
      <rPr>
        <sz val="11"/>
        <rFont val="Arial Narrow"/>
        <family val="2"/>
      </rPr>
      <t xml:space="preserve"> la  socialización  inoportuna de los informes emitidos por la Oficina   en el Comité  de  Coordinación de Control Interno. </t>
    </r>
  </si>
  <si>
    <t xml:space="preserve">Procedimiento liderazgo estratégico </t>
  </si>
  <si>
    <t>El Profesional especializado y el jefe de control interno 2. Para elaborar el orden del día a tratar en el comité de coordinación de control interno 3. verifica que los informes programados   a realizar en el plan Anual de Auditoria en el trimestre previo a la realización del comité, se encuentren elaborados 4. Para ello consulta en el Plan Anual de Auditoria qué informes se encuentran programados a realizar entre la fecha del último comité y la definida para el siguiente comité y los confronta con los que se encuentran elaborados, durante el mismo periodo usando como fuente de información el aplicativo PISAMI, el Link de transparencia y los expedientes Físicos, con el fin de asegurar la disponibilidad de los informes para la socialización a la Alta dirección en el Comité.   Acto seguido genera el orden del día con los informes a socializar y convoca al Comité de Coordinación de Control Interno5. No obstante, si se presenta diferencia entre los informes programados a realizar en el PAA   VS los informes realizados; procede a realizar comité extraordinario en fecha posterior al Comité ordinario, o se incluyen junto a los que se deben socializar en el próximo comité.  6.  Como evidencia de ejecución quedan las actas de comité técnico de la oficina de control interno, la hoja de vida del indicador descrito: Índice de informes socializados y las actas del comité de coordinación de control interno.</t>
  </si>
  <si>
    <t xml:space="preserve">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</si>
  <si>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INICIA CON LA ELABORACIÓN DEL PLAN ANUAL DE AUDITORÍA, INCLUYE LAS ACTIVIDADES REQUERIDAS PARA LA IMPLEMENTACIÓN DE LOS  5 ROLES ASIGNADOS A LAS OFICINAS DE CONTROL INTERNO, Y FINALIZA CON LA EVALUACIÓN DEL CUMPLIMIENTO DEL PLAN ANUAL DE AUDITORIA. </t>
  </si>
  <si>
    <t xml:space="preserve">GESTION DE EVALUACION Y SEGUIMIENTO </t>
  </si>
  <si>
    <t>Socialización inoportuna de los informes emitidos por la Oficina  en  el  Comité de Coordinación de Control Interno.</t>
  </si>
  <si>
    <t>Inoportunidad en el cargue de informes de ley a través de aplicativos dispuestos por entes de control.</t>
  </si>
  <si>
    <t>D1,6 O17,21:  Solicitar a la Dirección de Talento Humano, incluir en el decreto del manual de funciones, el perfil profesional de ingeniero civil y ambiental para los cargos del nivel profesional grado 10 y el especializado, para la Oficina de Control Interno.</t>
  </si>
  <si>
    <t>A3,10 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 su vez, las resoluciones vigentes para rendir el informe.</t>
  </si>
  <si>
    <t>A4,7,11F8 Incluir dentro de las temáticas a tratar en Comité de Coordinación de Control Interno, la falta de compromiso por parte de los líderes de los procesos  con  la implementación de acciones de mejora formuladas en planes de mejoramiento, la responsabilidad de asignar en personal de planta los reportes a entes de control solicitados por la Oficina de Control Interno, atención a las recomendaciones de la Oficina de Control Interno y la oportunidad en la entrega de la información sobre los requerimientos generados por la Oficina.</t>
  </si>
  <si>
    <t>10.Entidades públicas realizando cargue de informes de ley a través de aplicativos de entes de control, de forma simultanea. (Control interno contable, derechos de autor y furag)</t>
  </si>
  <si>
    <t>11. Líderes de proceso asignando   en personal vinculado mediante contrato de prestación de servicios la responsabilidad de reportes de ley a los entes de control, y a su vez, la emisión de respuestas a los requerimientos de dichos entes.</t>
  </si>
  <si>
    <t>Versión: 05</t>
  </si>
  <si>
    <t>Fecha:    21/02/2024</t>
  </si>
  <si>
    <t>Pagina:  3 de 15</t>
  </si>
  <si>
    <t xml:space="preserve">10. Prevalencia de los intereses particulares sobre los generales. </t>
  </si>
  <si>
    <t xml:space="preserve">11. Olvido de los informes generados por la Oficina de control interno y pendientes de socialización a la Alta Dirección en el Comité de Coordinación de Control Interno, en el momento previo a la convocatoria para la elaboración del orden del día. </t>
  </si>
  <si>
    <t>12. Desconocimiento del personal adscrito a la Oficina de control interno de los cambios normativos que impliquen nuevos informes a cargo de la Oficina o modificaciones a la periodicidad del reporte de los informes de ley.</t>
  </si>
  <si>
    <r>
      <t xml:space="preserve">Página:   </t>
    </r>
    <r>
      <rPr>
        <sz val="11"/>
        <color indexed="8"/>
        <rFont val="Arial"/>
        <family val="2"/>
      </rPr>
      <t>2</t>
    </r>
    <r>
      <rPr>
        <sz val="11"/>
        <color rgb="FF000000"/>
        <rFont val="Arial"/>
        <family val="2"/>
      </rPr>
      <t xml:space="preserve"> de 1</t>
    </r>
  </si>
  <si>
    <t xml:space="preserve">El auditor responsable de elaborar el informe, conforme al plazo establecido por el ente de control 3) previene la  emisión  inoportuna  del informe, por fallas en los aplicativos,  confrontando  la fecha limite para el cargue del informe en los aplicativos dispuestos por los entes de control  VERSUS la fecha establecida el organismo de control para  la solicitud de prórroga;  con el fin de asegurar que la falla presentada no afecte la oportunidad del cargue del informe, dejando como registro los pantallazos de las fallas en el aplicativo.  Si las fallas se presentan dentro del rango de los 7 días previos a la fecha establecida por el ente control para el reporte, se solicita prórroga para el reporte,  adjuntando el registro de los pantallazos;  con el fin de justificar y obtener  la disponibilidad del aplicativo para realizar el cargue 6) como evidencia queda el oficio de solicitud de prórroga, la respuesta emitida por el ente de control y el log de cargue del informe o reporte.  </t>
  </si>
  <si>
    <t>Ejecución y Administración de procesos</t>
  </si>
  <si>
    <t xml:space="preserve">Personal insuficiente para auditar la totalidad de procesos críticos. </t>
  </si>
  <si>
    <t xml:space="preserve">Ausencia de documentación e implementación de procedimientos en algunos procesos. </t>
  </si>
  <si>
    <t>Inobservancia a los lineamientos establecidos en el Código de Ética del Auditor Interno, estatuto de auditoria y lineamientos anti soborno establecidos en la política del SIG, en el desarrollo de las auditorías.</t>
  </si>
  <si>
    <r>
      <t xml:space="preserve">Desconocimiento de la actualización normativa. </t>
    </r>
    <r>
      <rPr>
        <b/>
        <sz val="11"/>
        <color theme="1"/>
        <rFont val="Arial"/>
        <family val="2"/>
      </rPr>
      <t>Socializar resolución 300 y la expedida en enero.</t>
    </r>
  </si>
  <si>
    <t xml:space="preserve">Olvido de los informes generados por la Oficina de control interno y pendientes de socialización a la Alta Dirección en el Comité de Coordinación de Control Interno, en el momento previo a la convocatoria para la elaboración del orden del día. </t>
  </si>
  <si>
    <r>
      <t xml:space="preserve">Cambio climático - altas temperaturas por el fenómeno del niño, catástrofes naturales </t>
    </r>
    <r>
      <rPr>
        <b/>
        <sz val="11"/>
        <color theme="1"/>
        <rFont val="Arial"/>
        <family val="2"/>
      </rPr>
      <t>(terremotos).</t>
    </r>
  </si>
  <si>
    <t xml:space="preserve">Equipos tecnológicos obsoletos, </t>
  </si>
  <si>
    <t>FACTORES GEOGRÁFICOS (ubicación, espacio, topografía, clima, recursos naturales, etc.)</t>
  </si>
  <si>
    <t>7. Inobservancia a los lineamientos establecidos en el Código de Ética del Auditor Interno, estatuto de auditoria y lineamientos anti soborno establecidos en la política del SIG, en el desarrollo de las auditorías</t>
  </si>
  <si>
    <t>12. Rol relación con entes externos de control.</t>
  </si>
  <si>
    <t xml:space="preserve">F6,7,O10,11.   Cumplir con el principio y regla de conducta: Competencia establecido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</si>
  <si>
    <t xml:space="preserve">D7,9,10,O12,15,16,18.  Socializar semestralmente los principios y valores establecidos en  el Código de integridad y buen gobierno incluidos los lineamientos para identificar y declarar el conflicto de interés, los lineamientos anti soborno establecidos en la política del SIG. </t>
  </si>
  <si>
    <t>D3,O11,F7 Socializar semestralmente el estatuto de auditoria y el código de auditoria con énfasis en la aplicación del principio de competencia del auditor.</t>
  </si>
  <si>
    <t>D5,O20.  Realizar buenas prácticas ambientales, entregando a almacén los residuos de aparatos eléctricos y electrónicos.</t>
  </si>
  <si>
    <t>10. Instructivo para la declaración del conflicto de interés documentado y adoptado por la entidad. Hace parte del proceso de Gestión del Talento Humano.</t>
  </si>
  <si>
    <t>12. Línea antifraude. (Alcaldía Municipal)</t>
  </si>
  <si>
    <t>15. Alcaldía de Ibagué en proceso de implementación del Sistema de Gestión Anti soborno bajo la norma ISO 37001: 2016, integrándola a los demás sistemas Integrados actualmente implementados y mantenidos.</t>
  </si>
  <si>
    <t xml:space="preserve">16. Política anti soborno integrada a las política del Sistema integrado de la Alcaldía. </t>
  </si>
  <si>
    <t>21. Convocatoria concurso de méritos Alcaldía de Ibagué</t>
  </si>
  <si>
    <t>22. Guías para la implementación de las funciones normativas asignadas a las oficina de control interno emitidas por el DAFP.</t>
  </si>
  <si>
    <t>F7,A6  Socializar semestralmente los principios y valores  establecidos en el Código del Auditor Interno, el Estatuto de Auditoría y procedimiento de declaración de conflicto de interés.</t>
  </si>
  <si>
    <t>Código: FOR-13-PRO-SIG-05</t>
  </si>
  <si>
    <t>A4,7,11,F8 Incluir dentro de las temáticas a tratar en Comité de Coordinación de Control Interno, la falta de compromiso por parte de los líderes de los procesos  con  la implementación de acciones de mejora formuladas en planes de mejoramiento, la responsabilidad de asignar en personal de planta los reportes a entes de control solicitados por la Oficina de Control Interno, atención a las recomendaciones de la Oficina de Control Interno y la oportunidad en la entrega de la información sobre los requerimientos generados por la Oficina.</t>
  </si>
  <si>
    <t>Enero - Febrero: En el periodo de seguimiento no se realizo comité de coordinacion de control interno, estos se encuentran programados a realizarse con periodicidad trimestral vencida.</t>
  </si>
  <si>
    <t>Enero - Febrero: El dia 8 de enero se envio al correo Electronico de la Direccion de Fortalecimiento - SIGAMI, el normograma actualizado con el registro del Decreto No. 1122 de 2024.</t>
  </si>
  <si>
    <t>Enero - Febrero: Durante este periodo se cargó en plataforma tecnológica el informe SIREC, rendición de la cuenta anual vig 2024, Control Interno Contable, Reporte de obras inconclusas y no se presentó fallas en los aplicativos.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</si>
</sst>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sz val="11"/>
      <color rgb="FF000000"/>
      <name val="Arial"/>
      <family val="2"/>
    </font>
    <font>
      <b/>
      <sz val="10"/>
      <color indexed="8"/>
      <name val="Arial"/>
      <family val="2"/>
    </font>
    <font>
      <sz val="11"/>
      <color rgb="FFFF0000"/>
      <name val="Arial"/>
      <family val="2"/>
    </font>
    <font>
      <vertAlign val="subscript"/>
      <sz val="10"/>
      <color theme="1"/>
      <name val="Arial"/>
      <family val="2"/>
    </font>
    <font>
      <b/>
      <vertAlign val="subscript"/>
      <sz val="10"/>
      <color theme="1"/>
      <name val="Arial"/>
      <family val="2"/>
    </font>
    <font>
      <sz val="10"/>
      <color rgb="FFFF0000"/>
      <name val="Arial"/>
      <family val="2"/>
    </font>
    <font>
      <vertAlign val="subscript"/>
      <sz val="10"/>
      <name val="Arial"/>
      <family val="2"/>
    </font>
    <font>
      <sz val="11"/>
      <color rgb="FFFF0000"/>
      <name val="Arial Narrow"/>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6">
    <xf numFmtId="0" fontId="0" fillId="0" borderId="0"/>
    <xf numFmtId="9" fontId="13" fillId="0" borderId="0" applyFont="0" applyFill="0" applyBorder="0" applyAlignment="0" applyProtection="0"/>
    <xf numFmtId="0" fontId="38" fillId="0" borderId="0"/>
    <xf numFmtId="0" fontId="39" fillId="0" borderId="0"/>
    <xf numFmtId="0" fontId="5" fillId="0" borderId="0"/>
    <xf numFmtId="0" fontId="13" fillId="0" borderId="0"/>
  </cellStyleXfs>
  <cellXfs count="74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50" xfId="2" applyFont="1" applyFill="1" applyBorder="1"/>
    <xf numFmtId="0" fontId="40" fillId="3" borderId="51" xfId="2" applyFont="1" applyFill="1" applyBorder="1"/>
    <xf numFmtId="0" fontId="40" fillId="3" borderId="52"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42" xfId="0" applyNumberFormat="1"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37" xfId="0" applyNumberFormat="1" applyFont="1" applyFill="1" applyBorder="1" applyAlignment="1">
      <alignment horizontal="center" vertical="center" wrapText="1" readingOrder="1"/>
    </xf>
    <xf numFmtId="0" fontId="30" fillId="3" borderId="37"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30" fillId="3" borderId="39" xfId="0" applyFont="1" applyFill="1" applyBorder="1" applyAlignment="1">
      <alignment horizontal="justify" vertical="center" wrapText="1" readingOrder="1"/>
    </xf>
    <xf numFmtId="0" fontId="30" fillId="3" borderId="40" xfId="0" applyFont="1" applyFill="1" applyBorder="1" applyAlignment="1">
      <alignment horizontal="center" vertical="center" wrapText="1" readingOrder="1"/>
    </xf>
    <xf numFmtId="0" fontId="37" fillId="3" borderId="0" xfId="0" applyFont="1" applyFill="1"/>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1" fillId="0" borderId="74" xfId="0" applyFont="1" applyBorder="1" applyAlignment="1" applyProtection="1">
      <alignment horizontal="center" vertical="top" wrapText="1"/>
      <protection locked="0"/>
    </xf>
    <xf numFmtId="0" fontId="2" fillId="0" borderId="74"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7"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2" xfId="0" applyFont="1" applyBorder="1" applyAlignment="1">
      <alignment vertical="center" wrapText="1"/>
    </xf>
    <xf numFmtId="0" fontId="63" fillId="17" borderId="82" xfId="0" applyFont="1" applyFill="1" applyBorder="1" applyAlignment="1">
      <alignment vertical="center"/>
    </xf>
    <xf numFmtId="0" fontId="63" fillId="17" borderId="83" xfId="0" applyFont="1" applyFill="1" applyBorder="1" applyAlignment="1">
      <alignment horizontal="center" vertical="center"/>
    </xf>
    <xf numFmtId="0" fontId="63" fillId="17" borderId="84" xfId="0" applyFont="1" applyFill="1" applyBorder="1" applyAlignment="1">
      <alignment horizontal="center" vertical="center"/>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88" xfId="0" applyFont="1" applyBorder="1"/>
    <xf numFmtId="0" fontId="58" fillId="0" borderId="0" xfId="0" applyFont="1" applyAlignment="1">
      <alignment horizontal="center" vertical="center" wrapText="1"/>
    </xf>
    <xf numFmtId="0" fontId="61" fillId="0" borderId="32" xfId="0" applyFont="1" applyBorder="1" applyAlignment="1">
      <alignment horizontal="center" vertical="center"/>
    </xf>
    <xf numFmtId="0" fontId="61" fillId="0" borderId="32"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61" fillId="3" borderId="77" xfId="0" applyFont="1" applyFill="1" applyBorder="1" applyAlignment="1">
      <alignment horizontal="justify" vertical="top" wrapText="1"/>
    </xf>
    <xf numFmtId="0" fontId="61" fillId="3" borderId="49" xfId="0" applyFont="1" applyFill="1" applyBorder="1" applyAlignment="1">
      <alignment horizontal="justify" vertical="top" wrapText="1"/>
    </xf>
    <xf numFmtId="0" fontId="61" fillId="3" borderId="32" xfId="0" applyFont="1" applyFill="1" applyBorder="1" applyAlignment="1">
      <alignment horizontal="justify" vertical="top" wrapText="1"/>
    </xf>
    <xf numFmtId="0" fontId="61" fillId="13" borderId="33" xfId="0" applyFont="1" applyFill="1" applyBorder="1" applyAlignment="1">
      <alignment horizontal="justify" vertical="top" wrapText="1"/>
    </xf>
    <xf numFmtId="0" fontId="61" fillId="3" borderId="69" xfId="0" applyFont="1" applyFill="1" applyBorder="1" applyAlignment="1">
      <alignment horizontal="justify" vertical="top" wrapText="1"/>
    </xf>
    <xf numFmtId="0" fontId="61" fillId="3" borderId="33" xfId="0" applyFont="1" applyFill="1" applyBorder="1" applyAlignment="1">
      <alignment horizontal="justify" vertical="top" wrapText="1"/>
    </xf>
    <xf numFmtId="0" fontId="61" fillId="3" borderId="81" xfId="0" applyFont="1" applyFill="1" applyBorder="1" applyAlignment="1">
      <alignment horizontal="justify" vertical="top" wrapText="1"/>
    </xf>
    <xf numFmtId="0" fontId="61" fillId="3" borderId="52" xfId="0" applyFont="1" applyFill="1" applyBorder="1" applyAlignment="1">
      <alignment horizontal="justify" vertical="top" wrapText="1"/>
    </xf>
    <xf numFmtId="0" fontId="61" fillId="0" borderId="41" xfId="0" applyFont="1" applyBorder="1" applyAlignment="1">
      <alignment horizontal="justify" vertical="top"/>
    </xf>
    <xf numFmtId="0" fontId="61" fillId="0" borderId="32" xfId="0" applyFont="1" applyBorder="1" applyAlignment="1">
      <alignment horizontal="justify" vertical="top" wrapText="1"/>
    </xf>
    <xf numFmtId="0" fontId="61" fillId="3" borderId="37" xfId="0" applyFont="1" applyFill="1" applyBorder="1" applyAlignment="1">
      <alignment horizontal="justify" vertical="top" wrapText="1"/>
    </xf>
    <xf numFmtId="0" fontId="61" fillId="18" borderId="36" xfId="0" applyFont="1" applyFill="1" applyBorder="1" applyAlignment="1">
      <alignment horizontal="justify" vertical="top"/>
    </xf>
    <xf numFmtId="0" fontId="61" fillId="18" borderId="91" xfId="0" applyFont="1" applyFill="1" applyBorder="1" applyAlignment="1">
      <alignment horizontal="justify" vertical="top"/>
    </xf>
    <xf numFmtId="0" fontId="61" fillId="0" borderId="32" xfId="0" applyFont="1" applyBorder="1" applyAlignment="1">
      <alignment horizontal="justify" vertical="top"/>
    </xf>
    <xf numFmtId="0" fontId="65" fillId="3" borderId="81" xfId="0" applyFont="1" applyFill="1" applyBorder="1" applyAlignment="1">
      <alignment horizontal="justify" vertical="top" wrapText="1"/>
    </xf>
    <xf numFmtId="0" fontId="61" fillId="3" borderId="0" xfId="0" applyFont="1" applyFill="1" applyAlignment="1">
      <alignment horizontal="justify" vertical="top"/>
    </xf>
    <xf numFmtId="0" fontId="61" fillId="3" borderId="94" xfId="0" applyFont="1" applyFill="1" applyBorder="1" applyAlignment="1">
      <alignment horizontal="justify" vertical="top" wrapText="1"/>
    </xf>
    <xf numFmtId="0" fontId="61" fillId="18" borderId="32" xfId="0" applyFont="1" applyFill="1" applyBorder="1" applyAlignment="1">
      <alignment horizontal="justify" vertical="top" wrapText="1"/>
    </xf>
    <xf numFmtId="0" fontId="61" fillId="13" borderId="42" xfId="0" applyFont="1" applyFill="1" applyBorder="1" applyAlignment="1">
      <alignment horizontal="justify" vertical="top" wrapText="1"/>
    </xf>
    <xf numFmtId="0" fontId="61" fillId="3" borderId="90" xfId="0" applyFont="1" applyFill="1" applyBorder="1" applyAlignment="1">
      <alignment horizontal="justify" vertical="top" wrapText="1"/>
    </xf>
    <xf numFmtId="0" fontId="61" fillId="0" borderId="37" xfId="0" applyFont="1" applyBorder="1" applyAlignment="1">
      <alignment horizontal="justify" vertical="top" wrapText="1"/>
    </xf>
    <xf numFmtId="0" fontId="65" fillId="3" borderId="94" xfId="0" applyFont="1" applyFill="1" applyBorder="1" applyAlignment="1">
      <alignment horizontal="justify" vertical="top" wrapText="1"/>
    </xf>
    <xf numFmtId="0" fontId="61" fillId="0" borderId="0" xfId="0" applyFont="1" applyAlignment="1">
      <alignment horizontal="justify" vertical="top" wrapText="1"/>
    </xf>
    <xf numFmtId="0" fontId="61" fillId="13" borderId="32" xfId="0" applyFont="1" applyFill="1" applyBorder="1" applyAlignment="1">
      <alignment horizontal="justify" vertical="top" wrapText="1"/>
    </xf>
    <xf numFmtId="0" fontId="61" fillId="3" borderId="32" xfId="0" applyFont="1" applyFill="1" applyBorder="1" applyAlignment="1">
      <alignment horizontal="justify" vertical="top"/>
    </xf>
    <xf numFmtId="0" fontId="61" fillId="0" borderId="37" xfId="0" applyFont="1" applyBorder="1" applyAlignment="1">
      <alignment horizontal="justify" vertical="top"/>
    </xf>
    <xf numFmtId="0" fontId="61" fillId="18" borderId="100" xfId="0" applyFont="1" applyFill="1" applyBorder="1" applyAlignment="1">
      <alignment horizontal="justify" vertical="top" wrapText="1"/>
    </xf>
    <xf numFmtId="0" fontId="61" fillId="3" borderId="0" xfId="0" applyFont="1" applyFill="1" applyAlignment="1">
      <alignment horizontal="justify" vertical="top" wrapText="1"/>
    </xf>
    <xf numFmtId="0" fontId="61" fillId="18" borderId="102" xfId="0" applyFont="1" applyFill="1" applyBorder="1" applyAlignment="1">
      <alignment horizontal="justify" vertical="top" wrapText="1"/>
    </xf>
    <xf numFmtId="0" fontId="61" fillId="3" borderId="39" xfId="0" applyFont="1" applyFill="1" applyBorder="1" applyAlignment="1">
      <alignment horizontal="justify" vertical="top" wrapText="1"/>
    </xf>
    <xf numFmtId="0" fontId="61" fillId="18" borderId="39" xfId="0" applyFont="1" applyFill="1" applyBorder="1" applyAlignment="1">
      <alignment horizontal="justify" vertical="top" wrapText="1"/>
    </xf>
    <xf numFmtId="0" fontId="65" fillId="3" borderId="39" xfId="0" applyFont="1" applyFill="1" applyBorder="1" applyAlignment="1">
      <alignment horizontal="justify" vertical="top" wrapText="1"/>
    </xf>
    <xf numFmtId="0" fontId="61" fillId="0" borderId="40" xfId="0" applyFont="1" applyBorder="1" applyAlignment="1">
      <alignment horizontal="justify" vertical="top" wrapText="1"/>
    </xf>
    <xf numFmtId="0" fontId="61" fillId="0" borderId="36" xfId="0" applyFont="1" applyBorder="1" applyAlignment="1">
      <alignment horizontal="center" vertical="center"/>
    </xf>
    <xf numFmtId="0" fontId="61" fillId="3" borderId="32" xfId="0" applyFont="1" applyFill="1" applyBorder="1" applyAlignment="1">
      <alignment horizontal="left" vertical="center" wrapText="1"/>
    </xf>
    <xf numFmtId="0" fontId="0" fillId="0" borderId="32" xfId="0" applyBorder="1" applyAlignment="1" applyProtection="1">
      <alignment horizontal="center" vertical="center"/>
      <protection locked="0"/>
    </xf>
    <xf numFmtId="0" fontId="61" fillId="3" borderId="32" xfId="0" applyFont="1" applyFill="1" applyBorder="1" applyAlignment="1" applyProtection="1">
      <alignment horizontal="center" vertical="center"/>
      <protection locked="0"/>
    </xf>
    <xf numFmtId="0" fontId="61" fillId="0" borderId="32" xfId="0" applyFont="1" applyBorder="1" applyAlignment="1">
      <alignment horizontal="left" vertical="center" wrapText="1"/>
    </xf>
    <xf numFmtId="0" fontId="0" fillId="3" borderId="32" xfId="0" applyFill="1" applyBorder="1" applyAlignment="1" applyProtection="1">
      <alignment horizontal="center" vertical="center"/>
      <protection locked="0"/>
    </xf>
    <xf numFmtId="0" fontId="61" fillId="0" borderId="38" xfId="0" applyFont="1" applyBorder="1" applyAlignment="1">
      <alignment horizontal="center" vertical="center"/>
    </xf>
    <xf numFmtId="0" fontId="61" fillId="3" borderId="91" xfId="0" applyFont="1" applyFill="1" applyBorder="1" applyAlignment="1">
      <alignment horizontal="left" vertical="center" wrapText="1"/>
    </xf>
    <xf numFmtId="0" fontId="0" fillId="3" borderId="91" xfId="0" applyFill="1" applyBorder="1" applyAlignment="1" applyProtection="1">
      <alignment horizontal="center" vertical="center"/>
      <protection locked="0"/>
    </xf>
    <xf numFmtId="165" fontId="61" fillId="20" borderId="89" xfId="0" applyNumberFormat="1" applyFont="1" applyFill="1" applyBorder="1" applyAlignment="1">
      <alignment vertical="center"/>
    </xf>
    <xf numFmtId="0" fontId="0" fillId="0" borderId="33" xfId="0" applyBorder="1"/>
    <xf numFmtId="165" fontId="61" fillId="8" borderId="104" xfId="0" applyNumberFormat="1" applyFont="1" applyFill="1" applyBorder="1" applyAlignment="1">
      <alignment vertical="center"/>
    </xf>
    <xf numFmtId="0" fontId="0" fillId="0" borderId="32" xfId="0" applyBorder="1"/>
    <xf numFmtId="0" fontId="0" fillId="5" borderId="0" xfId="0" applyFill="1"/>
    <xf numFmtId="0" fontId="73" fillId="0" borderId="0" xfId="0" applyFont="1" applyAlignment="1">
      <alignment horizontal="justify" vertical="top"/>
    </xf>
    <xf numFmtId="0" fontId="38" fillId="3" borderId="92" xfId="0" applyFont="1" applyFill="1" applyBorder="1" applyAlignment="1" applyProtection="1">
      <alignment horizontal="left" vertical="center"/>
      <protection locked="0"/>
    </xf>
    <xf numFmtId="0" fontId="38" fillId="3" borderId="51" xfId="0" applyFont="1" applyFill="1" applyBorder="1" applyAlignment="1" applyProtection="1">
      <alignment horizontal="left" vertical="center"/>
      <protection locked="0"/>
    </xf>
    <xf numFmtId="0" fontId="38" fillId="3" borderId="106" xfId="0" applyFont="1" applyFill="1" applyBorder="1" applyAlignment="1" applyProtection="1">
      <alignment horizontal="left" vertical="center"/>
      <protection locked="0"/>
    </xf>
    <xf numFmtId="0" fontId="38" fillId="3" borderId="92" xfId="0" applyFont="1" applyFill="1" applyBorder="1" applyAlignment="1" applyProtection="1">
      <alignment horizontal="justify" vertical="top"/>
      <protection locked="0"/>
    </xf>
    <xf numFmtId="0" fontId="66" fillId="3" borderId="106" xfId="0" applyFont="1" applyFill="1" applyBorder="1" applyAlignment="1">
      <alignment horizontal="justify" vertical="top"/>
    </xf>
    <xf numFmtId="0" fontId="66" fillId="0" borderId="106" xfId="0" applyFont="1" applyBorder="1" applyAlignment="1">
      <alignment horizontal="left" vertical="center"/>
    </xf>
    <xf numFmtId="165" fontId="61" fillId="0" borderId="32" xfId="0" applyNumberFormat="1" applyFont="1" applyBorder="1" applyAlignment="1">
      <alignment horizontal="center" vertical="center"/>
    </xf>
    <xf numFmtId="0" fontId="61" fillId="3" borderId="91" xfId="0" applyFont="1" applyFill="1" applyBorder="1" applyAlignment="1" applyProtection="1">
      <alignment horizontal="center" vertical="center"/>
      <protection locked="0"/>
    </xf>
    <xf numFmtId="0" fontId="66" fillId="0" borderId="2" xfId="0" applyFont="1" applyBorder="1" applyAlignment="1" applyProtection="1">
      <alignment horizontal="justify" vertical="top" wrapText="1"/>
      <protection locked="0"/>
    </xf>
    <xf numFmtId="0" fontId="66" fillId="3" borderId="74" xfId="0" applyFont="1" applyFill="1" applyBorder="1" applyAlignment="1">
      <alignment horizontal="justify" vertical="top" wrapText="1"/>
    </xf>
    <xf numFmtId="0" fontId="66" fillId="0" borderId="2" xfId="0" applyFont="1" applyBorder="1" applyAlignment="1" applyProtection="1">
      <alignment horizontal="center" vertical="top" textRotation="90" wrapText="1"/>
      <protection hidden="1"/>
    </xf>
    <xf numFmtId="9" fontId="66" fillId="0" borderId="4" xfId="0" applyNumberFormat="1" applyFont="1" applyBorder="1" applyAlignment="1" applyProtection="1">
      <alignment horizontal="center" vertical="top"/>
      <protection hidden="1"/>
    </xf>
    <xf numFmtId="0" fontId="66" fillId="0" borderId="74" xfId="0" applyFont="1" applyBorder="1" applyAlignment="1" applyProtection="1">
      <alignment horizontal="justify" vertical="top" wrapText="1"/>
      <protection locked="0"/>
    </xf>
    <xf numFmtId="0" fontId="66" fillId="0" borderId="2" xfId="0" applyFont="1" applyBorder="1" applyAlignment="1" applyProtection="1">
      <alignment horizontal="justify" vertical="top"/>
      <protection hidden="1"/>
    </xf>
    <xf numFmtId="0" fontId="66" fillId="0" borderId="2" xfId="0" applyFont="1" applyBorder="1" applyAlignment="1" applyProtection="1">
      <alignment horizontal="justify" vertical="top" textRotation="90"/>
      <protection locked="0"/>
    </xf>
    <xf numFmtId="9" fontId="66" fillId="0" borderId="2" xfId="0" applyNumberFormat="1" applyFont="1" applyBorder="1" applyAlignment="1" applyProtection="1">
      <alignment horizontal="justify" vertical="top"/>
      <protection hidden="1"/>
    </xf>
    <xf numFmtId="0" fontId="66" fillId="3" borderId="0" xfId="0" applyFont="1" applyFill="1" applyAlignment="1">
      <alignment horizontal="justify" vertical="top"/>
    </xf>
    <xf numFmtId="0" fontId="66" fillId="0" borderId="0" xfId="0" applyFont="1" applyAlignment="1">
      <alignment horizontal="justify" vertical="top"/>
    </xf>
    <xf numFmtId="0" fontId="68" fillId="0" borderId="2" xfId="0" applyFont="1" applyBorder="1" applyAlignment="1">
      <alignment horizontal="center" vertical="top"/>
    </xf>
    <xf numFmtId="0" fontId="66" fillId="0" borderId="2" xfId="0" applyFont="1" applyBorder="1" applyAlignment="1" applyProtection="1">
      <alignment horizontal="justify" vertical="center" wrapText="1"/>
      <protection locked="0"/>
    </xf>
    <xf numFmtId="0" fontId="66" fillId="0" borderId="4" xfId="0" applyFont="1" applyBorder="1" applyAlignment="1" applyProtection="1">
      <alignment vertical="top" wrapText="1"/>
      <protection hidden="1"/>
    </xf>
    <xf numFmtId="9" fontId="66" fillId="0" borderId="4" xfId="0" applyNumberFormat="1" applyFont="1" applyBorder="1" applyAlignment="1" applyProtection="1">
      <alignment vertical="top" wrapText="1"/>
      <protection hidden="1"/>
    </xf>
    <xf numFmtId="0" fontId="66" fillId="0" borderId="4" xfId="0" applyFont="1" applyBorder="1" applyAlignment="1" applyProtection="1">
      <alignment vertical="top"/>
      <protection hidden="1"/>
    </xf>
    <xf numFmtId="9" fontId="1" fillId="0" borderId="4" xfId="0" applyNumberFormat="1"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50" fillId="0" borderId="95" xfId="0" applyFont="1" applyBorder="1" applyAlignment="1" applyProtection="1">
      <alignment horizontal="center" vertical="top" wrapText="1"/>
      <protection locked="0"/>
    </xf>
    <xf numFmtId="164" fontId="66" fillId="0" borderId="2" xfId="1" applyNumberFormat="1" applyFont="1" applyBorder="1" applyAlignment="1">
      <alignment horizontal="center" vertical="top"/>
    </xf>
    <xf numFmtId="0" fontId="38" fillId="0" borderId="0" xfId="0" applyFont="1" applyAlignment="1">
      <alignment horizontal="left"/>
    </xf>
    <xf numFmtId="0" fontId="68" fillId="19" borderId="32" xfId="0" applyFont="1" applyFill="1" applyBorder="1" applyAlignment="1">
      <alignment horizontal="center" vertical="center" textRotation="255"/>
    </xf>
    <xf numFmtId="0" fontId="1" fillId="0" borderId="4" xfId="0" applyFont="1" applyBorder="1" applyAlignment="1" applyProtection="1">
      <alignment horizontal="justify" vertical="top" wrapText="1"/>
      <protection locked="0"/>
    </xf>
    <xf numFmtId="0" fontId="1" fillId="0" borderId="27" xfId="0" applyFont="1" applyBorder="1" applyAlignment="1" applyProtection="1">
      <alignment horizontal="justify" vertical="top" wrapText="1"/>
      <protection locked="0"/>
    </xf>
    <xf numFmtId="0" fontId="1" fillId="0" borderId="95" xfId="0" applyFont="1" applyBorder="1" applyAlignment="1" applyProtection="1">
      <alignment horizontal="justify" vertical="top" wrapText="1"/>
      <protection locked="0"/>
    </xf>
    <xf numFmtId="0" fontId="2" fillId="0" borderId="74" xfId="0" applyFont="1" applyBorder="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2" fillId="0" borderId="95" xfId="0" applyFont="1" applyBorder="1" applyAlignment="1" applyProtection="1">
      <alignment horizontal="justify" vertical="top" wrapText="1"/>
      <protection locked="0"/>
    </xf>
    <xf numFmtId="0" fontId="1" fillId="0" borderId="29" xfId="0" applyFont="1" applyBorder="1" applyAlignment="1" applyProtection="1">
      <alignment horizontal="justify" vertical="top" wrapText="1"/>
      <protection locked="0"/>
    </xf>
    <xf numFmtId="0" fontId="4" fillId="0" borderId="4" xfId="0" applyFont="1" applyBorder="1" applyAlignment="1" applyProtection="1">
      <alignment horizontal="justify" vertical="top" wrapText="1"/>
      <protection hidden="1"/>
    </xf>
    <xf numFmtId="9" fontId="1" fillId="0" borderId="4" xfId="0" applyNumberFormat="1" applyFont="1" applyBorder="1" applyAlignment="1" applyProtection="1">
      <alignment horizontal="justify" vertical="top" wrapText="1"/>
      <protection hidden="1"/>
    </xf>
    <xf numFmtId="9" fontId="1" fillId="0" borderId="4" xfId="0" applyNumberFormat="1" applyFont="1" applyBorder="1" applyAlignment="1" applyProtection="1">
      <alignment horizontal="justify" vertical="top" wrapText="1"/>
      <protection locked="0"/>
    </xf>
    <xf numFmtId="0" fontId="4" fillId="0" borderId="4" xfId="0" applyFont="1" applyBorder="1" applyAlignment="1">
      <alignment horizontal="center" vertical="top"/>
    </xf>
    <xf numFmtId="0" fontId="66" fillId="0" borderId="4" xfId="0" applyFont="1" applyBorder="1" applyAlignment="1" applyProtection="1">
      <alignment horizontal="center" vertical="top"/>
      <protection locked="0"/>
    </xf>
    <xf numFmtId="9" fontId="66" fillId="0" borderId="4" xfId="0" applyNumberFormat="1" applyFont="1" applyBorder="1" applyAlignment="1" applyProtection="1">
      <alignment horizontal="center" vertical="top" wrapText="1"/>
      <protection hidden="1"/>
    </xf>
    <xf numFmtId="0" fontId="1" fillId="0" borderId="4" xfId="0" applyFont="1" applyBorder="1" applyAlignment="1" applyProtection="1">
      <alignment horizontal="justify" vertical="top" wrapText="1"/>
      <protection hidden="1"/>
    </xf>
    <xf numFmtId="0" fontId="1" fillId="0" borderId="4" xfId="0" applyFont="1" applyBorder="1" applyAlignment="1" applyProtection="1">
      <alignment horizontal="justify" vertical="top"/>
      <protection hidden="1"/>
    </xf>
    <xf numFmtId="0" fontId="1" fillId="0" borderId="2" xfId="0" applyFont="1" applyBorder="1" applyAlignment="1" applyProtection="1">
      <alignment horizontal="justify" vertical="top" wrapText="1"/>
      <protection locked="0"/>
    </xf>
    <xf numFmtId="9" fontId="66" fillId="0" borderId="4" xfId="0" applyNumberFormat="1" applyFont="1" applyBorder="1" applyAlignment="1" applyProtection="1">
      <alignment horizontal="justify" vertical="top" wrapText="1"/>
      <protection locked="0"/>
    </xf>
    <xf numFmtId="9" fontId="66" fillId="0" borderId="4" xfId="0" applyNumberFormat="1" applyFont="1" applyBorder="1" applyAlignment="1" applyProtection="1">
      <alignment horizontal="justify" vertical="top" wrapText="1"/>
      <protection hidden="1"/>
    </xf>
    <xf numFmtId="0" fontId="68" fillId="19" borderId="33" xfId="0" applyFont="1" applyFill="1" applyBorder="1" applyAlignment="1">
      <alignment horizontal="center" vertical="center" wrapText="1"/>
    </xf>
    <xf numFmtId="0" fontId="67" fillId="19" borderId="33" xfId="0" applyFont="1" applyFill="1" applyBorder="1" applyAlignment="1">
      <alignment horizontal="center" vertical="center" wrapText="1"/>
    </xf>
    <xf numFmtId="0" fontId="69" fillId="19" borderId="33" xfId="0" applyFont="1" applyFill="1" applyBorder="1" applyAlignment="1">
      <alignment horizontal="center" vertical="center" wrapText="1"/>
    </xf>
    <xf numFmtId="165" fontId="69" fillId="19" borderId="89" xfId="0" applyNumberFormat="1" applyFont="1" applyFill="1" applyBorder="1" applyAlignment="1">
      <alignment horizontal="center" vertical="center" wrapText="1"/>
    </xf>
    <xf numFmtId="0" fontId="70" fillId="19" borderId="107" xfId="0" applyFont="1" applyFill="1" applyBorder="1" applyAlignment="1">
      <alignment horizontal="center" vertical="center" wrapText="1"/>
    </xf>
    <xf numFmtId="0" fontId="61" fillId="0" borderId="41" xfId="0" applyFont="1" applyBorder="1" applyAlignment="1">
      <alignment horizontal="center" vertical="center"/>
    </xf>
    <xf numFmtId="0" fontId="61" fillId="3" borderId="33" xfId="0" applyFont="1" applyFill="1" applyBorder="1" applyAlignment="1">
      <alignment horizontal="left" vertical="center" wrapText="1"/>
    </xf>
    <xf numFmtId="0" fontId="0" fillId="0" borderId="33" xfId="0"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33" xfId="0" applyFont="1" applyBorder="1" applyAlignment="1">
      <alignment horizontal="center" vertical="center"/>
    </xf>
    <xf numFmtId="166" fontId="61" fillId="0" borderId="89" xfId="0" applyNumberFormat="1" applyFont="1" applyBorder="1" applyAlignment="1">
      <alignment horizontal="center" vertical="center"/>
    </xf>
    <xf numFmtId="0" fontId="0" fillId="0" borderId="108" xfId="0" quotePrefix="1" applyBorder="1" applyAlignment="1">
      <alignment horizontal="center" vertical="center"/>
    </xf>
    <xf numFmtId="0" fontId="0" fillId="0" borderId="109" xfId="0" quotePrefix="1" applyBorder="1" applyAlignment="1">
      <alignment horizontal="center" vertical="center"/>
    </xf>
    <xf numFmtId="0" fontId="0" fillId="3" borderId="0" xfId="0" applyFill="1" applyAlignment="1" applyProtection="1">
      <alignment horizontal="justify" vertical="top" wrapText="1"/>
      <protection locked="0"/>
    </xf>
    <xf numFmtId="0" fontId="61" fillId="0" borderId="91" xfId="0" applyFont="1" applyBorder="1" applyAlignment="1" applyProtection="1">
      <alignment horizontal="center" vertical="center"/>
      <protection locked="0"/>
    </xf>
    <xf numFmtId="0" fontId="61" fillId="0" borderId="103" xfId="0" applyFont="1" applyBorder="1" applyAlignment="1">
      <alignment horizontal="center" vertical="center"/>
    </xf>
    <xf numFmtId="166" fontId="61" fillId="0" borderId="110" xfId="0" applyNumberFormat="1" applyFont="1" applyBorder="1" applyAlignment="1">
      <alignment horizontal="center" vertical="center"/>
    </xf>
    <xf numFmtId="0" fontId="0" fillId="0" borderId="111" xfId="0" quotePrefix="1" applyBorder="1" applyAlignment="1">
      <alignment horizontal="center" vertical="center"/>
    </xf>
    <xf numFmtId="0" fontId="61" fillId="0" borderId="112" xfId="0" applyFont="1" applyBorder="1" applyAlignment="1">
      <alignment horizontal="center" vertical="center"/>
    </xf>
    <xf numFmtId="0" fontId="61" fillId="3" borderId="112" xfId="0" applyFont="1" applyFill="1" applyBorder="1" applyAlignment="1">
      <alignment horizontal="justify" vertical="top" wrapText="1"/>
    </xf>
    <xf numFmtId="0" fontId="61" fillId="0" borderId="113" xfId="0" applyFont="1" applyBorder="1" applyAlignment="1">
      <alignment horizontal="center" vertical="center"/>
    </xf>
    <xf numFmtId="0" fontId="61" fillId="0" borderId="90" xfId="0" applyFont="1" applyBorder="1" applyAlignment="1">
      <alignment horizontal="center" vertical="center"/>
    </xf>
    <xf numFmtId="165" fontId="61" fillId="0" borderId="90" xfId="0" applyNumberFormat="1" applyFont="1" applyBorder="1" applyAlignment="1">
      <alignment horizontal="center" vertical="center"/>
    </xf>
    <xf numFmtId="0" fontId="61" fillId="0" borderId="112" xfId="0" applyFont="1" applyBorder="1" applyAlignment="1">
      <alignment horizontal="justify" vertical="top" wrapText="1"/>
    </xf>
    <xf numFmtId="0" fontId="61" fillId="0" borderId="114" xfId="0" applyFont="1" applyBorder="1" applyAlignment="1">
      <alignment horizontal="justify" vertical="top" wrapText="1"/>
    </xf>
    <xf numFmtId="0" fontId="61" fillId="0" borderId="13" xfId="0" applyFont="1" applyBorder="1" applyAlignment="1">
      <alignment horizontal="center" vertical="center"/>
    </xf>
    <xf numFmtId="0" fontId="61" fillId="0" borderId="92" xfId="0" applyFont="1" applyBorder="1" applyAlignment="1">
      <alignment horizontal="center" vertical="center"/>
    </xf>
    <xf numFmtId="165" fontId="61" fillId="0" borderId="92" xfId="0" applyNumberFormat="1" applyFont="1" applyBorder="1" applyAlignment="1">
      <alignment horizontal="center" vertical="center"/>
    </xf>
    <xf numFmtId="0" fontId="0" fillId="0" borderId="107" xfId="0" quotePrefix="1" applyBorder="1" applyAlignment="1">
      <alignment horizontal="center" vertical="center"/>
    </xf>
    <xf numFmtId="0" fontId="0" fillId="0" borderId="32" xfId="0" quotePrefix="1" applyBorder="1" applyAlignment="1">
      <alignment horizontal="center" vertical="center"/>
    </xf>
    <xf numFmtId="0" fontId="61" fillId="0" borderId="0" xfId="0" applyFont="1" applyAlignment="1">
      <alignment vertical="center"/>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2"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3" xfId="3" applyFont="1" applyFill="1" applyBorder="1" applyAlignment="1">
      <alignment horizontal="center" vertical="center" wrapText="1"/>
    </xf>
    <xf numFmtId="0" fontId="45" fillId="14" borderId="54" xfId="3" applyFont="1" applyFill="1" applyBorder="1" applyAlignment="1">
      <alignment horizontal="center" vertical="center" wrapText="1"/>
    </xf>
    <xf numFmtId="0" fontId="45" fillId="14" borderId="55" xfId="2" applyFont="1" applyFill="1" applyBorder="1" applyAlignment="1">
      <alignment horizontal="center" vertical="center"/>
    </xf>
    <xf numFmtId="0" fontId="4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45" fillId="3" borderId="57" xfId="3" applyFont="1" applyFill="1" applyBorder="1" applyAlignment="1">
      <alignment horizontal="left" vertical="top" wrapText="1" readingOrder="1"/>
    </xf>
    <xf numFmtId="0" fontId="45" fillId="3" borderId="58" xfId="3" applyFont="1" applyFill="1" applyBorder="1" applyAlignment="1">
      <alignment horizontal="left" vertical="top" wrapText="1" readingOrder="1"/>
    </xf>
    <xf numFmtId="0" fontId="46" fillId="3" borderId="59" xfId="2" applyFont="1" applyFill="1" applyBorder="1" applyAlignment="1">
      <alignment horizontal="justify" vertical="center" wrapText="1"/>
    </xf>
    <xf numFmtId="0" fontId="46" fillId="3" borderId="60" xfId="2" applyFont="1" applyFill="1" applyBorder="1" applyAlignment="1">
      <alignment horizontal="justify" vertical="center" wrapText="1"/>
    </xf>
    <xf numFmtId="0" fontId="45" fillId="3" borderId="61" xfId="0" applyFont="1" applyFill="1" applyBorder="1" applyAlignment="1">
      <alignment horizontal="left" vertical="center" wrapText="1"/>
    </xf>
    <xf numFmtId="0" fontId="45" fillId="3" borderId="62" xfId="0" applyFont="1" applyFill="1" applyBorder="1" applyAlignment="1">
      <alignment horizontal="left" vertical="center" wrapText="1"/>
    </xf>
    <xf numFmtId="0" fontId="46" fillId="3" borderId="63" xfId="2" applyFont="1" applyFill="1" applyBorder="1" applyAlignment="1">
      <alignment horizontal="justify" vertical="center" wrapText="1"/>
    </xf>
    <xf numFmtId="0" fontId="46" fillId="3" borderId="64" xfId="2" applyFont="1" applyFill="1" applyBorder="1" applyAlignment="1">
      <alignment horizontal="justify"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70" xfId="0" applyFont="1" applyFill="1" applyBorder="1" applyAlignment="1">
      <alignment horizontal="left"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6" fillId="3" borderId="65" xfId="0" applyFont="1" applyFill="1" applyBorder="1" applyAlignment="1">
      <alignment horizontal="justify" vertical="center" wrapText="1"/>
    </xf>
    <xf numFmtId="0" fontId="46" fillId="3" borderId="66" xfId="0" applyFont="1" applyFill="1" applyBorder="1" applyAlignment="1">
      <alignment horizontal="justify" vertical="center" wrapText="1"/>
    </xf>
    <xf numFmtId="0" fontId="61" fillId="18" borderId="82" xfId="0" applyFont="1" applyFill="1" applyBorder="1" applyAlignment="1">
      <alignment horizontal="justify" vertical="top" wrapText="1"/>
    </xf>
    <xf numFmtId="0" fontId="61" fillId="0" borderId="101" xfId="0" applyFont="1" applyBorder="1" applyAlignment="1">
      <alignment horizontal="justify" vertical="top"/>
    </xf>
    <xf numFmtId="0" fontId="61" fillId="0" borderId="41" xfId="0" applyFont="1" applyBorder="1" applyAlignment="1">
      <alignment horizontal="justify" vertical="top"/>
    </xf>
    <xf numFmtId="0" fontId="61" fillId="18" borderId="32" xfId="0" applyFont="1" applyFill="1" applyBorder="1" applyAlignment="1">
      <alignment horizontal="justify" vertical="top" wrapText="1"/>
    </xf>
    <xf numFmtId="0" fontId="61" fillId="0" borderId="32" xfId="0" applyFont="1" applyBorder="1" applyAlignment="1">
      <alignment horizontal="justify" vertical="top" wrapText="1"/>
    </xf>
    <xf numFmtId="0" fontId="61" fillId="18" borderId="100" xfId="0" applyFont="1" applyFill="1" applyBorder="1" applyAlignment="1">
      <alignment horizontal="justify" vertical="top" wrapText="1"/>
    </xf>
    <xf numFmtId="0" fontId="61" fillId="18" borderId="101" xfId="0" applyFont="1" applyFill="1" applyBorder="1" applyAlignment="1">
      <alignment horizontal="justify" vertical="top" wrapText="1"/>
    </xf>
    <xf numFmtId="0" fontId="61" fillId="0" borderId="41" xfId="0" applyFont="1" applyBorder="1" applyAlignment="1">
      <alignment horizontal="justify" vertical="top" wrapText="1"/>
    </xf>
    <xf numFmtId="0" fontId="61" fillId="0" borderId="32" xfId="0" applyFont="1" applyBorder="1" applyAlignment="1">
      <alignment horizontal="justify" vertical="top"/>
    </xf>
    <xf numFmtId="0" fontId="59" fillId="0" borderId="0" xfId="0" applyFont="1" applyAlignment="1">
      <alignment horizontal="center" vertical="center" wrapText="1"/>
    </xf>
    <xf numFmtId="0" fontId="60" fillId="0" borderId="32" xfId="0" applyFont="1" applyBorder="1" applyAlignment="1">
      <alignment horizontal="center" vertical="center" wrapText="1"/>
    </xf>
    <xf numFmtId="0" fontId="59" fillId="0" borderId="79"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63" fillId="16" borderId="36" xfId="0" applyFont="1" applyFill="1" applyBorder="1" applyAlignment="1">
      <alignment horizontal="center" vertical="center" wrapText="1"/>
    </xf>
    <xf numFmtId="0" fontId="63" fillId="16" borderId="32" xfId="0" applyFont="1" applyFill="1" applyBorder="1" applyAlignment="1">
      <alignment horizontal="center" vertical="center" wrapText="1"/>
    </xf>
    <xf numFmtId="0" fontId="63" fillId="16" borderId="37" xfId="0" applyFont="1" applyFill="1" applyBorder="1" applyAlignment="1">
      <alignment horizontal="center" vertical="center" wrapText="1"/>
    </xf>
    <xf numFmtId="0" fontId="61" fillId="16" borderId="36" xfId="0" applyFont="1" applyFill="1" applyBorder="1" applyAlignment="1">
      <alignment horizontal="left" vertical="center"/>
    </xf>
    <xf numFmtId="0" fontId="61" fillId="16" borderId="32" xfId="0" applyFont="1" applyFill="1" applyBorder="1" applyAlignment="1">
      <alignment horizontal="left" vertical="center"/>
    </xf>
    <xf numFmtId="0" fontId="61" fillId="16" borderId="37" xfId="0" applyFont="1" applyFill="1" applyBorder="1" applyAlignment="1">
      <alignment horizontal="left" vertical="center"/>
    </xf>
    <xf numFmtId="0" fontId="64" fillId="16" borderId="38" xfId="0" applyFont="1" applyFill="1" applyBorder="1" applyAlignment="1">
      <alignment horizontal="justify" vertical="center" wrapText="1"/>
    </xf>
    <xf numFmtId="0" fontId="64" fillId="16" borderId="39" xfId="0" applyFont="1" applyFill="1" applyBorder="1" applyAlignment="1">
      <alignment horizontal="justify" vertical="center" wrapText="1"/>
    </xf>
    <xf numFmtId="0" fontId="64" fillId="16" borderId="40" xfId="0" applyFont="1" applyFill="1" applyBorder="1" applyAlignment="1">
      <alignment horizontal="justify" vertical="center" wrapText="1"/>
    </xf>
    <xf numFmtId="0" fontId="64" fillId="3" borderId="0" xfId="0" applyFont="1" applyFill="1" applyAlignment="1">
      <alignment horizontal="center" vertical="center" wrapText="1"/>
    </xf>
    <xf numFmtId="0" fontId="59" fillId="0" borderId="76" xfId="0" applyFont="1" applyBorder="1" applyAlignment="1">
      <alignment vertical="center" wrapText="1"/>
    </xf>
    <xf numFmtId="0" fontId="59" fillId="0" borderId="36" xfId="0" applyFont="1" applyBorder="1" applyAlignment="1">
      <alignment vertical="center" wrapText="1"/>
    </xf>
    <xf numFmtId="0" fontId="60" fillId="0" borderId="77"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7" xfId="0" applyFont="1" applyBorder="1" applyAlignment="1">
      <alignment horizontal="center" vertical="center" wrapText="1"/>
    </xf>
    <xf numFmtId="0" fontId="0" fillId="0" borderId="18" xfId="0" applyBorder="1" applyAlignment="1">
      <alignment horizontal="center"/>
    </xf>
    <xf numFmtId="0" fontId="0" fillId="0" borderId="0" xfId="0" applyAlignment="1">
      <alignment horizontal="center"/>
    </xf>
    <xf numFmtId="0" fontId="0" fillId="0" borderId="68" xfId="0" applyBorder="1" applyAlignment="1">
      <alignment horizontal="center"/>
    </xf>
    <xf numFmtId="0" fontId="60" fillId="0" borderId="18" xfId="0" applyFont="1" applyBorder="1" applyAlignment="1">
      <alignment horizontal="center" vertical="center" wrapText="1"/>
    </xf>
    <xf numFmtId="0" fontId="60" fillId="0" borderId="85" xfId="0" applyFont="1" applyBorder="1" applyAlignment="1">
      <alignment horizontal="center" vertical="center" wrapText="1"/>
    </xf>
    <xf numFmtId="0" fontId="60" fillId="0" borderId="0" xfId="0" applyFont="1" applyAlignment="1">
      <alignment horizontal="center" vertical="center" wrapText="1"/>
    </xf>
    <xf numFmtId="0" fontId="60" fillId="0" borderId="86" xfId="0" applyFont="1" applyBorder="1" applyAlignment="1">
      <alignment horizontal="center" vertical="center" wrapText="1"/>
    </xf>
    <xf numFmtId="0" fontId="60" fillId="0" borderId="32" xfId="0" applyFont="1" applyBorder="1" applyAlignment="1">
      <alignment horizontal="left" vertical="center" wrapText="1"/>
    </xf>
    <xf numFmtId="0" fontId="60" fillId="0" borderId="83" xfId="0" applyFont="1" applyBorder="1" applyAlignment="1">
      <alignment horizontal="center" vertical="center" wrapText="1"/>
    </xf>
    <xf numFmtId="0" fontId="60" fillId="0" borderId="103" xfId="0" applyFont="1" applyBorder="1" applyAlignment="1">
      <alignment horizontal="center" vertical="center" wrapText="1"/>
    </xf>
    <xf numFmtId="0" fontId="60" fillId="0" borderId="3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7" xfId="0" applyFont="1" applyBorder="1" applyAlignment="1">
      <alignment horizontal="center" vertical="center" wrapText="1"/>
    </xf>
    <xf numFmtId="0" fontId="67" fillId="20" borderId="38" xfId="0" applyFont="1" applyFill="1" applyBorder="1" applyAlignment="1">
      <alignment horizontal="right" vertical="center"/>
    </xf>
    <xf numFmtId="0" fontId="67" fillId="20" borderId="39" xfId="0" applyFont="1" applyFill="1" applyBorder="1" applyAlignment="1">
      <alignment horizontal="right" vertical="center"/>
    </xf>
    <xf numFmtId="0" fontId="0" fillId="0" borderId="87" xfId="0" applyBorder="1" applyAlignment="1">
      <alignment horizontal="center"/>
    </xf>
    <xf numFmtId="0" fontId="61" fillId="16" borderId="32" xfId="0" applyFont="1" applyFill="1" applyBorder="1" applyAlignment="1">
      <alignment vertical="center"/>
    </xf>
    <xf numFmtId="0" fontId="61" fillId="16" borderId="39" xfId="0" applyFont="1" applyFill="1" applyBorder="1" applyAlignment="1">
      <alignment horizontal="left" vertical="center" wrapText="1"/>
    </xf>
    <xf numFmtId="0" fontId="61" fillId="0" borderId="35" xfId="0" applyFont="1" applyBorder="1" applyAlignment="1">
      <alignment horizontal="center" vertical="center" wrapText="1"/>
    </xf>
    <xf numFmtId="0" fontId="61" fillId="0" borderId="105" xfId="0" applyFont="1" applyBorder="1" applyAlignment="1">
      <alignment horizontal="center" vertical="center" wrapText="1"/>
    </xf>
    <xf numFmtId="0" fontId="67" fillId="19" borderId="35" xfId="0" applyFont="1" applyFill="1" applyBorder="1" applyAlignment="1">
      <alignment horizontal="center" vertical="center" wrapText="1"/>
    </xf>
    <xf numFmtId="0" fontId="67" fillId="19" borderId="46" xfId="0" applyFont="1" applyFill="1" applyBorder="1" applyAlignment="1">
      <alignment horizontal="center" vertical="center" wrapText="1"/>
    </xf>
    <xf numFmtId="0" fontId="67" fillId="20" borderId="11" xfId="0" applyFont="1" applyFill="1" applyBorder="1" applyAlignment="1">
      <alignment horizontal="right" vertical="center"/>
    </xf>
    <xf numFmtId="0" fontId="67" fillId="20" borderId="0" xfId="0" applyFont="1" applyFill="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66" fillId="3" borderId="90" xfId="5" applyFont="1" applyFill="1" applyBorder="1" applyAlignment="1" applyProtection="1">
      <alignment horizontal="justify" vertical="top" wrapText="1"/>
      <protection locked="0"/>
    </xf>
    <xf numFmtId="0" fontId="66" fillId="3" borderId="94" xfId="5" applyFont="1" applyFill="1" applyBorder="1" applyAlignment="1" applyProtection="1">
      <alignment horizontal="justify" vertical="top" wrapText="1"/>
      <protection locked="0"/>
    </xf>
    <xf numFmtId="0" fontId="38" fillId="3" borderId="90" xfId="0" applyFont="1" applyFill="1" applyBorder="1" applyAlignment="1" applyProtection="1">
      <alignment horizontal="left" vertical="top"/>
      <protection locked="0"/>
    </xf>
    <xf numFmtId="0" fontId="38" fillId="3" borderId="94" xfId="0" applyFont="1" applyFill="1" applyBorder="1" applyAlignment="1" applyProtection="1">
      <alignment horizontal="left" vertical="top"/>
      <protection locked="0"/>
    </xf>
    <xf numFmtId="0" fontId="38" fillId="3" borderId="32" xfId="0" applyFont="1" applyFill="1" applyBorder="1" applyAlignment="1" applyProtection="1">
      <alignment horizontal="left" vertical="top"/>
      <protection locked="0"/>
    </xf>
    <xf numFmtId="0" fontId="38" fillId="0" borderId="0" xfId="0" applyFont="1" applyAlignment="1">
      <alignment horizontal="left"/>
    </xf>
    <xf numFmtId="0" fontId="38" fillId="3" borderId="90" xfId="0" applyFont="1" applyFill="1" applyBorder="1" applyAlignment="1" applyProtection="1">
      <alignment horizontal="center" vertical="top"/>
      <protection locked="0"/>
    </xf>
    <xf numFmtId="0" fontId="38" fillId="3" borderId="94" xfId="0" applyFont="1" applyFill="1" applyBorder="1" applyAlignment="1" applyProtection="1">
      <alignment horizontal="center" vertical="top"/>
      <protection locked="0"/>
    </xf>
    <xf numFmtId="0" fontId="66" fillId="0" borderId="32" xfId="0" applyFont="1" applyBorder="1" applyAlignment="1">
      <alignment vertical="top"/>
    </xf>
    <xf numFmtId="0" fontId="66" fillId="3" borderId="90" xfId="5" applyFont="1" applyFill="1" applyBorder="1" applyAlignment="1" applyProtection="1">
      <alignment horizontal="justify" vertical="top"/>
      <protection locked="0"/>
    </xf>
    <xf numFmtId="0" fontId="66" fillId="3" borderId="94" xfId="5" applyFont="1" applyFill="1" applyBorder="1" applyAlignment="1" applyProtection="1">
      <alignment horizontal="justify" vertical="top"/>
      <protection locked="0"/>
    </xf>
    <xf numFmtId="0" fontId="66" fillId="3" borderId="32" xfId="0" applyFont="1" applyFill="1" applyBorder="1" applyAlignment="1">
      <alignment horizontal="justify" vertical="center" wrapText="1"/>
    </xf>
    <xf numFmtId="0" fontId="38" fillId="3" borderId="89" xfId="0" applyFont="1" applyFill="1" applyBorder="1" applyAlignment="1" applyProtection="1">
      <alignment horizontal="center" vertical="top"/>
      <protection locked="0"/>
    </xf>
    <xf numFmtId="0" fontId="38" fillId="3" borderId="87" xfId="0" applyFont="1" applyFill="1" applyBorder="1" applyAlignment="1" applyProtection="1">
      <alignment horizontal="center" vertical="top"/>
      <protection locked="0"/>
    </xf>
    <xf numFmtId="0" fontId="38" fillId="21" borderId="32" xfId="0" applyFont="1" applyFill="1" applyBorder="1" applyAlignment="1" applyProtection="1">
      <alignment horizontal="justify" vertical="top" wrapText="1"/>
      <protection locked="0"/>
    </xf>
    <xf numFmtId="0" fontId="66" fillId="3" borderId="89" xfId="0" applyFont="1" applyFill="1" applyBorder="1" applyAlignment="1" applyProtection="1">
      <alignment horizontal="justify" vertical="top" wrapText="1"/>
      <protection locked="0"/>
    </xf>
    <xf numFmtId="0" fontId="66" fillId="3" borderId="87" xfId="0" applyFont="1" applyFill="1" applyBorder="1" applyAlignment="1" applyProtection="1">
      <alignment horizontal="justify" vertical="top" wrapText="1"/>
      <protection locked="0"/>
    </xf>
    <xf numFmtId="0" fontId="38" fillId="3" borderId="90" xfId="0" applyFont="1" applyFill="1" applyBorder="1" applyAlignment="1" applyProtection="1">
      <alignment horizontal="center" vertical="center"/>
      <protection locked="0"/>
    </xf>
    <xf numFmtId="0" fontId="38" fillId="3" borderId="80" xfId="0" applyFont="1" applyFill="1" applyBorder="1" applyAlignment="1" applyProtection="1">
      <alignment horizontal="center" vertical="center"/>
      <protection locked="0"/>
    </xf>
    <xf numFmtId="0" fontId="38" fillId="3" borderId="94" xfId="0" applyFont="1" applyFill="1" applyBorder="1" applyAlignment="1" applyProtection="1">
      <alignment horizontal="center" vertical="center"/>
      <protection locked="0"/>
    </xf>
    <xf numFmtId="0" fontId="76" fillId="21" borderId="32" xfId="0" applyFont="1" applyFill="1" applyBorder="1" applyAlignment="1">
      <alignment horizontal="justify" vertical="top" wrapText="1"/>
    </xf>
    <xf numFmtId="0" fontId="66" fillId="3" borderId="32" xfId="0" applyFont="1" applyFill="1" applyBorder="1" applyAlignment="1">
      <alignment horizontal="justify" vertical="top" wrapText="1"/>
    </xf>
    <xf numFmtId="0" fontId="66" fillId="21" borderId="32" xfId="0" applyFont="1" applyFill="1" applyBorder="1" applyAlignment="1">
      <alignment horizontal="justify" vertical="top" wrapText="1"/>
    </xf>
    <xf numFmtId="0" fontId="66" fillId="3" borderId="32" xfId="0" applyFont="1" applyFill="1" applyBorder="1" applyAlignment="1">
      <alignment horizontal="center" vertical="top"/>
    </xf>
    <xf numFmtId="0" fontId="66" fillId="3" borderId="90" xfId="0" applyFont="1" applyFill="1" applyBorder="1" applyAlignment="1">
      <alignment horizontal="justify" vertical="top" wrapText="1"/>
    </xf>
    <xf numFmtId="0" fontId="66" fillId="3" borderId="94" xfId="0" applyFont="1" applyFill="1" applyBorder="1" applyAlignment="1">
      <alignment horizontal="justify" vertical="top" wrapText="1"/>
    </xf>
    <xf numFmtId="0" fontId="66" fillId="21" borderId="90" xfId="0" applyFont="1" applyFill="1" applyBorder="1" applyAlignment="1">
      <alignment horizontal="justify" vertical="top" wrapText="1"/>
    </xf>
    <xf numFmtId="0" fontId="66" fillId="21" borderId="80" xfId="0" applyFont="1" applyFill="1" applyBorder="1" applyAlignment="1">
      <alignment horizontal="justify" vertical="top" wrapText="1"/>
    </xf>
    <xf numFmtId="0" fontId="66" fillId="21" borderId="94" xfId="0" applyFont="1" applyFill="1" applyBorder="1" applyAlignment="1">
      <alignment horizontal="justify" vertical="top" wrapText="1"/>
    </xf>
    <xf numFmtId="0" fontId="66" fillId="3" borderId="32" xfId="0" applyFont="1" applyFill="1" applyBorder="1" applyAlignment="1">
      <alignment horizontal="justify" vertical="center"/>
    </xf>
    <xf numFmtId="0" fontId="66" fillId="3" borderId="90" xfId="0" applyFont="1" applyFill="1" applyBorder="1" applyAlignment="1">
      <alignment horizontal="justify" vertical="top"/>
    </xf>
    <xf numFmtId="0" fontId="66" fillId="3" borderId="94" xfId="0" applyFont="1" applyFill="1" applyBorder="1" applyAlignment="1">
      <alignment horizontal="justify" vertical="top"/>
    </xf>
    <xf numFmtId="0" fontId="66" fillId="21" borderId="33" xfId="0" applyFont="1" applyFill="1" applyBorder="1" applyAlignment="1">
      <alignment horizontal="justify" vertical="top" wrapText="1"/>
    </xf>
    <xf numFmtId="0" fontId="68" fillId="19" borderId="32" xfId="0" applyFont="1" applyFill="1" applyBorder="1" applyAlignment="1">
      <alignment horizontal="center" vertical="center" textRotation="255"/>
    </xf>
    <xf numFmtId="0" fontId="68" fillId="19" borderId="90" xfId="0" applyFont="1" applyFill="1" applyBorder="1" applyAlignment="1">
      <alignment horizontal="center" vertical="center" textRotation="255"/>
    </xf>
    <xf numFmtId="0" fontId="66" fillId="19" borderId="90" xfId="0" applyFont="1" applyFill="1" applyBorder="1" applyAlignment="1">
      <alignment horizontal="justify" vertical="top" wrapText="1"/>
    </xf>
    <xf numFmtId="0" fontId="66" fillId="19" borderId="94" xfId="0" applyFont="1" applyFill="1" applyBorder="1" applyAlignment="1">
      <alignment horizontal="justify" vertical="top" wrapText="1"/>
    </xf>
    <xf numFmtId="0" fontId="68" fillId="19" borderId="91" xfId="0" applyFont="1" applyFill="1" applyBorder="1" applyAlignment="1">
      <alignment horizontal="center" wrapText="1"/>
    </xf>
    <xf numFmtId="0" fontId="68" fillId="19" borderId="91" xfId="0" applyFont="1" applyFill="1" applyBorder="1" applyAlignment="1">
      <alignment horizontal="center"/>
    </xf>
    <xf numFmtId="0" fontId="68" fillId="19" borderId="92" xfId="0" applyFont="1" applyFill="1" applyBorder="1" applyAlignment="1">
      <alignment horizontal="center" vertical="top" wrapText="1"/>
    </xf>
    <xf numFmtId="0" fontId="68" fillId="19" borderId="51" xfId="0" applyFont="1" applyFill="1" applyBorder="1" applyAlignment="1">
      <alignment horizontal="center" vertical="top"/>
    </xf>
    <xf numFmtId="0" fontId="68" fillId="19" borderId="106" xfId="0" applyFont="1" applyFill="1" applyBorder="1" applyAlignment="1">
      <alignment horizontal="center" vertical="top"/>
    </xf>
    <xf numFmtId="0" fontId="68" fillId="19" borderId="91" xfId="0" applyFont="1" applyFill="1" applyBorder="1" applyAlignment="1">
      <alignment horizontal="center" vertical="center"/>
    </xf>
    <xf numFmtId="0" fontId="66" fillId="23" borderId="32" xfId="0" applyFont="1" applyFill="1" applyBorder="1" applyAlignment="1">
      <alignment horizontal="justify" vertical="center" wrapText="1"/>
    </xf>
    <xf numFmtId="0" fontId="66" fillId="22" borderId="89" xfId="0" applyFont="1" applyFill="1" applyBorder="1" applyAlignment="1">
      <alignment horizontal="justify" vertical="top" wrapText="1"/>
    </xf>
    <xf numFmtId="0" fontId="66" fillId="22" borderId="87" xfId="0" applyFont="1" applyFill="1" applyBorder="1" applyAlignment="1">
      <alignment horizontal="justify" vertical="top" wrapText="1"/>
    </xf>
    <xf numFmtId="0" fontId="38" fillId="3" borderId="90" xfId="0" applyFont="1" applyFill="1" applyBorder="1" applyAlignment="1" applyProtection="1">
      <alignment horizontal="left" vertical="center"/>
      <protection locked="0"/>
    </xf>
    <xf numFmtId="0" fontId="66" fillId="0" borderId="94" xfId="0" applyFont="1" applyBorder="1" applyAlignment="1">
      <alignment horizontal="left" vertical="center"/>
    </xf>
    <xf numFmtId="0" fontId="66" fillId="13" borderId="90" xfId="0" applyFont="1" applyFill="1" applyBorder="1" applyAlignment="1">
      <alignment horizontal="left" vertical="top" wrapText="1"/>
    </xf>
    <xf numFmtId="0" fontId="66" fillId="13" borderId="94" xfId="0" applyFont="1" applyFill="1" applyBorder="1" applyAlignment="1">
      <alignment horizontal="left" vertical="top" wrapText="1"/>
    </xf>
    <xf numFmtId="0" fontId="66" fillId="13" borderId="90" xfId="0" applyFont="1" applyFill="1" applyBorder="1" applyAlignment="1">
      <alignment horizontal="left" vertical="center" wrapText="1"/>
    </xf>
    <xf numFmtId="0" fontId="66" fillId="13" borderId="94" xfId="0" applyFont="1" applyFill="1" applyBorder="1" applyAlignment="1">
      <alignment horizontal="left" vertical="center" wrapText="1"/>
    </xf>
    <xf numFmtId="0" fontId="66" fillId="3" borderId="91" xfId="0" applyFont="1" applyFill="1" applyBorder="1" applyAlignment="1">
      <alignment horizontal="justify" vertical="top" wrapText="1"/>
    </xf>
    <xf numFmtId="0" fontId="66" fillId="22" borderId="90" xfId="0" applyFont="1" applyFill="1" applyBorder="1" applyAlignment="1">
      <alignment horizontal="justify" vertical="top" wrapText="1"/>
    </xf>
    <xf numFmtId="0" fontId="66" fillId="22" borderId="94" xfId="0" applyFont="1" applyFill="1" applyBorder="1" applyAlignment="1">
      <alignment horizontal="justify" vertical="top" wrapText="1"/>
    </xf>
    <xf numFmtId="0" fontId="66" fillId="0" borderId="80" xfId="0" applyFont="1" applyBorder="1" applyAlignment="1">
      <alignment horizontal="left" vertical="center"/>
    </xf>
    <xf numFmtId="0" fontId="38" fillId="3" borderId="90" xfId="0" applyFont="1" applyFill="1" applyBorder="1" applyAlignment="1" applyProtection="1">
      <alignment horizontal="justify" vertical="top"/>
      <protection locked="0"/>
    </xf>
    <xf numFmtId="0" fontId="66" fillId="0" borderId="94" xfId="0" applyFont="1" applyBorder="1" applyAlignment="1">
      <alignment horizontal="justify" vertical="top"/>
    </xf>
    <xf numFmtId="0" fontId="38" fillId="3" borderId="91" xfId="0" applyFont="1" applyFill="1" applyBorder="1" applyAlignment="1" applyProtection="1">
      <alignment horizontal="left" vertical="center"/>
      <protection locked="0"/>
    </xf>
    <xf numFmtId="0" fontId="66" fillId="22" borderId="32" xfId="0" applyFont="1" applyFill="1" applyBorder="1" applyAlignment="1">
      <alignment horizontal="left" vertical="top" wrapText="1"/>
    </xf>
    <xf numFmtId="0" fontId="66" fillId="22" borderId="32" xfId="0" applyFont="1" applyFill="1" applyBorder="1" applyAlignment="1">
      <alignment horizontal="left" vertical="top"/>
    </xf>
    <xf numFmtId="0" fontId="66" fillId="21" borderId="68" xfId="0" applyFont="1" applyFill="1" applyBorder="1" applyAlignment="1" applyProtection="1">
      <alignment horizontal="justify" vertical="top" wrapText="1"/>
      <protection locked="0"/>
    </xf>
    <xf numFmtId="0" fontId="66" fillId="21" borderId="87" xfId="0" applyFont="1" applyFill="1" applyBorder="1" applyAlignment="1" applyProtection="1">
      <alignment horizontal="justify" vertical="top" wrapText="1"/>
      <protection locked="0"/>
    </xf>
    <xf numFmtId="0" fontId="38" fillId="3" borderId="80" xfId="0" applyFont="1" applyFill="1" applyBorder="1" applyAlignment="1" applyProtection="1">
      <alignment horizontal="left" vertical="center"/>
      <protection locked="0"/>
    </xf>
    <xf numFmtId="0" fontId="38" fillId="3" borderId="94" xfId="0" applyFont="1" applyFill="1" applyBorder="1" applyAlignment="1" applyProtection="1">
      <alignment horizontal="left" vertical="center"/>
      <protection locked="0"/>
    </xf>
    <xf numFmtId="0" fontId="66" fillId="22" borderId="33" xfId="0" applyFont="1" applyFill="1" applyBorder="1" applyAlignment="1" applyProtection="1">
      <alignment horizontal="justify" vertical="top" wrapText="1"/>
      <protection locked="0"/>
    </xf>
    <xf numFmtId="0" fontId="38" fillId="22" borderId="32" xfId="0" applyFont="1" applyFill="1" applyBorder="1" applyAlignment="1">
      <alignment horizontal="justify" vertical="top" wrapText="1"/>
    </xf>
    <xf numFmtId="0" fontId="66" fillId="22" borderId="32" xfId="0" applyFont="1" applyFill="1" applyBorder="1" applyAlignment="1">
      <alignment horizontal="justify" vertical="top" wrapText="1"/>
    </xf>
    <xf numFmtId="0" fontId="76" fillId="3" borderId="32" xfId="0" applyFont="1" applyFill="1" applyBorder="1" applyAlignment="1" applyProtection="1">
      <alignment horizontal="justify" vertical="top" wrapText="1"/>
      <protection locked="0"/>
    </xf>
    <xf numFmtId="0" fontId="38" fillId="22" borderId="32" xfId="0" applyFont="1" applyFill="1" applyBorder="1" applyAlignment="1">
      <alignment horizontal="justify" vertical="center" wrapText="1"/>
    </xf>
    <xf numFmtId="0" fontId="38" fillId="22" borderId="90" xfId="0" applyFont="1" applyFill="1" applyBorder="1" applyAlignment="1">
      <alignment horizontal="justify" vertical="center" wrapText="1"/>
    </xf>
    <xf numFmtId="0" fontId="66" fillId="22" borderId="32" xfId="0" applyFont="1" applyFill="1" applyBorder="1" applyAlignment="1">
      <alignment horizontal="justify" vertical="center" wrapText="1"/>
    </xf>
    <xf numFmtId="0" fontId="66" fillId="3" borderId="32" xfId="0" applyFont="1" applyFill="1" applyBorder="1" applyAlignment="1" applyProtection="1">
      <alignment horizontal="justify" vertical="top" wrapText="1"/>
      <protection locked="0"/>
    </xf>
    <xf numFmtId="0" fontId="66" fillId="21" borderId="32" xfId="0" applyFont="1" applyFill="1" applyBorder="1" applyAlignment="1">
      <alignment horizontal="justify" vertical="center" wrapText="1"/>
    </xf>
    <xf numFmtId="0" fontId="68" fillId="19" borderId="91" xfId="0" applyFont="1" applyFill="1" applyBorder="1" applyAlignment="1">
      <alignment horizontal="center" vertical="center" wrapText="1"/>
    </xf>
    <xf numFmtId="0" fontId="68" fillId="19" borderId="92" xfId="0" applyFont="1" applyFill="1" applyBorder="1" applyAlignment="1">
      <alignment horizontal="center" vertical="center" wrapText="1"/>
    </xf>
    <xf numFmtId="0" fontId="68" fillId="19" borderId="51" xfId="0" applyFont="1" applyFill="1" applyBorder="1" applyAlignment="1">
      <alignment horizontal="center" vertical="center"/>
    </xf>
    <xf numFmtId="0" fontId="68" fillId="19" borderId="106" xfId="0" applyFont="1" applyFill="1" applyBorder="1" applyAlignment="1">
      <alignment horizontal="center" vertical="center"/>
    </xf>
    <xf numFmtId="0" fontId="66" fillId="23" borderId="90" xfId="0" applyFont="1" applyFill="1" applyBorder="1" applyAlignment="1">
      <alignment horizontal="justify" vertical="center" wrapText="1"/>
    </xf>
    <xf numFmtId="0" fontId="66" fillId="21" borderId="90" xfId="0" applyFont="1" applyFill="1" applyBorder="1" applyAlignment="1" applyProtection="1">
      <alignment horizontal="left" vertical="center" wrapText="1"/>
      <protection locked="0"/>
    </xf>
    <xf numFmtId="0" fontId="66" fillId="21" borderId="80" xfId="0" applyFont="1" applyFill="1" applyBorder="1" applyAlignment="1" applyProtection="1">
      <alignment horizontal="left" vertical="center" wrapText="1"/>
      <protection locked="0"/>
    </xf>
    <xf numFmtId="0" fontId="76" fillId="21" borderId="90" xfId="0" applyFont="1" applyFill="1" applyBorder="1" applyAlignment="1" applyProtection="1">
      <alignment horizontal="left" vertical="center" wrapText="1"/>
      <protection locked="0"/>
    </xf>
    <xf numFmtId="0" fontId="76" fillId="21" borderId="80" xfId="0" applyFont="1" applyFill="1" applyBorder="1" applyAlignment="1" applyProtection="1">
      <alignment horizontal="left" vertical="center" wrapText="1"/>
      <protection locked="0"/>
    </xf>
    <xf numFmtId="0" fontId="76" fillId="21" borderId="94" xfId="0" applyFont="1" applyFill="1" applyBorder="1" applyAlignment="1" applyProtection="1">
      <alignment horizontal="left" vertical="center" wrapText="1"/>
      <protection locked="0"/>
    </xf>
    <xf numFmtId="0" fontId="66" fillId="3" borderId="33" xfId="0" applyFont="1" applyFill="1" applyBorder="1" applyAlignment="1" applyProtection="1">
      <alignment horizontal="justify" vertical="top" wrapText="1"/>
      <protection locked="0"/>
    </xf>
    <xf numFmtId="0" fontId="68" fillId="22" borderId="32" xfId="0" applyFont="1" applyFill="1" applyBorder="1" applyAlignment="1">
      <alignment horizontal="justify" vertical="center" wrapText="1"/>
    </xf>
    <xf numFmtId="0" fontId="66" fillId="22" borderId="90" xfId="0" applyFont="1" applyFill="1" applyBorder="1" applyAlignment="1">
      <alignment horizontal="justify" vertical="center" wrapText="1"/>
    </xf>
    <xf numFmtId="0" fontId="66" fillId="21" borderId="90" xfId="5" applyFont="1" applyFill="1" applyBorder="1" applyAlignment="1" applyProtection="1">
      <alignment horizontal="left" vertical="center" wrapText="1"/>
      <protection locked="0"/>
    </xf>
    <xf numFmtId="0" fontId="66" fillId="21" borderId="94" xfId="0" applyFont="1" applyFill="1" applyBorder="1" applyAlignment="1">
      <alignment horizontal="left" vertical="center" wrapText="1"/>
    </xf>
    <xf numFmtId="0" fontId="66" fillId="3" borderId="90" xfId="0" applyFont="1" applyFill="1" applyBorder="1" applyAlignment="1" applyProtection="1">
      <alignment horizontal="justify" vertical="top" wrapText="1"/>
      <protection locked="0"/>
    </xf>
    <xf numFmtId="0" fontId="66" fillId="3" borderId="80" xfId="0" applyFont="1" applyFill="1" applyBorder="1" applyAlignment="1">
      <alignment horizontal="justify" vertical="top" wrapText="1"/>
    </xf>
    <xf numFmtId="0" fontId="38" fillId="13" borderId="90" xfId="0" applyFont="1" applyFill="1" applyBorder="1" applyAlignment="1" applyProtection="1">
      <alignment horizontal="justify" vertical="top" wrapText="1"/>
      <protection locked="0"/>
    </xf>
    <xf numFmtId="0" fontId="38" fillId="13" borderId="80" xfId="0" applyFont="1" applyFill="1" applyBorder="1" applyAlignment="1" applyProtection="1">
      <alignment horizontal="justify" vertical="top" wrapText="1"/>
      <protection locked="0"/>
    </xf>
    <xf numFmtId="0" fontId="38" fillId="13" borderId="94" xfId="0" applyFont="1" applyFill="1" applyBorder="1" applyAlignment="1" applyProtection="1">
      <alignment horizontal="justify" vertical="top" wrapText="1"/>
      <protection locked="0"/>
    </xf>
    <xf numFmtId="0" fontId="66" fillId="3" borderId="90" xfId="0" applyFont="1" applyFill="1" applyBorder="1" applyAlignment="1" applyProtection="1">
      <alignment horizontal="left" vertical="center" wrapText="1"/>
      <protection locked="0"/>
    </xf>
    <xf numFmtId="0" fontId="66" fillId="3" borderId="80" xfId="0" applyFont="1" applyFill="1" applyBorder="1" applyAlignment="1" applyProtection="1">
      <alignment horizontal="left" vertical="center" wrapText="1"/>
      <protection locked="0"/>
    </xf>
    <xf numFmtId="0" fontId="76" fillId="22" borderId="32" xfId="0" applyFont="1" applyFill="1" applyBorder="1" applyAlignment="1">
      <alignment horizontal="justify" vertical="center" wrapText="1"/>
    </xf>
    <xf numFmtId="0" fontId="72" fillId="0" borderId="79" xfId="0" applyFont="1" applyBorder="1" applyAlignment="1">
      <alignment horizontal="center" vertical="center" wrapText="1"/>
    </xf>
    <xf numFmtId="0" fontId="72" fillId="0" borderId="80" xfId="0" applyFont="1" applyBorder="1" applyAlignment="1">
      <alignment horizontal="center" vertical="center" wrapText="1"/>
    </xf>
    <xf numFmtId="0" fontId="72" fillId="0" borderId="81" xfId="0" applyFont="1" applyBorder="1" applyAlignment="1">
      <alignment horizontal="center" vertical="center" wrapText="1"/>
    </xf>
    <xf numFmtId="0" fontId="68" fillId="20" borderId="50" xfId="0" applyFont="1" applyFill="1" applyBorder="1" applyAlignment="1">
      <alignment horizontal="center" vertical="center"/>
    </xf>
    <xf numFmtId="0" fontId="68" fillId="20" borderId="51" xfId="0" applyFont="1" applyFill="1" applyBorder="1" applyAlignment="1">
      <alignment horizontal="center" vertical="center"/>
    </xf>
    <xf numFmtId="0" fontId="68" fillId="20" borderId="52" xfId="0" applyFont="1" applyFill="1" applyBorder="1" applyAlignment="1">
      <alignment horizontal="center" vertical="center"/>
    </xf>
    <xf numFmtId="0" fontId="68" fillId="20" borderId="15" xfId="0" applyFont="1" applyFill="1" applyBorder="1" applyAlignment="1">
      <alignment horizontal="center" vertical="center"/>
    </xf>
    <xf numFmtId="0" fontId="68" fillId="20" borderId="17" xfId="0" applyFont="1" applyFill="1" applyBorder="1" applyAlignment="1">
      <alignment horizontal="center" vertical="center"/>
    </xf>
    <xf numFmtId="0" fontId="68" fillId="20" borderId="16" xfId="0" applyFont="1" applyFill="1" applyBorder="1" applyAlignment="1">
      <alignment horizontal="center" vertical="center"/>
    </xf>
    <xf numFmtId="0" fontId="68" fillId="19" borderId="32" xfId="0" applyFont="1" applyFill="1" applyBorder="1" applyAlignment="1">
      <alignment horizontal="center" vertical="center" wrapText="1"/>
    </xf>
    <xf numFmtId="0" fontId="68" fillId="19" borderId="90" xfId="0" applyFont="1" applyFill="1" applyBorder="1" applyAlignment="1">
      <alignment horizontal="center" vertical="center" wrapText="1"/>
    </xf>
    <xf numFmtId="0" fontId="68" fillId="19" borderId="80" xfId="0" applyFont="1" applyFill="1" applyBorder="1" applyAlignment="1">
      <alignment horizontal="center" vertical="center" wrapText="1"/>
    </xf>
    <xf numFmtId="0" fontId="68" fillId="19" borderId="94" xfId="0" applyFont="1" applyFill="1" applyBorder="1" applyAlignment="1">
      <alignment horizontal="center" vertical="center" wrapText="1"/>
    </xf>
    <xf numFmtId="0" fontId="68" fillId="19" borderId="32" xfId="0" applyFont="1" applyFill="1" applyBorder="1" applyAlignment="1">
      <alignment horizontal="center" vertical="center"/>
    </xf>
    <xf numFmtId="0" fontId="68" fillId="19" borderId="92" xfId="0" applyFont="1" applyFill="1" applyBorder="1" applyAlignment="1">
      <alignment horizontal="center" vertical="center"/>
    </xf>
    <xf numFmtId="0" fontId="68" fillId="21" borderId="90" xfId="0" applyFont="1" applyFill="1" applyBorder="1" applyAlignment="1" applyProtection="1">
      <alignment horizontal="left" vertical="center" wrapText="1"/>
      <protection locked="0"/>
    </xf>
    <xf numFmtId="0" fontId="68" fillId="21" borderId="80" xfId="0" applyFont="1" applyFill="1" applyBorder="1" applyAlignment="1" applyProtection="1">
      <alignment horizontal="left" vertical="center" wrapText="1"/>
      <protection locked="0"/>
    </xf>
    <xf numFmtId="0" fontId="60" fillId="0" borderId="11"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67" xfId="0" applyFont="1" applyBorder="1" applyAlignment="1">
      <alignment horizontal="center" vertical="center" wrapText="1"/>
    </xf>
    <xf numFmtId="0" fontId="61" fillId="0" borderId="98" xfId="0" applyFont="1" applyBorder="1" applyAlignment="1">
      <alignment horizontal="left" vertical="center" wrapText="1"/>
    </xf>
    <xf numFmtId="0" fontId="61" fillId="0" borderId="99" xfId="0" applyFont="1" applyBorder="1" applyAlignment="1">
      <alignment horizontal="left" vertical="center" wrapText="1"/>
    </xf>
    <xf numFmtId="0" fontId="61" fillId="0" borderId="84" xfId="0" applyFont="1" applyBorder="1" applyAlignment="1">
      <alignment horizontal="center" vertical="center" wrapText="1"/>
    </xf>
    <xf numFmtId="0" fontId="61" fillId="0" borderId="93" xfId="0" applyFont="1" applyBorder="1" applyAlignment="1">
      <alignment horizontal="center" vertical="center" wrapText="1"/>
    </xf>
    <xf numFmtId="0" fontId="61" fillId="0" borderId="42" xfId="0" applyFont="1" applyBorder="1" applyAlignment="1">
      <alignment horizontal="center" vertical="center" wrapText="1"/>
    </xf>
    <xf numFmtId="0" fontId="61" fillId="0" borderId="90" xfId="0" applyFont="1" applyBorder="1" applyAlignment="1">
      <alignment horizontal="left" vertical="center" wrapText="1"/>
    </xf>
    <xf numFmtId="0" fontId="61" fillId="0" borderId="94" xfId="0" applyFont="1" applyBorder="1" applyAlignment="1">
      <alignment horizontal="left" vertical="center" wrapText="1"/>
    </xf>
    <xf numFmtId="0" fontId="50" fillId="0" borderId="95" xfId="0" applyFont="1" applyBorder="1" applyAlignment="1" applyProtection="1">
      <alignment horizontal="center" vertical="top" wrapText="1"/>
      <protection locked="0"/>
    </xf>
    <xf numFmtId="0" fontId="50" fillId="0" borderId="96" xfId="0" applyFont="1" applyBorder="1" applyAlignment="1" applyProtection="1">
      <alignment horizontal="center" vertical="top" wrapText="1"/>
      <protection locked="0"/>
    </xf>
    <xf numFmtId="0" fontId="50" fillId="0" borderId="97" xfId="0" applyFont="1" applyBorder="1" applyAlignment="1" applyProtection="1">
      <alignment horizontal="center" vertical="top" wrapText="1"/>
      <protection locked="0"/>
    </xf>
    <xf numFmtId="0" fontId="66" fillId="0" borderId="4" xfId="0" applyFont="1" applyBorder="1" applyAlignment="1" applyProtection="1">
      <alignment horizontal="center" vertical="top" textRotation="90"/>
      <protection hidden="1"/>
    </xf>
    <xf numFmtId="0" fontId="66" fillId="0" borderId="7" xfId="0" applyFont="1" applyBorder="1" applyAlignment="1" applyProtection="1">
      <alignment horizontal="center" vertical="top" textRotation="90"/>
      <protection hidden="1"/>
    </xf>
    <xf numFmtId="0" fontId="66" fillId="0" borderId="5" xfId="0" applyFont="1" applyBorder="1" applyAlignment="1" applyProtection="1">
      <alignment horizontal="center" vertical="top" textRotation="90"/>
      <protection hidden="1"/>
    </xf>
    <xf numFmtId="0" fontId="66" fillId="0" borderId="4" xfId="0" applyFont="1" applyBorder="1" applyAlignment="1" applyProtection="1">
      <alignment horizontal="center" vertical="top" textRotation="90" wrapText="1"/>
      <protection hidden="1"/>
    </xf>
    <xf numFmtId="0" fontId="66" fillId="0" borderId="7" xfId="0" applyFont="1" applyBorder="1" applyAlignment="1" applyProtection="1">
      <alignment horizontal="center" vertical="top" textRotation="90" wrapText="1"/>
      <protection hidden="1"/>
    </xf>
    <xf numFmtId="0" fontId="66" fillId="0" borderId="5" xfId="0" applyFont="1" applyBorder="1" applyAlignment="1" applyProtection="1">
      <alignment horizontal="center" vertical="top" textRotation="90" wrapText="1"/>
      <protection hidden="1"/>
    </xf>
    <xf numFmtId="0" fontId="66" fillId="0" borderId="29" xfId="0" applyFont="1" applyBorder="1" applyAlignment="1" applyProtection="1">
      <alignment horizontal="justify" vertical="top" wrapText="1"/>
      <protection locked="0"/>
    </xf>
    <xf numFmtId="0" fontId="66" fillId="0" borderId="75" xfId="0" applyFont="1" applyBorder="1" applyAlignment="1" applyProtection="1">
      <alignment horizontal="justify" vertical="top" wrapText="1"/>
      <protection locked="0"/>
    </xf>
    <xf numFmtId="0" fontId="68" fillId="0" borderId="4" xfId="0" applyFont="1" applyBorder="1" applyAlignment="1">
      <alignment horizontal="justify" vertical="top"/>
    </xf>
    <xf numFmtId="0" fontId="68" fillId="0" borderId="7" xfId="0" applyFont="1" applyBorder="1" applyAlignment="1">
      <alignment horizontal="justify" vertical="top"/>
    </xf>
    <xf numFmtId="0" fontId="66" fillId="0" borderId="4" xfId="0" applyFont="1" applyBorder="1" applyAlignment="1" applyProtection="1">
      <alignment horizontal="justify" vertical="top" wrapText="1"/>
      <protection locked="0"/>
    </xf>
    <xf numFmtId="0" fontId="66" fillId="0" borderId="7" xfId="0" applyFont="1" applyBorder="1" applyAlignment="1" applyProtection="1">
      <alignment horizontal="justify" vertical="top" wrapText="1"/>
      <protection locked="0"/>
    </xf>
    <xf numFmtId="0" fontId="66" fillId="0" borderId="27" xfId="0" applyFont="1" applyBorder="1" applyAlignment="1" applyProtection="1">
      <alignment horizontal="justify" vertical="top" wrapText="1"/>
      <protection locked="0"/>
    </xf>
    <xf numFmtId="0" fontId="66" fillId="0" borderId="8" xfId="0" applyFont="1" applyBorder="1" applyAlignment="1" applyProtection="1">
      <alignment horizontal="justify" vertical="top" wrapText="1"/>
      <protection locked="0"/>
    </xf>
    <xf numFmtId="0" fontId="38" fillId="0" borderId="74" xfId="0" applyFont="1" applyBorder="1" applyAlignment="1" applyProtection="1">
      <alignment horizontal="justify" vertical="top" wrapText="1"/>
      <protection locked="0"/>
    </xf>
    <xf numFmtId="0" fontId="38" fillId="0" borderId="95" xfId="0" applyFont="1" applyBorder="1" applyAlignment="1" applyProtection="1">
      <alignment horizontal="center" vertical="top" wrapText="1"/>
      <protection locked="0"/>
    </xf>
    <xf numFmtId="0" fontId="38" fillId="0" borderId="96" xfId="0" applyFont="1" applyBorder="1" applyAlignment="1" applyProtection="1">
      <alignment horizontal="center" vertical="top" wrapText="1"/>
      <protection locked="0"/>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4" xfId="0" applyFont="1" applyBorder="1" applyAlignment="1" applyProtection="1">
      <alignment horizontal="center" vertical="top" wrapText="1"/>
      <protection locked="0"/>
    </xf>
    <xf numFmtId="0" fontId="1" fillId="0" borderId="29"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1" fillId="0" borderId="31"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7" fillId="3" borderId="74"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4" xfId="0" applyFont="1" applyFill="1" applyBorder="1" applyAlignment="1" applyProtection="1">
      <alignment horizontal="left" vertical="center"/>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24" fillId="0" borderId="0" xfId="0" applyFont="1" applyAlignment="1">
      <alignment horizontal="center" vertical="center" wrapText="1"/>
    </xf>
    <xf numFmtId="0" fontId="19" fillId="5"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3" xfId="0" applyFont="1" applyBorder="1" applyAlignment="1">
      <alignment horizontal="center" vertical="center" wrapText="1"/>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4" xfId="0" applyFont="1" applyFill="1" applyBorder="1" applyAlignment="1">
      <alignment horizontal="center" vertical="center" wrapText="1" readingOrder="1"/>
    </xf>
    <xf numFmtId="0" fontId="32" fillId="15" borderId="35" xfId="0" applyFont="1" applyFill="1" applyBorder="1" applyAlignment="1">
      <alignment horizontal="center" vertical="center" wrapText="1" readingOrder="1"/>
    </xf>
    <xf numFmtId="0" fontId="32" fillId="15" borderId="46"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29" fillId="3" borderId="41" xfId="0" applyFont="1" applyFill="1" applyBorder="1" applyAlignment="1">
      <alignment horizontal="center" vertical="center" wrapText="1" readingOrder="1"/>
    </xf>
    <xf numFmtId="0" fontId="29" fillId="3" borderId="36"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66" fillId="0" borderId="2" xfId="0" applyFont="1" applyBorder="1" applyAlignment="1" applyProtection="1">
      <alignment horizontal="center" vertical="center" wrapText="1"/>
      <protection locked="0"/>
    </xf>
    <xf numFmtId="14" fontId="66" fillId="0" borderId="2" xfId="0" applyNumberFormat="1" applyFont="1" applyBorder="1" applyAlignment="1" applyProtection="1">
      <alignment horizontal="center" vertical="center"/>
      <protection locked="0"/>
    </xf>
    <xf numFmtId="14" fontId="66" fillId="0" borderId="2" xfId="0" applyNumberFormat="1" applyFont="1" applyBorder="1" applyAlignment="1" applyProtection="1">
      <alignment horizontal="center" vertical="center" wrapText="1"/>
      <protection locked="0"/>
    </xf>
    <xf numFmtId="0" fontId="66"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1" fillId="0" borderId="3"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2 3" xfId="5" xr:uid="{00000000-0005-0000-0000-000004000000}"/>
    <cellStyle name="Porcentaje" xfId="1" builtinId="5"/>
  </cellStyles>
  <dxfs count="56">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6"/>
        </patternFill>
      </fill>
    </dxf>
    <dxf>
      <font>
        <b val="0"/>
        <i val="0"/>
        <color theme="1"/>
      </font>
      <fill>
        <patternFill>
          <bgColor theme="6"/>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F0275B7B-765F-3F38-10F9-E26725B31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5EEF3012-8060-B2C7-BFD8-789F424DB1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288633</xdr:rowOff>
    </xdr:from>
    <xdr:to>
      <xdr:col>0</xdr:col>
      <xdr:colOff>1</xdr:colOff>
      <xdr:row>40</xdr:row>
      <xdr:rowOff>288634</xdr:rowOff>
    </xdr:to>
    <xdr:sp macro="" textlink="">
      <xdr:nvSpPr>
        <xdr:cNvPr id="2" name="CuadroTexto 1">
          <a:extLst>
            <a:ext uri="{FF2B5EF4-FFF2-40B4-BE49-F238E27FC236}">
              <a16:creationId xmlns:a16="http://schemas.microsoft.com/office/drawing/2014/main" id="{00000000-0008-0000-0400-000005000000}"/>
            </a:ext>
          </a:extLst>
        </xdr:cNvPr>
        <xdr:cNvSpPr txBox="1"/>
      </xdr:nvSpPr>
      <xdr:spPr>
        <a:xfrm rot="16200000">
          <a:off x="-4014787" y="9970795"/>
          <a:ext cx="8029576"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42</xdr:row>
      <xdr:rowOff>0</xdr:rowOff>
    </xdr:from>
    <xdr:to>
      <xdr:col>0</xdr:col>
      <xdr:colOff>2</xdr:colOff>
      <xdr:row>43</xdr:row>
      <xdr:rowOff>0</xdr:rowOff>
    </xdr:to>
    <xdr:sp macro="" textlink="">
      <xdr:nvSpPr>
        <xdr:cNvPr id="3" name="CuadroTexto 2">
          <a:extLst>
            <a:ext uri="{FF2B5EF4-FFF2-40B4-BE49-F238E27FC236}">
              <a16:creationId xmlns:a16="http://schemas.microsoft.com/office/drawing/2014/main" id="{00000000-0008-0000-0400-000007000000}"/>
            </a:ext>
          </a:extLst>
        </xdr:cNvPr>
        <xdr:cNvSpPr txBox="1"/>
      </xdr:nvSpPr>
      <xdr:spPr>
        <a:xfrm rot="16200000">
          <a:off x="-100012" y="14349412"/>
          <a:ext cx="200025"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32F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272144</xdr:colOff>
      <xdr:row>0</xdr:row>
      <xdr:rowOff>0</xdr:rowOff>
    </xdr:from>
    <xdr:to>
      <xdr:col>19</xdr:col>
      <xdr:colOff>1143000</xdr:colOff>
      <xdr:row>3</xdr:row>
      <xdr:rowOff>136071</xdr:rowOff>
    </xdr:to>
    <xdr:pic>
      <xdr:nvPicPr>
        <xdr:cNvPr id="4" name="Imagen 3">
          <a:extLst>
            <a:ext uri="{FF2B5EF4-FFF2-40B4-BE49-F238E27FC236}">
              <a16:creationId xmlns:a16="http://schemas.microsoft.com/office/drawing/2014/main" id="{591EEBAE-BCDC-AE74-8797-8978336CD44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555" t="13989" r="14215" b="19422"/>
        <a:stretch/>
      </xdr:blipFill>
      <xdr:spPr bwMode="auto">
        <a:xfrm>
          <a:off x="14140544" y="0"/>
          <a:ext cx="870856" cy="888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0</xdr:row>
      <xdr:rowOff>122465</xdr:rowOff>
    </xdr:from>
    <xdr:to>
      <xdr:col>1</xdr:col>
      <xdr:colOff>1033836</xdr:colOff>
      <xdr:row>2</xdr:row>
      <xdr:rowOff>217715</xdr:rowOff>
    </xdr:to>
    <xdr:pic>
      <xdr:nvPicPr>
        <xdr:cNvPr id="5" name="Imagen 4">
          <a:extLst>
            <a:ext uri="{FF2B5EF4-FFF2-40B4-BE49-F238E27FC236}">
              <a16:creationId xmlns:a16="http://schemas.microsoft.com/office/drawing/2014/main" id="{D5C51344-7463-B4E6-69EC-5A0E21720C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464" y="122465"/>
          <a:ext cx="1482872" cy="598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154780</xdr:colOff>
      <xdr:row>0</xdr:row>
      <xdr:rowOff>71438</xdr:rowOff>
    </xdr:from>
    <xdr:to>
      <xdr:col>9</xdr:col>
      <xdr:colOff>797717</xdr:colOff>
      <xdr:row>3</xdr:row>
      <xdr:rowOff>181450</xdr:rowOff>
    </xdr:to>
    <xdr:pic>
      <xdr:nvPicPr>
        <xdr:cNvPr id="2" name="Imagen 1">
          <a:extLst>
            <a:ext uri="{FF2B5EF4-FFF2-40B4-BE49-F238E27FC236}">
              <a16:creationId xmlns:a16="http://schemas.microsoft.com/office/drawing/2014/main" id="{E979F2D4-9129-905E-E7AB-54124D4622E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47" t="14726" r="10698" b="13355"/>
        <a:stretch/>
      </xdr:blipFill>
      <xdr:spPr bwMode="auto">
        <a:xfrm>
          <a:off x="15232855" y="71438"/>
          <a:ext cx="642937" cy="681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66673</xdr:colOff>
      <xdr:row>0</xdr:row>
      <xdr:rowOff>44734</xdr:rowOff>
    </xdr:from>
    <xdr:to>
      <xdr:col>1</xdr:col>
      <xdr:colOff>750093</xdr:colOff>
      <xdr:row>3</xdr:row>
      <xdr:rowOff>168117</xdr:rowOff>
    </xdr:to>
    <xdr:pic>
      <xdr:nvPicPr>
        <xdr:cNvPr id="3" name="Imagen 2">
          <a:extLst>
            <a:ext uri="{FF2B5EF4-FFF2-40B4-BE49-F238E27FC236}">
              <a16:creationId xmlns:a16="http://schemas.microsoft.com/office/drawing/2014/main" id="{C2E08980-DE53-528A-83A0-997EE40D0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3" y="44734"/>
          <a:ext cx="1693070" cy="694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OL%20INTERNO\Desktop\LINDA\MONITOREO%20DE%20RIESGOS%20OFICINA\ACTUALIZACION%20MAPA\RIESGOS%20DE%20CORRUPC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UDITORIAS%20A&#209;O%202022\DOCUMENTOS%20ESTRAT&#201;GICOS%20DE%20LA%20OCI%20%202022\mapa%20de%20riesgos%202022\MAPA%20DE%20RIESGOS%20%20CORRUPCION%20%20ACTUALIZADO%20%20DIC%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UDITORIAS%20%20A&#209;O%202023\DOCUEMENTOS%20%20ESTRATEGICOS%20%20%20DE%20LA%20OFICINA%20DE%20CONTROL%20INTERNO\MAPAS%20DE%20RIESGOS\MAPA%20DE%20RIESGOS%20%202023%20%20%20ADMON%20%20Y%20DE%20CORRUPCION\MAPA%20RIESGOS%20%20CORRUPCION%20%20ACTUALIZADO%20%20ENERO%20%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TROL%20INTERNO\Downloads\RIESGOS%20FISCALES%20Y%20GESTION%2020255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UDITORIAS%20Y%20COMPROMISOS%20A&#209;O%202024\DOCUMENTOS%20ESTRATEGICOS%20DE%20LA%20OFICINA%20DE%20CONTROL%20INTERNO\MAPA%20DE%20RIESGOS\MAPA%20DE%20RIESGOS%20%20FORMULADOS%20ENERO%202024\RIESGOS%20DE%20GESTION%20Y%20FISCAL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ON DE CAUSA"/>
      <sheetName val="matriz definicion riesgo"/>
      <sheetName val="IDENTIFICACION"/>
      <sheetName val="PRIORIZ CAUSA R CORUP TRÁMITES"/>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EVALUACIÓN SOLIDEZ CONTROLES"/>
      <sheetName val="VALORACIÓN ZONA-RIESGO RESIDUAL"/>
      <sheetName val="Hoja6"/>
      <sheetName val="MAPA DE RIESGO CORRUPCION"/>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row r="12">
          <cell r="B12" t="str">
            <v>Constantes cambios normativos, diversidad jurídica.</v>
          </cell>
          <cell r="D12" t="str">
            <v xml:space="preserve">Personal insuficiente para auditar la totalidad de procesos críticos. </v>
          </cell>
          <cell r="F12" t="str">
            <v xml:space="preserve">Ausencia de documentación e implementación de procedimientos en algunos procesos. </v>
          </cell>
        </row>
        <row r="13">
          <cell r="B13" t="str">
            <v xml:space="preserve">Cambios normativos en los que establecen responsabilidades a las Oficinas de Control Interno. </v>
          </cell>
          <cell r="D13" t="str">
            <v>Ausencia de perfil profesional de planta: Ingeniero ambiental , ingeniero civil y abogado.</v>
          </cell>
          <cell r="F13" t="str">
            <v xml:space="preserve">Demoras en la entrega de información por parte de las unidades administrativas, en respuesta a los requerimientos de la oficina. </v>
          </cell>
        </row>
        <row r="14">
          <cell r="B14" t="str">
            <v xml:space="preserve">La inclusión social </v>
          </cell>
          <cell r="D14" t="str">
            <v>Inobservancia a los lineamientos establecidos en el Código de Ética del Auditor Interno, estatuto de auditoria y lineamientos anti soborno establecidos en la política del SIG, en el desarrollo de las auditorías.</v>
          </cell>
          <cell r="F14" t="str">
            <v>Ausencia de formulación controles y de registros en los procedimientos a auditar.</v>
          </cell>
        </row>
        <row r="16">
          <cell r="D16" t="str">
            <v xml:space="preserve">Deficiencia del personal en redacción de informes y formulación de hallazgos. </v>
          </cell>
          <cell r="F16" t="str">
            <v>Falta de compromiso de los líderes de los procesos en la implementación de mejoras, asociadas a los planes de mejoramiento y en atención a las recomendaciones establecidas en los informes emitidos por la Oficina de Control Interno.</v>
          </cell>
        </row>
        <row r="17">
          <cell r="F17" t="str">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ell>
        </row>
        <row r="18">
          <cell r="B18" t="str">
            <v>Acciones de orden público que atenten contra la integridad de los Auditores.</v>
          </cell>
          <cell r="F18" t="str">
            <v xml:space="preserve">Falta de articulación entre la Secretaría de Planeación y la Oficina de Control Interno. </v>
          </cell>
        </row>
        <row r="19">
          <cell r="B19" t="str">
            <v xml:space="preserve">Cambios de Gobierno ( estilos de dirección) </v>
          </cell>
          <cell r="D19" t="str">
            <v>Asignación de auditorias a procesos no acordes al perfil profesional del auditor.</v>
          </cell>
        </row>
        <row r="20">
          <cell r="B20" t="str">
            <v>Constante innovación tecnológica y herramientas de conectividad</v>
          </cell>
          <cell r="D20" t="str">
            <v>Trafico de influencias.</v>
          </cell>
        </row>
        <row r="21">
          <cell r="B21" t="str">
            <v xml:space="preserve">Adquisición de equipos eficientes energéticamente (con menor consumo de energía). </v>
          </cell>
          <cell r="D21" t="str">
            <v>Omisión en la aplicación de la normativa asociada al seguimiento y/o evaluación</v>
          </cell>
        </row>
        <row r="23">
          <cell r="B23" t="str">
            <v>Fallas en aplicativos por congestión para cargue o reporte de información a entes de control.</v>
          </cell>
          <cell r="D23" t="str">
            <v>Prevalencia de intereses particulares sobre intereses generales.</v>
          </cell>
        </row>
        <row r="24">
          <cell r="B24" t="str">
            <v>Disposición final de elementos que contaminan el medio ambiente (baterías, tóner, residuos de aparatos eléctricos y electrónicos).</v>
          </cell>
          <cell r="D24" t="str">
            <v xml:space="preserve">Omitir información relevante para la auditoría, con conocimiento de causa. </v>
          </cell>
        </row>
        <row r="25">
          <cell r="B25" t="str">
            <v xml:space="preserve">La deforestación </v>
          </cell>
        </row>
        <row r="26">
          <cell r="B26" t="str">
            <v>Cambio climático - altas temperaturas por el fenómeno del niño, catástrofes naturales (terremotos).</v>
          </cell>
          <cell r="D26" t="str">
            <v xml:space="preserve">Deficiencia en la infraestructura tecnológica que soporta la plataforma pisami, generando lentitud e indisponibilidad del sistema de información. </v>
          </cell>
        </row>
        <row r="27">
          <cell r="B27" t="str">
            <v>Desarrollo Sostenible</v>
          </cell>
        </row>
        <row r="28">
          <cell r="B28" t="str">
            <v xml:space="preserve">Falta de cultura en la clasificación de residuos al depositarlos en los recipientes destinados para hacerlo. </v>
          </cell>
          <cell r="D28" t="str">
            <v xml:space="preserve">Equipos tecnológicos obsoletos, </v>
          </cell>
        </row>
        <row r="29">
          <cell r="B29" t="str">
            <v xml:space="preserve">Aumento de la demanda de servicios </v>
          </cell>
        </row>
        <row r="30">
          <cell r="D30" t="str">
            <v>Unidades administrativas ubicadas en diferentes sitios de la ciudad (Ibagué).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row r="27">
          <cell r="C27">
            <v>4</v>
          </cell>
          <cell r="D27">
            <v>4</v>
          </cell>
          <cell r="E27">
            <v>4</v>
          </cell>
          <cell r="F27">
            <v>4</v>
          </cell>
          <cell r="G27">
            <v>4</v>
          </cell>
          <cell r="H27">
            <v>5</v>
          </cell>
        </row>
        <row r="32">
          <cell r="C32">
            <v>4</v>
          </cell>
          <cell r="D32">
            <v>4</v>
          </cell>
          <cell r="E32">
            <v>4</v>
          </cell>
          <cell r="F32">
            <v>4</v>
          </cell>
          <cell r="G32">
            <v>4</v>
          </cell>
          <cell r="H32">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row r="24">
          <cell r="C24">
            <v>4</v>
          </cell>
          <cell r="D24">
            <v>3</v>
          </cell>
          <cell r="E24">
            <v>2</v>
          </cell>
          <cell r="F24">
            <v>3</v>
          </cell>
          <cell r="G24">
            <v>2</v>
          </cell>
          <cell r="H24">
            <v>1</v>
          </cell>
        </row>
        <row r="25">
          <cell r="C25">
            <v>4</v>
          </cell>
        </row>
        <row r="27">
          <cell r="C27">
            <v>4</v>
          </cell>
          <cell r="D27">
            <v>4</v>
          </cell>
          <cell r="E27">
            <v>4</v>
          </cell>
          <cell r="F27">
            <v>4</v>
          </cell>
          <cell r="G27">
            <v>4</v>
          </cell>
          <cell r="H27">
            <v>5</v>
          </cell>
        </row>
        <row r="28">
          <cell r="C28">
            <v>4</v>
          </cell>
          <cell r="D28">
            <v>4</v>
          </cell>
          <cell r="E28">
            <v>5</v>
          </cell>
          <cell r="F28">
            <v>5</v>
          </cell>
          <cell r="G28">
            <v>4</v>
          </cell>
          <cell r="H28">
            <v>4</v>
          </cell>
        </row>
        <row r="30">
          <cell r="C30">
            <v>3</v>
          </cell>
          <cell r="D30">
            <v>3</v>
          </cell>
          <cell r="E30">
            <v>3</v>
          </cell>
          <cell r="F30">
            <v>3</v>
          </cell>
          <cell r="G30">
            <v>3</v>
          </cell>
          <cell r="H30">
            <v>4</v>
          </cell>
        </row>
        <row r="33">
          <cell r="C33">
            <v>4</v>
          </cell>
          <cell r="D33">
            <v>4</v>
          </cell>
          <cell r="E33">
            <v>4</v>
          </cell>
          <cell r="F33">
            <v>4</v>
          </cell>
          <cell r="G33">
            <v>4</v>
          </cell>
          <cell r="H33">
            <v>5</v>
          </cell>
        </row>
        <row r="35">
          <cell r="C35">
            <v>3</v>
          </cell>
          <cell r="D35">
            <v>5</v>
          </cell>
          <cell r="E35">
            <v>3</v>
          </cell>
          <cell r="F35">
            <v>4</v>
          </cell>
          <cell r="G35">
            <v>5</v>
          </cell>
          <cell r="H35">
            <v>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sheetName val="Priorizacion de Causa"/>
      <sheetName val="DOFA"/>
      <sheetName val="Mapa final"/>
      <sheetName val="Matriz Calor Inherente"/>
      <sheetName val="Matriz Calor Residual"/>
      <sheetName val="Tabla probabilidad"/>
      <sheetName val="Tabla Impacto"/>
      <sheetName val="Tabla Valoración controles"/>
      <sheetName val="Hoja2"/>
      <sheetName val="Hoja3"/>
      <sheetName val="Opciones Tratamiento"/>
      <sheetName val="Hoja1"/>
    </sheetNames>
    <sheetDataSet>
      <sheetData sheetId="0"/>
      <sheetData sheetId="1">
        <row r="15">
          <cell r="F15" t="str">
            <v>Líderes de proceso asignando   en personal vinculado mediante contrato de prestación de servicios la responsabilidad de reportes de ley a los entes de control, y a su vez, la emisión de respuestas a los requerimientos de dichos entes.</v>
          </cell>
        </row>
        <row r="19">
          <cell r="F19" t="str">
            <v xml:space="preserve">Desconocimiento de la actualización normativa. </v>
          </cell>
        </row>
        <row r="22">
          <cell r="B22" t="str">
            <v>Entidades públicas realizando cargue  de informes de ley  a través de aplicativos de entes de control,  de forma simultanea. (Control interno contable, derechos de autor y furag)</v>
          </cell>
          <cell r="D22" t="str">
            <v xml:space="preserve">Olvido de los informes  generados  por la Oficina de control interno  y  pendientes de socialización  a la Alta Dirección  en el Comité de Coordinación de Control Interno, en el momento previo a la  convocatoria  para la  elaboración del orden del dia. </v>
          </cell>
        </row>
        <row r="25">
          <cell r="D25" t="str">
            <v xml:space="preserve">Desconocimiento del personal adscrito a la Oficina de control interno de los  cambios normativos que impliquen  nuevos informes a cargo de la Oficina  o modificaciones a la periodicidad del reporte de los informes de ley. </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sheetName val="Priorizacion de Causas"/>
      <sheetName val="DOFA"/>
      <sheetName val="Mapa final"/>
      <sheetName val="Matriz Calor Inherente (2)"/>
      <sheetName val="Matriz Calor Residual"/>
      <sheetName val="Tabla probabilidad"/>
      <sheetName val="Tabla Impacto"/>
      <sheetName val="Tabla Valoración controles"/>
      <sheetName val="Opciones Tratamiento"/>
      <sheetName val="Hoja1"/>
    </sheetNames>
    <sheetDataSet>
      <sheetData sheetId="0"/>
      <sheetData sheetId="1">
        <row r="14">
          <cell r="F14" t="str">
            <v>Ausencia  de formulación controles  y  de registros en los procedimientos a auditar.</v>
          </cell>
        </row>
        <row r="21">
          <cell r="B21" t="str">
            <v xml:space="preserve">Adquisición de equipos eficientes energéticamente (con menor consumo de energía). </v>
          </cell>
          <cell r="D21" t="str">
            <v>Omisión en la aplicación de la normativa asociada al seguimiento y/o evaluación</v>
          </cell>
        </row>
        <row r="24">
          <cell r="D24" t="str">
            <v xml:space="preserve">Omitir información relevante para la auditoría, con conocimiento de causa. </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55">
      <pivotArea type="all" dataOnly="0" outline="0" fieldPosition="0"/>
    </format>
    <format dxfId="54">
      <pivotArea field="0" type="button" dataOnly="0" labelOnly="1" outline="0" axis="axisRow" fieldPosition="0"/>
    </format>
    <format dxfId="53">
      <pivotArea field="1" type="button" dataOnly="0" labelOnly="1" outline="0" axis="axisRow" fieldPosition="1"/>
    </format>
    <format dxfId="52">
      <pivotArea dataOnly="0" labelOnly="1" outline="0" fieldPosition="0">
        <references count="1">
          <reference field="0" count="0"/>
        </references>
      </pivotArea>
    </format>
    <format dxfId="51">
      <pivotArea dataOnly="0" labelOnly="1" outline="0" fieldPosition="0">
        <references count="2">
          <reference field="0" count="1" selected="0">
            <x v="0"/>
          </reference>
          <reference field="1" count="5">
            <x v="0"/>
            <x v="6"/>
            <x v="7"/>
            <x v="8"/>
            <x v="9"/>
          </reference>
        </references>
      </pivotArea>
    </format>
    <format dxfId="50">
      <pivotArea dataOnly="0" labelOnly="1" outline="0" fieldPosition="0">
        <references count="2">
          <reference field="0" count="1" selected="0">
            <x v="1"/>
          </reference>
          <reference field="1" count="5">
            <x v="1"/>
            <x v="2"/>
            <x v="3"/>
            <x v="4"/>
            <x v="5"/>
          </reference>
        </references>
      </pivotArea>
    </format>
    <format dxfId="49">
      <pivotArea type="all" dataOnly="0" outline="0" fieldPosition="0"/>
    </format>
    <format dxfId="48">
      <pivotArea field="0" type="button" dataOnly="0" labelOnly="1" outline="0" axis="axisRow" fieldPosition="0"/>
    </format>
    <format dxfId="47">
      <pivotArea field="1" type="button" dataOnly="0" labelOnly="1" outline="0" axis="axisRow" fieldPosition="1"/>
    </format>
    <format dxfId="46">
      <pivotArea dataOnly="0" labelOnly="1" outline="0" fieldPosition="0">
        <references count="1">
          <reference field="0" count="0"/>
        </references>
      </pivotArea>
    </format>
    <format dxfId="45">
      <pivotArea dataOnly="0" labelOnly="1" outline="0" fieldPosition="0">
        <references count="2">
          <reference field="0" count="1" selected="0">
            <x v="0"/>
          </reference>
          <reference field="1" count="5">
            <x v="10"/>
            <x v="11"/>
            <x v="12"/>
            <x v="13"/>
            <x v="14"/>
          </reference>
        </references>
      </pivotArea>
    </format>
    <format dxfId="4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3" dataDxfId="42">
  <autoFilter ref="B209:C219" xr:uid="{00000000-0009-0000-0100-000001000000}"/>
  <tableColumns count="2">
    <tableColumn id="1" xr3:uid="{00000000-0010-0000-0000-000001000000}" name="Criterios" dataDxfId="41"/>
    <tableColumn id="2" xr3:uid="{00000000-0010-0000-0000-000002000000}" name="Subcriterios" dataDxfId="4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6" sqref="B6:H6"/>
    </sheetView>
  </sheetViews>
  <sheetFormatPr baseColWidth="10" defaultColWidth="11.44140625" defaultRowHeight="14.4" x14ac:dyDescent="0.3"/>
  <cols>
    <col min="1" max="1" width="2.88671875" style="65" customWidth="1"/>
    <col min="2" max="3" width="24.6640625" style="65" customWidth="1"/>
    <col min="4" max="4" width="16" style="65" customWidth="1"/>
    <col min="5" max="5" width="24.6640625" style="65" customWidth="1"/>
    <col min="6" max="6" width="27.6640625" style="65" customWidth="1"/>
    <col min="7" max="8" width="24.6640625" style="65" customWidth="1"/>
    <col min="9" max="16384" width="11.44140625" style="65"/>
  </cols>
  <sheetData>
    <row r="1" spans="2:8" ht="15" thickBot="1" x14ac:dyDescent="0.35"/>
    <row r="2" spans="2:8" ht="18" x14ac:dyDescent="0.3">
      <c r="B2" s="291" t="s">
        <v>154</v>
      </c>
      <c r="C2" s="292"/>
      <c r="D2" s="292"/>
      <c r="E2" s="292"/>
      <c r="F2" s="292"/>
      <c r="G2" s="292"/>
      <c r="H2" s="293"/>
    </row>
    <row r="3" spans="2:8" x14ac:dyDescent="0.3">
      <c r="B3" s="66"/>
      <c r="C3" s="67"/>
      <c r="D3" s="67"/>
      <c r="E3" s="67"/>
      <c r="F3" s="67"/>
      <c r="G3" s="67"/>
      <c r="H3" s="68"/>
    </row>
    <row r="4" spans="2:8" ht="63" customHeight="1" x14ac:dyDescent="0.3">
      <c r="B4" s="294" t="s">
        <v>197</v>
      </c>
      <c r="C4" s="295"/>
      <c r="D4" s="295"/>
      <c r="E4" s="295"/>
      <c r="F4" s="295"/>
      <c r="G4" s="295"/>
      <c r="H4" s="296"/>
    </row>
    <row r="5" spans="2:8" ht="63" customHeight="1" x14ac:dyDescent="0.3">
      <c r="B5" s="297"/>
      <c r="C5" s="298"/>
      <c r="D5" s="298"/>
      <c r="E5" s="298"/>
      <c r="F5" s="298"/>
      <c r="G5" s="298"/>
      <c r="H5" s="299"/>
    </row>
    <row r="6" spans="2:8" x14ac:dyDescent="0.3">
      <c r="B6" s="300" t="s">
        <v>152</v>
      </c>
      <c r="C6" s="301"/>
      <c r="D6" s="301"/>
      <c r="E6" s="301"/>
      <c r="F6" s="301"/>
      <c r="G6" s="301"/>
      <c r="H6" s="302"/>
    </row>
    <row r="7" spans="2:8" ht="95.25" customHeight="1" x14ac:dyDescent="0.3">
      <c r="B7" s="310" t="s">
        <v>157</v>
      </c>
      <c r="C7" s="311"/>
      <c r="D7" s="311"/>
      <c r="E7" s="311"/>
      <c r="F7" s="311"/>
      <c r="G7" s="311"/>
      <c r="H7" s="312"/>
    </row>
    <row r="8" spans="2:8" x14ac:dyDescent="0.3">
      <c r="B8" s="100"/>
      <c r="C8" s="101"/>
      <c r="D8" s="101"/>
      <c r="E8" s="101"/>
      <c r="F8" s="101"/>
      <c r="G8" s="101"/>
      <c r="H8" s="102"/>
    </row>
    <row r="9" spans="2:8" ht="16.5" customHeight="1" x14ac:dyDescent="0.3">
      <c r="B9" s="303" t="s">
        <v>190</v>
      </c>
      <c r="C9" s="304"/>
      <c r="D9" s="304"/>
      <c r="E9" s="304"/>
      <c r="F9" s="304"/>
      <c r="G9" s="304"/>
      <c r="H9" s="305"/>
    </row>
    <row r="10" spans="2:8" ht="44.25" customHeight="1" x14ac:dyDescent="0.3">
      <c r="B10" s="303"/>
      <c r="C10" s="304"/>
      <c r="D10" s="304"/>
      <c r="E10" s="304"/>
      <c r="F10" s="304"/>
      <c r="G10" s="304"/>
      <c r="H10" s="305"/>
    </row>
    <row r="11" spans="2:8" ht="15" thickBot="1" x14ac:dyDescent="0.35">
      <c r="B11" s="89"/>
      <c r="C11" s="92"/>
      <c r="D11" s="97"/>
      <c r="E11" s="98"/>
      <c r="F11" s="98"/>
      <c r="G11" s="99"/>
      <c r="H11" s="93"/>
    </row>
    <row r="12" spans="2:8" ht="15" thickTop="1" x14ac:dyDescent="0.3">
      <c r="B12" s="89"/>
      <c r="C12" s="306" t="s">
        <v>153</v>
      </c>
      <c r="D12" s="307"/>
      <c r="E12" s="308" t="s">
        <v>191</v>
      </c>
      <c r="F12" s="309"/>
      <c r="G12" s="92"/>
      <c r="H12" s="93"/>
    </row>
    <row r="13" spans="2:8" ht="35.25" customHeight="1" x14ac:dyDescent="0.3">
      <c r="B13" s="89"/>
      <c r="C13" s="313" t="s">
        <v>184</v>
      </c>
      <c r="D13" s="314"/>
      <c r="E13" s="315" t="s">
        <v>189</v>
      </c>
      <c r="F13" s="316"/>
      <c r="G13" s="92"/>
      <c r="H13" s="93"/>
    </row>
    <row r="14" spans="2:8" ht="17.25" customHeight="1" x14ac:dyDescent="0.3">
      <c r="B14" s="89"/>
      <c r="C14" s="313" t="s">
        <v>185</v>
      </c>
      <c r="D14" s="314"/>
      <c r="E14" s="315" t="s">
        <v>187</v>
      </c>
      <c r="F14" s="316"/>
      <c r="G14" s="92"/>
      <c r="H14" s="93"/>
    </row>
    <row r="15" spans="2:8" ht="19.5" customHeight="1" x14ac:dyDescent="0.3">
      <c r="B15" s="89"/>
      <c r="C15" s="313" t="s">
        <v>186</v>
      </c>
      <c r="D15" s="314"/>
      <c r="E15" s="315" t="s">
        <v>188</v>
      </c>
      <c r="F15" s="316"/>
      <c r="G15" s="92"/>
      <c r="H15" s="93"/>
    </row>
    <row r="16" spans="2:8" ht="69.75" customHeight="1" x14ac:dyDescent="0.3">
      <c r="B16" s="89"/>
      <c r="C16" s="313" t="s">
        <v>155</v>
      </c>
      <c r="D16" s="314"/>
      <c r="E16" s="315" t="s">
        <v>156</v>
      </c>
      <c r="F16" s="316"/>
      <c r="G16" s="92"/>
      <c r="H16" s="93"/>
    </row>
    <row r="17" spans="2:8" ht="34.5" customHeight="1" x14ac:dyDescent="0.3">
      <c r="B17" s="89"/>
      <c r="C17" s="317" t="s">
        <v>2</v>
      </c>
      <c r="D17" s="318"/>
      <c r="E17" s="319" t="s">
        <v>198</v>
      </c>
      <c r="F17" s="320"/>
      <c r="G17" s="92"/>
      <c r="H17" s="93"/>
    </row>
    <row r="18" spans="2:8" ht="27.75" customHeight="1" x14ac:dyDescent="0.3">
      <c r="B18" s="89"/>
      <c r="C18" s="317" t="s">
        <v>3</v>
      </c>
      <c r="D18" s="318"/>
      <c r="E18" s="319" t="s">
        <v>199</v>
      </c>
      <c r="F18" s="320"/>
      <c r="G18" s="92"/>
      <c r="H18" s="93"/>
    </row>
    <row r="19" spans="2:8" ht="28.5" customHeight="1" x14ac:dyDescent="0.3">
      <c r="B19" s="89"/>
      <c r="C19" s="317" t="s">
        <v>42</v>
      </c>
      <c r="D19" s="318"/>
      <c r="E19" s="319" t="s">
        <v>200</v>
      </c>
      <c r="F19" s="320"/>
      <c r="G19" s="92"/>
      <c r="H19" s="93"/>
    </row>
    <row r="20" spans="2:8" ht="72.75" customHeight="1" x14ac:dyDescent="0.3">
      <c r="B20" s="89"/>
      <c r="C20" s="317" t="s">
        <v>1</v>
      </c>
      <c r="D20" s="318"/>
      <c r="E20" s="319" t="s">
        <v>201</v>
      </c>
      <c r="F20" s="320"/>
      <c r="G20" s="92"/>
      <c r="H20" s="93"/>
    </row>
    <row r="21" spans="2:8" ht="64.5" customHeight="1" x14ac:dyDescent="0.3">
      <c r="B21" s="89"/>
      <c r="C21" s="317" t="s">
        <v>50</v>
      </c>
      <c r="D21" s="318"/>
      <c r="E21" s="319" t="s">
        <v>159</v>
      </c>
      <c r="F21" s="320"/>
      <c r="G21" s="92"/>
      <c r="H21" s="93"/>
    </row>
    <row r="22" spans="2:8" ht="71.25" customHeight="1" x14ac:dyDescent="0.3">
      <c r="B22" s="89"/>
      <c r="C22" s="317" t="s">
        <v>158</v>
      </c>
      <c r="D22" s="318"/>
      <c r="E22" s="319" t="s">
        <v>160</v>
      </c>
      <c r="F22" s="320"/>
      <c r="G22" s="92"/>
      <c r="H22" s="93"/>
    </row>
    <row r="23" spans="2:8" ht="55.5" customHeight="1" x14ac:dyDescent="0.3">
      <c r="B23" s="89"/>
      <c r="C23" s="324" t="s">
        <v>161</v>
      </c>
      <c r="D23" s="325"/>
      <c r="E23" s="319" t="s">
        <v>162</v>
      </c>
      <c r="F23" s="320"/>
      <c r="G23" s="92"/>
      <c r="H23" s="93"/>
    </row>
    <row r="24" spans="2:8" ht="42" customHeight="1" x14ac:dyDescent="0.3">
      <c r="B24" s="89"/>
      <c r="C24" s="324" t="s">
        <v>48</v>
      </c>
      <c r="D24" s="325"/>
      <c r="E24" s="319" t="s">
        <v>163</v>
      </c>
      <c r="F24" s="320"/>
      <c r="G24" s="92"/>
      <c r="H24" s="93"/>
    </row>
    <row r="25" spans="2:8" ht="59.25" customHeight="1" x14ac:dyDescent="0.3">
      <c r="B25" s="89"/>
      <c r="C25" s="324" t="s">
        <v>151</v>
      </c>
      <c r="D25" s="325"/>
      <c r="E25" s="319" t="s">
        <v>164</v>
      </c>
      <c r="F25" s="320"/>
      <c r="G25" s="92"/>
      <c r="H25" s="93"/>
    </row>
    <row r="26" spans="2:8" ht="23.25" customHeight="1" x14ac:dyDescent="0.3">
      <c r="B26" s="89"/>
      <c r="C26" s="324" t="s">
        <v>12</v>
      </c>
      <c r="D26" s="325"/>
      <c r="E26" s="319" t="s">
        <v>165</v>
      </c>
      <c r="F26" s="320"/>
      <c r="G26" s="92"/>
      <c r="H26" s="93"/>
    </row>
    <row r="27" spans="2:8" ht="30.75" customHeight="1" x14ac:dyDescent="0.3">
      <c r="B27" s="89"/>
      <c r="C27" s="324" t="s">
        <v>169</v>
      </c>
      <c r="D27" s="325"/>
      <c r="E27" s="319" t="s">
        <v>166</v>
      </c>
      <c r="F27" s="320"/>
      <c r="G27" s="92"/>
      <c r="H27" s="93"/>
    </row>
    <row r="28" spans="2:8" ht="35.25" customHeight="1" x14ac:dyDescent="0.3">
      <c r="B28" s="89"/>
      <c r="C28" s="324" t="s">
        <v>170</v>
      </c>
      <c r="D28" s="325"/>
      <c r="E28" s="319" t="s">
        <v>167</v>
      </c>
      <c r="F28" s="320"/>
      <c r="G28" s="92"/>
      <c r="H28" s="93"/>
    </row>
    <row r="29" spans="2:8" ht="33" customHeight="1" x14ac:dyDescent="0.3">
      <c r="B29" s="89"/>
      <c r="C29" s="324" t="s">
        <v>170</v>
      </c>
      <c r="D29" s="325"/>
      <c r="E29" s="319" t="s">
        <v>167</v>
      </c>
      <c r="F29" s="320"/>
      <c r="G29" s="92"/>
      <c r="H29" s="93"/>
    </row>
    <row r="30" spans="2:8" ht="30" customHeight="1" x14ac:dyDescent="0.3">
      <c r="B30" s="89"/>
      <c r="C30" s="324" t="s">
        <v>171</v>
      </c>
      <c r="D30" s="325"/>
      <c r="E30" s="319" t="s">
        <v>168</v>
      </c>
      <c r="F30" s="320"/>
      <c r="G30" s="92"/>
      <c r="H30" s="93"/>
    </row>
    <row r="31" spans="2:8" ht="35.25" customHeight="1" x14ac:dyDescent="0.3">
      <c r="B31" s="89"/>
      <c r="C31" s="324" t="s">
        <v>172</v>
      </c>
      <c r="D31" s="325"/>
      <c r="E31" s="319" t="s">
        <v>173</v>
      </c>
      <c r="F31" s="320"/>
      <c r="G31" s="92"/>
      <c r="H31" s="93"/>
    </row>
    <row r="32" spans="2:8" ht="31.5" customHeight="1" x14ac:dyDescent="0.3">
      <c r="B32" s="89"/>
      <c r="C32" s="324" t="s">
        <v>174</v>
      </c>
      <c r="D32" s="325"/>
      <c r="E32" s="319" t="s">
        <v>175</v>
      </c>
      <c r="F32" s="320"/>
      <c r="G32" s="92"/>
      <c r="H32" s="93"/>
    </row>
    <row r="33" spans="2:8" ht="35.25" customHeight="1" x14ac:dyDescent="0.3">
      <c r="B33" s="89"/>
      <c r="C33" s="324" t="s">
        <v>176</v>
      </c>
      <c r="D33" s="325"/>
      <c r="E33" s="319" t="s">
        <v>177</v>
      </c>
      <c r="F33" s="320"/>
      <c r="G33" s="92"/>
      <c r="H33" s="93"/>
    </row>
    <row r="34" spans="2:8" ht="59.25" customHeight="1" x14ac:dyDescent="0.3">
      <c r="B34" s="89"/>
      <c r="C34" s="324" t="s">
        <v>178</v>
      </c>
      <c r="D34" s="325"/>
      <c r="E34" s="319" t="s">
        <v>179</v>
      </c>
      <c r="F34" s="320"/>
      <c r="G34" s="92"/>
      <c r="H34" s="93"/>
    </row>
    <row r="35" spans="2:8" ht="29.25" customHeight="1" x14ac:dyDescent="0.3">
      <c r="B35" s="89"/>
      <c r="C35" s="324" t="s">
        <v>29</v>
      </c>
      <c r="D35" s="325"/>
      <c r="E35" s="319" t="s">
        <v>180</v>
      </c>
      <c r="F35" s="320"/>
      <c r="G35" s="92"/>
      <c r="H35" s="93"/>
    </row>
    <row r="36" spans="2:8" ht="82.5" customHeight="1" x14ac:dyDescent="0.3">
      <c r="B36" s="89"/>
      <c r="C36" s="324" t="s">
        <v>182</v>
      </c>
      <c r="D36" s="325"/>
      <c r="E36" s="319" t="s">
        <v>181</v>
      </c>
      <c r="F36" s="320"/>
      <c r="G36" s="92"/>
      <c r="H36" s="93"/>
    </row>
    <row r="37" spans="2:8" ht="46.5" customHeight="1" x14ac:dyDescent="0.3">
      <c r="B37" s="89"/>
      <c r="C37" s="324" t="s">
        <v>39</v>
      </c>
      <c r="D37" s="325"/>
      <c r="E37" s="319" t="s">
        <v>183</v>
      </c>
      <c r="F37" s="320"/>
      <c r="G37" s="92"/>
      <c r="H37" s="93"/>
    </row>
    <row r="38" spans="2:8" ht="6.75" customHeight="1" thickBot="1" x14ac:dyDescent="0.35">
      <c r="B38" s="89"/>
      <c r="C38" s="326"/>
      <c r="D38" s="327"/>
      <c r="E38" s="328"/>
      <c r="F38" s="329"/>
      <c r="G38" s="92"/>
      <c r="H38" s="93"/>
    </row>
    <row r="39" spans="2:8" ht="15" thickTop="1" x14ac:dyDescent="0.3">
      <c r="B39" s="89"/>
      <c r="C39" s="90"/>
      <c r="D39" s="90"/>
      <c r="E39" s="91"/>
      <c r="F39" s="91"/>
      <c r="G39" s="92"/>
      <c r="H39" s="93"/>
    </row>
    <row r="40" spans="2:8" ht="21" customHeight="1" x14ac:dyDescent="0.3">
      <c r="B40" s="321" t="s">
        <v>192</v>
      </c>
      <c r="C40" s="322"/>
      <c r="D40" s="322"/>
      <c r="E40" s="322"/>
      <c r="F40" s="322"/>
      <c r="G40" s="322"/>
      <c r="H40" s="323"/>
    </row>
    <row r="41" spans="2:8" ht="20.25" customHeight="1" x14ac:dyDescent="0.3">
      <c r="B41" s="321" t="s">
        <v>193</v>
      </c>
      <c r="C41" s="322"/>
      <c r="D41" s="322"/>
      <c r="E41" s="322"/>
      <c r="F41" s="322"/>
      <c r="G41" s="322"/>
      <c r="H41" s="323"/>
    </row>
    <row r="42" spans="2:8" ht="20.25" customHeight="1" x14ac:dyDescent="0.3">
      <c r="B42" s="321" t="s">
        <v>194</v>
      </c>
      <c r="C42" s="322"/>
      <c r="D42" s="322"/>
      <c r="E42" s="322"/>
      <c r="F42" s="322"/>
      <c r="G42" s="322"/>
      <c r="H42" s="323"/>
    </row>
    <row r="43" spans="2:8" ht="20.25" customHeight="1" x14ac:dyDescent="0.3">
      <c r="B43" s="321" t="s">
        <v>195</v>
      </c>
      <c r="C43" s="322"/>
      <c r="D43" s="322"/>
      <c r="E43" s="322"/>
      <c r="F43" s="322"/>
      <c r="G43" s="322"/>
      <c r="H43" s="323"/>
    </row>
    <row r="44" spans="2:8" x14ac:dyDescent="0.3">
      <c r="B44" s="321" t="s">
        <v>196</v>
      </c>
      <c r="C44" s="322"/>
      <c r="D44" s="322"/>
      <c r="E44" s="322"/>
      <c r="F44" s="322"/>
      <c r="G44" s="322"/>
      <c r="H44" s="323"/>
    </row>
    <row r="45" spans="2:8" ht="15" thickBot="1" x14ac:dyDescent="0.35">
      <c r="B45" s="94"/>
      <c r="C45" s="95"/>
      <c r="D45" s="95"/>
      <c r="E45" s="95"/>
      <c r="F45" s="95"/>
      <c r="G45" s="95"/>
      <c r="H45" s="9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0"/>
    <col min="3" max="3" width="17" style="70" customWidth="1"/>
    <col min="4" max="4" width="14.33203125" style="70"/>
    <col min="5" max="5" width="46" style="70" customWidth="1"/>
    <col min="6" max="16384" width="14.33203125" style="70"/>
  </cols>
  <sheetData>
    <row r="1" spans="2:6" ht="24" customHeight="1" thickBot="1" x14ac:dyDescent="0.35">
      <c r="B1" s="726" t="s">
        <v>77</v>
      </c>
      <c r="C1" s="727"/>
      <c r="D1" s="727"/>
      <c r="E1" s="727"/>
      <c r="F1" s="728"/>
    </row>
    <row r="2" spans="2:6" ht="16.2" thickBot="1" x14ac:dyDescent="0.35">
      <c r="B2" s="71"/>
      <c r="C2" s="71"/>
      <c r="D2" s="71"/>
      <c r="E2" s="71"/>
      <c r="F2" s="71"/>
    </row>
    <row r="3" spans="2:6" ht="16.2" thickBot="1" x14ac:dyDescent="0.35">
      <c r="B3" s="730" t="s">
        <v>63</v>
      </c>
      <c r="C3" s="731"/>
      <c r="D3" s="731"/>
      <c r="E3" s="83" t="s">
        <v>64</v>
      </c>
      <c r="F3" s="84" t="s">
        <v>65</v>
      </c>
    </row>
    <row r="4" spans="2:6" ht="31.2" x14ac:dyDescent="0.3">
      <c r="B4" s="732" t="s">
        <v>66</v>
      </c>
      <c r="C4" s="734" t="s">
        <v>13</v>
      </c>
      <c r="D4" s="72" t="s">
        <v>14</v>
      </c>
      <c r="E4" s="73" t="s">
        <v>67</v>
      </c>
      <c r="F4" s="74">
        <v>0.25</v>
      </c>
    </row>
    <row r="5" spans="2:6" ht="46.8" x14ac:dyDescent="0.3">
      <c r="B5" s="733"/>
      <c r="C5" s="735"/>
      <c r="D5" s="75" t="s">
        <v>15</v>
      </c>
      <c r="E5" s="76" t="s">
        <v>68</v>
      </c>
      <c r="F5" s="77">
        <v>0.15</v>
      </c>
    </row>
    <row r="6" spans="2:6" ht="46.8" x14ac:dyDescent="0.3">
      <c r="B6" s="733"/>
      <c r="C6" s="735"/>
      <c r="D6" s="75" t="s">
        <v>16</v>
      </c>
      <c r="E6" s="76" t="s">
        <v>69</v>
      </c>
      <c r="F6" s="77">
        <v>0.1</v>
      </c>
    </row>
    <row r="7" spans="2:6" ht="62.4" x14ac:dyDescent="0.3">
      <c r="B7" s="733"/>
      <c r="C7" s="735" t="s">
        <v>17</v>
      </c>
      <c r="D7" s="75" t="s">
        <v>10</v>
      </c>
      <c r="E7" s="76" t="s">
        <v>70</v>
      </c>
      <c r="F7" s="77">
        <v>0.25</v>
      </c>
    </row>
    <row r="8" spans="2:6" ht="31.2" x14ac:dyDescent="0.3">
      <c r="B8" s="733"/>
      <c r="C8" s="735"/>
      <c r="D8" s="75" t="s">
        <v>9</v>
      </c>
      <c r="E8" s="76" t="s">
        <v>71</v>
      </c>
      <c r="F8" s="77">
        <v>0.15</v>
      </c>
    </row>
    <row r="9" spans="2:6" ht="46.8" x14ac:dyDescent="0.3">
      <c r="B9" s="733" t="s">
        <v>150</v>
      </c>
      <c r="C9" s="735" t="s">
        <v>18</v>
      </c>
      <c r="D9" s="75" t="s">
        <v>19</v>
      </c>
      <c r="E9" s="76" t="s">
        <v>72</v>
      </c>
      <c r="F9" s="78" t="s">
        <v>73</v>
      </c>
    </row>
    <row r="10" spans="2:6" ht="46.8" x14ac:dyDescent="0.3">
      <c r="B10" s="733"/>
      <c r="C10" s="735"/>
      <c r="D10" s="75" t="s">
        <v>20</v>
      </c>
      <c r="E10" s="76" t="s">
        <v>74</v>
      </c>
      <c r="F10" s="78" t="s">
        <v>73</v>
      </c>
    </row>
    <row r="11" spans="2:6" ht="46.8" x14ac:dyDescent="0.3">
      <c r="B11" s="733"/>
      <c r="C11" s="735" t="s">
        <v>21</v>
      </c>
      <c r="D11" s="75" t="s">
        <v>22</v>
      </c>
      <c r="E11" s="76" t="s">
        <v>75</v>
      </c>
      <c r="F11" s="78" t="s">
        <v>73</v>
      </c>
    </row>
    <row r="12" spans="2:6" ht="46.8" x14ac:dyDescent="0.3">
      <c r="B12" s="733"/>
      <c r="C12" s="735"/>
      <c r="D12" s="75" t="s">
        <v>23</v>
      </c>
      <c r="E12" s="76" t="s">
        <v>76</v>
      </c>
      <c r="F12" s="78" t="s">
        <v>73</v>
      </c>
    </row>
    <row r="13" spans="2:6" ht="31.2" x14ac:dyDescent="0.3">
      <c r="B13" s="733"/>
      <c r="C13" s="735" t="s">
        <v>24</v>
      </c>
      <c r="D13" s="75" t="s">
        <v>114</v>
      </c>
      <c r="E13" s="76" t="s">
        <v>117</v>
      </c>
      <c r="F13" s="78" t="s">
        <v>73</v>
      </c>
    </row>
    <row r="14" spans="2:6" ht="16.2" thickBot="1" x14ac:dyDescent="0.35">
      <c r="B14" s="736"/>
      <c r="C14" s="737"/>
      <c r="D14" s="79" t="s">
        <v>115</v>
      </c>
      <c r="E14" s="80" t="s">
        <v>116</v>
      </c>
      <c r="F14" s="81" t="s">
        <v>73</v>
      </c>
    </row>
    <row r="15" spans="2:6" ht="49.5" customHeight="1" x14ac:dyDescent="0.3">
      <c r="B15" s="729" t="s">
        <v>147</v>
      </c>
      <c r="C15" s="729"/>
      <c r="D15" s="729"/>
      <c r="E15" s="729"/>
      <c r="F15" s="729"/>
    </row>
    <row r="16" spans="2:6" ht="27" customHeight="1" x14ac:dyDescent="0.3">
      <c r="B16" s="8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21"/>
  <sheetViews>
    <sheetView workbookViewId="0"/>
  </sheetViews>
  <sheetFormatPr baseColWidth="10" defaultColWidth="11.44140625" defaultRowHeight="13.8" x14ac:dyDescent="0.3"/>
  <cols>
    <col min="1" max="1" width="32.886718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topLeftCell="A22" zoomScale="80" zoomScaleNormal="80" workbookViewId="0">
      <selection activeCell="B33" sqref="B33"/>
    </sheetView>
  </sheetViews>
  <sheetFormatPr baseColWidth="10" defaultColWidth="11.44140625" defaultRowHeight="13.8" x14ac:dyDescent="0.25"/>
  <cols>
    <col min="1" max="1" width="29.44140625" style="145" customWidth="1"/>
    <col min="2" max="2" width="36.6640625" style="145" customWidth="1"/>
    <col min="3" max="3" width="30.33203125" style="145" customWidth="1"/>
    <col min="4" max="4" width="45.6640625" style="145" customWidth="1"/>
    <col min="5" max="5" width="32.5546875" style="145" customWidth="1"/>
    <col min="6" max="6" width="40.44140625" style="145" customWidth="1"/>
    <col min="7" max="16384" width="11.44140625" style="145"/>
  </cols>
  <sheetData>
    <row r="1" spans="1:10" ht="15" customHeight="1" x14ac:dyDescent="0.25">
      <c r="A1" s="354"/>
      <c r="B1" s="356" t="s">
        <v>259</v>
      </c>
      <c r="C1" s="356"/>
      <c r="D1" s="356"/>
      <c r="E1" s="143" t="s">
        <v>255</v>
      </c>
      <c r="F1" s="357"/>
      <c r="G1" s="144"/>
      <c r="J1" s="339"/>
    </row>
    <row r="2" spans="1:10" ht="15" customHeight="1" x14ac:dyDescent="0.25">
      <c r="A2" s="355"/>
      <c r="B2" s="340"/>
      <c r="C2" s="340"/>
      <c r="D2" s="340"/>
      <c r="E2" s="147" t="s">
        <v>254</v>
      </c>
      <c r="F2" s="358"/>
      <c r="G2" s="144"/>
      <c r="J2" s="339"/>
    </row>
    <row r="3" spans="1:10" ht="15" customHeight="1" x14ac:dyDescent="0.25">
      <c r="A3" s="355"/>
      <c r="B3" s="340" t="s">
        <v>253</v>
      </c>
      <c r="C3" s="340"/>
      <c r="D3" s="340"/>
      <c r="E3" s="147" t="s">
        <v>363</v>
      </c>
      <c r="F3" s="358"/>
      <c r="G3" s="144"/>
      <c r="J3" s="339"/>
    </row>
    <row r="4" spans="1:10" ht="15.75" customHeight="1" x14ac:dyDescent="0.25">
      <c r="A4" s="355"/>
      <c r="B4" s="340"/>
      <c r="C4" s="340"/>
      <c r="D4" s="340"/>
      <c r="E4" s="147" t="s">
        <v>364</v>
      </c>
      <c r="F4" s="358"/>
      <c r="G4" s="144"/>
      <c r="J4" s="339"/>
    </row>
    <row r="5" spans="1:10" ht="15.75" customHeight="1" x14ac:dyDescent="0.25">
      <c r="A5" s="341"/>
      <c r="B5" s="342"/>
      <c r="C5" s="342"/>
      <c r="D5" s="342"/>
      <c r="E5" s="342"/>
      <c r="F5" s="343"/>
      <c r="G5" s="144"/>
      <c r="J5" s="146"/>
    </row>
    <row r="6" spans="1:10" ht="15" customHeight="1" x14ac:dyDescent="0.25">
      <c r="A6" s="344" t="s">
        <v>214</v>
      </c>
      <c r="B6" s="345"/>
      <c r="C6" s="345"/>
      <c r="D6" s="345"/>
      <c r="E6" s="345"/>
      <c r="F6" s="346"/>
    </row>
    <row r="7" spans="1:10" ht="15.75" customHeight="1" x14ac:dyDescent="0.25">
      <c r="A7" s="344"/>
      <c r="B7" s="345"/>
      <c r="C7" s="345"/>
      <c r="D7" s="345"/>
      <c r="E7" s="345"/>
      <c r="F7" s="346"/>
    </row>
    <row r="8" spans="1:10" ht="27" customHeight="1" x14ac:dyDescent="0.25">
      <c r="A8" s="347" t="s">
        <v>365</v>
      </c>
      <c r="B8" s="348"/>
      <c r="C8" s="348"/>
      <c r="D8" s="348"/>
      <c r="E8" s="348"/>
      <c r="F8" s="349"/>
    </row>
    <row r="9" spans="1:10" s="290" customFormat="1" ht="61.5" customHeight="1" thickBot="1" x14ac:dyDescent="0.35">
      <c r="A9" s="350" t="s">
        <v>366</v>
      </c>
      <c r="B9" s="351"/>
      <c r="C9" s="351"/>
      <c r="D9" s="351"/>
      <c r="E9" s="351"/>
      <c r="F9" s="352"/>
    </row>
    <row r="10" spans="1:10" ht="18.75" customHeight="1" thickBot="1" x14ac:dyDescent="0.3">
      <c r="A10" s="353"/>
      <c r="B10" s="353"/>
      <c r="C10" s="353"/>
      <c r="D10" s="353"/>
      <c r="E10" s="353"/>
      <c r="F10" s="353"/>
    </row>
    <row r="11" spans="1:10" ht="22.5" customHeight="1" thickBot="1" x14ac:dyDescent="0.3">
      <c r="A11" s="148" t="s">
        <v>215</v>
      </c>
      <c r="B11" s="149" t="s">
        <v>216</v>
      </c>
      <c r="C11" s="149" t="s">
        <v>217</v>
      </c>
      <c r="D11" s="149" t="s">
        <v>216</v>
      </c>
      <c r="E11" s="149" t="s">
        <v>218</v>
      </c>
      <c r="F11" s="150" t="s">
        <v>216</v>
      </c>
    </row>
    <row r="12" spans="1:10" ht="75" customHeight="1" x14ac:dyDescent="0.25">
      <c r="A12" s="330" t="s">
        <v>260</v>
      </c>
      <c r="B12" s="165" t="s">
        <v>261</v>
      </c>
      <c r="C12" s="333" t="s">
        <v>262</v>
      </c>
      <c r="D12" s="165" t="s">
        <v>415</v>
      </c>
      <c r="E12" s="333" t="s">
        <v>263</v>
      </c>
      <c r="F12" s="166" t="s">
        <v>416</v>
      </c>
    </row>
    <row r="13" spans="1:10" ht="60" customHeight="1" x14ac:dyDescent="0.25">
      <c r="A13" s="331"/>
      <c r="B13" s="167" t="s">
        <v>264</v>
      </c>
      <c r="C13" s="334"/>
      <c r="D13" s="168" t="s">
        <v>367</v>
      </c>
      <c r="E13" s="334"/>
      <c r="F13" s="169" t="s">
        <v>265</v>
      </c>
    </row>
    <row r="14" spans="1:10" ht="101.25" customHeight="1" x14ac:dyDescent="0.25">
      <c r="A14" s="331"/>
      <c r="B14" s="170" t="s">
        <v>368</v>
      </c>
      <c r="C14" s="334"/>
      <c r="D14" s="170" t="s">
        <v>417</v>
      </c>
      <c r="E14" s="334"/>
      <c r="F14" s="171" t="s">
        <v>369</v>
      </c>
    </row>
    <row r="15" spans="1:10" ht="73.5" customHeight="1" x14ac:dyDescent="0.25">
      <c r="A15" s="331"/>
      <c r="B15" s="170"/>
      <c r="C15" s="334"/>
      <c r="D15" s="170" t="s">
        <v>266</v>
      </c>
      <c r="E15" s="334"/>
      <c r="F15" s="172" t="s">
        <v>380</v>
      </c>
    </row>
    <row r="16" spans="1:10" ht="59.25" customHeight="1" x14ac:dyDescent="0.25">
      <c r="A16" s="332"/>
      <c r="B16" s="167"/>
      <c r="C16" s="334"/>
      <c r="D16" s="170" t="s">
        <v>370</v>
      </c>
      <c r="E16" s="334"/>
      <c r="F16" s="172" t="s">
        <v>267</v>
      </c>
    </row>
    <row r="17" spans="1:6" ht="69.75" customHeight="1" x14ac:dyDescent="0.25">
      <c r="A17" s="173"/>
      <c r="B17" s="170"/>
      <c r="C17" s="174"/>
      <c r="D17" s="167"/>
      <c r="E17" s="334"/>
      <c r="F17" s="175" t="s">
        <v>371</v>
      </c>
    </row>
    <row r="18" spans="1:6" ht="66.75" customHeight="1" x14ac:dyDescent="0.25">
      <c r="A18" s="176" t="s">
        <v>219</v>
      </c>
      <c r="B18" s="170" t="s">
        <v>268</v>
      </c>
      <c r="C18" s="177"/>
      <c r="D18" s="178"/>
      <c r="E18" s="334"/>
      <c r="F18" s="179" t="s">
        <v>372</v>
      </c>
    </row>
    <row r="19" spans="1:6" ht="73.5" customHeight="1" x14ac:dyDescent="0.25">
      <c r="A19" s="176" t="s">
        <v>220</v>
      </c>
      <c r="B19" s="180" t="s">
        <v>373</v>
      </c>
      <c r="C19" s="333" t="s">
        <v>269</v>
      </c>
      <c r="D19" s="181" t="s">
        <v>270</v>
      </c>
      <c r="E19" s="182" t="s">
        <v>271</v>
      </c>
      <c r="F19" s="183" t="s">
        <v>418</v>
      </c>
    </row>
    <row r="20" spans="1:6" ht="65.25" customHeight="1" x14ac:dyDescent="0.25">
      <c r="A20" s="335" t="s">
        <v>221</v>
      </c>
      <c r="B20" s="184" t="s">
        <v>272</v>
      </c>
      <c r="C20" s="334"/>
      <c r="D20" s="181" t="s">
        <v>273</v>
      </c>
      <c r="E20" s="182" t="s">
        <v>274</v>
      </c>
      <c r="F20" s="175" t="s">
        <v>265</v>
      </c>
    </row>
    <row r="21" spans="1:6" ht="66.75" customHeight="1" x14ac:dyDescent="0.25">
      <c r="A21" s="336"/>
      <c r="B21" s="184" t="s">
        <v>275</v>
      </c>
      <c r="C21" s="334"/>
      <c r="D21" s="181" t="s">
        <v>276</v>
      </c>
      <c r="E21" s="182"/>
      <c r="F21" s="175"/>
    </row>
    <row r="22" spans="1:6" ht="93.75" customHeight="1" x14ac:dyDescent="0.25">
      <c r="A22" s="336"/>
      <c r="B22" s="184" t="s">
        <v>378</v>
      </c>
      <c r="C22" s="334"/>
      <c r="D22" s="181" t="s">
        <v>419</v>
      </c>
      <c r="E22" s="182"/>
      <c r="F22" s="175"/>
    </row>
    <row r="23" spans="1:6" ht="61.5" customHeight="1" x14ac:dyDescent="0.25">
      <c r="A23" s="337"/>
      <c r="B23" s="184" t="s">
        <v>374</v>
      </c>
      <c r="C23" s="334"/>
      <c r="D23" s="181" t="s">
        <v>277</v>
      </c>
      <c r="E23" s="182"/>
      <c r="F23" s="185"/>
    </row>
    <row r="24" spans="1:6" ht="57.75" customHeight="1" x14ac:dyDescent="0.25">
      <c r="A24" s="335" t="s">
        <v>222</v>
      </c>
      <c r="B24" s="184" t="s">
        <v>375</v>
      </c>
      <c r="C24" s="334"/>
      <c r="D24" s="186" t="s">
        <v>278</v>
      </c>
      <c r="E24" s="182"/>
      <c r="F24" s="185"/>
    </row>
    <row r="25" spans="1:6" ht="62.25" customHeight="1" x14ac:dyDescent="0.25">
      <c r="A25" s="336"/>
      <c r="B25" s="184" t="s">
        <v>279</v>
      </c>
      <c r="C25" s="334"/>
      <c r="D25" s="187" t="s">
        <v>376</v>
      </c>
      <c r="E25" s="182"/>
      <c r="F25" s="185"/>
    </row>
    <row r="26" spans="1:6" ht="77.25" customHeight="1" x14ac:dyDescent="0.25">
      <c r="A26" s="336"/>
      <c r="B26" s="188" t="s">
        <v>420</v>
      </c>
      <c r="C26" s="333" t="s">
        <v>280</v>
      </c>
      <c r="D26" s="181" t="s">
        <v>281</v>
      </c>
      <c r="E26" s="182"/>
      <c r="F26" s="185"/>
    </row>
    <row r="27" spans="1:6" ht="62.25" customHeight="1" x14ac:dyDescent="0.25">
      <c r="A27" s="336"/>
      <c r="B27" s="188" t="s">
        <v>282</v>
      </c>
      <c r="C27" s="333"/>
      <c r="D27" s="181"/>
      <c r="E27" s="182"/>
      <c r="F27" s="185"/>
    </row>
    <row r="28" spans="1:6" ht="81.75" customHeight="1" x14ac:dyDescent="0.25">
      <c r="A28" s="337"/>
      <c r="B28" s="189" t="s">
        <v>377</v>
      </c>
      <c r="C28" s="338"/>
      <c r="D28" s="181" t="s">
        <v>421</v>
      </c>
      <c r="E28" s="182"/>
      <c r="F28" s="190"/>
    </row>
    <row r="29" spans="1:6" ht="62.25" customHeight="1" x14ac:dyDescent="0.25">
      <c r="A29" s="191" t="s">
        <v>283</v>
      </c>
      <c r="B29" s="167" t="s">
        <v>284</v>
      </c>
      <c r="C29" s="338"/>
      <c r="D29" s="192" t="s">
        <v>285</v>
      </c>
      <c r="E29" s="182"/>
      <c r="F29" s="190"/>
    </row>
    <row r="30" spans="1:6" ht="62.25" customHeight="1" thickBot="1" x14ac:dyDescent="0.3">
      <c r="A30" s="193"/>
      <c r="B30" s="194"/>
      <c r="C30" s="195" t="s">
        <v>422</v>
      </c>
      <c r="D30" s="196" t="s">
        <v>286</v>
      </c>
      <c r="E30" s="195"/>
      <c r="F30" s="197"/>
    </row>
    <row r="31" spans="1:6" ht="65.25" customHeight="1" x14ac:dyDescent="0.25">
      <c r="A31" s="151"/>
      <c r="B31" s="152"/>
      <c r="C31" s="151"/>
      <c r="D31" s="153"/>
      <c r="E31" s="151"/>
      <c r="F31" s="153"/>
    </row>
    <row r="32" spans="1:6" ht="62.25" customHeight="1" x14ac:dyDescent="0.25">
      <c r="A32" s="151"/>
      <c r="B32" s="152"/>
      <c r="C32" s="151"/>
      <c r="D32" s="153"/>
      <c r="E32" s="151"/>
      <c r="F32" s="153"/>
    </row>
    <row r="33" spans="1:6" ht="63" customHeight="1" x14ac:dyDescent="0.25">
      <c r="A33" s="151"/>
      <c r="B33" s="152"/>
      <c r="C33" s="151"/>
      <c r="D33" s="153"/>
      <c r="E33" s="151"/>
      <c r="F33" s="152"/>
    </row>
    <row r="34" spans="1:6" ht="51.75" customHeight="1" x14ac:dyDescent="0.25">
      <c r="A34" s="151"/>
      <c r="B34" s="152"/>
      <c r="C34" s="151"/>
      <c r="D34" s="153"/>
      <c r="E34" s="151"/>
      <c r="F34" s="152"/>
    </row>
    <row r="35" spans="1:6" ht="52.5" customHeight="1" x14ac:dyDescent="0.25">
      <c r="A35" s="151"/>
      <c r="B35" s="153"/>
      <c r="C35" s="151"/>
      <c r="D35" s="153"/>
      <c r="E35" s="151"/>
      <c r="F35" s="153"/>
    </row>
    <row r="36" spans="1:6" ht="63.75" customHeight="1" x14ac:dyDescent="0.25">
      <c r="A36" s="151"/>
      <c r="B36" s="153"/>
      <c r="C36" s="151"/>
      <c r="D36" s="153"/>
      <c r="E36" s="151"/>
      <c r="F36" s="153"/>
    </row>
    <row r="37" spans="1:6" ht="66" customHeight="1" x14ac:dyDescent="0.25">
      <c r="A37" s="151"/>
      <c r="B37" s="154"/>
      <c r="C37" s="151"/>
      <c r="D37" s="155"/>
      <c r="E37" s="151"/>
      <c r="F37" s="154"/>
    </row>
    <row r="38" spans="1:6" ht="55.5" customHeight="1" x14ac:dyDescent="0.25">
      <c r="A38" s="151"/>
      <c r="B38" s="154"/>
      <c r="C38" s="151"/>
      <c r="D38" s="155"/>
      <c r="E38" s="151"/>
      <c r="F38" s="156"/>
    </row>
    <row r="39" spans="1:6" ht="51.75" customHeight="1" x14ac:dyDescent="0.25">
      <c r="A39" s="151"/>
      <c r="B39" s="156"/>
      <c r="C39" s="151"/>
      <c r="D39" s="157"/>
      <c r="E39" s="151"/>
      <c r="F39" s="156"/>
    </row>
    <row r="40" spans="1:6" ht="55.5" customHeight="1" x14ac:dyDescent="0.25">
      <c r="A40" s="151"/>
      <c r="B40" s="156"/>
      <c r="C40" s="151"/>
      <c r="D40" s="156"/>
      <c r="E40" s="151"/>
      <c r="F40" s="156"/>
    </row>
    <row r="41" spans="1:6" ht="55.5" customHeight="1" x14ac:dyDescent="0.25">
      <c r="A41" s="151"/>
      <c r="B41" s="156"/>
      <c r="C41" s="151"/>
      <c r="D41" s="156"/>
      <c r="E41" s="151"/>
      <c r="F41" s="156"/>
    </row>
    <row r="42" spans="1:6" ht="54.75" customHeight="1" x14ac:dyDescent="0.25">
      <c r="A42" s="151"/>
      <c r="B42" s="156"/>
      <c r="C42" s="151"/>
      <c r="D42" s="156"/>
      <c r="E42" s="151"/>
      <c r="F42" s="156"/>
    </row>
    <row r="43" spans="1:6" ht="56.25" customHeight="1" x14ac:dyDescent="0.25">
      <c r="A43" s="151"/>
      <c r="B43" s="156"/>
      <c r="C43" s="151"/>
      <c r="D43" s="156"/>
      <c r="E43" s="151"/>
      <c r="F43" s="156"/>
    </row>
    <row r="44" spans="1:6" ht="54.75" customHeight="1" x14ac:dyDescent="0.25">
      <c r="A44" s="151"/>
      <c r="B44" s="154"/>
      <c r="C44" s="151"/>
      <c r="D44" s="155"/>
      <c r="E44" s="151"/>
      <c r="F44" s="154"/>
    </row>
    <row r="45" spans="1:6" ht="55.5" customHeight="1" x14ac:dyDescent="0.25">
      <c r="A45" s="151"/>
      <c r="B45" s="154"/>
      <c r="C45" s="151"/>
      <c r="D45" s="155"/>
      <c r="E45" s="151"/>
      <c r="F45" s="156"/>
    </row>
    <row r="46" spans="1:6" ht="54.75" customHeight="1" x14ac:dyDescent="0.25">
      <c r="A46" s="151"/>
      <c r="B46" s="156"/>
      <c r="C46" s="151"/>
      <c r="D46" s="157"/>
      <c r="E46" s="151"/>
      <c r="F46" s="156"/>
    </row>
    <row r="47" spans="1:6" ht="55.5" customHeight="1" x14ac:dyDescent="0.25">
      <c r="A47" s="151"/>
      <c r="B47" s="156"/>
      <c r="C47" s="151"/>
      <c r="D47" s="156"/>
      <c r="E47" s="151"/>
      <c r="F47" s="156"/>
    </row>
    <row r="48" spans="1:6" ht="56.25" customHeight="1" x14ac:dyDescent="0.25">
      <c r="A48" s="151"/>
      <c r="B48" s="156"/>
      <c r="C48" s="151"/>
      <c r="D48" s="156"/>
      <c r="E48" s="151"/>
      <c r="F48" s="156"/>
    </row>
    <row r="49" spans="1:6" ht="59.25" customHeight="1" x14ac:dyDescent="0.25">
      <c r="A49" s="151"/>
      <c r="B49" s="156"/>
      <c r="C49" s="151"/>
      <c r="D49" s="156"/>
      <c r="E49" s="151"/>
      <c r="F49" s="156"/>
    </row>
    <row r="50" spans="1:6" ht="55.5" customHeight="1" x14ac:dyDescent="0.25">
      <c r="A50" s="151"/>
      <c r="B50" s="156"/>
      <c r="C50" s="151"/>
      <c r="D50" s="156"/>
      <c r="E50" s="151"/>
      <c r="F50" s="156"/>
    </row>
    <row r="51" spans="1:6" ht="55.5" customHeight="1" x14ac:dyDescent="0.25">
      <c r="A51" s="151"/>
      <c r="B51" s="154"/>
      <c r="C51" s="151"/>
      <c r="D51" s="155"/>
      <c r="E51" s="151"/>
      <c r="F51" s="154"/>
    </row>
    <row r="52" spans="1:6" ht="56.25" customHeight="1" x14ac:dyDescent="0.25">
      <c r="A52" s="151"/>
      <c r="B52" s="154"/>
      <c r="C52" s="151"/>
      <c r="D52" s="155"/>
      <c r="E52" s="151"/>
      <c r="F52" s="156"/>
    </row>
    <row r="53" spans="1:6" ht="54" customHeight="1" x14ac:dyDescent="0.25">
      <c r="A53" s="151"/>
      <c r="B53" s="156"/>
      <c r="C53" s="151"/>
      <c r="D53" s="157"/>
      <c r="E53" s="151"/>
      <c r="F53" s="156"/>
    </row>
    <row r="54" spans="1:6" ht="56.25" customHeight="1" x14ac:dyDescent="0.25">
      <c r="A54" s="151"/>
      <c r="B54" s="156"/>
      <c r="C54" s="151"/>
      <c r="D54" s="156"/>
      <c r="E54" s="151"/>
      <c r="F54" s="156"/>
    </row>
    <row r="55" spans="1:6" ht="59.25" customHeight="1" x14ac:dyDescent="0.25">
      <c r="A55" s="151"/>
      <c r="B55" s="156"/>
      <c r="C55" s="151"/>
      <c r="D55" s="156"/>
      <c r="E55" s="151"/>
      <c r="F55" s="156"/>
    </row>
    <row r="56" spans="1:6" ht="54.75" customHeight="1" x14ac:dyDescent="0.25">
      <c r="A56" s="151"/>
      <c r="B56" s="156"/>
      <c r="C56" s="151"/>
      <c r="D56" s="156"/>
      <c r="E56" s="151"/>
      <c r="F56" s="156"/>
    </row>
    <row r="57" spans="1:6" ht="55.5" customHeight="1" x14ac:dyDescent="0.25">
      <c r="A57" s="151"/>
      <c r="B57" s="156"/>
      <c r="C57" s="151"/>
      <c r="D57" s="156"/>
      <c r="E57" s="151"/>
      <c r="F57" s="156"/>
    </row>
  </sheetData>
  <mergeCells count="17">
    <mergeCell ref="A9:F9"/>
    <mergeCell ref="A10:F10"/>
    <mergeCell ref="A1:A4"/>
    <mergeCell ref="B1:D2"/>
    <mergeCell ref="F1:F4"/>
    <mergeCell ref="J1:J4"/>
    <mergeCell ref="B3:D4"/>
    <mergeCell ref="A5:F5"/>
    <mergeCell ref="A6:F7"/>
    <mergeCell ref="A8:F8"/>
    <mergeCell ref="A12:A16"/>
    <mergeCell ref="C12:C16"/>
    <mergeCell ref="E12:E18"/>
    <mergeCell ref="C19:C25"/>
    <mergeCell ref="A20:A23"/>
    <mergeCell ref="A24:A28"/>
    <mergeCell ref="C26:C29"/>
  </mergeCells>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'C:\Users\CONTROL INTERNO\Desktop\LINDA\MONITOREO DE RIESGOS OFICINA\ACTUALIZACION MAPA\[RIESGOS DE CORRUPCION 2025.xlsx]Hoja2'!#REF!</xm:f>
          </x14:formula1>
          <xm:sqref>E12 E19:E30 A12 A18:A22 A24:A27 A29 C18:C19 C12 C30 C26:C27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topLeftCell="A43" zoomScale="70" zoomScaleNormal="70" workbookViewId="0">
      <selection activeCell="B27" sqref="B27"/>
    </sheetView>
  </sheetViews>
  <sheetFormatPr baseColWidth="10" defaultColWidth="11.44140625" defaultRowHeight="14.4" x14ac:dyDescent="0.3"/>
  <cols>
    <col min="1" max="1" width="8.5546875" style="162" customWidth="1"/>
    <col min="2" max="2" width="65.109375" style="163" customWidth="1"/>
    <col min="3" max="3" width="9.6640625" style="163" customWidth="1"/>
    <col min="4" max="4" width="11.109375" style="163" customWidth="1"/>
    <col min="5" max="17" width="6.44140625" style="163" customWidth="1"/>
    <col min="18" max="18" width="8.109375" style="163" customWidth="1"/>
    <col min="19" max="19" width="21.6640625" style="164" customWidth="1"/>
    <col min="20" max="20" width="21.44140625" customWidth="1"/>
  </cols>
  <sheetData>
    <row r="1" spans="1:21" ht="19.5" customHeight="1" x14ac:dyDescent="0.3">
      <c r="A1" s="359"/>
      <c r="B1" s="362" t="s">
        <v>293</v>
      </c>
      <c r="C1" s="362"/>
      <c r="D1" s="362"/>
      <c r="E1" s="362"/>
      <c r="F1" s="362"/>
      <c r="G1" s="362"/>
      <c r="H1" s="362"/>
      <c r="I1" s="362"/>
      <c r="J1" s="362"/>
      <c r="K1" s="362"/>
      <c r="L1" s="362"/>
      <c r="M1" s="362"/>
      <c r="N1" s="362"/>
      <c r="O1" s="362"/>
      <c r="P1" s="363"/>
      <c r="Q1" s="366" t="s">
        <v>258</v>
      </c>
      <c r="R1" s="366"/>
      <c r="S1" s="366"/>
      <c r="T1" s="367"/>
    </row>
    <row r="2" spans="1:21" ht="20.25" customHeight="1" x14ac:dyDescent="0.3">
      <c r="A2" s="360"/>
      <c r="B2" s="364"/>
      <c r="C2" s="364"/>
      <c r="D2" s="364"/>
      <c r="E2" s="364"/>
      <c r="F2" s="364"/>
      <c r="G2" s="364"/>
      <c r="H2" s="364"/>
      <c r="I2" s="364"/>
      <c r="J2" s="364"/>
      <c r="K2" s="364"/>
      <c r="L2" s="364"/>
      <c r="M2" s="364"/>
      <c r="N2" s="364"/>
      <c r="O2" s="364"/>
      <c r="P2" s="365"/>
      <c r="Q2" s="366" t="s">
        <v>256</v>
      </c>
      <c r="R2" s="366"/>
      <c r="S2" s="366"/>
      <c r="T2" s="368"/>
    </row>
    <row r="3" spans="1:21" ht="19.5" customHeight="1" x14ac:dyDescent="0.3">
      <c r="A3" s="360"/>
      <c r="B3" s="364" t="s">
        <v>223</v>
      </c>
      <c r="C3" s="364"/>
      <c r="D3" s="364"/>
      <c r="E3" s="364"/>
      <c r="F3" s="364"/>
      <c r="G3" s="364"/>
      <c r="H3" s="364"/>
      <c r="I3" s="364"/>
      <c r="J3" s="364"/>
      <c r="K3" s="364"/>
      <c r="L3" s="364"/>
      <c r="M3" s="364"/>
      <c r="N3" s="364"/>
      <c r="O3" s="364"/>
      <c r="P3" s="365"/>
      <c r="Q3" s="366" t="s">
        <v>257</v>
      </c>
      <c r="R3" s="366"/>
      <c r="S3" s="366"/>
      <c r="T3" s="368"/>
    </row>
    <row r="4" spans="1:21" ht="15.75" customHeight="1" x14ac:dyDescent="0.3">
      <c r="A4" s="361"/>
      <c r="B4" s="370"/>
      <c r="C4" s="370"/>
      <c r="D4" s="370"/>
      <c r="E4" s="370"/>
      <c r="F4" s="370"/>
      <c r="G4" s="370"/>
      <c r="H4" s="370"/>
      <c r="I4" s="370"/>
      <c r="J4" s="370"/>
      <c r="K4" s="370"/>
      <c r="L4" s="370"/>
      <c r="M4" s="370"/>
      <c r="N4" s="370"/>
      <c r="O4" s="370"/>
      <c r="P4" s="371"/>
      <c r="Q4" s="366" t="s">
        <v>412</v>
      </c>
      <c r="R4" s="366"/>
      <c r="S4" s="366"/>
      <c r="T4" s="369"/>
    </row>
    <row r="5" spans="1:21" ht="15.75" customHeight="1" x14ac:dyDescent="0.3">
      <c r="A5" s="361"/>
      <c r="B5" s="361"/>
      <c r="C5" s="361"/>
      <c r="D5" s="361"/>
      <c r="E5" s="361"/>
      <c r="F5" s="361"/>
      <c r="G5" s="361"/>
      <c r="H5" s="361"/>
      <c r="I5" s="361"/>
      <c r="J5" s="361"/>
      <c r="K5" s="361"/>
      <c r="L5" s="361"/>
      <c r="M5" s="361"/>
      <c r="N5" s="361"/>
      <c r="O5" s="361"/>
      <c r="P5" s="361"/>
      <c r="Q5" s="361"/>
      <c r="R5" s="361"/>
      <c r="S5" s="361"/>
      <c r="T5" s="374"/>
    </row>
    <row r="6" spans="1:21" s="145" customFormat="1" ht="27" customHeight="1" x14ac:dyDescent="0.25">
      <c r="A6" s="375" t="str">
        <f>[1]CONTEXTO!A8</f>
        <v xml:space="preserve">PROCESO: Gestión de Evaluación y Seguimiento </v>
      </c>
      <c r="B6" s="375"/>
      <c r="C6" s="375"/>
      <c r="D6" s="375"/>
      <c r="E6" s="375"/>
      <c r="F6" s="375"/>
      <c r="G6" s="375"/>
      <c r="H6" s="375"/>
      <c r="I6" s="375"/>
      <c r="J6" s="375"/>
      <c r="K6" s="375"/>
      <c r="L6" s="375"/>
      <c r="M6" s="375"/>
      <c r="N6" s="375"/>
      <c r="O6" s="375"/>
      <c r="P6" s="375"/>
      <c r="Q6" s="375"/>
      <c r="R6" s="375"/>
      <c r="S6" s="375"/>
      <c r="T6" s="375"/>
    </row>
    <row r="7" spans="1:21" s="145" customFormat="1" ht="81" customHeight="1" thickBot="1" x14ac:dyDescent="0.3">
      <c r="A7" s="376" t="str">
        <f>[1]CONTEXTO!A9</f>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7" s="376"/>
      <c r="C7" s="376"/>
      <c r="D7" s="376"/>
      <c r="E7" s="376"/>
      <c r="F7" s="376"/>
      <c r="G7" s="376"/>
      <c r="H7" s="376"/>
      <c r="I7" s="376"/>
      <c r="J7" s="376"/>
      <c r="K7" s="376"/>
      <c r="L7" s="376"/>
      <c r="M7" s="376"/>
      <c r="N7" s="376"/>
      <c r="O7" s="376"/>
      <c r="P7" s="376"/>
      <c r="Q7" s="376"/>
      <c r="R7" s="376"/>
      <c r="S7" s="376"/>
      <c r="T7" s="376"/>
    </row>
    <row r="8" spans="1:21" s="145" customFormat="1" ht="21" customHeight="1" thickBot="1" x14ac:dyDescent="0.3">
      <c r="A8" s="377"/>
      <c r="B8" s="377"/>
      <c r="C8" s="377"/>
      <c r="D8" s="377"/>
      <c r="E8" s="377"/>
      <c r="F8" s="377"/>
      <c r="G8" s="377"/>
      <c r="H8" s="377"/>
      <c r="I8" s="377"/>
      <c r="J8" s="377"/>
      <c r="K8" s="377"/>
      <c r="L8" s="377"/>
      <c r="M8" s="377"/>
      <c r="N8" s="377"/>
      <c r="O8" s="377"/>
      <c r="P8" s="377"/>
      <c r="Q8" s="377"/>
      <c r="R8" s="377"/>
      <c r="S8" s="377"/>
      <c r="T8" s="378"/>
    </row>
    <row r="9" spans="1:21" s="145" customFormat="1" ht="33" customHeight="1" thickBot="1" x14ac:dyDescent="0.3">
      <c r="A9" s="379" t="s">
        <v>287</v>
      </c>
      <c r="B9" s="379"/>
      <c r="C9" s="379"/>
      <c r="D9" s="379"/>
      <c r="E9" s="379"/>
      <c r="F9" s="379"/>
      <c r="G9" s="379"/>
      <c r="H9" s="379"/>
      <c r="I9" s="379"/>
      <c r="J9" s="379"/>
      <c r="K9" s="379"/>
      <c r="L9" s="379"/>
      <c r="M9" s="379"/>
      <c r="N9" s="379"/>
      <c r="O9" s="379"/>
      <c r="P9" s="379"/>
      <c r="Q9" s="379"/>
      <c r="R9" s="379"/>
      <c r="S9" s="379"/>
      <c r="T9" s="380"/>
      <c r="U9" s="158"/>
    </row>
    <row r="10" spans="1:21" s="159" customFormat="1" ht="48" customHeight="1" thickBot="1" x14ac:dyDescent="0.35">
      <c r="A10" s="260" t="s">
        <v>224</v>
      </c>
      <c r="B10" s="261" t="s">
        <v>225</v>
      </c>
      <c r="C10" s="261" t="s">
        <v>226</v>
      </c>
      <c r="D10" s="261" t="s">
        <v>227</v>
      </c>
      <c r="E10" s="261" t="s">
        <v>228</v>
      </c>
      <c r="F10" s="261" t="s">
        <v>229</v>
      </c>
      <c r="G10" s="261" t="s">
        <v>230</v>
      </c>
      <c r="H10" s="261" t="s">
        <v>231</v>
      </c>
      <c r="I10" s="261" t="s">
        <v>232</v>
      </c>
      <c r="J10" s="261" t="s">
        <v>233</v>
      </c>
      <c r="K10" s="261" t="s">
        <v>234</v>
      </c>
      <c r="L10" s="261" t="s">
        <v>235</v>
      </c>
      <c r="M10" s="261" t="s">
        <v>236</v>
      </c>
      <c r="N10" s="261" t="s">
        <v>237</v>
      </c>
      <c r="O10" s="261" t="s">
        <v>238</v>
      </c>
      <c r="P10" s="261" t="s">
        <v>239</v>
      </c>
      <c r="Q10" s="261" t="s">
        <v>240</v>
      </c>
      <c r="R10" s="262" t="s">
        <v>241</v>
      </c>
      <c r="S10" s="263" t="s">
        <v>242</v>
      </c>
      <c r="T10" s="264" t="s">
        <v>288</v>
      </c>
    </row>
    <row r="11" spans="1:21" x14ac:dyDescent="0.3">
      <c r="A11" s="265">
        <v>1</v>
      </c>
      <c r="B11" s="266" t="str">
        <f>[1]CONTEXTO!B12</f>
        <v>Constantes cambios normativos, diversidad jurídica.</v>
      </c>
      <c r="C11" s="267">
        <v>4</v>
      </c>
      <c r="D11" s="267">
        <v>5</v>
      </c>
      <c r="E11" s="267">
        <v>5</v>
      </c>
      <c r="F11" s="267">
        <v>5</v>
      </c>
      <c r="G11" s="267">
        <v>5</v>
      </c>
      <c r="H11" s="267">
        <v>5</v>
      </c>
      <c r="I11" s="268"/>
      <c r="J11" s="268"/>
      <c r="K11" s="268"/>
      <c r="L11" s="268"/>
      <c r="M11" s="268"/>
      <c r="N11" s="268"/>
      <c r="O11" s="268"/>
      <c r="P11" s="268"/>
      <c r="Q11" s="268"/>
      <c r="R11" s="269">
        <f>SUM(C11:H11)</f>
        <v>29</v>
      </c>
      <c r="S11" s="270">
        <f>SUM(C11:H11)/6</f>
        <v>4.833333333333333</v>
      </c>
      <c r="T11" s="271" t="str">
        <f>IF(S11&gt;=4, "SI", "NO")</f>
        <v>SI</v>
      </c>
    </row>
    <row r="12" spans="1:21" ht="27.6" x14ac:dyDescent="0.3">
      <c r="A12" s="198">
        <v>2</v>
      </c>
      <c r="B12" s="199" t="str">
        <f>[1]CONTEXTO!B13</f>
        <v xml:space="preserve">Cambios normativos en los que establecen responsabilidades a las Oficinas de Control Interno. </v>
      </c>
      <c r="C12" s="200">
        <v>4</v>
      </c>
      <c r="D12" s="200">
        <v>4</v>
      </c>
      <c r="E12" s="200">
        <v>5</v>
      </c>
      <c r="F12" s="200">
        <v>5</v>
      </c>
      <c r="G12" s="200">
        <v>5</v>
      </c>
      <c r="H12" s="200">
        <v>5</v>
      </c>
      <c r="I12" s="161"/>
      <c r="J12" s="161"/>
      <c r="K12" s="161"/>
      <c r="L12" s="161"/>
      <c r="M12" s="161"/>
      <c r="N12" s="161"/>
      <c r="O12" s="161"/>
      <c r="P12" s="161"/>
      <c r="Q12" s="161"/>
      <c r="R12" s="269">
        <f t="shared" ref="R12:R53" si="0">SUM(C12:H12)</f>
        <v>28</v>
      </c>
      <c r="S12" s="270">
        <f t="shared" ref="S12:S43" si="1">SUM(C12:H12)/6</f>
        <v>4.666666666666667</v>
      </c>
      <c r="T12" s="272" t="str">
        <f t="shared" ref="T12:T42" si="2">IF(S12&gt;=4, "SI", "NO")</f>
        <v>SI</v>
      </c>
    </row>
    <row r="13" spans="1:21" x14ac:dyDescent="0.3">
      <c r="A13" s="198">
        <v>3</v>
      </c>
      <c r="B13" s="199" t="str">
        <f>[1]CONTEXTO!B14</f>
        <v xml:space="preserve">La inclusión social </v>
      </c>
      <c r="C13" s="200">
        <v>4</v>
      </c>
      <c r="D13" s="200">
        <v>4</v>
      </c>
      <c r="E13" s="200">
        <v>3</v>
      </c>
      <c r="F13" s="200">
        <v>3</v>
      </c>
      <c r="G13" s="200">
        <v>3</v>
      </c>
      <c r="H13" s="200">
        <v>3</v>
      </c>
      <c r="I13" s="161"/>
      <c r="J13" s="161"/>
      <c r="K13" s="161"/>
      <c r="L13" s="161"/>
      <c r="M13" s="161"/>
      <c r="N13" s="161"/>
      <c r="O13" s="161"/>
      <c r="P13" s="161"/>
      <c r="Q13" s="161"/>
      <c r="R13" s="269">
        <f t="shared" si="0"/>
        <v>20</v>
      </c>
      <c r="S13" s="270">
        <f t="shared" si="1"/>
        <v>3.3333333333333335</v>
      </c>
      <c r="T13" s="272" t="str">
        <f t="shared" si="2"/>
        <v>NO</v>
      </c>
    </row>
    <row r="14" spans="1:21" ht="27.6" x14ac:dyDescent="0.3">
      <c r="A14" s="198">
        <v>4</v>
      </c>
      <c r="B14" s="199" t="str">
        <f>[1]CONTEXTO!B18</f>
        <v>Acciones de orden público que atenten contra la integridad de los Auditores.</v>
      </c>
      <c r="C14" s="200">
        <v>3</v>
      </c>
      <c r="D14" s="200">
        <v>4</v>
      </c>
      <c r="E14" s="200">
        <v>3</v>
      </c>
      <c r="F14" s="200">
        <v>2</v>
      </c>
      <c r="G14" s="200">
        <v>3</v>
      </c>
      <c r="H14" s="200">
        <v>2</v>
      </c>
      <c r="I14" s="161"/>
      <c r="J14" s="161"/>
      <c r="K14" s="161"/>
      <c r="L14" s="161"/>
      <c r="M14" s="161"/>
      <c r="N14" s="161"/>
      <c r="O14" s="161"/>
      <c r="P14" s="161"/>
      <c r="Q14" s="161"/>
      <c r="R14" s="269">
        <f t="shared" si="0"/>
        <v>17</v>
      </c>
      <c r="S14" s="270">
        <f t="shared" si="1"/>
        <v>2.8333333333333335</v>
      </c>
      <c r="T14" s="272" t="str">
        <f t="shared" si="2"/>
        <v>NO</v>
      </c>
    </row>
    <row r="15" spans="1:21" x14ac:dyDescent="0.3">
      <c r="A15" s="198">
        <v>5</v>
      </c>
      <c r="B15" s="199" t="str">
        <f>[1]CONTEXTO!B19</f>
        <v xml:space="preserve">Cambios de Gobierno ( estilos de dirección) </v>
      </c>
      <c r="C15" s="200">
        <v>4</v>
      </c>
      <c r="D15" s="200">
        <v>4</v>
      </c>
      <c r="E15" s="200">
        <v>4</v>
      </c>
      <c r="F15" s="200">
        <v>4</v>
      </c>
      <c r="G15" s="200">
        <v>4</v>
      </c>
      <c r="H15" s="200">
        <v>5</v>
      </c>
      <c r="I15" s="161"/>
      <c r="J15" s="161"/>
      <c r="K15" s="161"/>
      <c r="L15" s="161"/>
      <c r="M15" s="161"/>
      <c r="N15" s="161"/>
      <c r="O15" s="161"/>
      <c r="P15" s="161"/>
      <c r="Q15" s="161"/>
      <c r="R15" s="269">
        <f t="shared" si="0"/>
        <v>25</v>
      </c>
      <c r="S15" s="270">
        <f t="shared" si="1"/>
        <v>4.166666666666667</v>
      </c>
      <c r="T15" s="272" t="str">
        <f t="shared" si="2"/>
        <v>SI</v>
      </c>
    </row>
    <row r="16" spans="1:21" x14ac:dyDescent="0.3">
      <c r="A16" s="198">
        <v>6</v>
      </c>
      <c r="B16" s="199" t="str">
        <f>[1]CONTEXTO!B20</f>
        <v>Constante innovación tecnológica y herramientas de conectividad</v>
      </c>
      <c r="C16" s="200">
        <v>4</v>
      </c>
      <c r="D16" s="200">
        <v>4</v>
      </c>
      <c r="E16" s="200">
        <v>4</v>
      </c>
      <c r="F16" s="200">
        <v>4</v>
      </c>
      <c r="G16" s="200">
        <v>4</v>
      </c>
      <c r="H16" s="200">
        <v>3</v>
      </c>
      <c r="I16" s="161"/>
      <c r="J16" s="161"/>
      <c r="K16" s="161"/>
      <c r="L16" s="161"/>
      <c r="M16" s="161"/>
      <c r="N16" s="161"/>
      <c r="O16" s="161"/>
      <c r="P16" s="161"/>
      <c r="Q16" s="161"/>
      <c r="R16" s="269">
        <f t="shared" si="0"/>
        <v>23</v>
      </c>
      <c r="S16" s="270">
        <f t="shared" si="1"/>
        <v>3.8333333333333335</v>
      </c>
      <c r="T16" s="272" t="str">
        <f t="shared" si="2"/>
        <v>NO</v>
      </c>
    </row>
    <row r="17" spans="1:20" ht="27.6" x14ac:dyDescent="0.3">
      <c r="A17" s="198">
        <v>7</v>
      </c>
      <c r="B17" s="199" t="str">
        <f>[1]CONTEXTO!B21</f>
        <v xml:space="preserve">Adquisición de equipos eficientes energéticamente (con menor consumo de energía). </v>
      </c>
      <c r="C17" s="200">
        <v>4</v>
      </c>
      <c r="D17" s="200">
        <v>4</v>
      </c>
      <c r="E17" s="200">
        <v>4</v>
      </c>
      <c r="F17" s="200">
        <v>3</v>
      </c>
      <c r="G17" s="200">
        <v>3</v>
      </c>
      <c r="H17" s="200">
        <v>3</v>
      </c>
      <c r="I17" s="161"/>
      <c r="J17" s="161"/>
      <c r="K17" s="161"/>
      <c r="L17" s="161"/>
      <c r="M17" s="161"/>
      <c r="N17" s="161"/>
      <c r="O17" s="161"/>
      <c r="P17" s="161"/>
      <c r="Q17" s="161"/>
      <c r="R17" s="269">
        <f t="shared" si="0"/>
        <v>21</v>
      </c>
      <c r="S17" s="270">
        <f t="shared" si="1"/>
        <v>3.5</v>
      </c>
      <c r="T17" s="272" t="str">
        <f t="shared" si="2"/>
        <v>NO</v>
      </c>
    </row>
    <row r="18" spans="1:20" ht="27.6" x14ac:dyDescent="0.3">
      <c r="A18" s="198">
        <v>8</v>
      </c>
      <c r="B18" s="199" t="str">
        <f>[1]CONTEXTO!B23</f>
        <v>Fallas en aplicativos por congestión para cargue o reporte de información a entes de control.</v>
      </c>
      <c r="C18" s="200">
        <v>5</v>
      </c>
      <c r="D18" s="200">
        <v>4</v>
      </c>
      <c r="E18" s="200">
        <v>4</v>
      </c>
      <c r="F18" s="200">
        <v>5</v>
      </c>
      <c r="G18" s="200">
        <v>5</v>
      </c>
      <c r="H18" s="200">
        <v>4</v>
      </c>
      <c r="I18" s="161"/>
      <c r="J18" s="161"/>
      <c r="K18" s="161"/>
      <c r="L18" s="161"/>
      <c r="M18" s="161"/>
      <c r="N18" s="161"/>
      <c r="O18" s="161"/>
      <c r="P18" s="161"/>
      <c r="Q18" s="161"/>
      <c r="R18" s="269">
        <f t="shared" si="0"/>
        <v>27</v>
      </c>
      <c r="S18" s="270">
        <f t="shared" si="1"/>
        <v>4.5</v>
      </c>
      <c r="T18" s="272" t="str">
        <f t="shared" si="2"/>
        <v>SI</v>
      </c>
    </row>
    <row r="19" spans="1:20" ht="27.6" x14ac:dyDescent="0.3">
      <c r="A19" s="198">
        <v>9</v>
      </c>
      <c r="B19" s="199" t="str">
        <f>[1]CONTEXTO!B24</f>
        <v>Disposición final de elementos que contaminan el medio ambiente (baterías, tóner, residuos de aparatos eléctricos y electrónicos).</v>
      </c>
      <c r="C19" s="201">
        <v>4</v>
      </c>
      <c r="D19" s="201">
        <v>4</v>
      </c>
      <c r="E19" s="201">
        <v>4</v>
      </c>
      <c r="F19" s="201">
        <v>4</v>
      </c>
      <c r="G19" s="201">
        <v>5</v>
      </c>
      <c r="H19" s="201">
        <v>5</v>
      </c>
      <c r="I19" s="161"/>
      <c r="J19" s="161"/>
      <c r="K19" s="161"/>
      <c r="L19" s="161"/>
      <c r="M19" s="161"/>
      <c r="N19" s="161"/>
      <c r="O19" s="161"/>
      <c r="P19" s="161"/>
      <c r="Q19" s="161"/>
      <c r="R19" s="269">
        <f t="shared" si="0"/>
        <v>26</v>
      </c>
      <c r="S19" s="270">
        <f t="shared" si="1"/>
        <v>4.333333333333333</v>
      </c>
      <c r="T19" s="272" t="str">
        <f t="shared" si="2"/>
        <v>SI</v>
      </c>
    </row>
    <row r="20" spans="1:20" x14ac:dyDescent="0.3">
      <c r="A20" s="198">
        <v>10</v>
      </c>
      <c r="B20" s="199" t="str">
        <f>[1]CONTEXTO!B25</f>
        <v xml:space="preserve">La deforestación </v>
      </c>
      <c r="C20" s="201">
        <v>4</v>
      </c>
      <c r="D20" s="201">
        <v>4</v>
      </c>
      <c r="E20" s="201">
        <v>4</v>
      </c>
      <c r="F20" s="201">
        <v>3</v>
      </c>
      <c r="G20" s="201">
        <v>3</v>
      </c>
      <c r="H20" s="201">
        <v>3</v>
      </c>
      <c r="I20" s="161"/>
      <c r="J20" s="161"/>
      <c r="K20" s="161"/>
      <c r="L20" s="161"/>
      <c r="M20" s="161"/>
      <c r="N20" s="161"/>
      <c r="O20" s="161"/>
      <c r="P20" s="161"/>
      <c r="Q20" s="161"/>
      <c r="R20" s="269">
        <f t="shared" si="0"/>
        <v>21</v>
      </c>
      <c r="S20" s="270">
        <f t="shared" si="1"/>
        <v>3.5</v>
      </c>
      <c r="T20" s="272" t="s">
        <v>289</v>
      </c>
    </row>
    <row r="21" spans="1:20" ht="27.6" x14ac:dyDescent="0.3">
      <c r="A21" s="198">
        <v>11</v>
      </c>
      <c r="B21" s="199" t="str">
        <f>[1]CONTEXTO!B26</f>
        <v>Cambio climático - altas temperaturas por el fenómeno del niño, catástrofes naturales (terremotos).</v>
      </c>
      <c r="C21" s="201">
        <v>4</v>
      </c>
      <c r="D21" s="201">
        <v>4</v>
      </c>
      <c r="E21" s="201">
        <v>4</v>
      </c>
      <c r="F21" s="201">
        <v>3</v>
      </c>
      <c r="G21" s="201">
        <v>3</v>
      </c>
      <c r="H21" s="201">
        <v>3</v>
      </c>
      <c r="I21" s="161"/>
      <c r="J21" s="161"/>
      <c r="K21" s="161"/>
      <c r="L21" s="161"/>
      <c r="M21" s="161"/>
      <c r="N21" s="161"/>
      <c r="O21" s="161"/>
      <c r="P21" s="161"/>
      <c r="Q21" s="161"/>
      <c r="R21" s="269">
        <f t="shared" si="0"/>
        <v>21</v>
      </c>
      <c r="S21" s="270">
        <f t="shared" si="1"/>
        <v>3.5</v>
      </c>
      <c r="T21" s="272" t="s">
        <v>289</v>
      </c>
    </row>
    <row r="22" spans="1:20" ht="27.6" x14ac:dyDescent="0.3">
      <c r="A22" s="198">
        <v>12</v>
      </c>
      <c r="B22" s="199" t="str">
        <f>[1]CONTEXTO!B28</f>
        <v xml:space="preserve">Falta de cultura en la clasificación de residuos al depositarlos en los recipientes destinados para hacerlo. </v>
      </c>
      <c r="C22" s="201">
        <v>4</v>
      </c>
      <c r="D22" s="201">
        <v>4</v>
      </c>
      <c r="E22" s="201">
        <v>4</v>
      </c>
      <c r="F22" s="201">
        <v>3</v>
      </c>
      <c r="G22" s="201">
        <v>3</v>
      </c>
      <c r="H22" s="201">
        <v>3</v>
      </c>
      <c r="I22" s="161"/>
      <c r="J22" s="161"/>
      <c r="K22" s="161"/>
      <c r="L22" s="161"/>
      <c r="M22" s="161"/>
      <c r="N22" s="161"/>
      <c r="O22" s="161"/>
      <c r="P22" s="161"/>
      <c r="Q22" s="161"/>
      <c r="R22" s="269">
        <f t="shared" si="0"/>
        <v>21</v>
      </c>
      <c r="S22" s="270">
        <f t="shared" si="1"/>
        <v>3.5</v>
      </c>
      <c r="T22" s="272" t="s">
        <v>289</v>
      </c>
    </row>
    <row r="23" spans="1:20" x14ac:dyDescent="0.3">
      <c r="A23" s="198">
        <v>13</v>
      </c>
      <c r="B23" s="199" t="str">
        <f>[1]CONTEXTO!B29</f>
        <v xml:space="preserve">Aumento de la demanda de servicios </v>
      </c>
      <c r="C23" s="201">
        <v>4</v>
      </c>
      <c r="D23" s="201">
        <v>4</v>
      </c>
      <c r="E23" s="201">
        <v>4</v>
      </c>
      <c r="F23" s="201">
        <v>3</v>
      </c>
      <c r="G23" s="201">
        <v>3</v>
      </c>
      <c r="H23" s="201">
        <v>3</v>
      </c>
      <c r="I23" s="161"/>
      <c r="J23" s="161"/>
      <c r="K23" s="161"/>
      <c r="L23" s="161"/>
      <c r="M23" s="161"/>
      <c r="N23" s="161"/>
      <c r="O23" s="161"/>
      <c r="P23" s="161"/>
      <c r="Q23" s="161"/>
      <c r="R23" s="269">
        <f t="shared" si="0"/>
        <v>21</v>
      </c>
      <c r="S23" s="270">
        <f t="shared" si="1"/>
        <v>3.5</v>
      </c>
      <c r="T23" s="272" t="s">
        <v>289</v>
      </c>
    </row>
    <row r="24" spans="1:20" x14ac:dyDescent="0.3">
      <c r="A24" s="198">
        <v>14</v>
      </c>
      <c r="B24" s="199" t="str">
        <f>[1]CONTEXTO!D12</f>
        <v xml:space="preserve">Personal insuficiente para auditar la totalidad de procesos críticos. </v>
      </c>
      <c r="C24" s="200">
        <v>5</v>
      </c>
      <c r="D24" s="200">
        <v>4</v>
      </c>
      <c r="E24" s="200">
        <v>5</v>
      </c>
      <c r="F24" s="200">
        <v>4</v>
      </c>
      <c r="G24" s="200">
        <v>4</v>
      </c>
      <c r="H24" s="200">
        <v>5</v>
      </c>
      <c r="I24" s="161"/>
      <c r="J24" s="161"/>
      <c r="K24" s="161"/>
      <c r="L24" s="161"/>
      <c r="M24" s="161"/>
      <c r="N24" s="161"/>
      <c r="O24" s="161"/>
      <c r="P24" s="161"/>
      <c r="Q24" s="161"/>
      <c r="R24" s="269">
        <f t="shared" si="0"/>
        <v>27</v>
      </c>
      <c r="S24" s="270">
        <f t="shared" si="1"/>
        <v>4.5</v>
      </c>
      <c r="T24" s="272" t="str">
        <f t="shared" si="2"/>
        <v>SI</v>
      </c>
    </row>
    <row r="25" spans="1:20" ht="27.6" x14ac:dyDescent="0.3">
      <c r="A25" s="198">
        <v>15</v>
      </c>
      <c r="B25" s="199" t="str">
        <f>[1]CONTEXTO!D13</f>
        <v>Ausencia de perfil profesional de planta: Ingeniero ambiental , ingeniero civil y abogado.</v>
      </c>
      <c r="C25" s="200">
        <v>5</v>
      </c>
      <c r="D25" s="200">
        <v>4</v>
      </c>
      <c r="E25" s="200">
        <v>5</v>
      </c>
      <c r="F25" s="200">
        <v>5</v>
      </c>
      <c r="G25" s="200">
        <v>5</v>
      </c>
      <c r="H25" s="200">
        <v>5</v>
      </c>
      <c r="I25" s="161"/>
      <c r="J25" s="161"/>
      <c r="K25" s="161"/>
      <c r="L25" s="161"/>
      <c r="M25" s="161"/>
      <c r="N25" s="161"/>
      <c r="O25" s="161"/>
      <c r="P25" s="161"/>
      <c r="Q25" s="161"/>
      <c r="R25" s="269">
        <f t="shared" si="0"/>
        <v>29</v>
      </c>
      <c r="S25" s="270">
        <f t="shared" si="1"/>
        <v>4.833333333333333</v>
      </c>
      <c r="T25" s="272" t="str">
        <f t="shared" si="2"/>
        <v>SI</v>
      </c>
    </row>
    <row r="26" spans="1:20" ht="41.4" x14ac:dyDescent="0.3">
      <c r="A26" s="198">
        <v>16</v>
      </c>
      <c r="B26" s="199" t="str">
        <f>[1]CONTEXTO!D14</f>
        <v>Inobservancia a los lineamientos establecidos en el Código de Ética del Auditor Interno, estatuto de auditoria y lineamientos anti soborno establecidos en la política del SIG, en el desarrollo de las auditorías.</v>
      </c>
      <c r="C26" s="200">
        <v>4</v>
      </c>
      <c r="D26" s="200">
        <v>4</v>
      </c>
      <c r="E26" s="200">
        <v>4</v>
      </c>
      <c r="F26" s="200">
        <v>4</v>
      </c>
      <c r="G26" s="200">
        <v>4</v>
      </c>
      <c r="H26" s="200">
        <v>5</v>
      </c>
      <c r="I26" s="161"/>
      <c r="J26" s="161"/>
      <c r="K26" s="161"/>
      <c r="L26" s="161"/>
      <c r="M26" s="161"/>
      <c r="N26" s="161"/>
      <c r="O26" s="161"/>
      <c r="P26" s="161"/>
      <c r="Q26" s="161"/>
      <c r="R26" s="269">
        <f t="shared" si="0"/>
        <v>25</v>
      </c>
      <c r="S26" s="270">
        <f t="shared" si="1"/>
        <v>4.166666666666667</v>
      </c>
      <c r="T26" s="272" t="str">
        <f t="shared" si="2"/>
        <v>SI</v>
      </c>
    </row>
    <row r="27" spans="1:20" x14ac:dyDescent="0.3">
      <c r="A27" s="198">
        <v>17</v>
      </c>
      <c r="B27" s="199" t="s">
        <v>290</v>
      </c>
      <c r="C27" s="200">
        <v>4</v>
      </c>
      <c r="D27" s="200">
        <v>4</v>
      </c>
      <c r="E27" s="200">
        <v>4</v>
      </c>
      <c r="F27" s="200">
        <v>5</v>
      </c>
      <c r="G27" s="200">
        <v>5</v>
      </c>
      <c r="H27" s="200">
        <v>5</v>
      </c>
      <c r="I27" s="161"/>
      <c r="J27" s="161"/>
      <c r="K27" s="161"/>
      <c r="L27" s="161"/>
      <c r="M27" s="161"/>
      <c r="N27" s="161"/>
      <c r="O27" s="161"/>
      <c r="P27" s="161"/>
      <c r="Q27" s="161"/>
      <c r="R27" s="269">
        <f t="shared" si="0"/>
        <v>27</v>
      </c>
      <c r="S27" s="270">
        <f t="shared" si="1"/>
        <v>4.5</v>
      </c>
      <c r="T27" s="272" t="str">
        <f t="shared" si="2"/>
        <v>SI</v>
      </c>
    </row>
    <row r="28" spans="1:20" ht="27.6" x14ac:dyDescent="0.3">
      <c r="A28" s="198">
        <v>18</v>
      </c>
      <c r="B28" s="199" t="str">
        <f>[1]CONTEXTO!D16</f>
        <v xml:space="preserve">Deficiencia del personal en redacción de informes y formulación de hallazgos. </v>
      </c>
      <c r="C28" s="161">
        <v>5</v>
      </c>
      <c r="D28" s="161">
        <v>5</v>
      </c>
      <c r="E28" s="161">
        <v>5</v>
      </c>
      <c r="F28" s="161">
        <v>4</v>
      </c>
      <c r="G28" s="161">
        <v>4</v>
      </c>
      <c r="H28" s="161">
        <v>4</v>
      </c>
      <c r="I28" s="161"/>
      <c r="J28" s="161"/>
      <c r="K28" s="161"/>
      <c r="L28" s="161"/>
      <c r="M28" s="161"/>
      <c r="N28" s="161"/>
      <c r="O28" s="161"/>
      <c r="P28" s="161"/>
      <c r="Q28" s="161"/>
      <c r="R28" s="269">
        <f t="shared" si="0"/>
        <v>27</v>
      </c>
      <c r="S28" s="270">
        <f t="shared" si="1"/>
        <v>4.5</v>
      </c>
      <c r="T28" s="272" t="str">
        <f t="shared" si="2"/>
        <v>SI</v>
      </c>
    </row>
    <row r="29" spans="1:20" ht="27.6" x14ac:dyDescent="0.3">
      <c r="A29" s="198">
        <v>19</v>
      </c>
      <c r="B29" s="199" t="str">
        <f>[1]CONTEXTO!D19</f>
        <v>Asignación de auditorias a procesos no acordes al perfil profesional del auditor.</v>
      </c>
      <c r="C29" s="200">
        <f>'[2]PRIORIZACIÓN DE CAUSA'!C27</f>
        <v>4</v>
      </c>
      <c r="D29" s="200">
        <f>'[2]PRIORIZACIÓN DE CAUSA'!D27</f>
        <v>4</v>
      </c>
      <c r="E29" s="200">
        <f>'[2]PRIORIZACIÓN DE CAUSA'!E27</f>
        <v>4</v>
      </c>
      <c r="F29" s="200">
        <f>'[2]PRIORIZACIÓN DE CAUSA'!F27</f>
        <v>4</v>
      </c>
      <c r="G29" s="200">
        <f>'[2]PRIORIZACIÓN DE CAUSA'!G27</f>
        <v>4</v>
      </c>
      <c r="H29" s="200">
        <f>'[2]PRIORIZACIÓN DE CAUSA'!H27</f>
        <v>5</v>
      </c>
      <c r="I29" s="161"/>
      <c r="J29" s="161"/>
      <c r="K29" s="161"/>
      <c r="L29" s="161"/>
      <c r="M29" s="161"/>
      <c r="N29" s="161"/>
      <c r="O29" s="161"/>
      <c r="P29" s="161"/>
      <c r="Q29" s="161"/>
      <c r="R29" s="269">
        <f t="shared" si="0"/>
        <v>25</v>
      </c>
      <c r="S29" s="270">
        <f t="shared" si="1"/>
        <v>4.166666666666667</v>
      </c>
      <c r="T29" s="272" t="str">
        <f t="shared" si="2"/>
        <v>SI</v>
      </c>
    </row>
    <row r="30" spans="1:20" x14ac:dyDescent="0.3">
      <c r="A30" s="198">
        <v>20</v>
      </c>
      <c r="B30" s="199" t="str">
        <f>[1]CONTEXTO!D20</f>
        <v>Trafico de influencias.</v>
      </c>
      <c r="C30" s="200">
        <v>4</v>
      </c>
      <c r="D30" s="200">
        <v>4</v>
      </c>
      <c r="E30" s="200">
        <v>4</v>
      </c>
      <c r="F30" s="200">
        <v>4</v>
      </c>
      <c r="G30" s="200">
        <v>4</v>
      </c>
      <c r="H30" s="200">
        <v>5</v>
      </c>
      <c r="I30" s="161"/>
      <c r="J30" s="161"/>
      <c r="K30" s="161"/>
      <c r="L30" s="161"/>
      <c r="M30" s="161"/>
      <c r="N30" s="161"/>
      <c r="O30" s="161"/>
      <c r="P30" s="161"/>
      <c r="Q30" s="161"/>
      <c r="R30" s="269">
        <f t="shared" si="0"/>
        <v>25</v>
      </c>
      <c r="S30" s="270">
        <f t="shared" si="1"/>
        <v>4.166666666666667</v>
      </c>
      <c r="T30" s="272" t="str">
        <f t="shared" si="2"/>
        <v>SI</v>
      </c>
    </row>
    <row r="31" spans="1:20" ht="27.6" x14ac:dyDescent="0.3">
      <c r="A31" s="198">
        <v>21</v>
      </c>
      <c r="B31" s="199" t="str">
        <f>[1]CONTEXTO!D21</f>
        <v>Omisión en la aplicación de la normativa asociada al seguimiento y/o evaluación</v>
      </c>
      <c r="C31" s="200">
        <f>'[3]PRIORIZACIÓN DE CAUSA'!C24</f>
        <v>4</v>
      </c>
      <c r="D31" s="200">
        <f>'[3]PRIORIZACIÓN DE CAUSA'!D24</f>
        <v>3</v>
      </c>
      <c r="E31" s="200">
        <f>'[3]PRIORIZACIÓN DE CAUSA'!E24</f>
        <v>2</v>
      </c>
      <c r="F31" s="200">
        <f>'[3]PRIORIZACIÓN DE CAUSA'!F24</f>
        <v>3</v>
      </c>
      <c r="G31" s="200">
        <f>'[3]PRIORIZACIÓN DE CAUSA'!G24</f>
        <v>2</v>
      </c>
      <c r="H31" s="200">
        <f>'[3]PRIORIZACIÓN DE CAUSA'!H24</f>
        <v>1</v>
      </c>
      <c r="I31" s="161"/>
      <c r="J31" s="161"/>
      <c r="K31" s="161"/>
      <c r="L31" s="161"/>
      <c r="M31" s="161"/>
      <c r="N31" s="161"/>
      <c r="O31" s="161"/>
      <c r="P31" s="161"/>
      <c r="Q31" s="161"/>
      <c r="R31" s="269">
        <f t="shared" si="0"/>
        <v>15</v>
      </c>
      <c r="S31" s="270">
        <f t="shared" si="1"/>
        <v>2.5</v>
      </c>
      <c r="T31" s="272" t="str">
        <f t="shared" si="2"/>
        <v>NO</v>
      </c>
    </row>
    <row r="32" spans="1:20" x14ac:dyDescent="0.3">
      <c r="A32" s="198">
        <v>22</v>
      </c>
      <c r="B32" s="199" t="str">
        <f>[1]CONTEXTO!D23</f>
        <v>Prevalencia de intereses particulares sobre intereses generales.</v>
      </c>
      <c r="C32" s="200">
        <f>'[3]PRIORIZACIÓN DE CAUSA'!C25</f>
        <v>4</v>
      </c>
      <c r="D32" s="200">
        <v>4</v>
      </c>
      <c r="E32" s="200">
        <v>5</v>
      </c>
      <c r="F32" s="200">
        <v>5</v>
      </c>
      <c r="G32" s="200">
        <v>4</v>
      </c>
      <c r="H32" s="200">
        <v>4</v>
      </c>
      <c r="I32" s="161"/>
      <c r="J32" s="161"/>
      <c r="K32" s="161"/>
      <c r="L32" s="161"/>
      <c r="M32" s="161"/>
      <c r="N32" s="161"/>
      <c r="O32" s="161"/>
      <c r="P32" s="161"/>
      <c r="Q32" s="161"/>
      <c r="R32" s="269">
        <f t="shared" si="0"/>
        <v>26</v>
      </c>
      <c r="S32" s="270">
        <f t="shared" si="1"/>
        <v>4.333333333333333</v>
      </c>
      <c r="T32" s="272" t="str">
        <f t="shared" si="2"/>
        <v>SI</v>
      </c>
    </row>
    <row r="33" spans="1:20" ht="27.6" x14ac:dyDescent="0.3">
      <c r="A33" s="198">
        <v>23</v>
      </c>
      <c r="B33" s="199" t="str">
        <f>[1]CONTEXTO!D24</f>
        <v xml:space="preserve">Omitir información relevante para la auditoría, con conocimiento de causa. </v>
      </c>
      <c r="C33" s="200">
        <v>4</v>
      </c>
      <c r="D33" s="200">
        <v>4</v>
      </c>
      <c r="E33" s="200">
        <v>4</v>
      </c>
      <c r="F33" s="200">
        <v>4</v>
      </c>
      <c r="G33" s="200">
        <v>4</v>
      </c>
      <c r="H33" s="200">
        <v>2</v>
      </c>
      <c r="I33" s="161"/>
      <c r="J33" s="161"/>
      <c r="K33" s="161"/>
      <c r="L33" s="161"/>
      <c r="M33" s="161"/>
      <c r="N33" s="161"/>
      <c r="O33" s="161"/>
      <c r="P33" s="161"/>
      <c r="Q33" s="161"/>
      <c r="R33" s="269">
        <f t="shared" si="0"/>
        <v>22</v>
      </c>
      <c r="S33" s="270">
        <f t="shared" si="1"/>
        <v>3.6666666666666665</v>
      </c>
      <c r="T33" s="272" t="str">
        <f t="shared" si="2"/>
        <v>NO</v>
      </c>
    </row>
    <row r="34" spans="1:20" ht="41.4" x14ac:dyDescent="0.3">
      <c r="A34" s="198">
        <v>24</v>
      </c>
      <c r="B34" s="199" t="str">
        <f>[1]CONTEXTO!D26</f>
        <v xml:space="preserve">Deficiencia en la infraestructura tecnológica que soporta la plataforma pisami, generando lentitud e indisponibilidad del sistema de información. </v>
      </c>
      <c r="C34" s="200">
        <f>'[3]PRIORIZACIÓN DE CAUSA'!C28</f>
        <v>4</v>
      </c>
      <c r="D34" s="200">
        <f>'[3]PRIORIZACIÓN DE CAUSA'!D28</f>
        <v>4</v>
      </c>
      <c r="E34" s="200">
        <f>'[3]PRIORIZACIÓN DE CAUSA'!E28</f>
        <v>5</v>
      </c>
      <c r="F34" s="200">
        <f>'[3]PRIORIZACIÓN DE CAUSA'!F28</f>
        <v>5</v>
      </c>
      <c r="G34" s="200">
        <f>'[3]PRIORIZACIÓN DE CAUSA'!G28</f>
        <v>4</v>
      </c>
      <c r="H34" s="200">
        <f>'[3]PRIORIZACIÓN DE CAUSA'!H28</f>
        <v>4</v>
      </c>
      <c r="I34" s="161"/>
      <c r="J34" s="161"/>
      <c r="K34" s="161"/>
      <c r="L34" s="161"/>
      <c r="M34" s="161"/>
      <c r="N34" s="161"/>
      <c r="O34" s="161"/>
      <c r="P34" s="161"/>
      <c r="Q34" s="161"/>
      <c r="R34" s="269">
        <f t="shared" si="0"/>
        <v>26</v>
      </c>
      <c r="S34" s="270">
        <f t="shared" si="1"/>
        <v>4.333333333333333</v>
      </c>
      <c r="T34" s="272" t="str">
        <f t="shared" si="2"/>
        <v>SI</v>
      </c>
    </row>
    <row r="35" spans="1:20" x14ac:dyDescent="0.3">
      <c r="A35" s="198">
        <v>25</v>
      </c>
      <c r="B35" s="199" t="str">
        <f>[1]CONTEXTO!D28</f>
        <v xml:space="preserve">Equipos tecnológicos obsoletos, </v>
      </c>
      <c r="C35" s="161">
        <f>'[2]PRIORIZACIÓN DE CAUSA'!C32</f>
        <v>4</v>
      </c>
      <c r="D35" s="161">
        <f>'[2]PRIORIZACIÓN DE CAUSA'!D32</f>
        <v>4</v>
      </c>
      <c r="E35" s="161">
        <f>'[2]PRIORIZACIÓN DE CAUSA'!E32</f>
        <v>4</v>
      </c>
      <c r="F35" s="161">
        <f>'[2]PRIORIZACIÓN DE CAUSA'!F32</f>
        <v>4</v>
      </c>
      <c r="G35" s="161">
        <f>'[2]PRIORIZACIÓN DE CAUSA'!G32</f>
        <v>4</v>
      </c>
      <c r="H35" s="161">
        <f>'[2]PRIORIZACIÓN DE CAUSA'!H32</f>
        <v>5</v>
      </c>
      <c r="I35" s="161"/>
      <c r="J35" s="161"/>
      <c r="K35" s="161"/>
      <c r="L35" s="161"/>
      <c r="M35" s="161"/>
      <c r="N35" s="161"/>
      <c r="O35" s="161"/>
      <c r="P35" s="161"/>
      <c r="Q35" s="161"/>
      <c r="R35" s="269">
        <f t="shared" si="0"/>
        <v>25</v>
      </c>
      <c r="S35" s="270">
        <f t="shared" si="1"/>
        <v>4.166666666666667</v>
      </c>
      <c r="T35" s="272" t="str">
        <f t="shared" si="2"/>
        <v>SI</v>
      </c>
    </row>
    <row r="36" spans="1:20" ht="27.6" x14ac:dyDescent="0.3">
      <c r="A36" s="198">
        <v>26</v>
      </c>
      <c r="B36" s="199" t="str">
        <f>[1]CONTEXTO!D30</f>
        <v>Unidades administrativas ubicadas en diferentes sitios de la ciudad (Ibagué).</v>
      </c>
      <c r="C36" s="200">
        <f>'[3]PRIORIZACIÓN DE CAUSA'!C30</f>
        <v>3</v>
      </c>
      <c r="D36" s="200">
        <f>'[3]PRIORIZACIÓN DE CAUSA'!D30</f>
        <v>3</v>
      </c>
      <c r="E36" s="200">
        <f>'[3]PRIORIZACIÓN DE CAUSA'!E30</f>
        <v>3</v>
      </c>
      <c r="F36" s="200">
        <f>'[3]PRIORIZACIÓN DE CAUSA'!F30</f>
        <v>3</v>
      </c>
      <c r="G36" s="200">
        <f>'[3]PRIORIZACIÓN DE CAUSA'!G30</f>
        <v>3</v>
      </c>
      <c r="H36" s="200">
        <f>'[3]PRIORIZACIÓN DE CAUSA'!H30</f>
        <v>4</v>
      </c>
      <c r="I36" s="161"/>
      <c r="J36" s="161"/>
      <c r="K36" s="161"/>
      <c r="L36" s="161"/>
      <c r="M36" s="161"/>
      <c r="N36" s="161"/>
      <c r="O36" s="161"/>
      <c r="P36" s="161"/>
      <c r="Q36" s="161"/>
      <c r="R36" s="269">
        <f t="shared" si="0"/>
        <v>19</v>
      </c>
      <c r="S36" s="270">
        <f t="shared" si="1"/>
        <v>3.1666666666666665</v>
      </c>
      <c r="T36" s="272" t="str">
        <f t="shared" si="2"/>
        <v>NO</v>
      </c>
    </row>
    <row r="37" spans="1:20" ht="27.6" x14ac:dyDescent="0.3">
      <c r="A37" s="198">
        <v>27</v>
      </c>
      <c r="B37" s="199" t="str">
        <f>[1]CONTEXTO!F12</f>
        <v xml:space="preserve">Ausencia de documentación e implementación de procedimientos en algunos procesos. </v>
      </c>
      <c r="C37" s="200">
        <v>4</v>
      </c>
      <c r="D37" s="200">
        <v>3</v>
      </c>
      <c r="E37" s="200">
        <v>4</v>
      </c>
      <c r="F37" s="200">
        <v>3</v>
      </c>
      <c r="G37" s="200">
        <v>3</v>
      </c>
      <c r="H37" s="200">
        <v>3</v>
      </c>
      <c r="I37" s="161"/>
      <c r="J37" s="161"/>
      <c r="K37" s="161"/>
      <c r="L37" s="161"/>
      <c r="M37" s="161"/>
      <c r="N37" s="161"/>
      <c r="O37" s="161"/>
      <c r="P37" s="161"/>
      <c r="Q37" s="161"/>
      <c r="R37" s="269">
        <f t="shared" si="0"/>
        <v>20</v>
      </c>
      <c r="S37" s="270">
        <f t="shared" si="1"/>
        <v>3.3333333333333335</v>
      </c>
      <c r="T37" s="272" t="str">
        <f t="shared" si="2"/>
        <v>NO</v>
      </c>
    </row>
    <row r="38" spans="1:20" ht="27.6" x14ac:dyDescent="0.3">
      <c r="A38" s="198">
        <v>28</v>
      </c>
      <c r="B38" s="199" t="str">
        <f>[1]CONTEXTO!F13</f>
        <v xml:space="preserve">Demoras en la entrega de información por parte de las unidades administrativas, en respuesta a los requerimientos de la oficina. </v>
      </c>
      <c r="C38" s="200">
        <v>5</v>
      </c>
      <c r="D38" s="200">
        <v>5</v>
      </c>
      <c r="E38" s="200">
        <v>5</v>
      </c>
      <c r="F38" s="200">
        <v>5</v>
      </c>
      <c r="G38" s="200">
        <v>5</v>
      </c>
      <c r="H38" s="200">
        <v>5</v>
      </c>
      <c r="I38" s="161"/>
      <c r="J38" s="161"/>
      <c r="K38" s="161"/>
      <c r="L38" s="161"/>
      <c r="M38" s="161"/>
      <c r="N38" s="161"/>
      <c r="O38" s="161"/>
      <c r="P38" s="161"/>
      <c r="Q38" s="161"/>
      <c r="R38" s="269">
        <f t="shared" si="0"/>
        <v>30</v>
      </c>
      <c r="S38" s="270">
        <f t="shared" si="1"/>
        <v>5</v>
      </c>
      <c r="T38" s="272" t="str">
        <f t="shared" si="2"/>
        <v>SI</v>
      </c>
    </row>
    <row r="39" spans="1:20" ht="27.6" x14ac:dyDescent="0.3">
      <c r="A39" s="198">
        <v>29</v>
      </c>
      <c r="B39" s="199" t="str">
        <f>[1]CONTEXTO!F14</f>
        <v>Ausencia de formulación controles y de registros en los procedimientos a auditar.</v>
      </c>
      <c r="C39" s="200">
        <f>'[3]PRIORIZACIÓN DE CAUSA'!C33</f>
        <v>4</v>
      </c>
      <c r="D39" s="200">
        <f>'[3]PRIORIZACIÓN DE CAUSA'!D33</f>
        <v>4</v>
      </c>
      <c r="E39" s="200">
        <f>'[3]PRIORIZACIÓN DE CAUSA'!E33</f>
        <v>4</v>
      </c>
      <c r="F39" s="200">
        <f>'[3]PRIORIZACIÓN DE CAUSA'!F33</f>
        <v>4</v>
      </c>
      <c r="G39" s="200">
        <f>'[3]PRIORIZACIÓN DE CAUSA'!G33</f>
        <v>4</v>
      </c>
      <c r="H39" s="200">
        <f>'[3]PRIORIZACIÓN DE CAUSA'!H33</f>
        <v>5</v>
      </c>
      <c r="I39" s="161"/>
      <c r="J39" s="161"/>
      <c r="K39" s="161"/>
      <c r="L39" s="161"/>
      <c r="M39" s="161"/>
      <c r="N39" s="161"/>
      <c r="O39" s="161"/>
      <c r="P39" s="161"/>
      <c r="Q39" s="161"/>
      <c r="R39" s="269">
        <f t="shared" si="0"/>
        <v>25</v>
      </c>
      <c r="S39" s="270">
        <f t="shared" si="1"/>
        <v>4.166666666666667</v>
      </c>
      <c r="T39" s="272" t="str">
        <f t="shared" si="2"/>
        <v>SI</v>
      </c>
    </row>
    <row r="40" spans="1:20" ht="55.2" x14ac:dyDescent="0.3">
      <c r="A40" s="198">
        <v>30</v>
      </c>
      <c r="B40" s="202" t="str">
        <f>[1]CONTEXTO!F16</f>
        <v>Falta de compromiso de los líderes de los procesos en la implementación de mejoras, asociadas a los planes de mejoramiento y en atención a las recomendaciones establecidas en los informes emitidos por la Oficina de Control Interno.</v>
      </c>
      <c r="C40" s="203">
        <v>5</v>
      </c>
      <c r="D40" s="203">
        <v>4</v>
      </c>
      <c r="E40" s="203">
        <v>5</v>
      </c>
      <c r="F40" s="203">
        <v>5</v>
      </c>
      <c r="G40" s="203">
        <v>4</v>
      </c>
      <c r="H40" s="203">
        <v>5</v>
      </c>
      <c r="I40" s="161"/>
      <c r="J40" s="161"/>
      <c r="K40" s="161"/>
      <c r="L40" s="161"/>
      <c r="M40" s="161"/>
      <c r="N40" s="161"/>
      <c r="O40" s="161"/>
      <c r="P40" s="161"/>
      <c r="Q40" s="161"/>
      <c r="R40" s="269">
        <f t="shared" si="0"/>
        <v>28</v>
      </c>
      <c r="S40" s="270">
        <f t="shared" si="1"/>
        <v>4.666666666666667</v>
      </c>
      <c r="T40" s="272" t="str">
        <f t="shared" si="2"/>
        <v>SI</v>
      </c>
    </row>
    <row r="41" spans="1:20" ht="27.6" x14ac:dyDescent="0.3">
      <c r="A41" s="198">
        <v>31</v>
      </c>
      <c r="B41" s="199" t="str">
        <f>[1]CONTEXTO!F18</f>
        <v xml:space="preserve">Falta de articulación entre la Secretaría de Planeación y la Oficina de Control Interno. </v>
      </c>
      <c r="C41" s="161">
        <f>'[3]PRIORIZACIÓN DE CAUSA'!C27</f>
        <v>4</v>
      </c>
      <c r="D41" s="161">
        <f>'[3]PRIORIZACIÓN DE CAUSA'!D27</f>
        <v>4</v>
      </c>
      <c r="E41" s="161">
        <f>'[3]PRIORIZACIÓN DE CAUSA'!E27</f>
        <v>4</v>
      </c>
      <c r="F41" s="161">
        <f>'[3]PRIORIZACIÓN DE CAUSA'!F27</f>
        <v>4</v>
      </c>
      <c r="G41" s="161">
        <f>'[3]PRIORIZACIÓN DE CAUSA'!G27</f>
        <v>4</v>
      </c>
      <c r="H41" s="161">
        <f>'[3]PRIORIZACIÓN DE CAUSA'!H27</f>
        <v>5</v>
      </c>
      <c r="I41" s="161"/>
      <c r="J41" s="161"/>
      <c r="K41" s="161"/>
      <c r="L41" s="161"/>
      <c r="M41" s="161"/>
      <c r="N41" s="161"/>
      <c r="O41" s="161"/>
      <c r="P41" s="161"/>
      <c r="Q41" s="161"/>
      <c r="R41" s="269">
        <f t="shared" si="0"/>
        <v>25</v>
      </c>
      <c r="S41" s="270">
        <f t="shared" si="1"/>
        <v>4.166666666666667</v>
      </c>
      <c r="T41" s="272" t="str">
        <f t="shared" si="2"/>
        <v>SI</v>
      </c>
    </row>
    <row r="42" spans="1:20" x14ac:dyDescent="0.3">
      <c r="A42" s="198">
        <v>32</v>
      </c>
      <c r="B42" s="273" t="str">
        <f>[4]Contexto!F19</f>
        <v xml:space="preserve">Desconocimiento de la actualización normativa. </v>
      </c>
      <c r="C42" s="200">
        <f>'[3]PRIORIZACIÓN DE CAUSA'!C35</f>
        <v>3</v>
      </c>
      <c r="D42" s="200">
        <f>'[3]PRIORIZACIÓN DE CAUSA'!D35</f>
        <v>5</v>
      </c>
      <c r="E42" s="200">
        <f>'[3]PRIORIZACIÓN DE CAUSA'!E35</f>
        <v>3</v>
      </c>
      <c r="F42" s="200">
        <f>'[3]PRIORIZACIÓN DE CAUSA'!F35</f>
        <v>4</v>
      </c>
      <c r="G42" s="200">
        <f>'[3]PRIORIZACIÓN DE CAUSA'!G35</f>
        <v>5</v>
      </c>
      <c r="H42" s="200">
        <f>'[3]PRIORIZACIÓN DE CAUSA'!H35</f>
        <v>4</v>
      </c>
      <c r="I42" s="161"/>
      <c r="J42" s="161"/>
      <c r="K42" s="161"/>
      <c r="L42" s="161"/>
      <c r="M42" s="161"/>
      <c r="N42" s="161"/>
      <c r="O42" s="161"/>
      <c r="P42" s="161"/>
      <c r="Q42" s="161"/>
      <c r="R42" s="269">
        <f t="shared" si="0"/>
        <v>24</v>
      </c>
      <c r="S42" s="270">
        <f t="shared" si="1"/>
        <v>4</v>
      </c>
      <c r="T42" s="272" t="str">
        <f t="shared" si="2"/>
        <v>SI</v>
      </c>
    </row>
    <row r="43" spans="1:20" ht="15" thickBot="1" x14ac:dyDescent="0.35">
      <c r="A43" s="204">
        <v>33</v>
      </c>
      <c r="B43" s="205" t="s">
        <v>285</v>
      </c>
      <c r="C43" s="206">
        <v>4</v>
      </c>
      <c r="D43" s="206">
        <v>4</v>
      </c>
      <c r="E43" s="206">
        <v>5</v>
      </c>
      <c r="F43" s="206">
        <v>5</v>
      </c>
      <c r="G43" s="206">
        <v>4</v>
      </c>
      <c r="H43" s="206">
        <v>4</v>
      </c>
      <c r="I43" s="274"/>
      <c r="J43" s="274"/>
      <c r="K43" s="274"/>
      <c r="L43" s="274"/>
      <c r="M43" s="274"/>
      <c r="N43" s="274"/>
      <c r="O43" s="274"/>
      <c r="P43" s="274"/>
      <c r="Q43" s="274"/>
      <c r="R43" s="275">
        <f t="shared" si="0"/>
        <v>26</v>
      </c>
      <c r="S43" s="276">
        <f t="shared" si="1"/>
        <v>4.333333333333333</v>
      </c>
      <c r="T43" s="277" t="s">
        <v>291</v>
      </c>
    </row>
    <row r="44" spans="1:20" ht="27.6" x14ac:dyDescent="0.3">
      <c r="A44" s="278">
        <v>34</v>
      </c>
      <c r="B44" s="279" t="str">
        <f>[5]Contexto!B21</f>
        <v xml:space="preserve">Adquisición de equipos eficientes energéticamente (con menor consumo de energía). </v>
      </c>
      <c r="C44" s="278">
        <v>4</v>
      </c>
      <c r="D44" s="278">
        <v>4</v>
      </c>
      <c r="E44" s="278">
        <v>5</v>
      </c>
      <c r="F44" s="278">
        <v>5</v>
      </c>
      <c r="G44" s="278">
        <v>4</v>
      </c>
      <c r="H44" s="278">
        <v>4</v>
      </c>
      <c r="I44" s="278"/>
      <c r="J44" s="278"/>
      <c r="K44" s="278"/>
      <c r="L44" s="278"/>
      <c r="M44" s="278"/>
      <c r="N44" s="278"/>
      <c r="O44" s="278"/>
      <c r="P44" s="278"/>
      <c r="Q44" s="280"/>
      <c r="R44" s="281">
        <f t="shared" si="0"/>
        <v>26</v>
      </c>
      <c r="S44" s="282">
        <f>R44/6</f>
        <v>4.333333333333333</v>
      </c>
      <c r="T44" s="272" t="str">
        <f t="shared" ref="T44:T48" si="3">IF(S44&gt;=4, "SI", "NO")</f>
        <v>SI</v>
      </c>
    </row>
    <row r="45" spans="1:20" ht="27.6" x14ac:dyDescent="0.3">
      <c r="A45" s="278">
        <v>35</v>
      </c>
      <c r="B45" s="283" t="str">
        <f>[5]Contexto!D21</f>
        <v>Omisión en la aplicación de la normativa asociada al seguimiento y/o evaluación</v>
      </c>
      <c r="C45" s="278">
        <v>5</v>
      </c>
      <c r="D45" s="278">
        <v>4</v>
      </c>
      <c r="E45" s="278">
        <v>4</v>
      </c>
      <c r="F45" s="278">
        <v>4</v>
      </c>
      <c r="G45" s="278">
        <v>4</v>
      </c>
      <c r="H45" s="278">
        <v>4</v>
      </c>
      <c r="I45" s="278"/>
      <c r="J45" s="278"/>
      <c r="K45" s="278"/>
      <c r="L45" s="278"/>
      <c r="M45" s="278"/>
      <c r="N45" s="278"/>
      <c r="O45" s="278"/>
      <c r="P45" s="278"/>
      <c r="Q45" s="280"/>
      <c r="R45" s="281">
        <f t="shared" si="0"/>
        <v>25</v>
      </c>
      <c r="S45" s="282">
        <f>R45/6</f>
        <v>4.166666666666667</v>
      </c>
      <c r="T45" s="272" t="str">
        <f t="shared" si="3"/>
        <v>SI</v>
      </c>
    </row>
    <row r="46" spans="1:20" ht="27.6" x14ac:dyDescent="0.3">
      <c r="A46" s="278">
        <v>36</v>
      </c>
      <c r="B46" s="283" t="str">
        <f>[5]Contexto!D24</f>
        <v xml:space="preserve">Omitir información relevante para la auditoría, con conocimiento de causa. </v>
      </c>
      <c r="C46" s="278">
        <v>4</v>
      </c>
      <c r="D46" s="278">
        <v>4</v>
      </c>
      <c r="E46" s="278">
        <v>4</v>
      </c>
      <c r="F46" s="278">
        <v>4</v>
      </c>
      <c r="G46" s="278">
        <v>4</v>
      </c>
      <c r="H46" s="278">
        <v>4</v>
      </c>
      <c r="I46" s="278"/>
      <c r="J46" s="278"/>
      <c r="K46" s="278"/>
      <c r="L46" s="278"/>
      <c r="M46" s="278"/>
      <c r="N46" s="278"/>
      <c r="O46" s="278"/>
      <c r="P46" s="278"/>
      <c r="Q46" s="280"/>
      <c r="R46" s="281">
        <f t="shared" si="0"/>
        <v>24</v>
      </c>
      <c r="S46" s="282">
        <f t="shared" ref="S46:S53" si="4">R46/6</f>
        <v>4</v>
      </c>
      <c r="T46" s="272" t="str">
        <f t="shared" si="3"/>
        <v>SI</v>
      </c>
    </row>
    <row r="47" spans="1:20" ht="27.6" x14ac:dyDescent="0.3">
      <c r="A47" s="278">
        <v>37</v>
      </c>
      <c r="B47" s="283" t="str">
        <f>[5]Contexto!F14</f>
        <v>Ausencia  de formulación controles  y  de registros en los procedimientos a auditar.</v>
      </c>
      <c r="C47" s="278">
        <v>5</v>
      </c>
      <c r="D47" s="278">
        <v>5</v>
      </c>
      <c r="E47" s="278">
        <v>4</v>
      </c>
      <c r="F47" s="278">
        <v>4</v>
      </c>
      <c r="G47" s="278">
        <v>4</v>
      </c>
      <c r="H47" s="278">
        <v>4</v>
      </c>
      <c r="I47" s="278"/>
      <c r="J47" s="278"/>
      <c r="K47" s="278"/>
      <c r="L47" s="278"/>
      <c r="M47" s="278"/>
      <c r="N47" s="278"/>
      <c r="O47" s="278"/>
      <c r="P47" s="278"/>
      <c r="Q47" s="280"/>
      <c r="R47" s="281">
        <f t="shared" si="0"/>
        <v>26</v>
      </c>
      <c r="S47" s="282">
        <f t="shared" si="4"/>
        <v>4.333333333333333</v>
      </c>
      <c r="T47" s="272" t="str">
        <f t="shared" si="3"/>
        <v>SI</v>
      </c>
    </row>
    <row r="48" spans="1:20" ht="58.5" customHeight="1" x14ac:dyDescent="0.3">
      <c r="A48" s="160">
        <v>38</v>
      </c>
      <c r="B48" s="284" t="str">
        <f>[1]CONTEXTO!F17</f>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
      <c r="C48" s="278">
        <v>5</v>
      </c>
      <c r="D48" s="278">
        <v>5</v>
      </c>
      <c r="E48" s="278">
        <v>4</v>
      </c>
      <c r="F48" s="278">
        <v>4</v>
      </c>
      <c r="G48" s="278">
        <v>4</v>
      </c>
      <c r="H48" s="278">
        <v>4</v>
      </c>
      <c r="I48" s="278"/>
      <c r="J48" s="278"/>
      <c r="K48" s="278"/>
      <c r="L48" s="278"/>
      <c r="M48" s="278"/>
      <c r="N48" s="278"/>
      <c r="O48" s="278"/>
      <c r="P48" s="278"/>
      <c r="Q48" s="280"/>
      <c r="R48" s="281">
        <f t="shared" si="0"/>
        <v>26</v>
      </c>
      <c r="S48" s="282">
        <f t="shared" si="4"/>
        <v>4.333333333333333</v>
      </c>
      <c r="T48" s="272" t="str">
        <f t="shared" si="3"/>
        <v>SI</v>
      </c>
    </row>
    <row r="49" spans="1:25" ht="34.5" customHeight="1" x14ac:dyDescent="0.3">
      <c r="A49" s="285">
        <v>39</v>
      </c>
      <c r="B49" s="205" t="str">
        <f>[1]CONTEXTO!B27</f>
        <v>Desarrollo Sostenible</v>
      </c>
      <c r="C49" s="206">
        <v>4</v>
      </c>
      <c r="D49" s="206">
        <v>3</v>
      </c>
      <c r="E49" s="206">
        <v>4</v>
      </c>
      <c r="F49" s="206">
        <v>3</v>
      </c>
      <c r="G49" s="206">
        <v>4</v>
      </c>
      <c r="H49" s="206">
        <v>4</v>
      </c>
      <c r="I49" s="220"/>
      <c r="J49" s="220"/>
      <c r="K49" s="220"/>
      <c r="L49" s="220"/>
      <c r="M49" s="220"/>
      <c r="N49" s="220"/>
      <c r="O49" s="220"/>
      <c r="P49" s="220"/>
      <c r="Q49" s="220"/>
      <c r="R49" s="286">
        <f t="shared" si="0"/>
        <v>22</v>
      </c>
      <c r="S49" s="287">
        <f t="shared" si="4"/>
        <v>3.6666666666666665</v>
      </c>
      <c r="T49" s="288" t="str">
        <f>IF(S49&gt;=4, "SI", "NO")</f>
        <v>NO</v>
      </c>
    </row>
    <row r="50" spans="1:25" ht="63.75" customHeight="1" x14ac:dyDescent="0.3">
      <c r="A50" s="285">
        <v>40</v>
      </c>
      <c r="B50" s="205" t="str">
        <f>[4]Contexto!D25</f>
        <v xml:space="preserve">Desconocimiento del personal adscrito a la Oficina de control interno de los  cambios normativos que impliquen  nuevos informes a cargo de la Oficina  o modificaciones a la periodicidad del reporte de los informes de ley. </v>
      </c>
      <c r="C50" s="206">
        <v>5</v>
      </c>
      <c r="D50" s="206">
        <v>5</v>
      </c>
      <c r="E50" s="206">
        <v>4</v>
      </c>
      <c r="F50" s="206">
        <v>4</v>
      </c>
      <c r="G50" s="206">
        <v>5</v>
      </c>
      <c r="H50" s="206">
        <v>4</v>
      </c>
      <c r="I50" s="220"/>
      <c r="J50" s="220"/>
      <c r="K50" s="220"/>
      <c r="L50" s="220"/>
      <c r="M50" s="220"/>
      <c r="N50" s="220"/>
      <c r="O50" s="220"/>
      <c r="P50" s="220"/>
      <c r="Q50" s="220"/>
      <c r="R50" s="286">
        <f t="shared" si="0"/>
        <v>27</v>
      </c>
      <c r="S50" s="287">
        <f t="shared" si="4"/>
        <v>4.5</v>
      </c>
      <c r="T50" s="289" t="str">
        <f>IF(S50&gt;=4, "SI", "NO")</f>
        <v>SI</v>
      </c>
    </row>
    <row r="51" spans="1:25" ht="63.75" customHeight="1" x14ac:dyDescent="0.3">
      <c r="A51" s="285">
        <v>41</v>
      </c>
      <c r="B51" s="205" t="str">
        <f>[4]Contexto!D22</f>
        <v xml:space="preserve">Olvido de los informes  generados  por la Oficina de control interno  y  pendientes de socialización  a la Alta Dirección  en el Comité de Coordinación de Control Interno, en el momento previo a la  convocatoria  para la  elaboración del orden del dia. </v>
      </c>
      <c r="C51" s="206">
        <v>5</v>
      </c>
      <c r="D51" s="206">
        <v>4</v>
      </c>
      <c r="E51" s="206">
        <v>5</v>
      </c>
      <c r="F51" s="206">
        <v>5</v>
      </c>
      <c r="G51" s="206">
        <v>5</v>
      </c>
      <c r="H51" s="206">
        <v>4</v>
      </c>
      <c r="I51" s="220"/>
      <c r="J51" s="220"/>
      <c r="K51" s="220"/>
      <c r="L51" s="220"/>
      <c r="M51" s="220"/>
      <c r="N51" s="220"/>
      <c r="O51" s="220"/>
      <c r="P51" s="220"/>
      <c r="Q51" s="220"/>
      <c r="R51" s="286">
        <f t="shared" si="0"/>
        <v>28</v>
      </c>
      <c r="S51" s="287">
        <f t="shared" si="4"/>
        <v>4.666666666666667</v>
      </c>
      <c r="T51" s="289" t="str">
        <f>IF(S51&gt;=4, "SI", "NO")</f>
        <v>SI</v>
      </c>
    </row>
    <row r="52" spans="1:25" ht="84.75" customHeight="1" x14ac:dyDescent="0.3">
      <c r="A52" s="285">
        <v>42</v>
      </c>
      <c r="B52" s="199" t="str">
        <f>[4]Contexto!F15</f>
        <v>Líderes de proceso asignando   en personal vinculado mediante contrato de prestación de servicios la responsabilidad de reportes de ley a los entes de control, y a su vez, la emisión de respuestas a los requerimientos de dichos entes.</v>
      </c>
      <c r="C52" s="203">
        <v>4</v>
      </c>
      <c r="D52" s="203">
        <v>5</v>
      </c>
      <c r="E52" s="203">
        <v>4</v>
      </c>
      <c r="F52" s="203">
        <v>5</v>
      </c>
      <c r="G52" s="203">
        <v>4</v>
      </c>
      <c r="H52" s="203">
        <v>4</v>
      </c>
      <c r="I52" s="201"/>
      <c r="J52" s="201"/>
      <c r="K52" s="201"/>
      <c r="L52" s="201"/>
      <c r="M52" s="201"/>
      <c r="N52" s="201"/>
      <c r="O52" s="201"/>
      <c r="P52" s="201"/>
      <c r="Q52" s="201"/>
      <c r="R52" s="160">
        <f t="shared" si="0"/>
        <v>26</v>
      </c>
      <c r="S52" s="282">
        <f t="shared" si="4"/>
        <v>4.333333333333333</v>
      </c>
      <c r="T52" s="289" t="str">
        <f>IF(S52&gt;=4, "SI", "NO")</f>
        <v>SI</v>
      </c>
    </row>
    <row r="53" spans="1:25" ht="84.75" customHeight="1" thickBot="1" x14ac:dyDescent="0.35">
      <c r="A53" s="285">
        <v>43</v>
      </c>
      <c r="B53" s="199" t="str">
        <f>[4]Contexto!B22</f>
        <v>Entidades públicas realizando cargue  de informes de ley  a través de aplicativos de entes de control,  de forma simultanea. (Control interno contable, derechos de autor y furag)</v>
      </c>
      <c r="C53" s="203">
        <v>5</v>
      </c>
      <c r="D53" s="203">
        <v>4</v>
      </c>
      <c r="E53" s="203">
        <v>5</v>
      </c>
      <c r="F53" s="203">
        <v>5</v>
      </c>
      <c r="G53" s="203">
        <v>4</v>
      </c>
      <c r="H53" s="203">
        <v>4</v>
      </c>
      <c r="I53" s="201"/>
      <c r="J53" s="201"/>
      <c r="K53" s="201"/>
      <c r="L53" s="201"/>
      <c r="M53" s="201"/>
      <c r="N53" s="201"/>
      <c r="O53" s="201"/>
      <c r="P53" s="201"/>
      <c r="Q53" s="201"/>
      <c r="R53" s="160">
        <f t="shared" si="0"/>
        <v>27</v>
      </c>
      <c r="S53" s="219">
        <f t="shared" si="4"/>
        <v>4.5</v>
      </c>
      <c r="T53" s="289" t="str">
        <f>IF(S53&gt;=4, "SI", "NO")</f>
        <v>SI</v>
      </c>
    </row>
    <row r="54" spans="1:25" ht="24" customHeight="1" x14ac:dyDescent="0.3">
      <c r="A54" s="381" t="s">
        <v>243</v>
      </c>
      <c r="B54" s="382"/>
      <c r="C54" s="382"/>
      <c r="D54" s="382"/>
      <c r="E54" s="382"/>
      <c r="F54" s="382"/>
      <c r="G54" s="382"/>
      <c r="H54" s="382"/>
      <c r="I54" s="382"/>
      <c r="J54" s="382"/>
      <c r="K54" s="382"/>
      <c r="L54" s="382"/>
      <c r="M54" s="382"/>
      <c r="N54" s="382"/>
      <c r="O54" s="382"/>
      <c r="P54" s="382"/>
      <c r="Q54" s="382"/>
      <c r="R54" s="383"/>
      <c r="S54" s="207">
        <f>SUM(R11:R53)</f>
        <v>1053</v>
      </c>
      <c r="T54" s="208"/>
    </row>
    <row r="55" spans="1:25" ht="25.5" customHeight="1" thickBot="1" x14ac:dyDescent="0.35">
      <c r="A55" s="372" t="s">
        <v>242</v>
      </c>
      <c r="B55" s="373"/>
      <c r="C55" s="373"/>
      <c r="D55" s="373"/>
      <c r="E55" s="373"/>
      <c r="F55" s="373"/>
      <c r="G55" s="373"/>
      <c r="H55" s="373"/>
      <c r="I55" s="373"/>
      <c r="J55" s="373"/>
      <c r="K55" s="373"/>
      <c r="L55" s="373"/>
      <c r="M55" s="373"/>
      <c r="N55" s="373"/>
      <c r="O55" s="373"/>
      <c r="P55" s="373"/>
      <c r="Q55" s="373"/>
      <c r="R55" s="373"/>
      <c r="S55" s="209">
        <f>AVERAGE(S11:S53)</f>
        <v>4.0813953488372103</v>
      </c>
      <c r="T55" s="210"/>
      <c r="U55" s="211" t="s">
        <v>292</v>
      </c>
      <c r="V55" s="211"/>
      <c r="W55" s="211"/>
      <c r="X55" s="211"/>
      <c r="Y55" s="211"/>
    </row>
  </sheetData>
  <sheetProtection selectLockedCells="1"/>
  <mergeCells count="15">
    <mergeCell ref="A55:R55"/>
    <mergeCell ref="A5:T5"/>
    <mergeCell ref="A6:T6"/>
    <mergeCell ref="A7:T7"/>
    <mergeCell ref="A8:T8"/>
    <mergeCell ref="A9:T9"/>
    <mergeCell ref="A54:R54"/>
    <mergeCell ref="A1:A4"/>
    <mergeCell ref="B1:P2"/>
    <mergeCell ref="Q1:S1"/>
    <mergeCell ref="T1:T4"/>
    <mergeCell ref="Q2:S2"/>
    <mergeCell ref="B3:P4"/>
    <mergeCell ref="Q3:S3"/>
    <mergeCell ref="Q4:S4"/>
  </mergeCells>
  <conditionalFormatting sqref="T11:T43">
    <cfRule type="colorScale" priority="12">
      <colorScale>
        <cfvo type="min"/>
        <cfvo type="percentile" val="50"/>
        <cfvo type="max"/>
        <color rgb="FF63BE7B"/>
        <color rgb="FFFFEB84"/>
        <color rgb="FFF8696B"/>
      </colorScale>
    </cfRule>
    <cfRule type="dataBar" priority="13">
      <dataBar>
        <cfvo type="min"/>
        <cfvo type="max"/>
        <color rgb="FFFFB628"/>
      </dataBar>
      <extLst>
        <ext xmlns:x14="http://schemas.microsoft.com/office/spreadsheetml/2009/9/main" uri="{B025F937-C7B1-47D3-B67F-A62EFF666E3E}">
          <x14:id>{C4352D47-EBC1-439B-B6A6-201BCF7CBBD4}</x14:id>
        </ext>
      </extLst>
    </cfRule>
  </conditionalFormatting>
  <conditionalFormatting sqref="T11:T53">
    <cfRule type="containsText" dxfId="39" priority="1" operator="containsText" text="SI">
      <formula>NOT(ISERROR(SEARCH("SI",T11)))</formula>
    </cfRule>
    <cfRule type="containsText" dxfId="38" priority="2" operator="containsText" text="SELECCIONADA">
      <formula>NOT(ISERROR(SEARCH("SELECCIONADA",T11)))</formula>
    </cfRule>
  </conditionalFormatting>
  <conditionalFormatting sqref="T44:T48">
    <cfRule type="colorScale" priority="7">
      <colorScale>
        <cfvo type="min"/>
        <cfvo type="percentile" val="50"/>
        <cfvo type="max"/>
        <color rgb="FF63BE7B"/>
        <color rgb="FFFFEB84"/>
        <color rgb="FFF8696B"/>
      </colorScale>
    </cfRule>
    <cfRule type="dataBar" priority="8">
      <dataBar>
        <cfvo type="min"/>
        <cfvo type="max"/>
        <color rgb="FFFFB628"/>
      </dataBar>
      <extLst>
        <ext xmlns:x14="http://schemas.microsoft.com/office/spreadsheetml/2009/9/main" uri="{B025F937-C7B1-47D3-B67F-A62EFF666E3E}">
          <x14:id>{DE1414EE-CCD7-4B27-B68C-4320679E918A}</x14:id>
        </ext>
      </extLst>
    </cfRule>
  </conditionalFormatting>
  <conditionalFormatting sqref="T49:T53">
    <cfRule type="colorScale" priority="3">
      <colorScale>
        <cfvo type="min"/>
        <cfvo type="percentile" val="50"/>
        <cfvo type="max"/>
        <color rgb="FF63BE7B"/>
        <color rgb="FFFFEB84"/>
        <color rgb="FFF8696B"/>
      </colorScale>
    </cfRule>
    <cfRule type="dataBar" priority="4">
      <dataBar>
        <cfvo type="min"/>
        <cfvo type="max"/>
        <color rgb="FFFFB628"/>
      </dataBar>
      <extLst>
        <ext xmlns:x14="http://schemas.microsoft.com/office/spreadsheetml/2009/9/main" uri="{B025F937-C7B1-47D3-B67F-A62EFF666E3E}">
          <x14:id>{44CD78FB-97DF-4E03-A4B3-5176F9C96462}</x14:id>
        </ext>
      </extLst>
    </cfRule>
  </conditionalFormatting>
  <conditionalFormatting sqref="W14">
    <cfRule type="dataBar" priority="11">
      <dataBar>
        <cfvo type="min"/>
        <cfvo type="max"/>
        <color rgb="FFFFB628"/>
      </dataBar>
      <extLst>
        <ext xmlns:x14="http://schemas.microsoft.com/office/spreadsheetml/2009/9/main" uri="{B025F937-C7B1-47D3-B67F-A62EFF666E3E}">
          <x14:id>{5D9812A8-F52C-4113-8605-2671D55AF40A}</x14:id>
        </ext>
      </extLst>
    </cfRule>
  </conditionalFormatting>
  <dataValidations count="2">
    <dataValidation type="whole" allowBlank="1" showInputMessage="1" showErrorMessage="1" sqref="I11:Q32 C24:H25 C11:H18 C29:H30 C32:H33" xr:uid="{00000000-0002-0000-0200-000000000000}">
      <formula1>1</formula1>
      <formula2>10</formula2>
    </dataValidation>
    <dataValidation type="decimal" allowBlank="1" showInputMessage="1" showErrorMessage="1" prompt="DATO INVÁLIDO_x000a_Tenga en cuenta que la escala de calificación va de 1 a 5" sqref="C44:Q48" xr:uid="{00000000-0002-0000-0200-000001000000}">
      <formula1>1</formula1>
      <formula2>5</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4352D47-EBC1-439B-B6A6-201BCF7CBBD4}">
            <x14:dataBar minLength="0" maxLength="100" border="1" negativeBarBorderColorSameAsPositive="0">
              <x14:cfvo type="autoMin"/>
              <x14:cfvo type="autoMax"/>
              <x14:borderColor rgb="FFFFB628"/>
              <x14:negativeFillColor rgb="FFFF0000"/>
              <x14:negativeBorderColor rgb="FFFF0000"/>
              <x14:axisColor rgb="FF000000"/>
            </x14:dataBar>
          </x14:cfRule>
          <xm:sqref>T11:T43</xm:sqref>
        </x14:conditionalFormatting>
        <x14:conditionalFormatting xmlns:xm="http://schemas.microsoft.com/office/excel/2006/main">
          <x14:cfRule type="dataBar" id="{DE1414EE-CCD7-4B27-B68C-4320679E918A}">
            <x14:dataBar minLength="0" maxLength="100" border="1" negativeBarBorderColorSameAsPositive="0">
              <x14:cfvo type="autoMin"/>
              <x14:cfvo type="autoMax"/>
              <x14:borderColor rgb="FFFFB628"/>
              <x14:negativeFillColor rgb="FFFF0000"/>
              <x14:negativeBorderColor rgb="FFFF0000"/>
              <x14:axisColor rgb="FF000000"/>
            </x14:dataBar>
          </x14:cfRule>
          <xm:sqref>T44:T48</xm:sqref>
        </x14:conditionalFormatting>
        <x14:conditionalFormatting xmlns:xm="http://schemas.microsoft.com/office/excel/2006/main">
          <x14:cfRule type="dataBar" id="{44CD78FB-97DF-4E03-A4B3-5176F9C96462}">
            <x14:dataBar minLength="0" maxLength="100" border="1" negativeBarBorderColorSameAsPositive="0">
              <x14:cfvo type="autoMin"/>
              <x14:cfvo type="autoMax"/>
              <x14:borderColor rgb="FFFFB628"/>
              <x14:negativeFillColor rgb="FFFF0000"/>
              <x14:negativeBorderColor rgb="FFFF0000"/>
              <x14:axisColor rgb="FF000000"/>
            </x14:dataBar>
          </x14:cfRule>
          <xm:sqref>T49:T53</xm:sqref>
        </x14:conditionalFormatting>
        <x14:conditionalFormatting xmlns:xm="http://schemas.microsoft.com/office/excel/2006/main">
          <x14:cfRule type="dataBar" id="{5D9812A8-F52C-4113-8605-2671D55AF40A}">
            <x14:dataBar minLength="0" maxLength="100" border="1" negativeBarBorderColorSameAsPositive="0">
              <x14:cfvo type="autoMin"/>
              <x14:cfvo type="autoMax"/>
              <x14:borderColor rgb="FFFFB628"/>
              <x14:negativeFillColor rgb="FFFF0000"/>
              <x14:negativeBorderColor rgb="FFFF0000"/>
              <x14:axisColor rgb="FF000000"/>
            </x14:dataBar>
          </x14:cfRule>
          <xm:sqref>W14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6"/>
  <sheetViews>
    <sheetView topLeftCell="A49" zoomScale="80" zoomScaleNormal="80" workbookViewId="0">
      <selection activeCell="G51" sqref="G51:J51"/>
    </sheetView>
  </sheetViews>
  <sheetFormatPr baseColWidth="10" defaultColWidth="11.44140625" defaultRowHeight="13.8" x14ac:dyDescent="0.25"/>
  <cols>
    <col min="1" max="1" width="15.109375" style="145" customWidth="1"/>
    <col min="2" max="2" width="12.109375" style="145" customWidth="1"/>
    <col min="3" max="3" width="32.6640625" style="145" customWidth="1"/>
    <col min="4" max="4" width="39.33203125" style="145" customWidth="1"/>
    <col min="5" max="5" width="38" style="145" customWidth="1"/>
    <col min="6" max="6" width="35.6640625" style="145" customWidth="1"/>
    <col min="7" max="7" width="18.33203125" style="145" customWidth="1"/>
    <col min="8" max="8" width="15.5546875" style="145" customWidth="1"/>
    <col min="9" max="9" width="19.33203125" style="145" customWidth="1"/>
    <col min="10" max="10" width="14.5546875" style="145" customWidth="1"/>
    <col min="11" max="11" width="89" style="145" customWidth="1"/>
    <col min="12" max="16384" width="11.44140625" style="145"/>
  </cols>
  <sheetData>
    <row r="1" spans="1:14" ht="15" customHeight="1" x14ac:dyDescent="0.25">
      <c r="A1" s="499"/>
      <c r="B1" s="362"/>
      <c r="C1" s="362" t="s">
        <v>259</v>
      </c>
      <c r="D1" s="362"/>
      <c r="E1" s="362"/>
      <c r="F1" s="362"/>
      <c r="G1" s="363"/>
      <c r="H1" s="502" t="s">
        <v>436</v>
      </c>
      <c r="I1" s="503"/>
      <c r="J1" s="504"/>
      <c r="K1" s="144"/>
      <c r="N1" s="339"/>
    </row>
    <row r="2" spans="1:14" ht="15" customHeight="1" x14ac:dyDescent="0.25">
      <c r="A2" s="500"/>
      <c r="B2" s="364"/>
      <c r="C2" s="364"/>
      <c r="D2" s="364"/>
      <c r="E2" s="364"/>
      <c r="F2" s="364"/>
      <c r="G2" s="365"/>
      <c r="H2" s="507" t="s">
        <v>406</v>
      </c>
      <c r="I2" s="508"/>
      <c r="J2" s="505"/>
      <c r="K2" s="144"/>
      <c r="N2" s="339"/>
    </row>
    <row r="3" spans="1:14" ht="15" customHeight="1" x14ac:dyDescent="0.25">
      <c r="A3" s="500"/>
      <c r="B3" s="364"/>
      <c r="C3" s="364" t="s">
        <v>252</v>
      </c>
      <c r="D3" s="364"/>
      <c r="E3" s="364"/>
      <c r="F3" s="364"/>
      <c r="G3" s="365"/>
      <c r="H3" s="507" t="s">
        <v>407</v>
      </c>
      <c r="I3" s="508"/>
      <c r="J3" s="505"/>
      <c r="K3" s="144"/>
      <c r="N3" s="339"/>
    </row>
    <row r="4" spans="1:14" ht="15.75" customHeight="1" x14ac:dyDescent="0.25">
      <c r="A4" s="501"/>
      <c r="B4" s="370"/>
      <c r="C4" s="370"/>
      <c r="D4" s="370"/>
      <c r="E4" s="370"/>
      <c r="F4" s="370"/>
      <c r="G4" s="371"/>
      <c r="H4" s="507" t="s">
        <v>408</v>
      </c>
      <c r="I4" s="508"/>
      <c r="J4" s="506"/>
      <c r="K4" s="144"/>
      <c r="N4" s="339"/>
    </row>
    <row r="5" spans="1:14" ht="11.25" customHeight="1" x14ac:dyDescent="0.25">
      <c r="A5" s="482"/>
      <c r="B5" s="483"/>
      <c r="C5" s="483"/>
      <c r="D5" s="483"/>
      <c r="E5" s="483"/>
      <c r="F5" s="483"/>
      <c r="G5" s="483"/>
      <c r="H5" s="483"/>
      <c r="I5" s="483"/>
      <c r="J5" s="484"/>
      <c r="K5" s="144"/>
      <c r="N5" s="146"/>
    </row>
    <row r="6" spans="1:14" ht="15" customHeight="1" x14ac:dyDescent="0.25">
      <c r="A6" s="485" t="str">
        <f>[1]CONTEXTO!A8</f>
        <v xml:space="preserve">PROCESO: Gestión de Evaluación y Seguimiento </v>
      </c>
      <c r="B6" s="486"/>
      <c r="C6" s="486"/>
      <c r="D6" s="486"/>
      <c r="E6" s="486"/>
      <c r="F6" s="486"/>
      <c r="G6" s="486"/>
      <c r="H6" s="486"/>
      <c r="I6" s="486"/>
      <c r="J6" s="487"/>
    </row>
    <row r="7" spans="1:14" ht="32.25" customHeight="1" thickBot="1" x14ac:dyDescent="0.3">
      <c r="A7" s="488"/>
      <c r="B7" s="489"/>
      <c r="C7" s="489"/>
      <c r="D7" s="489"/>
      <c r="E7" s="489"/>
      <c r="F7" s="489"/>
      <c r="G7" s="489"/>
      <c r="H7" s="489"/>
      <c r="I7" s="489"/>
      <c r="J7" s="490"/>
    </row>
    <row r="8" spans="1:14" ht="23.25" customHeight="1" x14ac:dyDescent="0.25">
      <c r="A8" s="491" t="s">
        <v>244</v>
      </c>
      <c r="B8" s="491"/>
      <c r="C8" s="491"/>
      <c r="D8" s="491"/>
      <c r="E8" s="492" t="s">
        <v>217</v>
      </c>
      <c r="F8" s="493"/>
      <c r="G8" s="493"/>
      <c r="H8" s="493"/>
      <c r="I8" s="493"/>
      <c r="J8" s="494"/>
    </row>
    <row r="9" spans="1:14" ht="23.25" customHeight="1" x14ac:dyDescent="0.25">
      <c r="A9" s="491"/>
      <c r="B9" s="491"/>
      <c r="C9" s="491"/>
      <c r="D9" s="491"/>
      <c r="E9" s="491" t="s">
        <v>245</v>
      </c>
      <c r="F9" s="491"/>
      <c r="G9" s="491" t="s">
        <v>246</v>
      </c>
      <c r="H9" s="491"/>
      <c r="I9" s="491"/>
      <c r="J9" s="491"/>
    </row>
    <row r="10" spans="1:14" ht="23.25" customHeight="1" x14ac:dyDescent="0.25">
      <c r="A10" s="491"/>
      <c r="B10" s="491"/>
      <c r="C10" s="491"/>
      <c r="D10" s="491"/>
      <c r="E10" s="495" t="s">
        <v>247</v>
      </c>
      <c r="F10" s="495"/>
      <c r="G10" s="496" t="s">
        <v>248</v>
      </c>
      <c r="H10" s="461"/>
      <c r="I10" s="461"/>
      <c r="J10" s="462"/>
    </row>
    <row r="11" spans="1:14" ht="43.5" customHeight="1" x14ac:dyDescent="0.25">
      <c r="A11" s="491"/>
      <c r="B11" s="491"/>
      <c r="C11" s="491"/>
      <c r="D11" s="491"/>
      <c r="E11" s="464" t="s">
        <v>294</v>
      </c>
      <c r="F11" s="465"/>
      <c r="G11" s="456" t="s">
        <v>295</v>
      </c>
      <c r="H11" s="456"/>
      <c r="I11" s="456"/>
      <c r="J11" s="456"/>
    </row>
    <row r="12" spans="1:14" ht="43.5" customHeight="1" x14ac:dyDescent="0.25">
      <c r="A12" s="491"/>
      <c r="B12" s="491"/>
      <c r="C12" s="491"/>
      <c r="D12" s="491"/>
      <c r="E12" s="464" t="s">
        <v>296</v>
      </c>
      <c r="F12" s="465"/>
      <c r="G12" s="456" t="s">
        <v>297</v>
      </c>
      <c r="H12" s="456"/>
      <c r="I12" s="456"/>
      <c r="J12" s="456"/>
      <c r="K12" s="212"/>
    </row>
    <row r="13" spans="1:14" ht="43.5" customHeight="1" x14ac:dyDescent="0.25">
      <c r="A13" s="491"/>
      <c r="B13" s="491"/>
      <c r="C13" s="491"/>
      <c r="D13" s="491"/>
      <c r="E13" s="466" t="s">
        <v>298</v>
      </c>
      <c r="F13" s="467"/>
      <c r="G13" s="456" t="s">
        <v>299</v>
      </c>
      <c r="H13" s="456"/>
      <c r="I13" s="456"/>
      <c r="J13" s="456"/>
    </row>
    <row r="14" spans="1:14" ht="43.5" customHeight="1" x14ac:dyDescent="0.25">
      <c r="A14" s="491"/>
      <c r="B14" s="491"/>
      <c r="C14" s="491"/>
      <c r="D14" s="491"/>
      <c r="E14" s="464" t="s">
        <v>300</v>
      </c>
      <c r="F14" s="465"/>
      <c r="G14" s="456" t="s">
        <v>301</v>
      </c>
      <c r="H14" s="456"/>
      <c r="I14" s="456"/>
      <c r="J14" s="456"/>
    </row>
    <row r="15" spans="1:14" ht="49.5" customHeight="1" x14ac:dyDescent="0.25">
      <c r="A15" s="491"/>
      <c r="B15" s="491"/>
      <c r="C15" s="491"/>
      <c r="D15" s="491"/>
      <c r="E15" s="497" t="s">
        <v>302</v>
      </c>
      <c r="F15" s="498"/>
      <c r="G15" s="456" t="s">
        <v>303</v>
      </c>
      <c r="H15" s="456"/>
      <c r="I15" s="456"/>
      <c r="J15" s="456"/>
    </row>
    <row r="16" spans="1:14" ht="49.5" customHeight="1" x14ac:dyDescent="0.25">
      <c r="A16" s="491"/>
      <c r="B16" s="491"/>
      <c r="C16" s="491"/>
      <c r="D16" s="491"/>
      <c r="E16" s="464" t="s">
        <v>304</v>
      </c>
      <c r="F16" s="465"/>
      <c r="G16" s="456" t="s">
        <v>305</v>
      </c>
      <c r="H16" s="456"/>
      <c r="I16" s="456"/>
      <c r="J16" s="456"/>
      <c r="K16" s="479"/>
      <c r="L16" s="480"/>
    </row>
    <row r="17" spans="1:10" ht="54.75" customHeight="1" x14ac:dyDescent="0.25">
      <c r="A17" s="491"/>
      <c r="B17" s="491"/>
      <c r="C17" s="491"/>
      <c r="D17" s="491"/>
      <c r="E17" s="466" t="s">
        <v>423</v>
      </c>
      <c r="F17" s="467"/>
      <c r="G17" s="481" t="s">
        <v>306</v>
      </c>
      <c r="H17" s="481"/>
      <c r="I17" s="481"/>
      <c r="J17" s="481"/>
    </row>
    <row r="18" spans="1:10" ht="48.75" customHeight="1" x14ac:dyDescent="0.25">
      <c r="A18" s="491"/>
      <c r="B18" s="491"/>
      <c r="C18" s="491"/>
      <c r="D18" s="491"/>
      <c r="E18" s="464" t="s">
        <v>307</v>
      </c>
      <c r="F18" s="465"/>
      <c r="G18" s="456" t="s">
        <v>308</v>
      </c>
      <c r="H18" s="456"/>
      <c r="I18" s="456"/>
      <c r="J18" s="456"/>
    </row>
    <row r="19" spans="1:10" ht="54.75" customHeight="1" x14ac:dyDescent="0.25">
      <c r="A19" s="491"/>
      <c r="B19" s="491"/>
      <c r="C19" s="491"/>
      <c r="D19" s="491"/>
      <c r="E19" s="466" t="s">
        <v>309</v>
      </c>
      <c r="F19" s="467"/>
      <c r="G19" s="456" t="s">
        <v>310</v>
      </c>
      <c r="H19" s="456"/>
      <c r="I19" s="456"/>
      <c r="J19" s="456"/>
    </row>
    <row r="20" spans="1:10" ht="59.25" customHeight="1" x14ac:dyDescent="0.25">
      <c r="A20" s="491"/>
      <c r="B20" s="491"/>
      <c r="C20" s="491"/>
      <c r="D20" s="491"/>
      <c r="E20" s="466" t="s">
        <v>409</v>
      </c>
      <c r="F20" s="468"/>
      <c r="G20" s="469" t="s">
        <v>311</v>
      </c>
      <c r="H20" s="469"/>
      <c r="I20" s="469"/>
      <c r="J20" s="469"/>
    </row>
    <row r="21" spans="1:10" ht="59.25" customHeight="1" x14ac:dyDescent="0.25">
      <c r="A21" s="491"/>
      <c r="B21" s="491"/>
      <c r="C21" s="491"/>
      <c r="D21" s="491"/>
      <c r="E21" s="472" t="s">
        <v>410</v>
      </c>
      <c r="F21" s="473"/>
      <c r="G21" s="474" t="s">
        <v>312</v>
      </c>
      <c r="H21" s="475"/>
      <c r="I21" s="475"/>
      <c r="J21" s="410"/>
    </row>
    <row r="22" spans="1:10" ht="49.5" customHeight="1" x14ac:dyDescent="0.25">
      <c r="A22" s="491"/>
      <c r="B22" s="491"/>
      <c r="C22" s="491"/>
      <c r="D22" s="491"/>
      <c r="E22" s="472" t="s">
        <v>411</v>
      </c>
      <c r="F22" s="473"/>
      <c r="G22" s="476" t="s">
        <v>424</v>
      </c>
      <c r="H22" s="477"/>
      <c r="I22" s="477"/>
      <c r="J22" s="478"/>
    </row>
    <row r="23" spans="1:10" ht="51.75" customHeight="1" x14ac:dyDescent="0.25">
      <c r="A23" s="418" t="s">
        <v>215</v>
      </c>
      <c r="B23" s="418" t="s">
        <v>246</v>
      </c>
      <c r="C23" s="427" t="s">
        <v>249</v>
      </c>
      <c r="D23" s="427"/>
      <c r="E23" s="459" t="s">
        <v>313</v>
      </c>
      <c r="F23" s="427"/>
      <c r="G23" s="460" t="s">
        <v>314</v>
      </c>
      <c r="H23" s="461"/>
      <c r="I23" s="461"/>
      <c r="J23" s="462"/>
    </row>
    <row r="24" spans="1:10" ht="50.25" customHeight="1" x14ac:dyDescent="0.25">
      <c r="A24" s="418"/>
      <c r="B24" s="419"/>
      <c r="C24" s="428" t="s">
        <v>315</v>
      </c>
      <c r="D24" s="463"/>
      <c r="E24" s="407" t="s">
        <v>316</v>
      </c>
      <c r="F24" s="407"/>
      <c r="G24" s="456" t="s">
        <v>317</v>
      </c>
      <c r="H24" s="470"/>
      <c r="I24" s="470"/>
      <c r="J24" s="470"/>
    </row>
    <row r="25" spans="1:10" ht="57" customHeight="1" x14ac:dyDescent="0.25">
      <c r="A25" s="418"/>
      <c r="B25" s="419"/>
      <c r="C25" s="428" t="s">
        <v>318</v>
      </c>
      <c r="D25" s="463"/>
      <c r="E25" s="407" t="s">
        <v>319</v>
      </c>
      <c r="F25" s="407"/>
      <c r="G25" s="452" t="s">
        <v>320</v>
      </c>
      <c r="H25" s="452"/>
      <c r="I25" s="452"/>
      <c r="J25" s="452"/>
    </row>
    <row r="26" spans="1:10" ht="45" customHeight="1" x14ac:dyDescent="0.25">
      <c r="A26" s="418"/>
      <c r="B26" s="419"/>
      <c r="C26" s="456" t="s">
        <v>321</v>
      </c>
      <c r="D26" s="471"/>
      <c r="E26" s="407" t="s">
        <v>322</v>
      </c>
      <c r="F26" s="407"/>
      <c r="G26" s="452" t="s">
        <v>323</v>
      </c>
      <c r="H26" s="452"/>
      <c r="I26" s="452"/>
      <c r="J26" s="452"/>
    </row>
    <row r="27" spans="1:10" ht="49.5" customHeight="1" x14ac:dyDescent="0.25">
      <c r="A27" s="418"/>
      <c r="B27" s="419"/>
      <c r="C27" s="454" t="s">
        <v>324</v>
      </c>
      <c r="D27" s="455"/>
      <c r="E27" s="458" t="s">
        <v>325</v>
      </c>
      <c r="F27" s="458"/>
      <c r="G27" s="452" t="s">
        <v>326</v>
      </c>
      <c r="H27" s="452"/>
      <c r="I27" s="452"/>
      <c r="J27" s="452"/>
    </row>
    <row r="28" spans="1:10" ht="69" customHeight="1" x14ac:dyDescent="0.25">
      <c r="A28" s="418"/>
      <c r="B28" s="419"/>
      <c r="C28" s="454" t="s">
        <v>327</v>
      </c>
      <c r="D28" s="455"/>
      <c r="E28" s="407" t="s">
        <v>328</v>
      </c>
      <c r="F28" s="405"/>
      <c r="G28" s="452" t="s">
        <v>425</v>
      </c>
      <c r="H28" s="452"/>
      <c r="I28" s="452"/>
      <c r="J28" s="452"/>
    </row>
    <row r="29" spans="1:10" ht="54" customHeight="1" x14ac:dyDescent="0.25">
      <c r="A29" s="418"/>
      <c r="B29" s="419"/>
      <c r="C29" s="454" t="s">
        <v>329</v>
      </c>
      <c r="D29" s="455"/>
      <c r="E29" s="407" t="s">
        <v>426</v>
      </c>
      <c r="F29" s="407"/>
      <c r="G29" s="406"/>
      <c r="H29" s="406"/>
      <c r="I29" s="406"/>
      <c r="J29" s="406"/>
    </row>
    <row r="30" spans="1:10" ht="39" customHeight="1" x14ac:dyDescent="0.25">
      <c r="A30" s="418"/>
      <c r="B30" s="419"/>
      <c r="C30" s="456" t="s">
        <v>330</v>
      </c>
      <c r="D30" s="456"/>
      <c r="E30" s="446" t="s">
        <v>331</v>
      </c>
      <c r="F30" s="447"/>
      <c r="G30" s="457"/>
      <c r="H30" s="457"/>
      <c r="I30" s="457"/>
      <c r="J30" s="457"/>
    </row>
    <row r="31" spans="1:10" ht="81" customHeight="1" x14ac:dyDescent="0.25">
      <c r="A31" s="418"/>
      <c r="B31" s="419"/>
      <c r="C31" s="451" t="s">
        <v>332</v>
      </c>
      <c r="D31" s="452"/>
      <c r="E31" s="446" t="s">
        <v>427</v>
      </c>
      <c r="F31" s="447"/>
      <c r="G31" s="453"/>
      <c r="H31" s="453"/>
      <c r="I31" s="453"/>
      <c r="J31" s="453"/>
    </row>
    <row r="32" spans="1:10" ht="30.75" customHeight="1" x14ac:dyDescent="0.25">
      <c r="A32" s="418"/>
      <c r="B32" s="419"/>
      <c r="C32" s="454" t="s">
        <v>333</v>
      </c>
      <c r="D32" s="454"/>
      <c r="E32" s="446" t="s">
        <v>428</v>
      </c>
      <c r="F32" s="447"/>
      <c r="G32" s="431"/>
      <c r="H32" s="448"/>
      <c r="I32" s="448"/>
      <c r="J32" s="449"/>
    </row>
    <row r="33" spans="1:10" ht="57.75" customHeight="1" x14ac:dyDescent="0.25">
      <c r="A33" s="418"/>
      <c r="B33" s="419"/>
      <c r="C33" s="444" t="s">
        <v>429</v>
      </c>
      <c r="D33" s="445"/>
      <c r="E33" s="446" t="s">
        <v>401</v>
      </c>
      <c r="F33" s="447"/>
      <c r="G33" s="431"/>
      <c r="H33" s="448"/>
      <c r="I33" s="448"/>
      <c r="J33" s="449"/>
    </row>
    <row r="34" spans="1:10" ht="27" customHeight="1" x14ac:dyDescent="0.25">
      <c r="A34" s="418"/>
      <c r="B34" s="419"/>
      <c r="C34" s="450" t="s">
        <v>334</v>
      </c>
      <c r="D34" s="450"/>
      <c r="E34" s="441"/>
      <c r="F34" s="416"/>
      <c r="G34" s="213"/>
      <c r="H34" s="214"/>
      <c r="I34" s="214"/>
      <c r="J34" s="215"/>
    </row>
    <row r="35" spans="1:10" x14ac:dyDescent="0.25">
      <c r="A35" s="418"/>
      <c r="B35" s="419"/>
      <c r="C35" s="409" t="s">
        <v>430</v>
      </c>
      <c r="D35" s="410"/>
      <c r="E35" s="216"/>
      <c r="F35" s="217"/>
      <c r="G35" s="213"/>
      <c r="H35" s="214"/>
      <c r="I35" s="214"/>
      <c r="J35" s="215"/>
    </row>
    <row r="36" spans="1:10" x14ac:dyDescent="0.25">
      <c r="A36" s="418"/>
      <c r="B36" s="419"/>
      <c r="C36" s="415" t="s">
        <v>335</v>
      </c>
      <c r="D36" s="416"/>
      <c r="E36" s="216"/>
      <c r="F36" s="217"/>
      <c r="G36" s="213"/>
      <c r="H36" s="214"/>
      <c r="I36" s="214"/>
      <c r="J36" s="215"/>
    </row>
    <row r="37" spans="1:10" x14ac:dyDescent="0.25">
      <c r="A37" s="418"/>
      <c r="B37" s="419"/>
      <c r="C37" s="409" t="s">
        <v>336</v>
      </c>
      <c r="D37" s="410"/>
      <c r="E37" s="441"/>
      <c r="F37" s="442"/>
      <c r="G37" s="213"/>
      <c r="H37" s="214"/>
      <c r="I37" s="214"/>
      <c r="J37" s="215"/>
    </row>
    <row r="38" spans="1:10" ht="43.5" customHeight="1" x14ac:dyDescent="0.25">
      <c r="A38" s="418"/>
      <c r="B38" s="418"/>
      <c r="C38" s="415" t="s">
        <v>431</v>
      </c>
      <c r="D38" s="416"/>
      <c r="E38" s="443"/>
      <c r="F38" s="443"/>
      <c r="G38" s="443"/>
      <c r="H38" s="443"/>
      <c r="I38" s="443"/>
      <c r="J38" s="443"/>
    </row>
    <row r="39" spans="1:10" ht="32.25" customHeight="1" x14ac:dyDescent="0.25">
      <c r="A39" s="418"/>
      <c r="B39" s="241"/>
      <c r="C39" s="409" t="s">
        <v>432</v>
      </c>
      <c r="D39" s="410"/>
      <c r="E39" s="213"/>
      <c r="F39" s="215"/>
      <c r="G39" s="213"/>
      <c r="H39" s="214"/>
      <c r="I39" s="214"/>
      <c r="J39" s="215"/>
    </row>
    <row r="40" spans="1:10" ht="47.25" customHeight="1" x14ac:dyDescent="0.25">
      <c r="A40" s="418"/>
      <c r="B40" s="241"/>
      <c r="C40" s="438" t="s">
        <v>337</v>
      </c>
      <c r="D40" s="439"/>
      <c r="E40" s="402"/>
      <c r="F40" s="404"/>
      <c r="G40" s="213"/>
      <c r="H40" s="214"/>
      <c r="I40" s="214"/>
      <c r="J40" s="215"/>
    </row>
    <row r="41" spans="1:10" ht="33" customHeight="1" x14ac:dyDescent="0.25">
      <c r="A41" s="418"/>
      <c r="B41" s="241"/>
      <c r="C41" s="406" t="s">
        <v>338</v>
      </c>
      <c r="D41" s="406"/>
      <c r="E41" s="431"/>
      <c r="F41" s="432"/>
      <c r="G41" s="431"/>
      <c r="H41" s="440"/>
      <c r="I41" s="440"/>
      <c r="J41" s="432"/>
    </row>
    <row r="42" spans="1:10" ht="57.75" customHeight="1" x14ac:dyDescent="0.25">
      <c r="A42" s="418"/>
      <c r="B42" s="241"/>
      <c r="C42" s="429" t="s">
        <v>339</v>
      </c>
      <c r="D42" s="430"/>
      <c r="E42" s="431"/>
      <c r="F42" s="432"/>
      <c r="G42" s="402"/>
      <c r="H42" s="403"/>
      <c r="I42" s="403"/>
      <c r="J42" s="404"/>
    </row>
    <row r="43" spans="1:10" ht="57" customHeight="1" x14ac:dyDescent="0.25">
      <c r="A43" s="418"/>
      <c r="B43" s="241"/>
      <c r="C43" s="433" t="s">
        <v>340</v>
      </c>
      <c r="D43" s="434"/>
      <c r="E43" s="213"/>
      <c r="F43" s="218"/>
      <c r="G43" s="402"/>
      <c r="H43" s="403"/>
      <c r="I43" s="403"/>
      <c r="J43" s="404"/>
    </row>
    <row r="44" spans="1:10" ht="23.25" customHeight="1" x14ac:dyDescent="0.25">
      <c r="A44" s="418"/>
      <c r="B44" s="241"/>
      <c r="C44" s="435" t="s">
        <v>433</v>
      </c>
      <c r="D44" s="436"/>
      <c r="E44" s="213"/>
      <c r="F44" s="218"/>
      <c r="G44" s="402"/>
      <c r="H44" s="403"/>
      <c r="I44" s="403"/>
      <c r="J44" s="404"/>
    </row>
    <row r="45" spans="1:10" ht="28.5" customHeight="1" x14ac:dyDescent="0.25">
      <c r="A45" s="418"/>
      <c r="B45" s="241"/>
      <c r="C45" s="433" t="s">
        <v>434</v>
      </c>
      <c r="D45" s="434"/>
      <c r="E45" s="213"/>
      <c r="F45" s="218"/>
      <c r="G45" s="402"/>
      <c r="H45" s="403"/>
      <c r="I45" s="403"/>
      <c r="J45" s="404"/>
    </row>
    <row r="46" spans="1:10" ht="66" customHeight="1" x14ac:dyDescent="0.25">
      <c r="A46" s="418"/>
      <c r="B46" s="418" t="s">
        <v>245</v>
      </c>
      <c r="C46" s="420"/>
      <c r="D46" s="421"/>
      <c r="E46" s="422" t="s">
        <v>341</v>
      </c>
      <c r="F46" s="423"/>
      <c r="G46" s="424" t="s">
        <v>342</v>
      </c>
      <c r="H46" s="425"/>
      <c r="I46" s="425"/>
      <c r="J46" s="426"/>
    </row>
    <row r="47" spans="1:10" ht="51.75" customHeight="1" x14ac:dyDescent="0.25">
      <c r="A47" s="418"/>
      <c r="B47" s="419"/>
      <c r="C47" s="427" t="s">
        <v>250</v>
      </c>
      <c r="D47" s="427"/>
      <c r="E47" s="407" t="s">
        <v>343</v>
      </c>
      <c r="F47" s="407"/>
      <c r="G47" s="407" t="s">
        <v>344</v>
      </c>
      <c r="H47" s="407"/>
      <c r="I47" s="407"/>
      <c r="J47" s="407"/>
    </row>
    <row r="48" spans="1:10" ht="93" customHeight="1" x14ac:dyDescent="0.25">
      <c r="A48" s="418"/>
      <c r="B48" s="419"/>
      <c r="C48" s="428" t="s">
        <v>345</v>
      </c>
      <c r="D48" s="428"/>
      <c r="E48" s="407" t="s">
        <v>346</v>
      </c>
      <c r="F48" s="407"/>
      <c r="G48" s="407" t="s">
        <v>402</v>
      </c>
      <c r="H48" s="407"/>
      <c r="I48" s="407"/>
      <c r="J48" s="407"/>
    </row>
    <row r="49" spans="1:10" ht="100.5" customHeight="1" x14ac:dyDescent="0.25">
      <c r="A49" s="418"/>
      <c r="B49" s="419"/>
      <c r="C49" s="428" t="s">
        <v>347</v>
      </c>
      <c r="D49" s="428"/>
      <c r="E49" s="407" t="s">
        <v>348</v>
      </c>
      <c r="F49" s="407"/>
      <c r="G49" s="407" t="s">
        <v>349</v>
      </c>
      <c r="H49" s="407"/>
      <c r="I49" s="407"/>
      <c r="J49" s="407"/>
    </row>
    <row r="50" spans="1:10" ht="96.75" customHeight="1" x14ac:dyDescent="0.25">
      <c r="A50" s="418"/>
      <c r="B50" s="419"/>
      <c r="C50" s="428" t="s">
        <v>350</v>
      </c>
      <c r="D50" s="428"/>
      <c r="E50" s="407" t="s">
        <v>351</v>
      </c>
      <c r="F50" s="411"/>
      <c r="G50" s="437"/>
      <c r="H50" s="437"/>
      <c r="I50" s="437"/>
      <c r="J50" s="437"/>
    </row>
    <row r="51" spans="1:10" ht="135" customHeight="1" x14ac:dyDescent="0.25">
      <c r="A51" s="418"/>
      <c r="B51" s="419"/>
      <c r="C51" s="396" t="s">
        <v>352</v>
      </c>
      <c r="D51" s="396"/>
      <c r="E51" s="409"/>
      <c r="F51" s="410"/>
      <c r="G51" s="411" t="s">
        <v>403</v>
      </c>
      <c r="H51" s="412"/>
      <c r="I51" s="412"/>
      <c r="J51" s="413"/>
    </row>
    <row r="52" spans="1:10" ht="69.75" customHeight="1" x14ac:dyDescent="0.25">
      <c r="A52" s="418"/>
      <c r="B52" s="419"/>
      <c r="C52" s="414" t="s">
        <v>353</v>
      </c>
      <c r="D52" s="414"/>
      <c r="E52" s="415"/>
      <c r="F52" s="416"/>
      <c r="G52" s="417" t="s">
        <v>435</v>
      </c>
      <c r="H52" s="417"/>
      <c r="I52" s="417"/>
      <c r="J52" s="417"/>
    </row>
    <row r="53" spans="1:10" ht="70.5" customHeight="1" x14ac:dyDescent="0.25">
      <c r="A53" s="418"/>
      <c r="B53" s="419"/>
      <c r="C53" s="405" t="s">
        <v>354</v>
      </c>
      <c r="D53" s="405"/>
      <c r="E53" s="406"/>
      <c r="F53" s="406"/>
      <c r="G53" s="407" t="s">
        <v>355</v>
      </c>
      <c r="H53" s="407"/>
      <c r="I53" s="407"/>
      <c r="J53" s="407"/>
    </row>
    <row r="54" spans="1:10" ht="55.5" customHeight="1" x14ac:dyDescent="0.25">
      <c r="A54" s="418"/>
      <c r="B54" s="419"/>
      <c r="C54" s="406" t="s">
        <v>356</v>
      </c>
      <c r="D54" s="406"/>
      <c r="E54" s="408"/>
      <c r="F54" s="408"/>
      <c r="G54" s="407" t="s">
        <v>357</v>
      </c>
      <c r="H54" s="407"/>
      <c r="I54" s="407"/>
      <c r="J54" s="407"/>
    </row>
    <row r="55" spans="1:10" ht="36.75" customHeight="1" x14ac:dyDescent="0.25">
      <c r="A55" s="418"/>
      <c r="B55" s="418"/>
      <c r="C55" s="396" t="s">
        <v>358</v>
      </c>
      <c r="D55" s="396"/>
      <c r="E55" s="397"/>
      <c r="F55" s="398"/>
      <c r="G55" s="399" t="s">
        <v>359</v>
      </c>
      <c r="H55" s="399"/>
      <c r="I55" s="399"/>
      <c r="J55" s="399"/>
    </row>
    <row r="56" spans="1:10" ht="73.5" customHeight="1" x14ac:dyDescent="0.25">
      <c r="A56" s="418"/>
      <c r="B56" s="418"/>
      <c r="C56" s="400" t="s">
        <v>360</v>
      </c>
      <c r="D56" s="401"/>
      <c r="E56" s="387"/>
      <c r="F56" s="388"/>
      <c r="G56" s="399" t="s">
        <v>361</v>
      </c>
      <c r="H56" s="399"/>
      <c r="I56" s="399"/>
      <c r="J56" s="399"/>
    </row>
    <row r="57" spans="1:10" ht="50.25" customHeight="1" x14ac:dyDescent="0.25">
      <c r="A57" s="418"/>
      <c r="B57" s="418"/>
      <c r="C57" s="385" t="s">
        <v>404</v>
      </c>
      <c r="D57" s="386"/>
      <c r="E57" s="391"/>
      <c r="F57" s="392"/>
      <c r="G57" s="393"/>
      <c r="H57" s="393"/>
      <c r="I57" s="393"/>
      <c r="J57" s="393"/>
    </row>
    <row r="58" spans="1:10" ht="54" customHeight="1" x14ac:dyDescent="0.25">
      <c r="A58" s="418"/>
      <c r="B58" s="418"/>
      <c r="C58" s="394" t="s">
        <v>405</v>
      </c>
      <c r="D58" s="395"/>
      <c r="E58" s="387"/>
      <c r="F58" s="388"/>
      <c r="G58" s="389"/>
      <c r="H58" s="389"/>
      <c r="I58" s="389"/>
      <c r="J58" s="389"/>
    </row>
    <row r="59" spans="1:10" ht="70.5" customHeight="1" x14ac:dyDescent="0.25">
      <c r="A59" s="418"/>
      <c r="B59" s="418"/>
      <c r="C59" s="385" t="s">
        <v>362</v>
      </c>
      <c r="D59" s="386"/>
      <c r="E59" s="387"/>
      <c r="F59" s="388"/>
      <c r="G59" s="389"/>
      <c r="H59" s="389"/>
      <c r="I59" s="389"/>
      <c r="J59" s="389"/>
    </row>
    <row r="60" spans="1:10" x14ac:dyDescent="0.25">
      <c r="C60" s="240"/>
      <c r="D60" s="240"/>
      <c r="E60" s="390"/>
      <c r="F60" s="390"/>
      <c r="G60" s="390"/>
      <c r="H60" s="390"/>
      <c r="I60" s="390"/>
      <c r="J60" s="390"/>
    </row>
    <row r="61" spans="1:10" x14ac:dyDescent="0.25">
      <c r="C61" s="240"/>
      <c r="D61" s="240"/>
      <c r="E61" s="384"/>
      <c r="F61" s="384"/>
      <c r="G61" s="384"/>
      <c r="H61" s="384"/>
      <c r="I61" s="384"/>
      <c r="J61" s="384"/>
    </row>
    <row r="62" spans="1:10" x14ac:dyDescent="0.25">
      <c r="E62" s="384"/>
      <c r="F62" s="384"/>
      <c r="G62" s="384"/>
      <c r="H62" s="384"/>
      <c r="I62" s="384"/>
      <c r="J62" s="384"/>
    </row>
    <row r="63" spans="1:10" x14ac:dyDescent="0.25">
      <c r="E63" s="384"/>
      <c r="F63" s="384"/>
      <c r="G63" s="384"/>
      <c r="H63" s="384"/>
      <c r="I63" s="384"/>
      <c r="J63" s="384"/>
    </row>
    <row r="64" spans="1:10" x14ac:dyDescent="0.25">
      <c r="E64" s="384"/>
      <c r="F64" s="384"/>
      <c r="G64" s="384"/>
      <c r="H64" s="384"/>
      <c r="I64" s="384"/>
      <c r="J64" s="384"/>
    </row>
    <row r="65" spans="5:10" x14ac:dyDescent="0.25">
      <c r="E65" s="384"/>
      <c r="F65" s="384"/>
      <c r="G65" s="384"/>
      <c r="H65" s="384"/>
      <c r="I65" s="384"/>
      <c r="J65" s="384"/>
    </row>
    <row r="66" spans="5:10" x14ac:dyDescent="0.25">
      <c r="E66" s="384"/>
      <c r="F66" s="384"/>
      <c r="G66" s="384"/>
      <c r="H66" s="384"/>
      <c r="I66" s="384"/>
      <c r="J66" s="384"/>
    </row>
    <row r="67" spans="5:10" x14ac:dyDescent="0.25">
      <c r="E67" s="384"/>
      <c r="F67" s="384"/>
      <c r="G67" s="384"/>
      <c r="H67" s="384"/>
      <c r="I67" s="384"/>
      <c r="J67" s="384"/>
    </row>
    <row r="68" spans="5:10" x14ac:dyDescent="0.25">
      <c r="E68" s="384"/>
      <c r="F68" s="384"/>
      <c r="G68" s="384"/>
      <c r="H68" s="384"/>
      <c r="I68" s="384"/>
      <c r="J68" s="384"/>
    </row>
    <row r="69" spans="5:10" x14ac:dyDescent="0.25">
      <c r="E69" s="384"/>
      <c r="F69" s="384"/>
      <c r="G69" s="384"/>
      <c r="H69" s="384"/>
      <c r="I69" s="384"/>
      <c r="J69" s="384"/>
    </row>
    <row r="70" spans="5:10" x14ac:dyDescent="0.25">
      <c r="E70" s="384"/>
      <c r="F70" s="384"/>
      <c r="G70" s="384"/>
      <c r="H70" s="384"/>
      <c r="I70" s="384"/>
      <c r="J70" s="384"/>
    </row>
    <row r="71" spans="5:10" x14ac:dyDescent="0.25">
      <c r="E71" s="384"/>
      <c r="F71" s="384"/>
      <c r="G71" s="384"/>
      <c r="H71" s="384"/>
      <c r="I71" s="384"/>
      <c r="J71" s="384"/>
    </row>
    <row r="72" spans="5:10" x14ac:dyDescent="0.25">
      <c r="E72" s="384"/>
      <c r="F72" s="384"/>
      <c r="G72" s="384"/>
      <c r="H72" s="384"/>
      <c r="I72" s="384"/>
      <c r="J72" s="384"/>
    </row>
    <row r="73" spans="5:10" x14ac:dyDescent="0.25">
      <c r="E73" s="384"/>
      <c r="F73" s="384"/>
      <c r="G73" s="384"/>
      <c r="H73" s="384"/>
      <c r="I73" s="384"/>
      <c r="J73" s="384"/>
    </row>
    <row r="74" spans="5:10" x14ac:dyDescent="0.25">
      <c r="E74" s="384"/>
      <c r="F74" s="384"/>
      <c r="G74" s="384"/>
      <c r="H74" s="384"/>
      <c r="I74" s="384"/>
      <c r="J74" s="384"/>
    </row>
    <row r="75" spans="5:10" x14ac:dyDescent="0.25">
      <c r="E75" s="384"/>
      <c r="F75" s="384"/>
      <c r="G75" s="384"/>
      <c r="H75" s="384"/>
      <c r="I75" s="384"/>
      <c r="J75" s="384"/>
    </row>
    <row r="76" spans="5:10" x14ac:dyDescent="0.25">
      <c r="E76" s="384"/>
      <c r="F76" s="384"/>
      <c r="G76" s="384"/>
      <c r="H76" s="384"/>
      <c r="I76" s="384"/>
      <c r="J76" s="384"/>
    </row>
    <row r="77" spans="5:10" x14ac:dyDescent="0.25">
      <c r="E77" s="384"/>
      <c r="F77" s="384"/>
      <c r="G77" s="384"/>
      <c r="H77" s="384"/>
      <c r="I77" s="384"/>
      <c r="J77" s="384"/>
    </row>
    <row r="78" spans="5:10" x14ac:dyDescent="0.25">
      <c r="E78" s="384"/>
      <c r="F78" s="384"/>
      <c r="G78" s="384"/>
      <c r="H78" s="384"/>
      <c r="I78" s="384"/>
      <c r="J78" s="384"/>
    </row>
    <row r="79" spans="5:10" x14ac:dyDescent="0.25">
      <c r="E79" s="384"/>
      <c r="F79" s="384"/>
      <c r="G79" s="384"/>
      <c r="H79" s="384"/>
      <c r="I79" s="384"/>
      <c r="J79" s="384"/>
    </row>
    <row r="80" spans="5:10" x14ac:dyDescent="0.25">
      <c r="E80" s="384"/>
      <c r="F80" s="384"/>
      <c r="G80" s="384"/>
      <c r="H80" s="384"/>
      <c r="I80" s="384"/>
      <c r="J80" s="384"/>
    </row>
    <row r="81" spans="5:10" x14ac:dyDescent="0.25">
      <c r="E81" s="384"/>
      <c r="F81" s="384"/>
      <c r="G81" s="384"/>
      <c r="H81" s="384"/>
      <c r="I81" s="384"/>
      <c r="J81" s="384"/>
    </row>
    <row r="82" spans="5:10" x14ac:dyDescent="0.25">
      <c r="E82" s="384"/>
      <c r="F82" s="384"/>
      <c r="G82" s="384"/>
      <c r="H82" s="384"/>
      <c r="I82" s="384"/>
      <c r="J82" s="384"/>
    </row>
    <row r="83" spans="5:10" x14ac:dyDescent="0.25">
      <c r="E83" s="384"/>
      <c r="F83" s="384"/>
      <c r="G83" s="384"/>
      <c r="H83" s="384"/>
      <c r="I83" s="384"/>
      <c r="J83" s="384"/>
    </row>
    <row r="84" spans="5:10" x14ac:dyDescent="0.25">
      <c r="E84" s="384"/>
      <c r="F84" s="384"/>
      <c r="G84" s="384"/>
      <c r="H84" s="384"/>
      <c r="I84" s="384"/>
      <c r="J84" s="384"/>
    </row>
    <row r="85" spans="5:10" x14ac:dyDescent="0.25">
      <c r="E85" s="384"/>
      <c r="F85" s="384"/>
      <c r="G85" s="384"/>
      <c r="H85" s="384"/>
      <c r="I85" s="384"/>
      <c r="J85" s="384"/>
    </row>
    <row r="86" spans="5:10" x14ac:dyDescent="0.25">
      <c r="E86" s="384"/>
      <c r="F86" s="384"/>
      <c r="G86" s="384"/>
      <c r="H86" s="384"/>
      <c r="I86" s="384"/>
      <c r="J86" s="384"/>
    </row>
    <row r="87" spans="5:10" x14ac:dyDescent="0.25">
      <c r="E87" s="384"/>
      <c r="F87" s="384"/>
      <c r="G87" s="384"/>
      <c r="H87" s="384"/>
      <c r="I87" s="384"/>
      <c r="J87" s="384"/>
    </row>
    <row r="88" spans="5:10" x14ac:dyDescent="0.25">
      <c r="E88" s="384"/>
      <c r="F88" s="384"/>
      <c r="G88" s="384"/>
      <c r="H88" s="384"/>
      <c r="I88" s="384"/>
      <c r="J88" s="384"/>
    </row>
    <row r="89" spans="5:10" x14ac:dyDescent="0.25">
      <c r="E89" s="384"/>
      <c r="F89" s="384"/>
      <c r="G89" s="384"/>
      <c r="H89" s="384"/>
      <c r="I89" s="384"/>
      <c r="J89" s="384"/>
    </row>
    <row r="90" spans="5:10" x14ac:dyDescent="0.25">
      <c r="E90" s="384"/>
      <c r="F90" s="384"/>
      <c r="G90" s="384"/>
      <c r="H90" s="384"/>
      <c r="I90" s="384"/>
      <c r="J90" s="384"/>
    </row>
    <row r="91" spans="5:10" x14ac:dyDescent="0.25">
      <c r="E91" s="384"/>
      <c r="F91" s="384"/>
      <c r="G91" s="384"/>
      <c r="H91" s="384"/>
      <c r="I91" s="384"/>
      <c r="J91" s="384"/>
    </row>
    <row r="92" spans="5:10" x14ac:dyDescent="0.25">
      <c r="E92" s="384"/>
      <c r="F92" s="384"/>
      <c r="G92" s="384"/>
      <c r="H92" s="384"/>
      <c r="I92" s="384"/>
      <c r="J92" s="384"/>
    </row>
    <row r="93" spans="5:10" x14ac:dyDescent="0.25">
      <c r="E93" s="384"/>
      <c r="F93" s="384"/>
      <c r="G93" s="384"/>
      <c r="H93" s="384"/>
      <c r="I93" s="384"/>
      <c r="J93" s="384"/>
    </row>
    <row r="94" spans="5:10" x14ac:dyDescent="0.25">
      <c r="E94" s="384"/>
      <c r="F94" s="384"/>
      <c r="G94" s="384"/>
      <c r="H94" s="384"/>
      <c r="I94" s="384"/>
      <c r="J94" s="384"/>
    </row>
    <row r="95" spans="5:10" x14ac:dyDescent="0.25">
      <c r="E95" s="384"/>
      <c r="F95" s="384"/>
      <c r="G95" s="384"/>
      <c r="H95" s="384"/>
      <c r="I95" s="384"/>
      <c r="J95" s="384"/>
    </row>
    <row r="96" spans="5:10" x14ac:dyDescent="0.25">
      <c r="E96" s="384"/>
      <c r="F96" s="384"/>
      <c r="G96" s="384"/>
      <c r="H96" s="384"/>
      <c r="I96" s="384"/>
      <c r="J96" s="384"/>
    </row>
    <row r="97" spans="5:10" x14ac:dyDescent="0.25">
      <c r="E97" s="384"/>
      <c r="F97" s="384"/>
      <c r="G97" s="384"/>
      <c r="H97" s="384"/>
      <c r="I97" s="384"/>
      <c r="J97" s="384"/>
    </row>
    <row r="98" spans="5:10" x14ac:dyDescent="0.25">
      <c r="E98" s="384"/>
      <c r="F98" s="384"/>
      <c r="G98" s="384"/>
      <c r="H98" s="384"/>
      <c r="I98" s="384"/>
      <c r="J98" s="384"/>
    </row>
    <row r="99" spans="5:10" x14ac:dyDescent="0.25">
      <c r="E99" s="384"/>
      <c r="F99" s="384"/>
      <c r="G99" s="384"/>
      <c r="H99" s="384"/>
      <c r="I99" s="384"/>
      <c r="J99" s="384"/>
    </row>
    <row r="100" spans="5:10" x14ac:dyDescent="0.25">
      <c r="E100" s="384"/>
      <c r="F100" s="384"/>
      <c r="G100" s="384"/>
      <c r="H100" s="384"/>
      <c r="I100" s="384"/>
      <c r="J100" s="384"/>
    </row>
    <row r="101" spans="5:10" x14ac:dyDescent="0.25">
      <c r="E101" s="384"/>
      <c r="F101" s="384"/>
      <c r="G101" s="384"/>
      <c r="H101" s="384"/>
      <c r="I101" s="384"/>
      <c r="J101" s="384"/>
    </row>
    <row r="102" spans="5:10" x14ac:dyDescent="0.25">
      <c r="E102" s="384"/>
      <c r="F102" s="384"/>
      <c r="G102" s="384"/>
      <c r="H102" s="384"/>
      <c r="I102" s="384"/>
      <c r="J102" s="384"/>
    </row>
    <row r="103" spans="5:10" x14ac:dyDescent="0.25">
      <c r="E103" s="384"/>
      <c r="F103" s="384"/>
      <c r="G103" s="384"/>
      <c r="H103" s="384"/>
      <c r="I103" s="384"/>
      <c r="J103" s="384"/>
    </row>
    <row r="104" spans="5:10" x14ac:dyDescent="0.25">
      <c r="E104" s="384"/>
      <c r="F104" s="384"/>
      <c r="G104" s="384"/>
      <c r="H104" s="384"/>
      <c r="I104" s="384"/>
      <c r="J104" s="384"/>
    </row>
    <row r="105" spans="5:10" x14ac:dyDescent="0.25">
      <c r="E105" s="384"/>
      <c r="F105" s="384"/>
      <c r="G105" s="384"/>
      <c r="H105" s="384"/>
      <c r="I105" s="384"/>
      <c r="J105" s="384"/>
    </row>
    <row r="106" spans="5:10" x14ac:dyDescent="0.25">
      <c r="E106" s="384"/>
      <c r="F106" s="384"/>
      <c r="G106" s="384"/>
      <c r="H106" s="384"/>
      <c r="I106" s="384"/>
      <c r="J106" s="384"/>
    </row>
    <row r="107" spans="5:10" x14ac:dyDescent="0.25">
      <c r="E107" s="384"/>
      <c r="F107" s="384"/>
      <c r="G107" s="384"/>
      <c r="H107" s="384"/>
      <c r="I107" s="384"/>
      <c r="J107" s="384"/>
    </row>
    <row r="108" spans="5:10" x14ac:dyDescent="0.25">
      <c r="E108" s="384"/>
      <c r="F108" s="384"/>
      <c r="G108" s="384"/>
      <c r="H108" s="384"/>
      <c r="I108" s="384"/>
      <c r="J108" s="384"/>
    </row>
    <row r="109" spans="5:10" x14ac:dyDescent="0.25">
      <c r="E109" s="384"/>
      <c r="F109" s="384"/>
      <c r="G109" s="384"/>
      <c r="H109" s="384"/>
      <c r="I109" s="384"/>
      <c r="J109" s="384"/>
    </row>
    <row r="110" spans="5:10" x14ac:dyDescent="0.25">
      <c r="E110" s="384"/>
      <c r="F110" s="384"/>
      <c r="G110" s="384"/>
      <c r="H110" s="384"/>
      <c r="I110" s="384"/>
      <c r="J110" s="384"/>
    </row>
    <row r="111" spans="5:10" x14ac:dyDescent="0.25">
      <c r="E111" s="384"/>
      <c r="F111" s="384"/>
      <c r="G111" s="384"/>
      <c r="H111" s="384"/>
      <c r="I111" s="384"/>
      <c r="J111" s="384"/>
    </row>
    <row r="112" spans="5:10" x14ac:dyDescent="0.25">
      <c r="E112" s="384"/>
      <c r="F112" s="384"/>
      <c r="G112" s="384"/>
      <c r="H112" s="384"/>
      <c r="I112" s="384"/>
      <c r="J112" s="384"/>
    </row>
    <row r="113" spans="5:10" x14ac:dyDescent="0.25">
      <c r="E113" s="384"/>
      <c r="F113" s="384"/>
      <c r="G113" s="384"/>
      <c r="H113" s="384"/>
      <c r="I113" s="384"/>
      <c r="J113" s="384"/>
    </row>
    <row r="114" spans="5:10" x14ac:dyDescent="0.25">
      <c r="E114" s="384"/>
      <c r="F114" s="384"/>
      <c r="G114" s="384"/>
      <c r="H114" s="384"/>
      <c r="I114" s="384"/>
      <c r="J114" s="384"/>
    </row>
    <row r="115" spans="5:10" x14ac:dyDescent="0.25">
      <c r="E115" s="384"/>
      <c r="F115" s="384"/>
      <c r="G115" s="384"/>
      <c r="H115" s="384"/>
      <c r="I115" s="384"/>
      <c r="J115" s="384"/>
    </row>
    <row r="116" spans="5:10" x14ac:dyDescent="0.25">
      <c r="E116" s="384"/>
      <c r="F116" s="384"/>
      <c r="G116" s="384"/>
      <c r="H116" s="384"/>
      <c r="I116" s="384"/>
      <c r="J116" s="384"/>
    </row>
    <row r="117" spans="5:10" x14ac:dyDescent="0.25">
      <c r="E117" s="384"/>
      <c r="F117" s="384"/>
      <c r="G117" s="384"/>
      <c r="H117" s="384"/>
      <c r="I117" s="384"/>
      <c r="J117" s="384"/>
    </row>
    <row r="118" spans="5:10" x14ac:dyDescent="0.25">
      <c r="E118" s="384"/>
      <c r="F118" s="384"/>
      <c r="G118" s="384"/>
      <c r="H118" s="384"/>
      <c r="I118" s="384"/>
      <c r="J118" s="384"/>
    </row>
    <row r="119" spans="5:10" x14ac:dyDescent="0.25">
      <c r="E119" s="384"/>
      <c r="F119" s="384"/>
      <c r="G119" s="384"/>
      <c r="H119" s="384"/>
      <c r="I119" s="384"/>
      <c r="J119" s="384"/>
    </row>
    <row r="120" spans="5:10" x14ac:dyDescent="0.25">
      <c r="E120" s="384"/>
      <c r="F120" s="384"/>
      <c r="G120" s="384"/>
      <c r="H120" s="384"/>
      <c r="I120" s="384"/>
      <c r="J120" s="384"/>
    </row>
    <row r="121" spans="5:10" x14ac:dyDescent="0.25">
      <c r="E121" s="384"/>
      <c r="F121" s="384"/>
      <c r="G121" s="384"/>
      <c r="H121" s="384"/>
      <c r="I121" s="384"/>
      <c r="J121" s="384"/>
    </row>
    <row r="122" spans="5:10" x14ac:dyDescent="0.25">
      <c r="E122" s="384"/>
      <c r="F122" s="384"/>
      <c r="G122" s="384"/>
      <c r="H122" s="384"/>
      <c r="I122" s="384"/>
      <c r="J122" s="384"/>
    </row>
    <row r="123" spans="5:10" x14ac:dyDescent="0.25">
      <c r="E123" s="384"/>
      <c r="F123" s="384"/>
      <c r="G123" s="384"/>
      <c r="H123" s="384"/>
      <c r="I123" s="384"/>
      <c r="J123" s="384"/>
    </row>
    <row r="124" spans="5:10" x14ac:dyDescent="0.25">
      <c r="E124" s="384"/>
      <c r="F124" s="384"/>
      <c r="G124" s="384"/>
      <c r="H124" s="384"/>
      <c r="I124" s="384"/>
      <c r="J124" s="384"/>
    </row>
    <row r="125" spans="5:10" x14ac:dyDescent="0.25">
      <c r="E125" s="384"/>
      <c r="F125" s="384"/>
      <c r="G125" s="384"/>
      <c r="H125" s="384"/>
      <c r="I125" s="384"/>
      <c r="J125" s="384"/>
    </row>
    <row r="126" spans="5:10" x14ac:dyDescent="0.25">
      <c r="E126" s="384"/>
      <c r="F126" s="384"/>
      <c r="G126" s="384"/>
      <c r="H126" s="384"/>
      <c r="I126" s="384"/>
      <c r="J126" s="384"/>
    </row>
    <row r="127" spans="5:10" x14ac:dyDescent="0.25">
      <c r="E127" s="384"/>
      <c r="F127" s="384"/>
      <c r="G127" s="384"/>
      <c r="H127" s="384"/>
      <c r="I127" s="384"/>
      <c r="J127" s="384"/>
    </row>
    <row r="128" spans="5:10" x14ac:dyDescent="0.25">
      <c r="E128" s="384"/>
      <c r="F128" s="384"/>
      <c r="G128" s="384"/>
      <c r="H128" s="384"/>
      <c r="I128" s="384"/>
      <c r="J128" s="384"/>
    </row>
    <row r="129" spans="5:10" x14ac:dyDescent="0.25">
      <c r="E129" s="384"/>
      <c r="F129" s="384"/>
      <c r="G129" s="384"/>
      <c r="H129" s="384"/>
      <c r="I129" s="384"/>
      <c r="J129" s="384"/>
    </row>
    <row r="130" spans="5:10" x14ac:dyDescent="0.25">
      <c r="E130" s="384"/>
      <c r="F130" s="384"/>
      <c r="G130" s="384"/>
      <c r="H130" s="384"/>
      <c r="I130" s="384"/>
      <c r="J130" s="384"/>
    </row>
    <row r="131" spans="5:10" x14ac:dyDescent="0.25">
      <c r="E131" s="384"/>
      <c r="F131" s="384"/>
      <c r="G131" s="384"/>
      <c r="H131" s="384"/>
      <c r="I131" s="384"/>
      <c r="J131" s="384"/>
    </row>
    <row r="132" spans="5:10" x14ac:dyDescent="0.25">
      <c r="E132" s="384"/>
      <c r="F132" s="384"/>
      <c r="G132" s="384"/>
      <c r="H132" s="384"/>
      <c r="I132" s="384"/>
      <c r="J132" s="384"/>
    </row>
    <row r="133" spans="5:10" x14ac:dyDescent="0.25">
      <c r="E133" s="384"/>
      <c r="F133" s="384"/>
      <c r="G133" s="384"/>
      <c r="H133" s="384"/>
      <c r="I133" s="384"/>
      <c r="J133" s="384"/>
    </row>
    <row r="134" spans="5:10" x14ac:dyDescent="0.25">
      <c r="E134" s="384"/>
      <c r="F134" s="384"/>
      <c r="G134" s="384"/>
      <c r="H134" s="384"/>
      <c r="I134" s="384"/>
      <c r="J134" s="384"/>
    </row>
    <row r="135" spans="5:10" x14ac:dyDescent="0.25">
      <c r="E135" s="384"/>
      <c r="F135" s="384"/>
      <c r="G135" s="384"/>
      <c r="H135" s="384"/>
      <c r="I135" s="384"/>
      <c r="J135" s="384"/>
    </row>
    <row r="136" spans="5:10" x14ac:dyDescent="0.25">
      <c r="E136" s="384"/>
      <c r="F136" s="384"/>
      <c r="G136" s="384"/>
      <c r="H136" s="384"/>
      <c r="I136" s="384"/>
      <c r="J136" s="384"/>
    </row>
  </sheetData>
  <sheetProtection selectLockedCells="1"/>
  <mergeCells count="298">
    <mergeCell ref="A1:B4"/>
    <mergeCell ref="C1:G2"/>
    <mergeCell ref="H1:I1"/>
    <mergeCell ref="J1:J4"/>
    <mergeCell ref="N1:N4"/>
    <mergeCell ref="H2:I2"/>
    <mergeCell ref="C3:G4"/>
    <mergeCell ref="H3:I3"/>
    <mergeCell ref="H4:I4"/>
    <mergeCell ref="A5:J5"/>
    <mergeCell ref="A6:J7"/>
    <mergeCell ref="A8:D22"/>
    <mergeCell ref="E8:J8"/>
    <mergeCell ref="E9:F9"/>
    <mergeCell ref="G9:J9"/>
    <mergeCell ref="E10:F10"/>
    <mergeCell ref="G10:J10"/>
    <mergeCell ref="E11:F11"/>
    <mergeCell ref="G11:J11"/>
    <mergeCell ref="E15:F15"/>
    <mergeCell ref="G15:J15"/>
    <mergeCell ref="E16:F16"/>
    <mergeCell ref="G16:J16"/>
    <mergeCell ref="K16:L16"/>
    <mergeCell ref="E17:F17"/>
    <mergeCell ref="G17:J17"/>
    <mergeCell ref="E12:F12"/>
    <mergeCell ref="G12:J12"/>
    <mergeCell ref="E13:F13"/>
    <mergeCell ref="G13:J13"/>
    <mergeCell ref="E14:F14"/>
    <mergeCell ref="G14:J14"/>
    <mergeCell ref="A23:A59"/>
    <mergeCell ref="B23:B38"/>
    <mergeCell ref="C23:D23"/>
    <mergeCell ref="E23:F23"/>
    <mergeCell ref="G23:J23"/>
    <mergeCell ref="C24:D24"/>
    <mergeCell ref="E18:F18"/>
    <mergeCell ref="G18:J18"/>
    <mergeCell ref="E19:F19"/>
    <mergeCell ref="G19:J19"/>
    <mergeCell ref="E20:F20"/>
    <mergeCell ref="G20:J20"/>
    <mergeCell ref="E24:F24"/>
    <mergeCell ref="G24:J24"/>
    <mergeCell ref="C25:D25"/>
    <mergeCell ref="E25:F25"/>
    <mergeCell ref="G25:J25"/>
    <mergeCell ref="C26:D26"/>
    <mergeCell ref="E26:F26"/>
    <mergeCell ref="G26:J26"/>
    <mergeCell ref="E21:F21"/>
    <mergeCell ref="G21:J21"/>
    <mergeCell ref="E22:F22"/>
    <mergeCell ref="G22:J22"/>
    <mergeCell ref="C29:D29"/>
    <mergeCell ref="E29:F29"/>
    <mergeCell ref="G29:J29"/>
    <mergeCell ref="C30:D30"/>
    <mergeCell ref="E30:F30"/>
    <mergeCell ref="G30:J30"/>
    <mergeCell ref="C27:D27"/>
    <mergeCell ref="E27:F27"/>
    <mergeCell ref="G27:J27"/>
    <mergeCell ref="C28:D28"/>
    <mergeCell ref="E28:F28"/>
    <mergeCell ref="G28:J28"/>
    <mergeCell ref="C33:D33"/>
    <mergeCell ref="E33:F33"/>
    <mergeCell ref="G33:J33"/>
    <mergeCell ref="C34:D34"/>
    <mergeCell ref="E34:F34"/>
    <mergeCell ref="C35:D35"/>
    <mergeCell ref="C31:D31"/>
    <mergeCell ref="E31:F31"/>
    <mergeCell ref="G31:J31"/>
    <mergeCell ref="C32:D32"/>
    <mergeCell ref="E32:F32"/>
    <mergeCell ref="G32:J32"/>
    <mergeCell ref="C39:D39"/>
    <mergeCell ref="C40:D40"/>
    <mergeCell ref="E40:F40"/>
    <mergeCell ref="C41:D41"/>
    <mergeCell ref="E41:F41"/>
    <mergeCell ref="G41:J41"/>
    <mergeCell ref="C36:D36"/>
    <mergeCell ref="C37:D37"/>
    <mergeCell ref="E37:F37"/>
    <mergeCell ref="C38:D38"/>
    <mergeCell ref="E38:F38"/>
    <mergeCell ref="G38:J38"/>
    <mergeCell ref="B46:B59"/>
    <mergeCell ref="C46:D46"/>
    <mergeCell ref="E46:F46"/>
    <mergeCell ref="G46:J46"/>
    <mergeCell ref="C47:D47"/>
    <mergeCell ref="E47:F47"/>
    <mergeCell ref="G47:J47"/>
    <mergeCell ref="C48:D48"/>
    <mergeCell ref="C42:D42"/>
    <mergeCell ref="E42:F42"/>
    <mergeCell ref="G42:J42"/>
    <mergeCell ref="C43:D43"/>
    <mergeCell ref="G43:J43"/>
    <mergeCell ref="C44:D44"/>
    <mergeCell ref="G44:J44"/>
    <mergeCell ref="E48:F48"/>
    <mergeCell ref="G48:J48"/>
    <mergeCell ref="C49:D49"/>
    <mergeCell ref="E49:F49"/>
    <mergeCell ref="G49:J49"/>
    <mergeCell ref="C50:D50"/>
    <mergeCell ref="E50:F50"/>
    <mergeCell ref="G50:J50"/>
    <mergeCell ref="C45:D45"/>
    <mergeCell ref="G45:J45"/>
    <mergeCell ref="C53:D53"/>
    <mergeCell ref="E53:F53"/>
    <mergeCell ref="G53:J53"/>
    <mergeCell ref="C54:D54"/>
    <mergeCell ref="E54:F54"/>
    <mergeCell ref="G54:J54"/>
    <mergeCell ref="C51:D51"/>
    <mergeCell ref="E51:F51"/>
    <mergeCell ref="G51:J51"/>
    <mergeCell ref="C52:D52"/>
    <mergeCell ref="E52:F52"/>
    <mergeCell ref="G52:J52"/>
    <mergeCell ref="C57:D57"/>
    <mergeCell ref="E57:F57"/>
    <mergeCell ref="G57:J57"/>
    <mergeCell ref="C58:D58"/>
    <mergeCell ref="E58:F58"/>
    <mergeCell ref="G58:J58"/>
    <mergeCell ref="C55:D55"/>
    <mergeCell ref="E55:F55"/>
    <mergeCell ref="G55:J55"/>
    <mergeCell ref="C56:D56"/>
    <mergeCell ref="E56:F56"/>
    <mergeCell ref="G56:J56"/>
    <mergeCell ref="E62:F62"/>
    <mergeCell ref="G62:J62"/>
    <mergeCell ref="E63:F63"/>
    <mergeCell ref="G63:J63"/>
    <mergeCell ref="E64:F64"/>
    <mergeCell ref="G64:J64"/>
    <mergeCell ref="C59:D59"/>
    <mergeCell ref="E59:F59"/>
    <mergeCell ref="G59:J59"/>
    <mergeCell ref="E60:F60"/>
    <mergeCell ref="G60:J60"/>
    <mergeCell ref="E61:F61"/>
    <mergeCell ref="G61:J61"/>
    <mergeCell ref="E68:F68"/>
    <mergeCell ref="G68:J68"/>
    <mergeCell ref="E69:F69"/>
    <mergeCell ref="G69:J69"/>
    <mergeCell ref="E70:F70"/>
    <mergeCell ref="G70:J70"/>
    <mergeCell ref="E65:F65"/>
    <mergeCell ref="G65:J65"/>
    <mergeCell ref="E66:F66"/>
    <mergeCell ref="G66:J66"/>
    <mergeCell ref="E67:F67"/>
    <mergeCell ref="G67:J67"/>
    <mergeCell ref="E74:F74"/>
    <mergeCell ref="G74:J74"/>
    <mergeCell ref="E75:F75"/>
    <mergeCell ref="G75:J75"/>
    <mergeCell ref="E76:F76"/>
    <mergeCell ref="G76:J76"/>
    <mergeCell ref="E71:F71"/>
    <mergeCell ref="G71:J71"/>
    <mergeCell ref="E72:F72"/>
    <mergeCell ref="G72:J72"/>
    <mergeCell ref="E73:F73"/>
    <mergeCell ref="G73:J73"/>
    <mergeCell ref="E80:F80"/>
    <mergeCell ref="G80:J80"/>
    <mergeCell ref="E81:F81"/>
    <mergeCell ref="G81:J81"/>
    <mergeCell ref="E82:F82"/>
    <mergeCell ref="G82:J82"/>
    <mergeCell ref="E77:F77"/>
    <mergeCell ref="G77:J77"/>
    <mergeCell ref="E78:F78"/>
    <mergeCell ref="G78:J78"/>
    <mergeCell ref="E79:F79"/>
    <mergeCell ref="G79:J79"/>
    <mergeCell ref="E86:F86"/>
    <mergeCell ref="G86:J86"/>
    <mergeCell ref="E87:F87"/>
    <mergeCell ref="G87:J87"/>
    <mergeCell ref="E88:F88"/>
    <mergeCell ref="G88:J88"/>
    <mergeCell ref="E83:F83"/>
    <mergeCell ref="G83:J83"/>
    <mergeCell ref="E84:F84"/>
    <mergeCell ref="G84:J84"/>
    <mergeCell ref="E85:F85"/>
    <mergeCell ref="G85:J85"/>
    <mergeCell ref="E92:F92"/>
    <mergeCell ref="G92:J92"/>
    <mergeCell ref="E93:F93"/>
    <mergeCell ref="G93:J93"/>
    <mergeCell ref="E94:F94"/>
    <mergeCell ref="G94:J94"/>
    <mergeCell ref="E89:F89"/>
    <mergeCell ref="G89:J89"/>
    <mergeCell ref="E90:F90"/>
    <mergeCell ref="G90:J90"/>
    <mergeCell ref="E91:F91"/>
    <mergeCell ref="G91:J91"/>
    <mergeCell ref="E98:F98"/>
    <mergeCell ref="G98:J98"/>
    <mergeCell ref="E99:F99"/>
    <mergeCell ref="G99:J99"/>
    <mergeCell ref="E100:F100"/>
    <mergeCell ref="G100:J100"/>
    <mergeCell ref="E95:F95"/>
    <mergeCell ref="G95:J95"/>
    <mergeCell ref="E96:F96"/>
    <mergeCell ref="G96:J96"/>
    <mergeCell ref="E97:F97"/>
    <mergeCell ref="G97:J97"/>
    <mergeCell ref="E104:F104"/>
    <mergeCell ref="G104:J104"/>
    <mergeCell ref="E105:F105"/>
    <mergeCell ref="G105:J105"/>
    <mergeCell ref="E106:F106"/>
    <mergeCell ref="G106:J106"/>
    <mergeCell ref="E101:F101"/>
    <mergeCell ref="G101:J101"/>
    <mergeCell ref="E102:F102"/>
    <mergeCell ref="G102:J102"/>
    <mergeCell ref="E103:F103"/>
    <mergeCell ref="G103:J103"/>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34:F134"/>
    <mergeCell ref="G134:J134"/>
    <mergeCell ref="E135:F135"/>
    <mergeCell ref="G135:J135"/>
    <mergeCell ref="E136:F136"/>
    <mergeCell ref="G136:J136"/>
    <mergeCell ref="E131:F131"/>
    <mergeCell ref="G131:J131"/>
    <mergeCell ref="E132:F132"/>
    <mergeCell ref="G132:J132"/>
    <mergeCell ref="E133:F133"/>
    <mergeCell ref="G133:J133"/>
  </mergeCells>
  <pageMargins left="0.82677165354330717" right="0.23622047244094491" top="0.74803149606299213" bottom="0.74803149606299213" header="0.31496062992125984" footer="0.31496062992125984"/>
  <pageSetup paperSize="5"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5"/>
  <sheetViews>
    <sheetView tabSelected="1" zoomScale="70" zoomScaleNormal="70" workbookViewId="0">
      <selection activeCell="G10" sqref="G10:G13"/>
    </sheetView>
  </sheetViews>
  <sheetFormatPr baseColWidth="10" defaultColWidth="11.44140625" defaultRowHeight="13.8" x14ac:dyDescent="0.25"/>
  <cols>
    <col min="1" max="1" width="4" style="2" bestFit="1" customWidth="1"/>
    <col min="2" max="2" width="16.6640625" style="2" customWidth="1"/>
    <col min="3" max="3" width="13.109375" style="2" customWidth="1"/>
    <col min="4" max="4" width="20" style="2" customWidth="1"/>
    <col min="5" max="5" width="48.5546875" style="2" customWidth="1"/>
    <col min="6" max="8" width="35" style="1" customWidth="1"/>
    <col min="9" max="9" width="18.109375" style="4" customWidth="1"/>
    <col min="10" max="10" width="14.33203125" style="4" customWidth="1"/>
    <col min="11" max="11" width="12" style="1" customWidth="1"/>
    <col min="12" max="12" width="6.33203125" style="1" bestFit="1" customWidth="1"/>
    <col min="13" max="13" width="24.44140625" style="1" bestFit="1" customWidth="1"/>
    <col min="14" max="14" width="28.33203125" style="1" customWidth="1"/>
    <col min="15" max="15" width="17.5546875" style="1" customWidth="1"/>
    <col min="16" max="16" width="6.33203125" style="1" bestFit="1" customWidth="1"/>
    <col min="17" max="17" width="16" style="1" customWidth="1"/>
    <col min="18" max="18" width="5.88671875" style="1" customWidth="1"/>
    <col min="19" max="19" width="73.3320312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42.88671875" style="1" customWidth="1"/>
    <col min="35" max="35" width="18.88671875" style="1" customWidth="1"/>
    <col min="36" max="36" width="16.88671875" style="1" customWidth="1"/>
    <col min="37" max="37" width="23" style="1" customWidth="1"/>
    <col min="38" max="38" width="36.6640625" style="1" customWidth="1"/>
    <col min="39" max="39" width="21" style="1" customWidth="1"/>
    <col min="40" max="16384" width="11.44140625" style="1"/>
  </cols>
  <sheetData>
    <row r="1" spans="1:71" ht="16.5" customHeight="1" x14ac:dyDescent="0.25">
      <c r="A1" s="579" t="s">
        <v>138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1"/>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customHeight="1" x14ac:dyDescent="0.25">
      <c r="A2" s="582"/>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4"/>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25">
      <c r="A3" s="26"/>
      <c r="B3" s="27"/>
      <c r="C3" s="26"/>
      <c r="D3" s="26"/>
      <c r="E3" s="26"/>
      <c r="F3" s="7"/>
      <c r="G3" s="7"/>
      <c r="H3" s="7"/>
      <c r="I3" s="25"/>
      <c r="J3" s="25"/>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25" customHeight="1" x14ac:dyDescent="0.25">
      <c r="A4" s="558" t="s">
        <v>43</v>
      </c>
      <c r="B4" s="559"/>
      <c r="C4" s="566" t="s">
        <v>398</v>
      </c>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45" customHeight="1" x14ac:dyDescent="0.25">
      <c r="A5" s="558" t="s">
        <v>125</v>
      </c>
      <c r="B5" s="559"/>
      <c r="C5" s="548" t="s">
        <v>396</v>
      </c>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49.5" customHeight="1" x14ac:dyDescent="0.25">
      <c r="A6" s="558" t="s">
        <v>44</v>
      </c>
      <c r="B6" s="559"/>
      <c r="C6" s="548" t="s">
        <v>397</v>
      </c>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x14ac:dyDescent="0.25">
      <c r="A7" s="585" t="s">
        <v>134</v>
      </c>
      <c r="B7" s="586"/>
      <c r="C7" s="587"/>
      <c r="D7" s="587"/>
      <c r="E7" s="587"/>
      <c r="F7" s="587"/>
      <c r="G7" s="587"/>
      <c r="H7" s="587"/>
      <c r="I7" s="587"/>
      <c r="J7" s="588"/>
      <c r="K7" s="554" t="s">
        <v>135</v>
      </c>
      <c r="L7" s="587"/>
      <c r="M7" s="587"/>
      <c r="N7" s="587"/>
      <c r="O7" s="587"/>
      <c r="P7" s="587"/>
      <c r="Q7" s="588"/>
      <c r="R7" s="554" t="s">
        <v>136</v>
      </c>
      <c r="S7" s="587"/>
      <c r="T7" s="587"/>
      <c r="U7" s="587"/>
      <c r="V7" s="587"/>
      <c r="W7" s="587"/>
      <c r="X7" s="587"/>
      <c r="Y7" s="587"/>
      <c r="Z7" s="588"/>
      <c r="AA7" s="554" t="s">
        <v>137</v>
      </c>
      <c r="AB7" s="587"/>
      <c r="AC7" s="587"/>
      <c r="AD7" s="587"/>
      <c r="AE7" s="587"/>
      <c r="AF7" s="587"/>
      <c r="AG7" s="588"/>
      <c r="AH7" s="554" t="s">
        <v>34</v>
      </c>
      <c r="AI7" s="587"/>
      <c r="AJ7" s="587"/>
      <c r="AK7" s="587"/>
      <c r="AL7" s="587"/>
      <c r="AM7" s="588"/>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6.5" customHeight="1" x14ac:dyDescent="0.25">
      <c r="A8" s="560" t="s">
        <v>0</v>
      </c>
      <c r="B8" s="556" t="s">
        <v>2</v>
      </c>
      <c r="C8" s="550" t="s">
        <v>3</v>
      </c>
      <c r="D8" s="550" t="s">
        <v>42</v>
      </c>
      <c r="E8" s="557" t="s">
        <v>202</v>
      </c>
      <c r="F8" s="562" t="s">
        <v>1</v>
      </c>
      <c r="G8" s="133"/>
      <c r="H8" s="133"/>
      <c r="I8" s="557" t="s">
        <v>50</v>
      </c>
      <c r="J8" s="550" t="s">
        <v>130</v>
      </c>
      <c r="K8" s="552" t="s">
        <v>33</v>
      </c>
      <c r="L8" s="553" t="s">
        <v>5</v>
      </c>
      <c r="M8" s="557" t="s">
        <v>86</v>
      </c>
      <c r="N8" s="557" t="s">
        <v>91</v>
      </c>
      <c r="O8" s="555" t="s">
        <v>45</v>
      </c>
      <c r="P8" s="553" t="s">
        <v>5</v>
      </c>
      <c r="Q8" s="550" t="s">
        <v>48</v>
      </c>
      <c r="R8" s="564" t="s">
        <v>11</v>
      </c>
      <c r="S8" s="551" t="s">
        <v>151</v>
      </c>
      <c r="T8" s="557" t="s">
        <v>12</v>
      </c>
      <c r="U8" s="551" t="s">
        <v>8</v>
      </c>
      <c r="V8" s="551"/>
      <c r="W8" s="551"/>
      <c r="X8" s="551"/>
      <c r="Y8" s="551"/>
      <c r="Z8" s="551"/>
      <c r="AA8" s="549" t="s">
        <v>133</v>
      </c>
      <c r="AB8" s="549" t="s">
        <v>46</v>
      </c>
      <c r="AC8" s="549" t="s">
        <v>5</v>
      </c>
      <c r="AD8" s="549" t="s">
        <v>47</v>
      </c>
      <c r="AE8" s="549" t="s">
        <v>5</v>
      </c>
      <c r="AF8" s="549" t="s">
        <v>49</v>
      </c>
      <c r="AG8" s="564" t="s">
        <v>29</v>
      </c>
      <c r="AH8" s="551" t="s">
        <v>34</v>
      </c>
      <c r="AI8" s="551" t="s">
        <v>35</v>
      </c>
      <c r="AJ8" s="551" t="s">
        <v>36</v>
      </c>
      <c r="AK8" s="551" t="s">
        <v>38</v>
      </c>
      <c r="AL8" s="551" t="s">
        <v>37</v>
      </c>
      <c r="AM8" s="551" t="s">
        <v>39</v>
      </c>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s="3" customFormat="1" ht="94.5" customHeight="1" x14ac:dyDescent="0.3">
      <c r="A9" s="561"/>
      <c r="B9" s="556"/>
      <c r="C9" s="551"/>
      <c r="D9" s="551"/>
      <c r="E9" s="552"/>
      <c r="F9" s="563"/>
      <c r="G9" s="133" t="s">
        <v>251</v>
      </c>
      <c r="H9" s="133" t="s">
        <v>203</v>
      </c>
      <c r="I9" s="550"/>
      <c r="J9" s="551"/>
      <c r="K9" s="550"/>
      <c r="L9" s="554"/>
      <c r="M9" s="550"/>
      <c r="N9" s="550"/>
      <c r="O9" s="554"/>
      <c r="P9" s="554"/>
      <c r="Q9" s="551"/>
      <c r="R9" s="565"/>
      <c r="S9" s="551"/>
      <c r="T9" s="550"/>
      <c r="U9" s="6" t="s">
        <v>13</v>
      </c>
      <c r="V9" s="6" t="s">
        <v>17</v>
      </c>
      <c r="W9" s="6" t="s">
        <v>28</v>
      </c>
      <c r="X9" s="6" t="s">
        <v>18</v>
      </c>
      <c r="Y9" s="6" t="s">
        <v>21</v>
      </c>
      <c r="Z9" s="6" t="s">
        <v>24</v>
      </c>
      <c r="AA9" s="549"/>
      <c r="AB9" s="549"/>
      <c r="AC9" s="549"/>
      <c r="AD9" s="549"/>
      <c r="AE9" s="549"/>
      <c r="AF9" s="549"/>
      <c r="AG9" s="565"/>
      <c r="AH9" s="551"/>
      <c r="AI9" s="551"/>
      <c r="AJ9" s="551"/>
      <c r="AK9" s="551"/>
      <c r="AL9" s="551"/>
      <c r="AM9" s="551"/>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row>
    <row r="10" spans="1:71" s="230" customFormat="1" ht="204.75" customHeight="1" x14ac:dyDescent="0.3">
      <c r="A10" s="520">
        <v>1</v>
      </c>
      <c r="B10" s="522" t="s">
        <v>127</v>
      </c>
      <c r="C10" s="522" t="s">
        <v>381</v>
      </c>
      <c r="D10" s="524" t="s">
        <v>400</v>
      </c>
      <c r="E10" s="222" t="str">
        <f>'Priorizacion de Causa'!B52</f>
        <v>Líderes de proceso asignando   en personal vinculado mediante contrato de prestación de servicios la responsabilidad de reportes de ley a los entes de control, y a su vez, la emisión de respuestas a los requerimientos de dichos entes.</v>
      </c>
      <c r="F10" s="526" t="s">
        <v>392</v>
      </c>
      <c r="G10" s="527" t="s">
        <v>379</v>
      </c>
      <c r="H10" s="526" t="s">
        <v>382</v>
      </c>
      <c r="I10" s="518" t="s">
        <v>118</v>
      </c>
      <c r="J10" s="253">
        <v>25</v>
      </c>
      <c r="K10" s="233" t="str">
        <f>IF(J10&lt;=0,"",IF(J10&lt;=2,"Muy Baja",IF(J10&lt;=24,"Baja",IF(J10&lt;=500,"Media",IF(J10&lt;=5000,"Alta","Muy Alta")))))</f>
        <v>Media</v>
      </c>
      <c r="L10" s="254">
        <f>IF(K10="","",IF(K10="Muy Baja",0.2,IF(K10="Baja",0.4,IF(K10="Media",0.6,IF(K10="Alta",0.8,IF(K10="Muy Alta",1,))))))</f>
        <v>0.6</v>
      </c>
      <c r="M10" s="258" t="s">
        <v>144</v>
      </c>
      <c r="N10" s="259"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33" t="str">
        <f>IF(OR(N10='Tabla Impacto'!$C$11,N10='Tabla Impacto'!$D$11),"Leve",IF(OR(N10='Tabla Impacto'!$C$12,N10='Tabla Impacto'!$D$12),"Menor",IF(OR(N10='Tabla Impacto'!$C$13,N10='Tabla Impacto'!$D$13),"Moderado",IF(OR(N10='Tabla Impacto'!$C$14,N10='Tabla Impacto'!$D$14),"Mayor",IF(OR(N10='Tabla Impacto'!$C$15,N10='Tabla Impacto'!$D$15),"Catastrófico","")))))</f>
        <v>Moderado</v>
      </c>
      <c r="P10" s="234">
        <f>IF(O10="","",IF(O10="Leve",0.2,IF(O10="Menor",0.4,IF(O10="Moderado",0.6,IF(O10="Mayor",0.8,IF(O10="Catastrófico",1,))))))</f>
        <v>0.6</v>
      </c>
      <c r="Q10" s="235"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231">
        <v>1</v>
      </c>
      <c r="S10" s="232" t="s">
        <v>387</v>
      </c>
      <c r="T10" s="226" t="str">
        <f t="shared" ref="T10:T14" si="0">IF(OR(U10="Preventivo",U10="Detectivo"),"Probabilidad",IF(U10="Correctivo","Impacto",""))</f>
        <v>Probabilidad</v>
      </c>
      <c r="U10" s="227" t="s">
        <v>14</v>
      </c>
      <c r="V10" s="227" t="s">
        <v>9</v>
      </c>
      <c r="W10" s="228" t="str">
        <f t="shared" ref="W10:W15" si="1">IF(AND(U10="Preventivo",V10="Automático"),"50%",IF(AND(U10="Preventivo",V10="Manual"),"40%",IF(AND(U10="Detectivo",V10="Automático"),"40%",IF(AND(U10="Detectivo",V10="Manual"),"30%",IF(AND(U10="Correctivo",V10="Automático"),"35%",IF(AND(U10="Correctivo",V10="Manual"),"25%",""))))))</f>
        <v>40%</v>
      </c>
      <c r="X10" s="227" t="s">
        <v>19</v>
      </c>
      <c r="Y10" s="227" t="s">
        <v>22</v>
      </c>
      <c r="Z10" s="227" t="s">
        <v>114</v>
      </c>
      <c r="AA10" s="239">
        <f>IFERROR(IF(T10="Probabilidad",(L10-(+L10*W10)),IF(T10="Impacto",L10,"")),"")</f>
        <v>0.36</v>
      </c>
      <c r="AB10" s="223" t="str">
        <f t="shared" ref="AB10:AB15" si="2">IFERROR(IF(AA10="","",IF(AA10&lt;=0.2,"Muy Baja",IF(AA10&lt;=0.4,"Baja",IF(AA10&lt;=0.6,"Media",IF(AA10&lt;=0.8,"Alta","Muy Alta"))))),"")</f>
        <v>Baja</v>
      </c>
      <c r="AC10" s="224">
        <f>+AA10</f>
        <v>0.36</v>
      </c>
      <c r="AD10" s="515" t="str">
        <f>IFERROR(IF(AE10="","",IF(AE10&lt;=0.2,"Leve",IF(AE10&lt;=0.4,"Menor",IF(AE10&lt;=0.6,"Moderado",IF(AE10&lt;=0.8,"Mayor","Catastrófico"))))),"")</f>
        <v>Moderado</v>
      </c>
      <c r="AE10" s="224">
        <f t="shared" ref="AE10:AE15" si="3">IFERROR(IF(T10="Impacto",(P10-(+P10*W10)),IF(T10="Probabilidad",P10,"")),"")</f>
        <v>0.6</v>
      </c>
      <c r="AF10" s="512"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6" t="s">
        <v>131</v>
      </c>
      <c r="AH10" s="221" t="s">
        <v>437</v>
      </c>
      <c r="AI10" s="738" t="s">
        <v>385</v>
      </c>
      <c r="AJ10" s="739" t="s">
        <v>384</v>
      </c>
      <c r="AK10" s="740" t="s">
        <v>390</v>
      </c>
      <c r="AL10" s="738" t="s">
        <v>438</v>
      </c>
      <c r="AM10" s="741" t="s">
        <v>41</v>
      </c>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row>
    <row r="11" spans="1:71" s="230" customFormat="1" ht="188.25" customHeight="1" x14ac:dyDescent="0.3">
      <c r="A11" s="521"/>
      <c r="B11" s="523"/>
      <c r="C11" s="523"/>
      <c r="D11" s="525"/>
      <c r="E11" s="222" t="str">
        <f>'Priorizacion de Causa'!B50</f>
        <v xml:space="preserve">Desconocimiento del personal adscrito a la Oficina de control interno de los  cambios normativos que impliquen  nuevos informes a cargo de la Oficina  o modificaciones a la periodicidad del reporte de los informes de ley. </v>
      </c>
      <c r="F11" s="526"/>
      <c r="G11" s="528"/>
      <c r="H11" s="526"/>
      <c r="I11" s="519"/>
      <c r="J11" s="253">
        <v>25</v>
      </c>
      <c r="K11" s="233" t="str">
        <f>IF(J11&lt;=0,"",IF(J11&lt;=2,"Muy Baja",IF(J11&lt;=24,"Baja",IF(J11&lt;=500,"Media",IF(J11&lt;=5000,"Alta","Muy Alta")))))</f>
        <v>Media</v>
      </c>
      <c r="L11" s="254">
        <f>IF(K11="","",IF(K11="Muy Baja",0.2,IF(K11="Baja",0.4,IF(K11="Media",0.6,IF(K11="Alta",0.8,IF(K11="Muy Alta",1,))))))</f>
        <v>0.6</v>
      </c>
      <c r="M11" s="258" t="s">
        <v>144</v>
      </c>
      <c r="N11" s="259"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33" t="str">
        <f>IF(OR(N11='Tabla Impacto'!$C$11,N11='Tabla Impacto'!$D$11),"Leve",IF(OR(N11='Tabla Impacto'!$C$12,N11='Tabla Impacto'!$D$12),"Menor",IF(OR(N11='Tabla Impacto'!$C$13,N11='Tabla Impacto'!$D$13),"Moderado",IF(OR(N11='Tabla Impacto'!$C$14,N11='Tabla Impacto'!$D$14),"Mayor",IF(OR(N11='Tabla Impacto'!$C$15,N11='Tabla Impacto'!$D$15),"Catastrófico","")))))</f>
        <v>Moderado</v>
      </c>
      <c r="P11" s="234">
        <f>IF(O11="","",IF(O11="Leve",0.2,IF(O11="Menor",0.4,IF(O11="Moderado",0.6,IF(O11="Mayor",0.8,IF(O11="Catastrófico",1,))))))</f>
        <v>0.6</v>
      </c>
      <c r="Q11" s="235"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231">
        <v>2</v>
      </c>
      <c r="S11" s="232" t="s">
        <v>386</v>
      </c>
      <c r="T11" s="226" t="str">
        <f t="shared" si="0"/>
        <v>Probabilidad</v>
      </c>
      <c r="U11" s="227" t="s">
        <v>14</v>
      </c>
      <c r="V11" s="227" t="s">
        <v>9</v>
      </c>
      <c r="W11" s="228" t="str">
        <f t="shared" si="1"/>
        <v>40%</v>
      </c>
      <c r="X11" s="227" t="s">
        <v>19</v>
      </c>
      <c r="Y11" s="227" t="s">
        <v>22</v>
      </c>
      <c r="Z11" s="227" t="s">
        <v>114</v>
      </c>
      <c r="AA11" s="239">
        <f>IFERROR(IF(AND(T10="Probabilidad",T11="Probabilidad"),(AC10-(+AC10*W11)),IF(AND(T10="Impacto",T11="Probabilidad"),(L10-(+L10*W11)),IF(T11="Impacto",AC10,""))),"")</f>
        <v>0.216</v>
      </c>
      <c r="AB11" s="223" t="str">
        <f t="shared" si="2"/>
        <v>Baja</v>
      </c>
      <c r="AC11" s="224">
        <f t="shared" ref="AC11:AC14" si="4">+AA11</f>
        <v>0.216</v>
      </c>
      <c r="AD11" s="516"/>
      <c r="AE11" s="224">
        <f t="shared" si="3"/>
        <v>0.6</v>
      </c>
      <c r="AF11" s="513"/>
      <c r="AG11" s="116" t="s">
        <v>131</v>
      </c>
      <c r="AH11" s="221" t="s">
        <v>328</v>
      </c>
      <c r="AI11" s="738" t="s">
        <v>385</v>
      </c>
      <c r="AJ11" s="739" t="s">
        <v>384</v>
      </c>
      <c r="AK11" s="740" t="s">
        <v>390</v>
      </c>
      <c r="AL11" s="738" t="s">
        <v>439</v>
      </c>
      <c r="AM11" s="741" t="s">
        <v>41</v>
      </c>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row>
    <row r="12" spans="1:71" s="230" customFormat="1" ht="281.25" customHeight="1" x14ac:dyDescent="0.3">
      <c r="A12" s="521"/>
      <c r="B12" s="523"/>
      <c r="C12" s="523"/>
      <c r="D12" s="525"/>
      <c r="E12" s="225" t="str">
        <f>'Priorizacion de Causa'!B48</f>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
      <c r="F12" s="526"/>
      <c r="G12" s="528"/>
      <c r="H12" s="526"/>
      <c r="I12" s="519"/>
      <c r="J12" s="253">
        <v>25</v>
      </c>
      <c r="K12" s="233" t="str">
        <f>IF(J12&lt;=0,"",IF(J12&lt;=2,"Muy Baja",IF(J12&lt;=24,"Baja",IF(J12&lt;=500,"Media",IF(J12&lt;=5000,"Alta","Muy Alta")))))</f>
        <v>Media</v>
      </c>
      <c r="L12" s="254">
        <f>IF(K12="","",IF(K12="Muy Baja",0.2,IF(K12="Baja",0.4,IF(K12="Media",0.6,IF(K12="Alta",0.8,IF(K12="Muy Alta",1,))))))</f>
        <v>0.6</v>
      </c>
      <c r="M12" s="258" t="s">
        <v>144</v>
      </c>
      <c r="N12" s="259" t="str">
        <f>IF(NOT(ISERROR(MATCH(M12,'Tabla Impacto'!$B$221:$B$223,0))),'Tabla Impacto'!$F$223&amp;"Por favor no seleccionar los criterios de impacto(Afectación Económica o presupuestal y Pérdida Reputacional)",M12)</f>
        <v xml:space="preserve">     El riesgo afecta la imagen de la entidad con algunos usuarios de relevancia frente al logro de los objetivos</v>
      </c>
      <c r="O12" s="233" t="str">
        <f>IF(OR(N12='Tabla Impacto'!$C$11,N12='Tabla Impacto'!$D$11),"Leve",IF(OR(N12='Tabla Impacto'!$C$12,N12='Tabla Impacto'!$D$12),"Menor",IF(OR(N12='Tabla Impacto'!$C$13,N12='Tabla Impacto'!$D$13),"Moderado",IF(OR(N12='Tabla Impacto'!$C$14,N12='Tabla Impacto'!$D$14),"Mayor",IF(OR(N12='Tabla Impacto'!$C$15,N12='Tabla Impacto'!$D$15),"Catastrófico","")))))</f>
        <v>Moderado</v>
      </c>
      <c r="P12" s="234">
        <f>IF(O12="","",IF(O12="Leve",0.2,IF(O12="Menor",0.4,IF(O12="Moderado",0.6,IF(O12="Mayor",0.8,IF(O12="Catastrófico",1,))))))</f>
        <v>0.6</v>
      </c>
      <c r="Q12" s="235"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231">
        <v>3</v>
      </c>
      <c r="S12" s="232" t="s">
        <v>388</v>
      </c>
      <c r="T12" s="226" t="str">
        <f t="shared" si="0"/>
        <v>Probabilidad</v>
      </c>
      <c r="U12" s="227" t="s">
        <v>14</v>
      </c>
      <c r="V12" s="227" t="s">
        <v>9</v>
      </c>
      <c r="W12" s="228" t="str">
        <f t="shared" si="1"/>
        <v>40%</v>
      </c>
      <c r="X12" s="227" t="s">
        <v>19</v>
      </c>
      <c r="Y12" s="227" t="s">
        <v>22</v>
      </c>
      <c r="Z12" s="227" t="s">
        <v>114</v>
      </c>
      <c r="AA12" s="239">
        <f>IFERROR(IF(AND(T11="Probabilidad",T12="Probabilidad"),(AC11-(+AC11*W12)),IF(AND(T11="Impacto",T12="Probabilidad"),(AC10-(+AC10*W12)),IF(T12="Impacto",AC11,""))),"")</f>
        <v>0.12959999999999999</v>
      </c>
      <c r="AB12" s="223" t="str">
        <f t="shared" si="2"/>
        <v>Muy Baja</v>
      </c>
      <c r="AC12" s="224">
        <f t="shared" si="4"/>
        <v>0.12959999999999999</v>
      </c>
      <c r="AD12" s="516"/>
      <c r="AE12" s="224">
        <f t="shared" si="3"/>
        <v>0.6</v>
      </c>
      <c r="AF12" s="513"/>
      <c r="AG12" s="116" t="s">
        <v>131</v>
      </c>
      <c r="AH12" s="221" t="s">
        <v>361</v>
      </c>
      <c r="AI12" s="741" t="s">
        <v>385</v>
      </c>
      <c r="AJ12" s="739" t="s">
        <v>384</v>
      </c>
      <c r="AK12" s="740" t="s">
        <v>390</v>
      </c>
      <c r="AL12" s="738" t="s">
        <v>438</v>
      </c>
      <c r="AM12" s="741" t="s">
        <v>41</v>
      </c>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row>
    <row r="13" spans="1:71" s="230" customFormat="1" ht="183.75" customHeight="1" x14ac:dyDescent="0.3">
      <c r="A13" s="521"/>
      <c r="B13" s="523"/>
      <c r="C13" s="523"/>
      <c r="D13" s="525"/>
      <c r="E13" s="225" t="str">
        <f>'Priorizacion de Causa'!B53</f>
        <v>Entidades públicas realizando cargue  de informes de ley  a través de aplicativos de entes de control,  de forma simultanea. (Control interno contable, derechos de autor y furag)</v>
      </c>
      <c r="F13" s="526"/>
      <c r="G13" s="528"/>
      <c r="H13" s="526"/>
      <c r="I13" s="519"/>
      <c r="J13" s="253">
        <v>25</v>
      </c>
      <c r="K13" s="233" t="str">
        <f>IF(J13&lt;=0,"",IF(J13&lt;=2,"Muy Baja",IF(J13&lt;=24,"Baja",IF(J13&lt;=500,"Media",IF(J13&lt;=5000,"Alta","Muy Alta")))))</f>
        <v>Media</v>
      </c>
      <c r="L13" s="254">
        <f>IF(K13="","",IF(K13="Muy Baja",0.2,IF(K13="Baja",0.4,IF(K13="Media",0.6,IF(K13="Alta",0.8,IF(K13="Muy Alta",1,))))))</f>
        <v>0.6</v>
      </c>
      <c r="M13" s="258" t="s">
        <v>144</v>
      </c>
      <c r="N13" s="259"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33" t="str">
        <f>IF(OR(N13='Tabla Impacto'!$C$11,N13='Tabla Impacto'!$D$11),"Leve",IF(OR(N13='Tabla Impacto'!$C$12,N13='Tabla Impacto'!$D$12),"Menor",IF(OR(N13='Tabla Impacto'!$C$13,N13='Tabla Impacto'!$D$13),"Moderado",IF(OR(N13='Tabla Impacto'!$C$14,N13='Tabla Impacto'!$D$14),"Mayor",IF(OR(N13='Tabla Impacto'!$C$15,N13='Tabla Impacto'!$D$15),"Catastrófico","")))))</f>
        <v>Moderado</v>
      </c>
      <c r="P13" s="234">
        <f>IF(O13="","",IF(O13="Leve",0.2,IF(O13="Menor",0.4,IF(O13="Moderado",0.6,IF(O13="Mayor",0.8,IF(O13="Catastrófico",1,))))))</f>
        <v>0.6</v>
      </c>
      <c r="Q13" s="235"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c r="R13" s="231">
        <v>4</v>
      </c>
      <c r="S13" s="232" t="s">
        <v>413</v>
      </c>
      <c r="T13" s="226" t="str">
        <f>IF(OR(U13="Preventivo",U13="Detectivo"),"Probabilidad",IF(U13="Correctivo","Impacto",""))</f>
        <v>Probabilidad</v>
      </c>
      <c r="U13" s="227" t="s">
        <v>14</v>
      </c>
      <c r="V13" s="227" t="s">
        <v>9</v>
      </c>
      <c r="W13" s="228" t="str">
        <f t="shared" si="1"/>
        <v>40%</v>
      </c>
      <c r="X13" s="227" t="s">
        <v>19</v>
      </c>
      <c r="Y13" s="227" t="s">
        <v>22</v>
      </c>
      <c r="Z13" s="227" t="s">
        <v>114</v>
      </c>
      <c r="AA13" s="239">
        <f>IFERROR(IF(AND(T12="Probabilidad",T13="Probabilidad"),(AC12-(+AC12*W13)),IF(AND(T12="Impacto",T13="Probabilidad"),(AC11-(+AC11*W13)),IF(T13="Impacto",AC12,""))),"")</f>
        <v>7.7759999999999996E-2</v>
      </c>
      <c r="AB13" s="223" t="str">
        <f t="shared" si="2"/>
        <v>Muy Baja</v>
      </c>
      <c r="AC13" s="224">
        <f t="shared" si="4"/>
        <v>7.7759999999999996E-2</v>
      </c>
      <c r="AD13" s="517"/>
      <c r="AE13" s="224">
        <f t="shared" si="3"/>
        <v>0.6</v>
      </c>
      <c r="AF13" s="514"/>
      <c r="AG13" s="116" t="s">
        <v>131</v>
      </c>
      <c r="AH13" s="221" t="s">
        <v>389</v>
      </c>
      <c r="AI13" s="741" t="s">
        <v>385</v>
      </c>
      <c r="AJ13" s="739" t="s">
        <v>384</v>
      </c>
      <c r="AK13" s="740" t="s">
        <v>390</v>
      </c>
      <c r="AL13" s="738" t="s">
        <v>440</v>
      </c>
      <c r="AM13" s="741" t="s">
        <v>41</v>
      </c>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row>
    <row r="14" spans="1:71" ht="219.75" customHeight="1" x14ac:dyDescent="0.25">
      <c r="A14" s="252">
        <v>2</v>
      </c>
      <c r="B14" s="242" t="s">
        <v>127</v>
      </c>
      <c r="C14" s="242" t="s">
        <v>391</v>
      </c>
      <c r="D14" s="243" t="s">
        <v>399</v>
      </c>
      <c r="E14" s="244" t="str">
        <f>'Priorizacion de Causa'!B51</f>
        <v xml:space="preserve">Olvido de los informes  generados  por la Oficina de control interno  y  pendientes de socialización  a la Alta Dirección  en el Comité de Coordinación de Control Interno, en el momento previo a la  convocatoria  para la  elaboración del orden del dia. </v>
      </c>
      <c r="F14" s="245" t="s">
        <v>393</v>
      </c>
      <c r="G14" s="238" t="s">
        <v>379</v>
      </c>
      <c r="H14" s="247" t="s">
        <v>394</v>
      </c>
      <c r="I14" s="248" t="s">
        <v>414</v>
      </c>
      <c r="J14" s="237">
        <v>4</v>
      </c>
      <c r="K14" s="249" t="str">
        <f>IF(J14&lt;=0,"",IF(J14&lt;=2,"Muy Baja",IF(J14&lt;=24,"Baja",IF(J14&lt;=500,"Media",IF(J14&lt;=5000,"Alta","Muy Alta")))))</f>
        <v>Baja</v>
      </c>
      <c r="L14" s="236">
        <f>IF(K14="","",IF(K14="Muy Baja",0.2,IF(K14="Baja",0.4,IF(K14="Media",0.6,IF(K14="Alta",0.8,IF(K14="Muy Alta",1,))))))</f>
        <v>0.4</v>
      </c>
      <c r="M14" s="251" t="s">
        <v>144</v>
      </c>
      <c r="N14" s="250" t="str">
        <f>IF(NOT(ISERROR(MATCH(M14,'Tabla Impacto'!$B$221:$B$223,0))),'Tabla Impacto'!$F$223&amp;"Por favor no seleccionar los criterios de impacto(Afectación Económica o presupuestal y Pérdida Reputacional)",M14)</f>
        <v xml:space="preserve">     El riesgo afecta la imagen de la entidad con algunos usuarios de relevancia frente al logro de los objetivos</v>
      </c>
      <c r="O14" s="255" t="str">
        <f>IF(OR(N14='Tabla Impacto'!$C$11,N14='Tabla Impacto'!$D$11),"Leve",IF(OR(N14='Tabla Impacto'!$C$12,N14='Tabla Impacto'!$D$12),"Menor",IF(OR(N14='Tabla Impacto'!$C$13,N14='Tabla Impacto'!$D$13),"Moderado",IF(OR(N14='Tabla Impacto'!$C$14,N14='Tabla Impacto'!$D$14),"Mayor",IF(OR(N14='Tabla Impacto'!$C$15,N14='Tabla Impacto'!$D$15),"Catastrófico","")))))</f>
        <v>Moderado</v>
      </c>
      <c r="P14" s="250">
        <f>IF(O14="","",IF(O14="Leve",0.2,IF(O14="Menor",0.4,IF(O14="Moderado",0.6,IF(O14="Mayor",0.8,IF(O14="Catastrófico",1,))))))</f>
        <v>0.6</v>
      </c>
      <c r="Q14" s="256"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252">
        <v>1</v>
      </c>
      <c r="S14" s="246" t="s">
        <v>395</v>
      </c>
      <c r="T14" s="105" t="str">
        <f t="shared" si="0"/>
        <v>Probabilidad</v>
      </c>
      <c r="U14" s="111" t="s">
        <v>14</v>
      </c>
      <c r="V14" s="111" t="s">
        <v>9</v>
      </c>
      <c r="W14" s="112" t="str">
        <f t="shared" si="1"/>
        <v>40%</v>
      </c>
      <c r="X14" s="111" t="s">
        <v>19</v>
      </c>
      <c r="Y14" s="111" t="s">
        <v>22</v>
      </c>
      <c r="Z14" s="111" t="s">
        <v>114</v>
      </c>
      <c r="AA14" s="106">
        <f>IFERROR(IF(T14="Probabilidad",(L14-(+L14*W14)),IF(T14="Impacto",L14,"")),"")</f>
        <v>0.24</v>
      </c>
      <c r="AB14" s="113" t="str">
        <f t="shared" si="2"/>
        <v>Baja</v>
      </c>
      <c r="AC14" s="114">
        <f t="shared" si="4"/>
        <v>0.24</v>
      </c>
      <c r="AD14" s="113" t="str">
        <f>IFERROR(IF(AE14="","",IF(AE14&lt;=0.2,"Leve",IF(AE14&lt;=0.4,"Menor",IF(AE14&lt;=0.6,"Moderado",IF(AE14&lt;=0.8,"Mayor","Catastrófico"))))),"")</f>
        <v>Moderado</v>
      </c>
      <c r="AE14" s="114">
        <f t="shared" si="3"/>
        <v>0.6</v>
      </c>
      <c r="AF14" s="115"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116" t="s">
        <v>131</v>
      </c>
      <c r="AH14" s="257" t="s">
        <v>331</v>
      </c>
      <c r="AI14" s="741" t="s">
        <v>385</v>
      </c>
      <c r="AJ14" s="739" t="s">
        <v>384</v>
      </c>
      <c r="AK14" s="742" t="s">
        <v>390</v>
      </c>
      <c r="AL14" s="738" t="s">
        <v>438</v>
      </c>
      <c r="AM14" s="741" t="s">
        <v>41</v>
      </c>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30.75" hidden="1" customHeight="1" x14ac:dyDescent="0.25">
      <c r="A15" s="529">
        <v>3</v>
      </c>
      <c r="B15" s="532"/>
      <c r="C15" s="532"/>
      <c r="D15" s="535"/>
      <c r="E15" s="134"/>
      <c r="F15" s="538"/>
      <c r="G15" s="509"/>
      <c r="H15" s="135"/>
      <c r="I15" s="539"/>
      <c r="J15" s="567"/>
      <c r="K15" s="570" t="str">
        <f t="shared" ref="K15" si="5">IF(J15&lt;=0,"",IF(J15&lt;=2,"Muy Baja",IF(J15&lt;=24,"Baja",IF(J15&lt;=500,"Media",IF(J15&lt;=5000,"Alta","Muy Alta")))))</f>
        <v/>
      </c>
      <c r="L15" s="542" t="str">
        <f t="shared" ref="L15" si="6">IF(K15="","",IF(K15="Muy Baja",0.2,IF(K15="Baja",0.4,IF(K15="Media",0.6,IF(K15="Alta",0.8,IF(K15="Muy Alta",1,))))))</f>
        <v/>
      </c>
      <c r="M15" s="573"/>
      <c r="N15" s="542">
        <f>IF(NOT(ISERROR(MATCH(M15,'Tabla Impacto'!$B$221:$B$223,0))),'Tabla Impacto'!$F$223&amp;"Por favor no seleccionar los criterios de impacto(Afectación Económica o presupuestal y Pérdida Reputacional)",M15)</f>
        <v>0</v>
      </c>
      <c r="O15" s="570" t="str">
        <f>IF(OR(N15='Tabla Impacto'!$C$11,N15='Tabla Impacto'!$D$11),"Leve",IF(OR(N15='Tabla Impacto'!$C$12,N15='Tabla Impacto'!$D$12),"Menor",IF(OR(N15='Tabla Impacto'!$C$13,N15='Tabla Impacto'!$D$13),"Moderado",IF(OR(N15='Tabla Impacto'!$C$14,N15='Tabla Impacto'!$D$14),"Mayor",IF(OR(N15='Tabla Impacto'!$C$15,N15='Tabla Impacto'!$D$15),"Catastrófico","")))))</f>
        <v/>
      </c>
      <c r="P15" s="542" t="str">
        <f t="shared" ref="P15" si="7">IF(O15="","",IF(O15="Leve",0.2,IF(O15="Menor",0.4,IF(O15="Moderado",0.6,IF(O15="Mayor",0.8,IF(O15="Catastrófico",1,))))))</f>
        <v/>
      </c>
      <c r="Q15" s="545" t="str">
        <f t="shared" ref="Q15" si="8">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
      </c>
      <c r="R15" s="103">
        <v>1</v>
      </c>
      <c r="S15" s="104"/>
      <c r="T15" s="105" t="str">
        <f>IF(OR(U15="Preventivo",U15="Detectivo"),"Probabilidad",IF(U15="Correctivo","Impacto",""))</f>
        <v/>
      </c>
      <c r="U15" s="111"/>
      <c r="V15" s="111"/>
      <c r="W15" s="112" t="str">
        <f t="shared" si="1"/>
        <v/>
      </c>
      <c r="X15" s="111"/>
      <c r="Y15" s="111"/>
      <c r="Z15" s="111"/>
      <c r="AA15" s="106" t="str">
        <f>IFERROR(IF(T15="Probabilidad",(L15-(+L15*W15)),IF(T15="Impacto",L15,"")),"")</f>
        <v/>
      </c>
      <c r="AB15" s="113" t="str">
        <f t="shared" si="2"/>
        <v/>
      </c>
      <c r="AC15" s="114" t="str">
        <f>+AA15</f>
        <v/>
      </c>
      <c r="AD15" s="113" t="str">
        <f>IFERROR(IF(AE15="","",IF(AE15&lt;=0.2,"Leve",IF(AE15&lt;=0.4,"Menor",IF(AE15&lt;=0.6,"Moderado",IF(AE15&lt;=0.8,"Mayor","Catastrófico"))))),"")</f>
        <v/>
      </c>
      <c r="AE15" s="114" t="str">
        <f t="shared" si="3"/>
        <v/>
      </c>
      <c r="AF15" s="115"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16"/>
      <c r="AH15" s="107"/>
      <c r="AI15" s="108"/>
      <c r="AJ15" s="109"/>
      <c r="AK15" s="109"/>
      <c r="AL15" s="107"/>
      <c r="AM15" s="108"/>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26.25" hidden="1" customHeight="1" x14ac:dyDescent="0.25">
      <c r="A16" s="530"/>
      <c r="B16" s="533"/>
      <c r="C16" s="533"/>
      <c r="D16" s="536"/>
      <c r="E16" s="134"/>
      <c r="F16" s="538"/>
      <c r="G16" s="510"/>
      <c r="H16" s="135"/>
      <c r="I16" s="540"/>
      <c r="J16" s="568"/>
      <c r="K16" s="571"/>
      <c r="L16" s="543"/>
      <c r="M16" s="574"/>
      <c r="N16" s="543">
        <f>IF(NOT(ISERROR(MATCH(M16,_xlfn.ANCHORARRAY(F27),0))),L29&amp;"Por favor no seleccionar los criterios de impacto",M16)</f>
        <v>0</v>
      </c>
      <c r="O16" s="571"/>
      <c r="P16" s="543"/>
      <c r="Q16" s="546"/>
      <c r="R16" s="103">
        <v>2</v>
      </c>
      <c r="S16" s="104"/>
      <c r="T16" s="105" t="str">
        <f>IF(OR(U16="Preventivo",U16="Detectivo"),"Probabilidad",IF(U16="Correctivo","Impacto",""))</f>
        <v/>
      </c>
      <c r="U16" s="111"/>
      <c r="V16" s="111"/>
      <c r="W16" s="112" t="str">
        <f t="shared" ref="W16:W20" si="9">IF(AND(U16="Preventivo",V16="Automático"),"50%",IF(AND(U16="Preventivo",V16="Manual"),"40%",IF(AND(U16="Detectivo",V16="Automático"),"40%",IF(AND(U16="Detectivo",V16="Manual"),"30%",IF(AND(U16="Correctivo",V16="Automático"),"35%",IF(AND(U16="Correctivo",V16="Manual"),"25%",""))))))</f>
        <v/>
      </c>
      <c r="X16" s="111"/>
      <c r="Y16" s="111"/>
      <c r="Z16" s="111"/>
      <c r="AA16" s="106" t="str">
        <f>IFERROR(IF(AND(T15="Probabilidad",T16="Probabilidad"),(AC15-(+AC15*W16)),IF(AND(T15="Impacto",T16="Probabilidad"),(L15-(+L15*W16)),IF(T16="Impacto",AC15,""))),"")</f>
        <v/>
      </c>
      <c r="AB16" s="113" t="str">
        <f t="shared" ref="AB16:AB20" si="10">IFERROR(IF(AA16="","",IF(AA16&lt;=0.2,"Muy Baja",IF(AA16&lt;=0.4,"Baja",IF(AA16&lt;=0.6,"Media",IF(AA16&lt;=0.8,"Alta","Muy Alta"))))),"")</f>
        <v/>
      </c>
      <c r="AC16" s="114" t="str">
        <f>+AA16</f>
        <v/>
      </c>
      <c r="AD16" s="113" t="str">
        <f t="shared" ref="AD16:AD20" si="11">IFERROR(IF(AE16="","",IF(AE16&lt;=0.2,"Leve",IF(AE16&lt;=0.4,"Menor",IF(AE16&lt;=0.6,"Moderado",IF(AE16&lt;=0.8,"Mayor","Catastrófico"))))),"")</f>
        <v/>
      </c>
      <c r="AE16" s="114" t="str">
        <f>IFERROR(IF(AND(T15="Impacto",T16="Impacto"),(AE15-(+AE15*W16)),IF(AND(T15="Probabilidad",T16="Impacto"),(P15-(+P15*W16)),IF(T16="Probabilidad",AE15,""))),"")</f>
        <v/>
      </c>
      <c r="AF16" s="115" t="str">
        <f t="shared" ref="AF16:AF20" si="12">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6"/>
      <c r="AH16" s="107"/>
      <c r="AI16" s="108"/>
      <c r="AJ16" s="109"/>
      <c r="AK16" s="109"/>
      <c r="AL16" s="107"/>
      <c r="AM16" s="108"/>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26.25" hidden="1" customHeight="1" x14ac:dyDescent="0.25">
      <c r="A17" s="530"/>
      <c r="B17" s="533"/>
      <c r="C17" s="533"/>
      <c r="D17" s="536"/>
      <c r="E17" s="134"/>
      <c r="F17" s="538"/>
      <c r="G17" s="510"/>
      <c r="H17" s="135"/>
      <c r="I17" s="540"/>
      <c r="J17" s="568"/>
      <c r="K17" s="571"/>
      <c r="L17" s="543"/>
      <c r="M17" s="574"/>
      <c r="N17" s="543">
        <f>IF(NOT(ISERROR(MATCH(M17,_xlfn.ANCHORARRAY(F28),0))),L30&amp;"Por favor no seleccionar los criterios de impacto",M17)</f>
        <v>0</v>
      </c>
      <c r="O17" s="571"/>
      <c r="P17" s="543"/>
      <c r="Q17" s="546"/>
      <c r="R17" s="103">
        <v>3</v>
      </c>
      <c r="S17" s="110"/>
      <c r="T17" s="105" t="str">
        <f t="shared" ref="T17:T20" si="13">IF(OR(U17="Preventivo",U17="Detectivo"),"Probabilidad",IF(U17="Correctivo","Impacto",""))</f>
        <v/>
      </c>
      <c r="U17" s="111"/>
      <c r="V17" s="111"/>
      <c r="W17" s="112" t="str">
        <f t="shared" si="9"/>
        <v/>
      </c>
      <c r="X17" s="111"/>
      <c r="Y17" s="111"/>
      <c r="Z17" s="111"/>
      <c r="AA17" s="106" t="str">
        <f>IFERROR(IF(AND(T16="Probabilidad",T17="Probabilidad"),(AC16-(+AC16*W17)),IF(AND(T16="Impacto",T17="Probabilidad"),(AC15-(+AC15*W17)),IF(T17="Impacto",AC16,""))),"")</f>
        <v/>
      </c>
      <c r="AB17" s="113" t="str">
        <f t="shared" si="10"/>
        <v/>
      </c>
      <c r="AC17" s="114" t="str">
        <f t="shared" ref="AC17:AC20" si="14">+AA17</f>
        <v/>
      </c>
      <c r="AD17" s="113" t="str">
        <f t="shared" si="11"/>
        <v/>
      </c>
      <c r="AE17" s="114" t="str">
        <f t="shared" ref="AE17:AE20" si="15">IFERROR(IF(AND(T16="Impacto",T17="Impacto"),(AE16-(+AE16*W17)),IF(AND(T16="Probabilidad",T17="Impacto"),(AE15-(+AE15*W17)),IF(T17="Probabilidad",AE16,""))),"")</f>
        <v/>
      </c>
      <c r="AF17" s="115" t="str">
        <f t="shared" si="12"/>
        <v/>
      </c>
      <c r="AG17" s="116"/>
      <c r="AH17" s="107"/>
      <c r="AI17" s="108"/>
      <c r="AJ17" s="109"/>
      <c r="AK17" s="109"/>
      <c r="AL17" s="107"/>
      <c r="AM17" s="108"/>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26.25" hidden="1" customHeight="1" x14ac:dyDescent="0.25">
      <c r="A18" s="530"/>
      <c r="B18" s="533"/>
      <c r="C18" s="533"/>
      <c r="D18" s="536"/>
      <c r="E18" s="134"/>
      <c r="F18" s="538"/>
      <c r="G18" s="510"/>
      <c r="H18" s="135"/>
      <c r="I18" s="540"/>
      <c r="J18" s="568"/>
      <c r="K18" s="571"/>
      <c r="L18" s="543"/>
      <c r="M18" s="574"/>
      <c r="N18" s="543">
        <f>IF(NOT(ISERROR(MATCH(M18,_xlfn.ANCHORARRAY(F29),0))),L31&amp;"Por favor no seleccionar los criterios de impacto",M18)</f>
        <v>0</v>
      </c>
      <c r="O18" s="571"/>
      <c r="P18" s="543"/>
      <c r="Q18" s="546"/>
      <c r="R18" s="103">
        <v>4</v>
      </c>
      <c r="S18" s="104"/>
      <c r="T18" s="105" t="str">
        <f t="shared" si="13"/>
        <v/>
      </c>
      <c r="U18" s="111"/>
      <c r="V18" s="111"/>
      <c r="W18" s="112" t="str">
        <f t="shared" si="9"/>
        <v/>
      </c>
      <c r="X18" s="111"/>
      <c r="Y18" s="111"/>
      <c r="Z18" s="111"/>
      <c r="AA18" s="106" t="str">
        <f t="shared" ref="AA18:AA20" si="16">IFERROR(IF(AND(T17="Probabilidad",T18="Probabilidad"),(AC17-(+AC17*W18)),IF(AND(T17="Impacto",T18="Probabilidad"),(AC16-(+AC16*W18)),IF(T18="Impacto",AC17,""))),"")</f>
        <v/>
      </c>
      <c r="AB18" s="113" t="str">
        <f t="shared" si="10"/>
        <v/>
      </c>
      <c r="AC18" s="114" t="str">
        <f t="shared" si="14"/>
        <v/>
      </c>
      <c r="AD18" s="113" t="str">
        <f t="shared" si="11"/>
        <v/>
      </c>
      <c r="AE18" s="114" t="str">
        <f t="shared" si="15"/>
        <v/>
      </c>
      <c r="AF18" s="115" t="str">
        <f t="shared" si="12"/>
        <v/>
      </c>
      <c r="AG18" s="116"/>
      <c r="AH18" s="107"/>
      <c r="AI18" s="108"/>
      <c r="AJ18" s="109"/>
      <c r="AK18" s="109"/>
      <c r="AL18" s="107"/>
      <c r="AM18" s="108"/>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26.25" hidden="1" customHeight="1" x14ac:dyDescent="0.25">
      <c r="A19" s="530"/>
      <c r="B19" s="533"/>
      <c r="C19" s="533"/>
      <c r="D19" s="536"/>
      <c r="E19" s="134"/>
      <c r="F19" s="538"/>
      <c r="G19" s="510"/>
      <c r="H19" s="135"/>
      <c r="I19" s="540"/>
      <c r="J19" s="568"/>
      <c r="K19" s="571"/>
      <c r="L19" s="543"/>
      <c r="M19" s="574"/>
      <c r="N19" s="543">
        <f>IF(NOT(ISERROR(MATCH(M19,_xlfn.ANCHORARRAY(F30),0))),L32&amp;"Por favor no seleccionar los criterios de impacto",M19)</f>
        <v>0</v>
      </c>
      <c r="O19" s="571"/>
      <c r="P19" s="543"/>
      <c r="Q19" s="546"/>
      <c r="R19" s="103">
        <v>5</v>
      </c>
      <c r="S19" s="104"/>
      <c r="T19" s="105" t="str">
        <f t="shared" si="13"/>
        <v/>
      </c>
      <c r="U19" s="111"/>
      <c r="V19" s="111"/>
      <c r="W19" s="112" t="str">
        <f t="shared" si="9"/>
        <v/>
      </c>
      <c r="X19" s="111"/>
      <c r="Y19" s="111"/>
      <c r="Z19" s="111"/>
      <c r="AA19" s="106" t="str">
        <f t="shared" si="16"/>
        <v/>
      </c>
      <c r="AB19" s="113" t="str">
        <f t="shared" si="10"/>
        <v/>
      </c>
      <c r="AC19" s="114" t="str">
        <f t="shared" si="14"/>
        <v/>
      </c>
      <c r="AD19" s="113" t="str">
        <f t="shared" si="11"/>
        <v/>
      </c>
      <c r="AE19" s="114" t="str">
        <f t="shared" si="15"/>
        <v/>
      </c>
      <c r="AF19" s="115" t="str">
        <f t="shared" si="12"/>
        <v/>
      </c>
      <c r="AG19" s="116"/>
      <c r="AH19" s="107"/>
      <c r="AI19" s="108"/>
      <c r="AJ19" s="109"/>
      <c r="AK19" s="109"/>
      <c r="AL19" s="107"/>
      <c r="AM19" s="108"/>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26.25" hidden="1" customHeight="1" x14ac:dyDescent="0.25">
      <c r="A20" s="531"/>
      <c r="B20" s="534"/>
      <c r="C20" s="534"/>
      <c r="D20" s="537"/>
      <c r="E20" s="134"/>
      <c r="F20" s="538"/>
      <c r="G20" s="511"/>
      <c r="H20" s="135"/>
      <c r="I20" s="541"/>
      <c r="J20" s="569"/>
      <c r="K20" s="572"/>
      <c r="L20" s="544"/>
      <c r="M20" s="575"/>
      <c r="N20" s="544">
        <f>IF(NOT(ISERROR(MATCH(M20,_xlfn.ANCHORARRAY(F31),0))),L33&amp;"Por favor no seleccionar los criterios de impacto",M20)</f>
        <v>0</v>
      </c>
      <c r="O20" s="572"/>
      <c r="P20" s="544"/>
      <c r="Q20" s="547"/>
      <c r="R20" s="103">
        <v>6</v>
      </c>
      <c r="S20" s="104"/>
      <c r="T20" s="105" t="str">
        <f t="shared" si="13"/>
        <v/>
      </c>
      <c r="U20" s="111"/>
      <c r="V20" s="111"/>
      <c r="W20" s="112" t="str">
        <f t="shared" si="9"/>
        <v/>
      </c>
      <c r="X20" s="111"/>
      <c r="Y20" s="111"/>
      <c r="Z20" s="111"/>
      <c r="AA20" s="106" t="str">
        <f t="shared" si="16"/>
        <v/>
      </c>
      <c r="AB20" s="113" t="str">
        <f t="shared" si="10"/>
        <v/>
      </c>
      <c r="AC20" s="114" t="str">
        <f t="shared" si="14"/>
        <v/>
      </c>
      <c r="AD20" s="113" t="str">
        <f t="shared" si="11"/>
        <v/>
      </c>
      <c r="AE20" s="114" t="str">
        <f t="shared" si="15"/>
        <v/>
      </c>
      <c r="AF20" s="115" t="str">
        <f t="shared" si="12"/>
        <v/>
      </c>
      <c r="AG20" s="116"/>
      <c r="AH20" s="107"/>
      <c r="AI20" s="108"/>
      <c r="AJ20" s="109"/>
      <c r="AK20" s="109"/>
      <c r="AL20" s="107"/>
      <c r="AM20" s="108"/>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26.25" hidden="1" customHeight="1" x14ac:dyDescent="0.25">
      <c r="A21" s="529">
        <v>4</v>
      </c>
      <c r="B21" s="532"/>
      <c r="C21" s="532"/>
      <c r="D21" s="535"/>
      <c r="E21" s="134"/>
      <c r="F21" s="538"/>
      <c r="G21" s="509"/>
      <c r="H21" s="135"/>
      <c r="I21" s="539"/>
      <c r="J21" s="567"/>
      <c r="K21" s="570" t="str">
        <f t="shared" ref="K21" si="17">IF(J21&lt;=0,"",IF(J21&lt;=2,"Muy Baja",IF(J21&lt;=24,"Baja",IF(J21&lt;=500,"Media",IF(J21&lt;=5000,"Alta","Muy Alta")))))</f>
        <v/>
      </c>
      <c r="L21" s="542" t="str">
        <f t="shared" ref="L21" si="18">IF(K21="","",IF(K21="Muy Baja",0.2,IF(K21="Baja",0.4,IF(K21="Media",0.6,IF(K21="Alta",0.8,IF(K21="Muy Alta",1,))))))</f>
        <v/>
      </c>
      <c r="M21" s="573"/>
      <c r="N21" s="542">
        <f>IF(NOT(ISERROR(MATCH(M21,'Tabla Impacto'!$B$221:$B$223,0))),'Tabla Impacto'!$F$223&amp;"Por favor no seleccionar los criterios de impacto(Afectación Económica o presupuestal y Pérdida Reputacional)",M21)</f>
        <v>0</v>
      </c>
      <c r="O21" s="570" t="str">
        <f>IF(OR(N21='Tabla Impacto'!$C$11,N21='Tabla Impacto'!$D$11),"Leve",IF(OR(N21='Tabla Impacto'!$C$12,N21='Tabla Impacto'!$D$12),"Menor",IF(OR(N21='Tabla Impacto'!$C$13,N21='Tabla Impacto'!$D$13),"Moderado",IF(OR(N21='Tabla Impacto'!$C$14,N21='Tabla Impacto'!$D$14),"Mayor",IF(OR(N21='Tabla Impacto'!$C$15,N21='Tabla Impacto'!$D$15),"Catastrófico","")))))</f>
        <v/>
      </c>
      <c r="P21" s="542" t="str">
        <f t="shared" ref="P21" si="19">IF(O21="","",IF(O21="Leve",0.2,IF(O21="Menor",0.4,IF(O21="Moderado",0.6,IF(O21="Mayor",0.8,IF(O21="Catastrófico",1,))))))</f>
        <v/>
      </c>
      <c r="Q21" s="545" t="str">
        <f t="shared" ref="Q21" si="20">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103">
        <v>1</v>
      </c>
      <c r="S21" s="104"/>
      <c r="T21" s="105" t="str">
        <f>IF(OR(U21="Preventivo",U21="Detectivo"),"Probabilidad",IF(U21="Correctivo","Impacto",""))</f>
        <v/>
      </c>
      <c r="U21" s="111"/>
      <c r="V21" s="111"/>
      <c r="W21" s="112" t="str">
        <f>IF(AND(U21="Preventivo",V21="Automático"),"50%",IF(AND(U21="Preventivo",V21="Manual"),"40%",IF(AND(U21="Detectivo",V21="Automático"),"40%",IF(AND(U21="Detectivo",V21="Manual"),"30%",IF(AND(U21="Correctivo",V21="Automático"),"35%",IF(AND(U21="Correctivo",V21="Manual"),"25%",""))))))</f>
        <v/>
      </c>
      <c r="X21" s="111"/>
      <c r="Y21" s="111"/>
      <c r="Z21" s="111"/>
      <c r="AA21" s="106" t="str">
        <f>IFERROR(IF(T21="Probabilidad",(L21-(+L21*W21)),IF(T21="Impacto",L21,"")),"")</f>
        <v/>
      </c>
      <c r="AB21" s="113" t="str">
        <f>IFERROR(IF(AA21="","",IF(AA21&lt;=0.2,"Muy Baja",IF(AA21&lt;=0.4,"Baja",IF(AA21&lt;=0.6,"Media",IF(AA21&lt;=0.8,"Alta","Muy Alta"))))),"")</f>
        <v/>
      </c>
      <c r="AC21" s="114" t="str">
        <f>+AA21</f>
        <v/>
      </c>
      <c r="AD21" s="113" t="str">
        <f>IFERROR(IF(AE21="","",IF(AE21&lt;=0.2,"Leve",IF(AE21&lt;=0.4,"Menor",IF(AE21&lt;=0.6,"Moderado",IF(AE21&lt;=0.8,"Mayor","Catastrófico"))))),"")</f>
        <v/>
      </c>
      <c r="AE21" s="114" t="str">
        <f>IFERROR(IF(T21="Impacto",(P21-(+P21*W21)),IF(T21="Probabilidad",P21,"")),"")</f>
        <v/>
      </c>
      <c r="AF21" s="115"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16"/>
      <c r="AH21" s="107"/>
      <c r="AI21" s="108"/>
      <c r="AJ21" s="109"/>
      <c r="AK21" s="109"/>
      <c r="AL21" s="107"/>
      <c r="AM21" s="108"/>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26.25" hidden="1" customHeight="1" x14ac:dyDescent="0.25">
      <c r="A22" s="530"/>
      <c r="B22" s="533"/>
      <c r="C22" s="533"/>
      <c r="D22" s="536"/>
      <c r="E22" s="134"/>
      <c r="F22" s="538"/>
      <c r="G22" s="510"/>
      <c r="H22" s="135"/>
      <c r="I22" s="540"/>
      <c r="J22" s="568"/>
      <c r="K22" s="571"/>
      <c r="L22" s="543"/>
      <c r="M22" s="574"/>
      <c r="N22" s="543">
        <f>IF(NOT(ISERROR(MATCH(M22,_xlfn.ANCHORARRAY(F33),0))),L35&amp;"Por favor no seleccionar los criterios de impacto",M22)</f>
        <v>0</v>
      </c>
      <c r="O22" s="571"/>
      <c r="P22" s="543"/>
      <c r="Q22" s="546"/>
      <c r="R22" s="103">
        <v>2</v>
      </c>
      <c r="S22" s="104"/>
      <c r="T22" s="105" t="str">
        <f>IF(OR(U22="Preventivo",U22="Detectivo"),"Probabilidad",IF(U22="Correctivo","Impacto",""))</f>
        <v/>
      </c>
      <c r="U22" s="111"/>
      <c r="V22" s="111"/>
      <c r="W22" s="112" t="str">
        <f t="shared" ref="W22:W26" si="21">IF(AND(U22="Preventivo",V22="Automático"),"50%",IF(AND(U22="Preventivo",V22="Manual"),"40%",IF(AND(U22="Detectivo",V22="Automático"),"40%",IF(AND(U22="Detectivo",V22="Manual"),"30%",IF(AND(U22="Correctivo",V22="Automático"),"35%",IF(AND(U22="Correctivo",V22="Manual"),"25%",""))))))</f>
        <v/>
      </c>
      <c r="X22" s="111"/>
      <c r="Y22" s="111"/>
      <c r="Z22" s="111"/>
      <c r="AA22" s="106" t="str">
        <f>IFERROR(IF(AND(T21="Probabilidad",T22="Probabilidad"),(AC21-(+AC21*W22)),IF(AND(T21="Impacto",T22="Probabilidad"),(L21-(+L21*W22)),IF(T22="Impacto",AC21,""))),"")</f>
        <v/>
      </c>
      <c r="AB22" s="113" t="str">
        <f t="shared" ref="AB22:AB26" si="22">IFERROR(IF(AA22="","",IF(AA22&lt;=0.2,"Muy Baja",IF(AA22&lt;=0.4,"Baja",IF(AA22&lt;=0.6,"Media",IF(AA22&lt;=0.8,"Alta","Muy Alta"))))),"")</f>
        <v/>
      </c>
      <c r="AC22" s="114" t="str">
        <f>+AA22</f>
        <v/>
      </c>
      <c r="AD22" s="113" t="str">
        <f t="shared" ref="AD22:AD26" si="23">IFERROR(IF(AE22="","",IF(AE22&lt;=0.2,"Leve",IF(AE22&lt;=0.4,"Menor",IF(AE22&lt;=0.6,"Moderado",IF(AE22&lt;=0.8,"Mayor","Catastrófico"))))),"")</f>
        <v/>
      </c>
      <c r="AE22" s="114" t="str">
        <f>IFERROR(IF(AND(T21="Impacto",T22="Impacto"),(AE21-(+AE21*W22)),IF(AND(T21="Probabilidad",T22="Impacto"),(P21-(+P21*W22)),IF(T22="Probabilidad",AE21,""))),"")</f>
        <v/>
      </c>
      <c r="AF22" s="115" t="str">
        <f t="shared" ref="AF22:AF26" si="24">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6"/>
      <c r="AH22" s="107"/>
      <c r="AI22" s="108"/>
      <c r="AJ22" s="109"/>
      <c r="AK22" s="109"/>
      <c r="AL22" s="107"/>
      <c r="AM22" s="108"/>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26.25" hidden="1" customHeight="1" x14ac:dyDescent="0.25">
      <c r="A23" s="530"/>
      <c r="B23" s="533"/>
      <c r="C23" s="533"/>
      <c r="D23" s="536"/>
      <c r="E23" s="134"/>
      <c r="F23" s="538"/>
      <c r="G23" s="510"/>
      <c r="H23" s="135"/>
      <c r="I23" s="540"/>
      <c r="J23" s="568"/>
      <c r="K23" s="571"/>
      <c r="L23" s="543"/>
      <c r="M23" s="574"/>
      <c r="N23" s="543">
        <f>IF(NOT(ISERROR(MATCH(M23,_xlfn.ANCHORARRAY(F34),0))),L36&amp;"Por favor no seleccionar los criterios de impacto",M23)</f>
        <v>0</v>
      </c>
      <c r="O23" s="571"/>
      <c r="P23" s="543"/>
      <c r="Q23" s="546"/>
      <c r="R23" s="103">
        <v>3</v>
      </c>
      <c r="S23" s="110"/>
      <c r="T23" s="105" t="str">
        <f t="shared" ref="T23:T26" si="25">IF(OR(U23="Preventivo",U23="Detectivo"),"Probabilidad",IF(U23="Correctivo","Impacto",""))</f>
        <v/>
      </c>
      <c r="U23" s="111"/>
      <c r="V23" s="111"/>
      <c r="W23" s="112" t="str">
        <f t="shared" si="21"/>
        <v/>
      </c>
      <c r="X23" s="111"/>
      <c r="Y23" s="111"/>
      <c r="Z23" s="111"/>
      <c r="AA23" s="106" t="str">
        <f>IFERROR(IF(AND(T22="Probabilidad",T23="Probabilidad"),(AC22-(+AC22*W23)),IF(AND(T22="Impacto",T23="Probabilidad"),(AC21-(+AC21*W23)),IF(T23="Impacto",AC22,""))),"")</f>
        <v/>
      </c>
      <c r="AB23" s="113" t="str">
        <f t="shared" si="22"/>
        <v/>
      </c>
      <c r="AC23" s="114" t="str">
        <f t="shared" ref="AC23:AC26" si="26">+AA23</f>
        <v/>
      </c>
      <c r="AD23" s="113" t="str">
        <f t="shared" si="23"/>
        <v/>
      </c>
      <c r="AE23" s="114" t="str">
        <f t="shared" ref="AE23:AE26" si="27">IFERROR(IF(AND(T22="Impacto",T23="Impacto"),(AE22-(+AE22*W23)),IF(AND(T22="Probabilidad",T23="Impacto"),(AE21-(+AE21*W23)),IF(T23="Probabilidad",AE22,""))),"")</f>
        <v/>
      </c>
      <c r="AF23" s="115" t="str">
        <f t="shared" si="24"/>
        <v/>
      </c>
      <c r="AG23" s="116"/>
      <c r="AH23" s="107"/>
      <c r="AI23" s="108"/>
      <c r="AJ23" s="109"/>
      <c r="AK23" s="109"/>
      <c r="AL23" s="107"/>
      <c r="AM23" s="108"/>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26.25" hidden="1" customHeight="1" x14ac:dyDescent="0.25">
      <c r="A24" s="530"/>
      <c r="B24" s="533"/>
      <c r="C24" s="533"/>
      <c r="D24" s="536"/>
      <c r="E24" s="134"/>
      <c r="F24" s="538"/>
      <c r="G24" s="510"/>
      <c r="H24" s="135"/>
      <c r="I24" s="540"/>
      <c r="J24" s="568"/>
      <c r="K24" s="571"/>
      <c r="L24" s="543"/>
      <c r="M24" s="574"/>
      <c r="N24" s="543">
        <f>IF(NOT(ISERROR(MATCH(M24,_xlfn.ANCHORARRAY(F35),0))),L37&amp;"Por favor no seleccionar los criterios de impacto",M24)</f>
        <v>0</v>
      </c>
      <c r="O24" s="571"/>
      <c r="P24" s="543"/>
      <c r="Q24" s="546"/>
      <c r="R24" s="103">
        <v>4</v>
      </c>
      <c r="S24" s="104"/>
      <c r="T24" s="105" t="str">
        <f t="shared" si="25"/>
        <v/>
      </c>
      <c r="U24" s="111"/>
      <c r="V24" s="111"/>
      <c r="W24" s="112" t="str">
        <f t="shared" si="21"/>
        <v/>
      </c>
      <c r="X24" s="111"/>
      <c r="Y24" s="111"/>
      <c r="Z24" s="111"/>
      <c r="AA24" s="106" t="str">
        <f t="shared" ref="AA24:AA26" si="28">IFERROR(IF(AND(T23="Probabilidad",T24="Probabilidad"),(AC23-(+AC23*W24)),IF(AND(T23="Impacto",T24="Probabilidad"),(AC22-(+AC22*W24)),IF(T24="Impacto",AC23,""))),"")</f>
        <v/>
      </c>
      <c r="AB24" s="113" t="str">
        <f t="shared" si="22"/>
        <v/>
      </c>
      <c r="AC24" s="114" t="str">
        <f t="shared" si="26"/>
        <v/>
      </c>
      <c r="AD24" s="113" t="str">
        <f t="shared" si="23"/>
        <v/>
      </c>
      <c r="AE24" s="114" t="str">
        <f t="shared" si="27"/>
        <v/>
      </c>
      <c r="AF24" s="115" t="str">
        <f t="shared" si="24"/>
        <v/>
      </c>
      <c r="AG24" s="116"/>
      <c r="AH24" s="107"/>
      <c r="AI24" s="108"/>
      <c r="AJ24" s="109"/>
      <c r="AK24" s="109"/>
      <c r="AL24" s="107"/>
      <c r="AM24" s="108"/>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26.25" hidden="1" customHeight="1" x14ac:dyDescent="0.25">
      <c r="A25" s="530"/>
      <c r="B25" s="533"/>
      <c r="C25" s="533"/>
      <c r="D25" s="536"/>
      <c r="E25" s="134"/>
      <c r="F25" s="538"/>
      <c r="G25" s="510"/>
      <c r="H25" s="135"/>
      <c r="I25" s="540"/>
      <c r="J25" s="568"/>
      <c r="K25" s="571"/>
      <c r="L25" s="543"/>
      <c r="M25" s="574"/>
      <c r="N25" s="543">
        <f>IF(NOT(ISERROR(MATCH(M25,_xlfn.ANCHORARRAY(F36),0))),L38&amp;"Por favor no seleccionar los criterios de impacto",M25)</f>
        <v>0</v>
      </c>
      <c r="O25" s="571"/>
      <c r="P25" s="543"/>
      <c r="Q25" s="546"/>
      <c r="R25" s="103">
        <v>5</v>
      </c>
      <c r="S25" s="104"/>
      <c r="T25" s="105" t="str">
        <f t="shared" si="25"/>
        <v/>
      </c>
      <c r="U25" s="111"/>
      <c r="V25" s="111"/>
      <c r="W25" s="112" t="str">
        <f t="shared" si="21"/>
        <v/>
      </c>
      <c r="X25" s="111"/>
      <c r="Y25" s="111"/>
      <c r="Z25" s="111"/>
      <c r="AA25" s="106" t="str">
        <f t="shared" si="28"/>
        <v/>
      </c>
      <c r="AB25" s="113" t="str">
        <f t="shared" si="22"/>
        <v/>
      </c>
      <c r="AC25" s="114" t="str">
        <f t="shared" si="26"/>
        <v/>
      </c>
      <c r="AD25" s="113" t="str">
        <f t="shared" si="23"/>
        <v/>
      </c>
      <c r="AE25" s="114" t="str">
        <f t="shared" si="27"/>
        <v/>
      </c>
      <c r="AF25" s="115" t="str">
        <f t="shared" si="24"/>
        <v/>
      </c>
      <c r="AG25" s="116"/>
      <c r="AH25" s="107"/>
      <c r="AI25" s="108"/>
      <c r="AJ25" s="109"/>
      <c r="AK25" s="109"/>
      <c r="AL25" s="107"/>
      <c r="AM25" s="108"/>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26.25" hidden="1" customHeight="1" x14ac:dyDescent="0.25">
      <c r="A26" s="531"/>
      <c r="B26" s="534"/>
      <c r="C26" s="534"/>
      <c r="D26" s="537"/>
      <c r="E26" s="134"/>
      <c r="F26" s="538"/>
      <c r="G26" s="511"/>
      <c r="H26" s="135"/>
      <c r="I26" s="541"/>
      <c r="J26" s="569"/>
      <c r="K26" s="572"/>
      <c r="L26" s="544"/>
      <c r="M26" s="575"/>
      <c r="N26" s="544">
        <f>IF(NOT(ISERROR(MATCH(M26,_xlfn.ANCHORARRAY(F37),0))),L39&amp;"Por favor no seleccionar los criterios de impacto",M26)</f>
        <v>0</v>
      </c>
      <c r="O26" s="572"/>
      <c r="P26" s="544"/>
      <c r="Q26" s="547"/>
      <c r="R26" s="103">
        <v>6</v>
      </c>
      <c r="S26" s="104"/>
      <c r="T26" s="105" t="str">
        <f t="shared" si="25"/>
        <v/>
      </c>
      <c r="U26" s="111"/>
      <c r="V26" s="111"/>
      <c r="W26" s="112" t="str">
        <f t="shared" si="21"/>
        <v/>
      </c>
      <c r="X26" s="111"/>
      <c r="Y26" s="111"/>
      <c r="Z26" s="111"/>
      <c r="AA26" s="106" t="str">
        <f t="shared" si="28"/>
        <v/>
      </c>
      <c r="AB26" s="113" t="str">
        <f t="shared" si="22"/>
        <v/>
      </c>
      <c r="AC26" s="114" t="str">
        <f t="shared" si="26"/>
        <v/>
      </c>
      <c r="AD26" s="113" t="str">
        <f t="shared" si="23"/>
        <v/>
      </c>
      <c r="AE26" s="114" t="str">
        <f t="shared" si="27"/>
        <v/>
      </c>
      <c r="AF26" s="115" t="str">
        <f t="shared" si="24"/>
        <v/>
      </c>
      <c r="AG26" s="116"/>
      <c r="AH26" s="107"/>
      <c r="AI26" s="108"/>
      <c r="AJ26" s="109"/>
      <c r="AK26" s="109"/>
      <c r="AL26" s="107"/>
      <c r="AM26" s="108"/>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26.25" hidden="1" customHeight="1" x14ac:dyDescent="0.25">
      <c r="A27" s="529">
        <v>5</v>
      </c>
      <c r="B27" s="532"/>
      <c r="C27" s="532"/>
      <c r="D27" s="535"/>
      <c r="E27" s="134"/>
      <c r="F27" s="538"/>
      <c r="G27" s="509"/>
      <c r="H27" s="135"/>
      <c r="I27" s="539"/>
      <c r="J27" s="567"/>
      <c r="K27" s="570" t="str">
        <f t="shared" ref="K27" si="29">IF(J27&lt;=0,"",IF(J27&lt;=2,"Muy Baja",IF(J27&lt;=24,"Baja",IF(J27&lt;=500,"Media",IF(J27&lt;=5000,"Alta","Muy Alta")))))</f>
        <v/>
      </c>
      <c r="L27" s="542" t="str">
        <f t="shared" ref="L27" si="30">IF(K27="","",IF(K27="Muy Baja",0.2,IF(K27="Baja",0.4,IF(K27="Media",0.6,IF(K27="Alta",0.8,IF(K27="Muy Alta",1,))))))</f>
        <v/>
      </c>
      <c r="M27" s="573"/>
      <c r="N27" s="542">
        <f>IF(NOT(ISERROR(MATCH(M27,'Tabla Impacto'!$B$221:$B$223,0))),'Tabla Impacto'!$F$223&amp;"Por favor no seleccionar los criterios de impacto(Afectación Económica o presupuestal y Pérdida Reputacional)",M27)</f>
        <v>0</v>
      </c>
      <c r="O27" s="570" t="str">
        <f>IF(OR(N27='Tabla Impacto'!$C$11,N27='Tabla Impacto'!$D$11),"Leve",IF(OR(N27='Tabla Impacto'!$C$12,N27='Tabla Impacto'!$D$12),"Menor",IF(OR(N27='Tabla Impacto'!$C$13,N27='Tabla Impacto'!$D$13),"Moderado",IF(OR(N27='Tabla Impacto'!$C$14,N27='Tabla Impacto'!$D$14),"Mayor",IF(OR(N27='Tabla Impacto'!$C$15,N27='Tabla Impacto'!$D$15),"Catastrófico","")))))</f>
        <v/>
      </c>
      <c r="P27" s="542" t="str">
        <f t="shared" ref="P27" si="31">IF(O27="","",IF(O27="Leve",0.2,IF(O27="Menor",0.4,IF(O27="Moderado",0.6,IF(O27="Mayor",0.8,IF(O27="Catastrófico",1,))))))</f>
        <v/>
      </c>
      <c r="Q27" s="545" t="str">
        <f t="shared" ref="Q27" si="32">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103">
        <v>1</v>
      </c>
      <c r="S27" s="104"/>
      <c r="T27" s="105" t="str">
        <f>IF(OR(U27="Preventivo",U27="Detectivo"),"Probabilidad",IF(U27="Correctivo","Impacto",""))</f>
        <v/>
      </c>
      <c r="U27" s="111"/>
      <c r="V27" s="111"/>
      <c r="W27" s="112" t="str">
        <f>IF(AND(U27="Preventivo",V27="Automático"),"50%",IF(AND(U27="Preventivo",V27="Manual"),"40%",IF(AND(U27="Detectivo",V27="Automático"),"40%",IF(AND(U27="Detectivo",V27="Manual"),"30%",IF(AND(U27="Correctivo",V27="Automático"),"35%",IF(AND(U27="Correctivo",V27="Manual"),"25%",""))))))</f>
        <v/>
      </c>
      <c r="X27" s="111"/>
      <c r="Y27" s="111"/>
      <c r="Z27" s="111"/>
      <c r="AA27" s="106" t="str">
        <f>IFERROR(IF(T27="Probabilidad",(L27-(+L27*W27)),IF(T27="Impacto",L27,"")),"")</f>
        <v/>
      </c>
      <c r="AB27" s="113" t="str">
        <f>IFERROR(IF(AA27="","",IF(AA27&lt;=0.2,"Muy Baja",IF(AA27&lt;=0.4,"Baja",IF(AA27&lt;=0.6,"Media",IF(AA27&lt;=0.8,"Alta","Muy Alta"))))),"")</f>
        <v/>
      </c>
      <c r="AC27" s="114" t="str">
        <f>+AA27</f>
        <v/>
      </c>
      <c r="AD27" s="113" t="str">
        <f>IFERROR(IF(AE27="","",IF(AE27&lt;=0.2,"Leve",IF(AE27&lt;=0.4,"Menor",IF(AE27&lt;=0.6,"Moderado",IF(AE27&lt;=0.8,"Mayor","Catastrófico"))))),"")</f>
        <v/>
      </c>
      <c r="AE27" s="114" t="str">
        <f>IFERROR(IF(T27="Impacto",(P27-(+P27*W27)),IF(T27="Probabilidad",P27,"")),"")</f>
        <v/>
      </c>
      <c r="AF27" s="115"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6"/>
      <c r="AH27" s="107"/>
      <c r="AI27" s="108"/>
      <c r="AJ27" s="109"/>
      <c r="AK27" s="109"/>
      <c r="AL27" s="107"/>
      <c r="AM27" s="108"/>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26.25" hidden="1" customHeight="1" x14ac:dyDescent="0.25">
      <c r="A28" s="530"/>
      <c r="B28" s="533"/>
      <c r="C28" s="533"/>
      <c r="D28" s="536"/>
      <c r="E28" s="134"/>
      <c r="F28" s="538"/>
      <c r="G28" s="510"/>
      <c r="H28" s="135"/>
      <c r="I28" s="540"/>
      <c r="J28" s="568"/>
      <c r="K28" s="571"/>
      <c r="L28" s="543"/>
      <c r="M28" s="574"/>
      <c r="N28" s="543">
        <f>IF(NOT(ISERROR(MATCH(M28,_xlfn.ANCHORARRAY(F39),0))),L41&amp;"Por favor no seleccionar los criterios de impacto",M28)</f>
        <v>0</v>
      </c>
      <c r="O28" s="571"/>
      <c r="P28" s="543"/>
      <c r="Q28" s="546"/>
      <c r="R28" s="103">
        <v>2</v>
      </c>
      <c r="S28" s="104"/>
      <c r="T28" s="105" t="str">
        <f>IF(OR(U28="Preventivo",U28="Detectivo"),"Probabilidad",IF(U28="Correctivo","Impacto",""))</f>
        <v/>
      </c>
      <c r="U28" s="111"/>
      <c r="V28" s="111"/>
      <c r="W28" s="112" t="str">
        <f t="shared" ref="W28:W32" si="33">IF(AND(U28="Preventivo",V28="Automático"),"50%",IF(AND(U28="Preventivo",V28="Manual"),"40%",IF(AND(U28="Detectivo",V28="Automático"),"40%",IF(AND(U28="Detectivo",V28="Manual"),"30%",IF(AND(U28="Correctivo",V28="Automático"),"35%",IF(AND(U28="Correctivo",V28="Manual"),"25%",""))))))</f>
        <v/>
      </c>
      <c r="X28" s="111"/>
      <c r="Y28" s="111"/>
      <c r="Z28" s="111"/>
      <c r="AA28" s="106" t="str">
        <f>IFERROR(IF(AND(T27="Probabilidad",T28="Probabilidad"),(AC27-(+AC27*W28)),IF(AND(T27="Impacto",T28="Probabilidad"),(L27-(+L27*W28)),IF(T28="Impacto",AC27,""))),"")</f>
        <v/>
      </c>
      <c r="AB28" s="113" t="str">
        <f t="shared" ref="AB28:AB32" si="34">IFERROR(IF(AA28="","",IF(AA28&lt;=0.2,"Muy Baja",IF(AA28&lt;=0.4,"Baja",IF(AA28&lt;=0.6,"Media",IF(AA28&lt;=0.8,"Alta","Muy Alta"))))),"")</f>
        <v/>
      </c>
      <c r="AC28" s="114" t="str">
        <f>+AA28</f>
        <v/>
      </c>
      <c r="AD28" s="113" t="str">
        <f t="shared" ref="AD28:AD32" si="35">IFERROR(IF(AE28="","",IF(AE28&lt;=0.2,"Leve",IF(AE28&lt;=0.4,"Menor",IF(AE28&lt;=0.6,"Moderado",IF(AE28&lt;=0.8,"Mayor","Catastrófico"))))),"")</f>
        <v/>
      </c>
      <c r="AE28" s="114" t="str">
        <f>IFERROR(IF(AND(T27="Impacto",T28="Impacto"),(AE27-(+AE27*W28)),IF(AND(T27="Probabilidad",T28="Impacto"),(P27-(+P27*W28)),IF(T28="Probabilidad",AE27,""))),"")</f>
        <v/>
      </c>
      <c r="AF28" s="115" t="str">
        <f t="shared" ref="AF28:AF32" si="36">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6"/>
      <c r="AH28" s="107"/>
      <c r="AI28" s="108"/>
      <c r="AJ28" s="109"/>
      <c r="AK28" s="109"/>
      <c r="AL28" s="107"/>
      <c r="AM28" s="108"/>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26.25" hidden="1" customHeight="1" x14ac:dyDescent="0.25">
      <c r="A29" s="530"/>
      <c r="B29" s="533"/>
      <c r="C29" s="533"/>
      <c r="D29" s="536"/>
      <c r="E29" s="134"/>
      <c r="F29" s="538"/>
      <c r="G29" s="510"/>
      <c r="H29" s="135"/>
      <c r="I29" s="540"/>
      <c r="J29" s="568"/>
      <c r="K29" s="571"/>
      <c r="L29" s="543"/>
      <c r="M29" s="574"/>
      <c r="N29" s="543">
        <f>IF(NOT(ISERROR(MATCH(M29,_xlfn.ANCHORARRAY(F40),0))),L42&amp;"Por favor no seleccionar los criterios de impacto",M29)</f>
        <v>0</v>
      </c>
      <c r="O29" s="571"/>
      <c r="P29" s="543"/>
      <c r="Q29" s="546"/>
      <c r="R29" s="103">
        <v>3</v>
      </c>
      <c r="S29" s="110"/>
      <c r="T29" s="105" t="str">
        <f t="shared" ref="T29:T32" si="37">IF(OR(U29="Preventivo",U29="Detectivo"),"Probabilidad",IF(U29="Correctivo","Impacto",""))</f>
        <v/>
      </c>
      <c r="U29" s="111"/>
      <c r="V29" s="111"/>
      <c r="W29" s="112" t="str">
        <f t="shared" si="33"/>
        <v/>
      </c>
      <c r="X29" s="111"/>
      <c r="Y29" s="111"/>
      <c r="Z29" s="111"/>
      <c r="AA29" s="106" t="str">
        <f>IFERROR(IF(AND(T28="Probabilidad",T29="Probabilidad"),(AC28-(+AC28*W29)),IF(AND(T28="Impacto",T29="Probabilidad"),(AC27-(+AC27*W29)),IF(T29="Impacto",AC28,""))),"")</f>
        <v/>
      </c>
      <c r="AB29" s="113" t="str">
        <f t="shared" si="34"/>
        <v/>
      </c>
      <c r="AC29" s="114" t="str">
        <f t="shared" ref="AC29:AC32" si="38">+AA29</f>
        <v/>
      </c>
      <c r="AD29" s="113" t="str">
        <f t="shared" si="35"/>
        <v/>
      </c>
      <c r="AE29" s="114" t="str">
        <f t="shared" ref="AE29:AE32" si="39">IFERROR(IF(AND(T28="Impacto",T29="Impacto"),(AE28-(+AE28*W29)),IF(AND(T28="Probabilidad",T29="Impacto"),(AE27-(+AE27*W29)),IF(T29="Probabilidad",AE28,""))),"")</f>
        <v/>
      </c>
      <c r="AF29" s="115" t="str">
        <f t="shared" si="36"/>
        <v/>
      </c>
      <c r="AG29" s="116"/>
      <c r="AH29" s="107"/>
      <c r="AI29" s="108"/>
      <c r="AJ29" s="109"/>
      <c r="AK29" s="109"/>
      <c r="AL29" s="107"/>
      <c r="AM29" s="108"/>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26.25" hidden="1" customHeight="1" x14ac:dyDescent="0.25">
      <c r="A30" s="530"/>
      <c r="B30" s="533"/>
      <c r="C30" s="533"/>
      <c r="D30" s="536"/>
      <c r="E30" s="134"/>
      <c r="F30" s="538"/>
      <c r="G30" s="510"/>
      <c r="H30" s="135"/>
      <c r="I30" s="540"/>
      <c r="J30" s="568"/>
      <c r="K30" s="571"/>
      <c r="L30" s="543"/>
      <c r="M30" s="574"/>
      <c r="N30" s="543">
        <f>IF(NOT(ISERROR(MATCH(M30,_xlfn.ANCHORARRAY(F41),0))),L43&amp;"Por favor no seleccionar los criterios de impacto",M30)</f>
        <v>0</v>
      </c>
      <c r="O30" s="571"/>
      <c r="P30" s="543"/>
      <c r="Q30" s="546"/>
      <c r="R30" s="103">
        <v>4</v>
      </c>
      <c r="S30" s="104"/>
      <c r="T30" s="105" t="str">
        <f t="shared" si="37"/>
        <v/>
      </c>
      <c r="U30" s="111"/>
      <c r="V30" s="111"/>
      <c r="W30" s="112" t="str">
        <f t="shared" si="33"/>
        <v/>
      </c>
      <c r="X30" s="111"/>
      <c r="Y30" s="111"/>
      <c r="Z30" s="111"/>
      <c r="AA30" s="106" t="str">
        <f t="shared" ref="AA30:AA32" si="40">IFERROR(IF(AND(T29="Probabilidad",T30="Probabilidad"),(AC29-(+AC29*W30)),IF(AND(T29="Impacto",T30="Probabilidad"),(AC28-(+AC28*W30)),IF(T30="Impacto",AC29,""))),"")</f>
        <v/>
      </c>
      <c r="AB30" s="113" t="str">
        <f t="shared" si="34"/>
        <v/>
      </c>
      <c r="AC30" s="114" t="str">
        <f t="shared" si="38"/>
        <v/>
      </c>
      <c r="AD30" s="113" t="str">
        <f t="shared" si="35"/>
        <v/>
      </c>
      <c r="AE30" s="114" t="str">
        <f t="shared" si="39"/>
        <v/>
      </c>
      <c r="AF30" s="115" t="str">
        <f t="shared" si="36"/>
        <v/>
      </c>
      <c r="AG30" s="116"/>
      <c r="AH30" s="107"/>
      <c r="AI30" s="108"/>
      <c r="AJ30" s="109"/>
      <c r="AK30" s="109"/>
      <c r="AL30" s="107"/>
      <c r="AM30" s="108"/>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26.25" hidden="1" customHeight="1" x14ac:dyDescent="0.25">
      <c r="A31" s="530"/>
      <c r="B31" s="533"/>
      <c r="C31" s="533"/>
      <c r="D31" s="536"/>
      <c r="E31" s="134"/>
      <c r="F31" s="538"/>
      <c r="G31" s="510"/>
      <c r="H31" s="135"/>
      <c r="I31" s="540"/>
      <c r="J31" s="568"/>
      <c r="K31" s="571"/>
      <c r="L31" s="543"/>
      <c r="M31" s="574"/>
      <c r="N31" s="543">
        <f>IF(NOT(ISERROR(MATCH(M31,_xlfn.ANCHORARRAY(F42),0))),L44&amp;"Por favor no seleccionar los criterios de impacto",M31)</f>
        <v>0</v>
      </c>
      <c r="O31" s="571"/>
      <c r="P31" s="543"/>
      <c r="Q31" s="546"/>
      <c r="R31" s="103">
        <v>5</v>
      </c>
      <c r="S31" s="104"/>
      <c r="T31" s="105" t="str">
        <f t="shared" si="37"/>
        <v/>
      </c>
      <c r="U31" s="111"/>
      <c r="V31" s="111"/>
      <c r="W31" s="112" t="str">
        <f t="shared" si="33"/>
        <v/>
      </c>
      <c r="X31" s="111"/>
      <c r="Y31" s="111"/>
      <c r="Z31" s="111"/>
      <c r="AA31" s="106" t="str">
        <f t="shared" si="40"/>
        <v/>
      </c>
      <c r="AB31" s="113" t="str">
        <f t="shared" si="34"/>
        <v/>
      </c>
      <c r="AC31" s="114" t="str">
        <f t="shared" si="38"/>
        <v/>
      </c>
      <c r="AD31" s="113" t="str">
        <f t="shared" si="35"/>
        <v/>
      </c>
      <c r="AE31" s="114" t="str">
        <f t="shared" si="39"/>
        <v/>
      </c>
      <c r="AF31" s="115" t="str">
        <f t="shared" si="36"/>
        <v/>
      </c>
      <c r="AG31" s="116"/>
      <c r="AH31" s="107"/>
      <c r="AI31" s="108"/>
      <c r="AJ31" s="109"/>
      <c r="AK31" s="109"/>
      <c r="AL31" s="107"/>
      <c r="AM31" s="108"/>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26.25" hidden="1" customHeight="1" x14ac:dyDescent="0.25">
      <c r="A32" s="531"/>
      <c r="B32" s="534"/>
      <c r="C32" s="534"/>
      <c r="D32" s="537"/>
      <c r="E32" s="134"/>
      <c r="F32" s="538"/>
      <c r="G32" s="511"/>
      <c r="H32" s="135"/>
      <c r="I32" s="541"/>
      <c r="J32" s="569"/>
      <c r="K32" s="572"/>
      <c r="L32" s="544"/>
      <c r="M32" s="575"/>
      <c r="N32" s="544">
        <f>IF(NOT(ISERROR(MATCH(M32,_xlfn.ANCHORARRAY(F43),0))),L45&amp;"Por favor no seleccionar los criterios de impacto",M32)</f>
        <v>0</v>
      </c>
      <c r="O32" s="572"/>
      <c r="P32" s="544"/>
      <c r="Q32" s="547"/>
      <c r="R32" s="103">
        <v>6</v>
      </c>
      <c r="S32" s="104"/>
      <c r="T32" s="105" t="str">
        <f t="shared" si="37"/>
        <v/>
      </c>
      <c r="U32" s="111"/>
      <c r="V32" s="111"/>
      <c r="W32" s="112" t="str">
        <f t="shared" si="33"/>
        <v/>
      </c>
      <c r="X32" s="111"/>
      <c r="Y32" s="111"/>
      <c r="Z32" s="111"/>
      <c r="AA32" s="106" t="str">
        <f t="shared" si="40"/>
        <v/>
      </c>
      <c r="AB32" s="113" t="str">
        <f t="shared" si="34"/>
        <v/>
      </c>
      <c r="AC32" s="114" t="str">
        <f t="shared" si="38"/>
        <v/>
      </c>
      <c r="AD32" s="113" t="str">
        <f t="shared" si="35"/>
        <v/>
      </c>
      <c r="AE32" s="114" t="str">
        <f t="shared" si="39"/>
        <v/>
      </c>
      <c r="AF32" s="115" t="str">
        <f t="shared" si="36"/>
        <v/>
      </c>
      <c r="AG32" s="116"/>
      <c r="AH32" s="107"/>
      <c r="AI32" s="108"/>
      <c r="AJ32" s="109"/>
      <c r="AK32" s="109"/>
      <c r="AL32" s="107"/>
      <c r="AM32" s="108"/>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26.25" hidden="1" customHeight="1" x14ac:dyDescent="0.25">
      <c r="A33" s="529">
        <v>6</v>
      </c>
      <c r="B33" s="532"/>
      <c r="C33" s="532"/>
      <c r="D33" s="535"/>
      <c r="E33" s="134"/>
      <c r="F33" s="538"/>
      <c r="G33" s="509"/>
      <c r="H33" s="135"/>
      <c r="I33" s="539"/>
      <c r="J33" s="567"/>
      <c r="K33" s="570" t="str">
        <f t="shared" ref="K33" si="41">IF(J33&lt;=0,"",IF(J33&lt;=2,"Muy Baja",IF(J33&lt;=24,"Baja",IF(J33&lt;=500,"Media",IF(J33&lt;=5000,"Alta","Muy Alta")))))</f>
        <v/>
      </c>
      <c r="L33" s="542" t="str">
        <f t="shared" ref="L33" si="42">IF(K33="","",IF(K33="Muy Baja",0.2,IF(K33="Baja",0.4,IF(K33="Media",0.6,IF(K33="Alta",0.8,IF(K33="Muy Alta",1,))))))</f>
        <v/>
      </c>
      <c r="M33" s="573"/>
      <c r="N33" s="542">
        <f>IF(NOT(ISERROR(MATCH(M33,'Tabla Impacto'!$B$221:$B$223,0))),'Tabla Impacto'!$F$223&amp;"Por favor no seleccionar los criterios de impacto(Afectación Económica o presupuestal y Pérdida Reputacional)",M33)</f>
        <v>0</v>
      </c>
      <c r="O33" s="570" t="str">
        <f>IF(OR(N33='Tabla Impacto'!$C$11,N33='Tabla Impacto'!$D$11),"Leve",IF(OR(N33='Tabla Impacto'!$C$12,N33='Tabla Impacto'!$D$12),"Menor",IF(OR(N33='Tabla Impacto'!$C$13,N33='Tabla Impacto'!$D$13),"Moderado",IF(OR(N33='Tabla Impacto'!$C$14,N33='Tabla Impacto'!$D$14),"Mayor",IF(OR(N33='Tabla Impacto'!$C$15,N33='Tabla Impacto'!$D$15),"Catastrófico","")))))</f>
        <v/>
      </c>
      <c r="P33" s="542" t="str">
        <f t="shared" ref="P33" si="43">IF(O33="","",IF(O33="Leve",0.2,IF(O33="Menor",0.4,IF(O33="Moderado",0.6,IF(O33="Mayor",0.8,IF(O33="Catastrófico",1,))))))</f>
        <v/>
      </c>
      <c r="Q33" s="545" t="str">
        <f t="shared" ref="Q33" si="44">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103">
        <v>1</v>
      </c>
      <c r="S33" s="104"/>
      <c r="T33" s="105" t="str">
        <f>IF(OR(U33="Preventivo",U33="Detectivo"),"Probabilidad",IF(U33="Correctivo","Impacto",""))</f>
        <v/>
      </c>
      <c r="U33" s="111"/>
      <c r="V33" s="111"/>
      <c r="W33" s="112" t="str">
        <f>IF(AND(U33="Preventivo",V33="Automático"),"50%",IF(AND(U33="Preventivo",V33="Manual"),"40%",IF(AND(U33="Detectivo",V33="Automático"),"40%",IF(AND(U33="Detectivo",V33="Manual"),"30%",IF(AND(U33="Correctivo",V33="Automático"),"35%",IF(AND(U33="Correctivo",V33="Manual"),"25%",""))))))</f>
        <v/>
      </c>
      <c r="X33" s="111"/>
      <c r="Y33" s="111"/>
      <c r="Z33" s="111"/>
      <c r="AA33" s="106" t="str">
        <f>IFERROR(IF(T33="Probabilidad",(L33-(+L33*W33)),IF(T33="Impacto",L33,"")),"")</f>
        <v/>
      </c>
      <c r="AB33" s="113" t="str">
        <f>IFERROR(IF(AA33="","",IF(AA33&lt;=0.2,"Muy Baja",IF(AA33&lt;=0.4,"Baja",IF(AA33&lt;=0.6,"Media",IF(AA33&lt;=0.8,"Alta","Muy Alta"))))),"")</f>
        <v/>
      </c>
      <c r="AC33" s="114" t="str">
        <f>+AA33</f>
        <v/>
      </c>
      <c r="AD33" s="113" t="str">
        <f>IFERROR(IF(AE33="","",IF(AE33&lt;=0.2,"Leve",IF(AE33&lt;=0.4,"Menor",IF(AE33&lt;=0.6,"Moderado",IF(AE33&lt;=0.8,"Mayor","Catastrófico"))))),"")</f>
        <v/>
      </c>
      <c r="AE33" s="114" t="str">
        <f>IFERROR(IF(T33="Impacto",(P33-(+P33*W33)),IF(T33="Probabilidad",P33,"")),"")</f>
        <v/>
      </c>
      <c r="AF33" s="115"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6"/>
      <c r="AH33" s="107"/>
      <c r="AI33" s="108"/>
      <c r="AJ33" s="109"/>
      <c r="AK33" s="109"/>
      <c r="AL33" s="107"/>
      <c r="AM33" s="108"/>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26.25" hidden="1" customHeight="1" x14ac:dyDescent="0.25">
      <c r="A34" s="530"/>
      <c r="B34" s="533"/>
      <c r="C34" s="533"/>
      <c r="D34" s="536"/>
      <c r="E34" s="134"/>
      <c r="F34" s="538"/>
      <c r="G34" s="510"/>
      <c r="H34" s="135"/>
      <c r="I34" s="540"/>
      <c r="J34" s="568"/>
      <c r="K34" s="571"/>
      <c r="L34" s="543"/>
      <c r="M34" s="574"/>
      <c r="N34" s="543">
        <f>IF(NOT(ISERROR(MATCH(M34,_xlfn.ANCHORARRAY(F45),0))),L47&amp;"Por favor no seleccionar los criterios de impacto",M34)</f>
        <v>0</v>
      </c>
      <c r="O34" s="571"/>
      <c r="P34" s="543"/>
      <c r="Q34" s="546"/>
      <c r="R34" s="103">
        <v>2</v>
      </c>
      <c r="S34" s="104"/>
      <c r="T34" s="105" t="str">
        <f>IF(OR(U34="Preventivo",U34="Detectivo"),"Probabilidad",IF(U34="Correctivo","Impacto",""))</f>
        <v/>
      </c>
      <c r="U34" s="111"/>
      <c r="V34" s="111"/>
      <c r="W34" s="112" t="str">
        <f t="shared" ref="W34:W38" si="45">IF(AND(U34="Preventivo",V34="Automático"),"50%",IF(AND(U34="Preventivo",V34="Manual"),"40%",IF(AND(U34="Detectivo",V34="Automático"),"40%",IF(AND(U34="Detectivo",V34="Manual"),"30%",IF(AND(U34="Correctivo",V34="Automático"),"35%",IF(AND(U34="Correctivo",V34="Manual"),"25%",""))))))</f>
        <v/>
      </c>
      <c r="X34" s="111"/>
      <c r="Y34" s="111"/>
      <c r="Z34" s="111"/>
      <c r="AA34" s="106" t="str">
        <f>IFERROR(IF(AND(T33="Probabilidad",T34="Probabilidad"),(AC33-(+AC33*W34)),IF(AND(T33="Impacto",T34="Probabilidad"),(L33-(+L33*W34)),IF(T34="Impacto",AC33,""))),"")</f>
        <v/>
      </c>
      <c r="AB34" s="113" t="str">
        <f t="shared" ref="AB34:AB38" si="46">IFERROR(IF(AA34="","",IF(AA34&lt;=0.2,"Muy Baja",IF(AA34&lt;=0.4,"Baja",IF(AA34&lt;=0.6,"Media",IF(AA34&lt;=0.8,"Alta","Muy Alta"))))),"")</f>
        <v/>
      </c>
      <c r="AC34" s="114" t="str">
        <f>+AA34</f>
        <v/>
      </c>
      <c r="AD34" s="113" t="str">
        <f t="shared" ref="AD34:AD38" si="47">IFERROR(IF(AE34="","",IF(AE34&lt;=0.2,"Leve",IF(AE34&lt;=0.4,"Menor",IF(AE34&lt;=0.6,"Moderado",IF(AE34&lt;=0.8,"Mayor","Catastrófico"))))),"")</f>
        <v/>
      </c>
      <c r="AE34" s="114" t="str">
        <f>IFERROR(IF(AND(T33="Impacto",T34="Impacto"),(AE33-(+AE33*W34)),IF(AND(T33="Probabilidad",T34="Impacto"),(P33-(+P33*W34)),IF(T34="Probabilidad",AE33,""))),"")</f>
        <v/>
      </c>
      <c r="AF34" s="115" t="str">
        <f t="shared" ref="AF34:AF38" si="48">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6"/>
      <c r="AH34" s="107"/>
      <c r="AI34" s="108"/>
      <c r="AJ34" s="109"/>
      <c r="AK34" s="109"/>
      <c r="AL34" s="107"/>
      <c r="AM34" s="108"/>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26.25" hidden="1" customHeight="1" x14ac:dyDescent="0.25">
      <c r="A35" s="530"/>
      <c r="B35" s="533"/>
      <c r="C35" s="533"/>
      <c r="D35" s="536"/>
      <c r="E35" s="134"/>
      <c r="F35" s="538"/>
      <c r="G35" s="510"/>
      <c r="H35" s="135"/>
      <c r="I35" s="540"/>
      <c r="J35" s="568"/>
      <c r="K35" s="571"/>
      <c r="L35" s="543"/>
      <c r="M35" s="574"/>
      <c r="N35" s="543">
        <f>IF(NOT(ISERROR(MATCH(M35,_xlfn.ANCHORARRAY(F46),0))),L48&amp;"Por favor no seleccionar los criterios de impacto",M35)</f>
        <v>0</v>
      </c>
      <c r="O35" s="571"/>
      <c r="P35" s="543"/>
      <c r="Q35" s="546"/>
      <c r="R35" s="103">
        <v>3</v>
      </c>
      <c r="S35" s="110"/>
      <c r="T35" s="105" t="str">
        <f t="shared" ref="T35:T38" si="49">IF(OR(U35="Preventivo",U35="Detectivo"),"Probabilidad",IF(U35="Correctivo","Impacto",""))</f>
        <v/>
      </c>
      <c r="U35" s="111"/>
      <c r="V35" s="111"/>
      <c r="W35" s="112" t="str">
        <f t="shared" si="45"/>
        <v/>
      </c>
      <c r="X35" s="111"/>
      <c r="Y35" s="111"/>
      <c r="Z35" s="111"/>
      <c r="AA35" s="106" t="str">
        <f>IFERROR(IF(AND(T34="Probabilidad",T35="Probabilidad"),(AC34-(+AC34*W35)),IF(AND(T34="Impacto",T35="Probabilidad"),(AC33-(+AC33*W35)),IF(T35="Impacto",AC34,""))),"")</f>
        <v/>
      </c>
      <c r="AB35" s="113" t="str">
        <f t="shared" si="46"/>
        <v/>
      </c>
      <c r="AC35" s="114" t="str">
        <f t="shared" ref="AC35:AC38" si="50">+AA35</f>
        <v/>
      </c>
      <c r="AD35" s="113" t="str">
        <f t="shared" si="47"/>
        <v/>
      </c>
      <c r="AE35" s="114" t="str">
        <f t="shared" ref="AE35:AE38" si="51">IFERROR(IF(AND(T34="Impacto",T35="Impacto"),(AE34-(+AE34*W35)),IF(AND(T34="Probabilidad",T35="Impacto"),(AE33-(+AE33*W35)),IF(T35="Probabilidad",AE34,""))),"")</f>
        <v/>
      </c>
      <c r="AF35" s="115" t="str">
        <f t="shared" si="48"/>
        <v/>
      </c>
      <c r="AG35" s="116"/>
      <c r="AH35" s="107"/>
      <c r="AI35" s="108"/>
      <c r="AJ35" s="109"/>
      <c r="AK35" s="109"/>
      <c r="AL35" s="107"/>
      <c r="AM35" s="108"/>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26.25" hidden="1" customHeight="1" x14ac:dyDescent="0.25">
      <c r="A36" s="530"/>
      <c r="B36" s="533"/>
      <c r="C36" s="533"/>
      <c r="D36" s="536"/>
      <c r="E36" s="134"/>
      <c r="F36" s="538"/>
      <c r="G36" s="510"/>
      <c r="H36" s="135"/>
      <c r="I36" s="540"/>
      <c r="J36" s="568"/>
      <c r="K36" s="571"/>
      <c r="L36" s="543"/>
      <c r="M36" s="574"/>
      <c r="N36" s="543">
        <f>IF(NOT(ISERROR(MATCH(M36,_xlfn.ANCHORARRAY(F47),0))),L49&amp;"Por favor no seleccionar los criterios de impacto",M36)</f>
        <v>0</v>
      </c>
      <c r="O36" s="571"/>
      <c r="P36" s="543"/>
      <c r="Q36" s="546"/>
      <c r="R36" s="103">
        <v>4</v>
      </c>
      <c r="S36" s="104"/>
      <c r="T36" s="105" t="str">
        <f t="shared" si="49"/>
        <v/>
      </c>
      <c r="U36" s="111"/>
      <c r="V36" s="111"/>
      <c r="W36" s="112" t="str">
        <f t="shared" si="45"/>
        <v/>
      </c>
      <c r="X36" s="111"/>
      <c r="Y36" s="111"/>
      <c r="Z36" s="111"/>
      <c r="AA36" s="106" t="str">
        <f t="shared" ref="AA36:AA38" si="52">IFERROR(IF(AND(T35="Probabilidad",T36="Probabilidad"),(AC35-(+AC35*W36)),IF(AND(T35="Impacto",T36="Probabilidad"),(AC34-(+AC34*W36)),IF(T36="Impacto",AC35,""))),"")</f>
        <v/>
      </c>
      <c r="AB36" s="113" t="str">
        <f t="shared" si="46"/>
        <v/>
      </c>
      <c r="AC36" s="114" t="str">
        <f t="shared" si="50"/>
        <v/>
      </c>
      <c r="AD36" s="113" t="str">
        <f t="shared" si="47"/>
        <v/>
      </c>
      <c r="AE36" s="114" t="str">
        <f t="shared" si="51"/>
        <v/>
      </c>
      <c r="AF36" s="115" t="str">
        <f t="shared" si="48"/>
        <v/>
      </c>
      <c r="AG36" s="116"/>
      <c r="AH36" s="107"/>
      <c r="AI36" s="108"/>
      <c r="AJ36" s="109"/>
      <c r="AK36" s="109"/>
      <c r="AL36" s="107"/>
      <c r="AM36" s="108"/>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26.25" hidden="1" customHeight="1" x14ac:dyDescent="0.25">
      <c r="A37" s="530"/>
      <c r="B37" s="533"/>
      <c r="C37" s="533"/>
      <c r="D37" s="536"/>
      <c r="E37" s="134"/>
      <c r="F37" s="538"/>
      <c r="G37" s="510"/>
      <c r="H37" s="135"/>
      <c r="I37" s="540"/>
      <c r="J37" s="568"/>
      <c r="K37" s="571"/>
      <c r="L37" s="543"/>
      <c r="M37" s="574"/>
      <c r="N37" s="543">
        <f>IF(NOT(ISERROR(MATCH(M37,_xlfn.ANCHORARRAY(F48),0))),L50&amp;"Por favor no seleccionar los criterios de impacto",M37)</f>
        <v>0</v>
      </c>
      <c r="O37" s="571"/>
      <c r="P37" s="543"/>
      <c r="Q37" s="546"/>
      <c r="R37" s="103">
        <v>5</v>
      </c>
      <c r="S37" s="104"/>
      <c r="T37" s="105" t="str">
        <f t="shared" si="49"/>
        <v/>
      </c>
      <c r="U37" s="111"/>
      <c r="V37" s="111"/>
      <c r="W37" s="112" t="str">
        <f t="shared" si="45"/>
        <v/>
      </c>
      <c r="X37" s="111"/>
      <c r="Y37" s="111"/>
      <c r="Z37" s="111"/>
      <c r="AA37" s="106" t="str">
        <f t="shared" si="52"/>
        <v/>
      </c>
      <c r="AB37" s="113" t="str">
        <f t="shared" si="46"/>
        <v/>
      </c>
      <c r="AC37" s="114" t="str">
        <f t="shared" si="50"/>
        <v/>
      </c>
      <c r="AD37" s="113" t="str">
        <f t="shared" si="47"/>
        <v/>
      </c>
      <c r="AE37" s="114" t="str">
        <f t="shared" si="51"/>
        <v/>
      </c>
      <c r="AF37" s="115" t="str">
        <f t="shared" si="48"/>
        <v/>
      </c>
      <c r="AG37" s="116"/>
      <c r="AH37" s="107"/>
      <c r="AI37" s="108"/>
      <c r="AJ37" s="109"/>
      <c r="AK37" s="109"/>
      <c r="AL37" s="107"/>
      <c r="AM37" s="108"/>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26.25" hidden="1" customHeight="1" x14ac:dyDescent="0.25">
      <c r="A38" s="531"/>
      <c r="B38" s="534"/>
      <c r="C38" s="534"/>
      <c r="D38" s="537"/>
      <c r="E38" s="134"/>
      <c r="F38" s="538"/>
      <c r="G38" s="511"/>
      <c r="H38" s="135"/>
      <c r="I38" s="541"/>
      <c r="J38" s="569"/>
      <c r="K38" s="572"/>
      <c r="L38" s="544"/>
      <c r="M38" s="575"/>
      <c r="N38" s="544">
        <f>IF(NOT(ISERROR(MATCH(M38,_xlfn.ANCHORARRAY(F49),0))),L51&amp;"Por favor no seleccionar los criterios de impacto",M38)</f>
        <v>0</v>
      </c>
      <c r="O38" s="572"/>
      <c r="P38" s="544"/>
      <c r="Q38" s="547"/>
      <c r="R38" s="103">
        <v>6</v>
      </c>
      <c r="S38" s="104"/>
      <c r="T38" s="105" t="str">
        <f t="shared" si="49"/>
        <v/>
      </c>
      <c r="U38" s="111"/>
      <c r="V38" s="111"/>
      <c r="W38" s="112" t="str">
        <f t="shared" si="45"/>
        <v/>
      </c>
      <c r="X38" s="111"/>
      <c r="Y38" s="111"/>
      <c r="Z38" s="111"/>
      <c r="AA38" s="106" t="str">
        <f t="shared" si="52"/>
        <v/>
      </c>
      <c r="AB38" s="113" t="str">
        <f t="shared" si="46"/>
        <v/>
      </c>
      <c r="AC38" s="114" t="str">
        <f t="shared" si="50"/>
        <v/>
      </c>
      <c r="AD38" s="113" t="str">
        <f t="shared" si="47"/>
        <v/>
      </c>
      <c r="AE38" s="114" t="str">
        <f t="shared" si="51"/>
        <v/>
      </c>
      <c r="AF38" s="115" t="str">
        <f t="shared" si="48"/>
        <v/>
      </c>
      <c r="AG38" s="116"/>
      <c r="AH38" s="107"/>
      <c r="AI38" s="108"/>
      <c r="AJ38" s="109"/>
      <c r="AK38" s="109"/>
      <c r="AL38" s="107"/>
      <c r="AM38" s="108"/>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26.25" hidden="1" customHeight="1" x14ac:dyDescent="0.25">
      <c r="A39" s="529">
        <v>7</v>
      </c>
      <c r="B39" s="532"/>
      <c r="C39" s="532"/>
      <c r="D39" s="532"/>
      <c r="E39" s="118"/>
      <c r="F39" s="577"/>
      <c r="G39" s="509"/>
      <c r="H39" s="121"/>
      <c r="I39" s="532"/>
      <c r="J39" s="567"/>
      <c r="K39" s="570" t="str">
        <f t="shared" ref="K39" si="53">IF(J39&lt;=0,"",IF(J39&lt;=2,"Muy Baja",IF(J39&lt;=24,"Baja",IF(J39&lt;=500,"Media",IF(J39&lt;=5000,"Alta","Muy Alta")))))</f>
        <v/>
      </c>
      <c r="L39" s="542" t="str">
        <f t="shared" ref="L39" si="54">IF(K39="","",IF(K39="Muy Baja",0.2,IF(K39="Baja",0.4,IF(K39="Media",0.6,IF(K39="Alta",0.8,IF(K39="Muy Alta",1,))))))</f>
        <v/>
      </c>
      <c r="M39" s="573"/>
      <c r="N39" s="542">
        <f>IF(NOT(ISERROR(MATCH(M39,'Tabla Impacto'!$B$221:$B$223,0))),'Tabla Impacto'!$F$223&amp;"Por favor no seleccionar los criterios de impacto(Afectación Económica o presupuestal y Pérdida Reputacional)",M39)</f>
        <v>0</v>
      </c>
      <c r="O39" s="570" t="str">
        <f>IF(OR(N39='Tabla Impacto'!$C$11,N39='Tabla Impacto'!$D$11),"Leve",IF(OR(N39='Tabla Impacto'!$C$12,N39='Tabla Impacto'!$D$12),"Menor",IF(OR(N39='Tabla Impacto'!$C$13,N39='Tabla Impacto'!$D$13),"Moderado",IF(OR(N39='Tabla Impacto'!$C$14,N39='Tabla Impacto'!$D$14),"Mayor",IF(OR(N39='Tabla Impacto'!$C$15,N39='Tabla Impacto'!$D$15),"Catastrófico","")))))</f>
        <v/>
      </c>
      <c r="P39" s="542" t="str">
        <f t="shared" ref="P39" si="55">IF(O39="","",IF(O39="Leve",0.2,IF(O39="Menor",0.4,IF(O39="Moderado",0.6,IF(O39="Mayor",0.8,IF(O39="Catastrófico",1,))))))</f>
        <v/>
      </c>
      <c r="Q39" s="545" t="str">
        <f t="shared" ref="Q39" si="56">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103">
        <v>1</v>
      </c>
      <c r="S39" s="104"/>
      <c r="T39" s="105" t="str">
        <f>IF(OR(U39="Preventivo",U39="Detectivo"),"Probabilidad",IF(U39="Correctivo","Impacto",""))</f>
        <v/>
      </c>
      <c r="U39" s="111"/>
      <c r="V39" s="111"/>
      <c r="W39" s="112" t="str">
        <f>IF(AND(U39="Preventivo",V39="Automático"),"50%",IF(AND(U39="Preventivo",V39="Manual"),"40%",IF(AND(U39="Detectivo",V39="Automático"),"40%",IF(AND(U39="Detectivo",V39="Manual"),"30%",IF(AND(U39="Correctivo",V39="Automático"),"35%",IF(AND(U39="Correctivo",V39="Manual"),"25%",""))))))</f>
        <v/>
      </c>
      <c r="X39" s="111"/>
      <c r="Y39" s="111"/>
      <c r="Z39" s="111"/>
      <c r="AA39" s="106" t="str">
        <f>IFERROR(IF(T39="Probabilidad",(L39-(+L39*W39)),IF(T39="Impacto",L39,"")),"")</f>
        <v/>
      </c>
      <c r="AB39" s="113" t="str">
        <f>IFERROR(IF(AA39="","",IF(AA39&lt;=0.2,"Muy Baja",IF(AA39&lt;=0.4,"Baja",IF(AA39&lt;=0.6,"Media",IF(AA39&lt;=0.8,"Alta","Muy Alta"))))),"")</f>
        <v/>
      </c>
      <c r="AC39" s="114" t="str">
        <f>+AA39</f>
        <v/>
      </c>
      <c r="AD39" s="113" t="str">
        <f>IFERROR(IF(AE39="","",IF(AE39&lt;=0.2,"Leve",IF(AE39&lt;=0.4,"Menor",IF(AE39&lt;=0.6,"Moderado",IF(AE39&lt;=0.8,"Mayor","Catastrófico"))))),"")</f>
        <v/>
      </c>
      <c r="AE39" s="114" t="str">
        <f>IFERROR(IF(T39="Impacto",(P39-(+P39*W39)),IF(T39="Probabilidad",P39,"")),"")</f>
        <v/>
      </c>
      <c r="AF39" s="115"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6"/>
      <c r="AH39" s="107"/>
      <c r="AI39" s="108"/>
      <c r="AJ39" s="109"/>
      <c r="AK39" s="109"/>
      <c r="AL39" s="107"/>
      <c r="AM39" s="108"/>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26.25" hidden="1" customHeight="1" x14ac:dyDescent="0.25">
      <c r="A40" s="530"/>
      <c r="B40" s="533"/>
      <c r="C40" s="533"/>
      <c r="D40" s="533"/>
      <c r="E40" s="118"/>
      <c r="F40" s="577"/>
      <c r="G40" s="510"/>
      <c r="H40" s="121"/>
      <c r="I40" s="533"/>
      <c r="J40" s="568"/>
      <c r="K40" s="571"/>
      <c r="L40" s="543"/>
      <c r="M40" s="574"/>
      <c r="N40" s="543">
        <f>IF(NOT(ISERROR(MATCH(M40,_xlfn.ANCHORARRAY(F51),0))),L53&amp;"Por favor no seleccionar los criterios de impacto",M40)</f>
        <v>0</v>
      </c>
      <c r="O40" s="571"/>
      <c r="P40" s="543"/>
      <c r="Q40" s="546"/>
      <c r="R40" s="103">
        <v>2</v>
      </c>
      <c r="S40" s="104"/>
      <c r="T40" s="105" t="str">
        <f>IF(OR(U40="Preventivo",U40="Detectivo"),"Probabilidad",IF(U40="Correctivo","Impacto",""))</f>
        <v/>
      </c>
      <c r="U40" s="111"/>
      <c r="V40" s="111"/>
      <c r="W40" s="112" t="str">
        <f t="shared" ref="W40:W44" si="57">IF(AND(U40="Preventivo",V40="Automático"),"50%",IF(AND(U40="Preventivo",V40="Manual"),"40%",IF(AND(U40="Detectivo",V40="Automático"),"40%",IF(AND(U40="Detectivo",V40="Manual"),"30%",IF(AND(U40="Correctivo",V40="Automático"),"35%",IF(AND(U40="Correctivo",V40="Manual"),"25%",""))))))</f>
        <v/>
      </c>
      <c r="X40" s="111"/>
      <c r="Y40" s="111"/>
      <c r="Z40" s="111"/>
      <c r="AA40" s="106" t="str">
        <f>IFERROR(IF(AND(T39="Probabilidad",T40="Probabilidad"),(AC39-(+AC39*W40)),IF(AND(T39="Impacto",T40="Probabilidad"),(L39-(+L39*W40)),IF(T40="Impacto",AC39,""))),"")</f>
        <v/>
      </c>
      <c r="AB40" s="113" t="str">
        <f t="shared" ref="AB40:AB44" si="58">IFERROR(IF(AA40="","",IF(AA40&lt;=0.2,"Muy Baja",IF(AA40&lt;=0.4,"Baja",IF(AA40&lt;=0.6,"Media",IF(AA40&lt;=0.8,"Alta","Muy Alta"))))),"")</f>
        <v/>
      </c>
      <c r="AC40" s="114" t="str">
        <f>+AA40</f>
        <v/>
      </c>
      <c r="AD40" s="113" t="str">
        <f t="shared" ref="AD40:AD44" si="59">IFERROR(IF(AE40="","",IF(AE40&lt;=0.2,"Leve",IF(AE40&lt;=0.4,"Menor",IF(AE40&lt;=0.6,"Moderado",IF(AE40&lt;=0.8,"Mayor","Catastrófico"))))),"")</f>
        <v/>
      </c>
      <c r="AE40" s="114" t="str">
        <f>IFERROR(IF(AND(T39="Impacto",T40="Impacto"),(AE39-(+AE39*W40)),IF(AND(T39="Probabilidad",T40="Impacto"),(P39-(+P39*W40)),IF(T40="Probabilidad",AE39,""))),"")</f>
        <v/>
      </c>
      <c r="AF40" s="115" t="str">
        <f t="shared" ref="AF40:AF44" si="60">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6"/>
      <c r="AH40" s="107"/>
      <c r="AI40" s="108"/>
      <c r="AJ40" s="109"/>
      <c r="AK40" s="109"/>
      <c r="AL40" s="107"/>
      <c r="AM40" s="108"/>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26.25" hidden="1" customHeight="1" x14ac:dyDescent="0.25">
      <c r="A41" s="530"/>
      <c r="B41" s="533"/>
      <c r="C41" s="533"/>
      <c r="D41" s="533"/>
      <c r="E41" s="118"/>
      <c r="F41" s="577"/>
      <c r="G41" s="510"/>
      <c r="H41" s="121"/>
      <c r="I41" s="533"/>
      <c r="J41" s="568"/>
      <c r="K41" s="571"/>
      <c r="L41" s="543"/>
      <c r="M41" s="574"/>
      <c r="N41" s="543">
        <f>IF(NOT(ISERROR(MATCH(M41,_xlfn.ANCHORARRAY(F52),0))),L54&amp;"Por favor no seleccionar los criterios de impacto",M41)</f>
        <v>0</v>
      </c>
      <c r="O41" s="571"/>
      <c r="P41" s="543"/>
      <c r="Q41" s="546"/>
      <c r="R41" s="103">
        <v>3</v>
      </c>
      <c r="S41" s="110"/>
      <c r="T41" s="105" t="str">
        <f t="shared" ref="T41:T44" si="61">IF(OR(U41="Preventivo",U41="Detectivo"),"Probabilidad",IF(U41="Correctivo","Impacto",""))</f>
        <v/>
      </c>
      <c r="U41" s="111"/>
      <c r="V41" s="111"/>
      <c r="W41" s="112" t="str">
        <f t="shared" si="57"/>
        <v/>
      </c>
      <c r="X41" s="111"/>
      <c r="Y41" s="111"/>
      <c r="Z41" s="111"/>
      <c r="AA41" s="106" t="str">
        <f>IFERROR(IF(AND(T40="Probabilidad",T41="Probabilidad"),(AC40-(+AC40*W41)),IF(AND(T40="Impacto",T41="Probabilidad"),(AC39-(+AC39*W41)),IF(T41="Impacto",AC40,""))),"")</f>
        <v/>
      </c>
      <c r="AB41" s="113" t="str">
        <f t="shared" si="58"/>
        <v/>
      </c>
      <c r="AC41" s="114" t="str">
        <f t="shared" ref="AC41:AC44" si="62">+AA41</f>
        <v/>
      </c>
      <c r="AD41" s="113" t="str">
        <f t="shared" si="59"/>
        <v/>
      </c>
      <c r="AE41" s="114" t="str">
        <f t="shared" ref="AE41:AE44" si="63">IFERROR(IF(AND(T40="Impacto",T41="Impacto"),(AE40-(+AE40*W41)),IF(AND(T40="Probabilidad",T41="Impacto"),(AE39-(+AE39*W41)),IF(T41="Probabilidad",AE40,""))),"")</f>
        <v/>
      </c>
      <c r="AF41" s="115" t="str">
        <f t="shared" si="60"/>
        <v/>
      </c>
      <c r="AG41" s="116"/>
      <c r="AH41" s="107"/>
      <c r="AI41" s="108"/>
      <c r="AJ41" s="109"/>
      <c r="AK41" s="109"/>
      <c r="AL41" s="107"/>
      <c r="AM41" s="108"/>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26.25" hidden="1" customHeight="1" x14ac:dyDescent="0.25">
      <c r="A42" s="530"/>
      <c r="B42" s="533"/>
      <c r="C42" s="533"/>
      <c r="D42" s="533"/>
      <c r="E42" s="118"/>
      <c r="F42" s="577"/>
      <c r="G42" s="510"/>
      <c r="H42" s="121"/>
      <c r="I42" s="533"/>
      <c r="J42" s="568"/>
      <c r="K42" s="571"/>
      <c r="L42" s="543"/>
      <c r="M42" s="574"/>
      <c r="N42" s="543">
        <f>IF(NOT(ISERROR(MATCH(M42,_xlfn.ANCHORARRAY(F53),0))),L55&amp;"Por favor no seleccionar los criterios de impacto",M42)</f>
        <v>0</v>
      </c>
      <c r="O42" s="571"/>
      <c r="P42" s="543"/>
      <c r="Q42" s="546"/>
      <c r="R42" s="103">
        <v>4</v>
      </c>
      <c r="S42" s="104"/>
      <c r="T42" s="105" t="str">
        <f t="shared" si="61"/>
        <v/>
      </c>
      <c r="U42" s="111"/>
      <c r="V42" s="111"/>
      <c r="W42" s="112" t="str">
        <f t="shared" si="57"/>
        <v/>
      </c>
      <c r="X42" s="111"/>
      <c r="Y42" s="111"/>
      <c r="Z42" s="111"/>
      <c r="AA42" s="106" t="str">
        <f t="shared" ref="AA42:AA44" si="64">IFERROR(IF(AND(T41="Probabilidad",T42="Probabilidad"),(AC41-(+AC41*W42)),IF(AND(T41="Impacto",T42="Probabilidad"),(AC40-(+AC40*W42)),IF(T42="Impacto",AC41,""))),"")</f>
        <v/>
      </c>
      <c r="AB42" s="113" t="str">
        <f t="shared" si="58"/>
        <v/>
      </c>
      <c r="AC42" s="114" t="str">
        <f t="shared" si="62"/>
        <v/>
      </c>
      <c r="AD42" s="113" t="str">
        <f t="shared" si="59"/>
        <v/>
      </c>
      <c r="AE42" s="114" t="str">
        <f t="shared" si="63"/>
        <v/>
      </c>
      <c r="AF42" s="115" t="str">
        <f t="shared" si="60"/>
        <v/>
      </c>
      <c r="AG42" s="116"/>
      <c r="AH42" s="107"/>
      <c r="AI42" s="108"/>
      <c r="AJ42" s="109"/>
      <c r="AK42" s="109"/>
      <c r="AL42" s="107"/>
      <c r="AM42" s="108"/>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26.25" hidden="1" customHeight="1" x14ac:dyDescent="0.25">
      <c r="A43" s="530"/>
      <c r="B43" s="533"/>
      <c r="C43" s="533"/>
      <c r="D43" s="533"/>
      <c r="E43" s="118"/>
      <c r="F43" s="577"/>
      <c r="G43" s="510"/>
      <c r="H43" s="121"/>
      <c r="I43" s="533"/>
      <c r="J43" s="568"/>
      <c r="K43" s="571"/>
      <c r="L43" s="543"/>
      <c r="M43" s="574"/>
      <c r="N43" s="543">
        <f>IF(NOT(ISERROR(MATCH(M43,_xlfn.ANCHORARRAY(F54),0))),L56&amp;"Por favor no seleccionar los criterios de impacto",M43)</f>
        <v>0</v>
      </c>
      <c r="O43" s="571"/>
      <c r="P43" s="543"/>
      <c r="Q43" s="546"/>
      <c r="R43" s="103">
        <v>5</v>
      </c>
      <c r="S43" s="104"/>
      <c r="T43" s="105" t="str">
        <f t="shared" si="61"/>
        <v/>
      </c>
      <c r="U43" s="111"/>
      <c r="V43" s="111"/>
      <c r="W43" s="112" t="str">
        <f t="shared" si="57"/>
        <v/>
      </c>
      <c r="X43" s="111"/>
      <c r="Y43" s="111"/>
      <c r="Z43" s="111"/>
      <c r="AA43" s="106" t="str">
        <f t="shared" si="64"/>
        <v/>
      </c>
      <c r="AB43" s="113" t="str">
        <f t="shared" si="58"/>
        <v/>
      </c>
      <c r="AC43" s="114" t="str">
        <f t="shared" si="62"/>
        <v/>
      </c>
      <c r="AD43" s="113" t="str">
        <f t="shared" si="59"/>
        <v/>
      </c>
      <c r="AE43" s="114" t="str">
        <f t="shared" si="63"/>
        <v/>
      </c>
      <c r="AF43" s="115" t="str">
        <f t="shared" si="60"/>
        <v/>
      </c>
      <c r="AG43" s="116"/>
      <c r="AH43" s="107"/>
      <c r="AI43" s="108"/>
      <c r="AJ43" s="109"/>
      <c r="AK43" s="109"/>
      <c r="AL43" s="107"/>
      <c r="AM43" s="108"/>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26.25" hidden="1" customHeight="1" x14ac:dyDescent="0.25">
      <c r="A44" s="531"/>
      <c r="B44" s="534"/>
      <c r="C44" s="534"/>
      <c r="D44" s="534"/>
      <c r="E44" s="119"/>
      <c r="F44" s="578"/>
      <c r="G44" s="511"/>
      <c r="H44" s="122"/>
      <c r="I44" s="534"/>
      <c r="J44" s="569"/>
      <c r="K44" s="572"/>
      <c r="L44" s="544"/>
      <c r="M44" s="575"/>
      <c r="N44" s="544">
        <f>IF(NOT(ISERROR(MATCH(M44,_xlfn.ANCHORARRAY(F55),0))),L57&amp;"Por favor no seleccionar los criterios de impacto",M44)</f>
        <v>0</v>
      </c>
      <c r="O44" s="572"/>
      <c r="P44" s="544"/>
      <c r="Q44" s="547"/>
      <c r="R44" s="103">
        <v>6</v>
      </c>
      <c r="S44" s="104"/>
      <c r="T44" s="105" t="str">
        <f t="shared" si="61"/>
        <v/>
      </c>
      <c r="U44" s="111"/>
      <c r="V44" s="111"/>
      <c r="W44" s="112" t="str">
        <f t="shared" si="57"/>
        <v/>
      </c>
      <c r="X44" s="111"/>
      <c r="Y44" s="111"/>
      <c r="Z44" s="111"/>
      <c r="AA44" s="106" t="str">
        <f t="shared" si="64"/>
        <v/>
      </c>
      <c r="AB44" s="113" t="str">
        <f t="shared" si="58"/>
        <v/>
      </c>
      <c r="AC44" s="114" t="str">
        <f t="shared" si="62"/>
        <v/>
      </c>
      <c r="AD44" s="113" t="str">
        <f t="shared" si="59"/>
        <v/>
      </c>
      <c r="AE44" s="114" t="str">
        <f t="shared" si="63"/>
        <v/>
      </c>
      <c r="AF44" s="115" t="str">
        <f t="shared" si="60"/>
        <v/>
      </c>
      <c r="AG44" s="116"/>
      <c r="AH44" s="107"/>
      <c r="AI44" s="108"/>
      <c r="AJ44" s="109"/>
      <c r="AK44" s="109"/>
      <c r="AL44" s="107"/>
      <c r="AM44" s="108"/>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26.25" hidden="1" customHeight="1" x14ac:dyDescent="0.25">
      <c r="A45" s="529">
        <v>8</v>
      </c>
      <c r="B45" s="532"/>
      <c r="C45" s="532"/>
      <c r="D45" s="532"/>
      <c r="E45" s="117"/>
      <c r="F45" s="576"/>
      <c r="G45" s="509"/>
      <c r="H45" s="120"/>
      <c r="I45" s="532"/>
      <c r="J45" s="567"/>
      <c r="K45" s="570" t="str">
        <f t="shared" ref="K45" si="65">IF(J45&lt;=0,"",IF(J45&lt;=2,"Muy Baja",IF(J45&lt;=24,"Baja",IF(J45&lt;=500,"Media",IF(J45&lt;=5000,"Alta","Muy Alta")))))</f>
        <v/>
      </c>
      <c r="L45" s="542" t="str">
        <f t="shared" ref="L45" si="66">IF(K45="","",IF(K45="Muy Baja",0.2,IF(K45="Baja",0.4,IF(K45="Media",0.6,IF(K45="Alta",0.8,IF(K45="Muy Alta",1,))))))</f>
        <v/>
      </c>
      <c r="M45" s="573"/>
      <c r="N45" s="542">
        <f>IF(NOT(ISERROR(MATCH(M45,'Tabla Impacto'!$B$221:$B$223,0))),'Tabla Impacto'!$F$223&amp;"Por favor no seleccionar los criterios de impacto(Afectación Económica o presupuestal y Pérdida Reputacional)",M45)</f>
        <v>0</v>
      </c>
      <c r="O45" s="570" t="str">
        <f>IF(OR(N45='Tabla Impacto'!$C$11,N45='Tabla Impacto'!$D$11),"Leve",IF(OR(N45='Tabla Impacto'!$C$12,N45='Tabla Impacto'!$D$12),"Menor",IF(OR(N45='Tabla Impacto'!$C$13,N45='Tabla Impacto'!$D$13),"Moderado",IF(OR(N45='Tabla Impacto'!$C$14,N45='Tabla Impacto'!$D$14),"Mayor",IF(OR(N45='Tabla Impacto'!$C$15,N45='Tabla Impacto'!$D$15),"Catastrófico","")))))</f>
        <v/>
      </c>
      <c r="P45" s="542" t="str">
        <f t="shared" ref="P45" si="67">IF(O45="","",IF(O45="Leve",0.2,IF(O45="Menor",0.4,IF(O45="Moderado",0.6,IF(O45="Mayor",0.8,IF(O45="Catastrófico",1,))))))</f>
        <v/>
      </c>
      <c r="Q45" s="545" t="str">
        <f t="shared" ref="Q45" si="68">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3">
        <v>1</v>
      </c>
      <c r="S45" s="104"/>
      <c r="T45" s="105" t="str">
        <f>IF(OR(U45="Preventivo",U45="Detectivo"),"Probabilidad",IF(U45="Correctivo","Impacto",""))</f>
        <v/>
      </c>
      <c r="U45" s="111"/>
      <c r="V45" s="111"/>
      <c r="W45" s="112" t="str">
        <f>IF(AND(U45="Preventivo",V45="Automático"),"50%",IF(AND(U45="Preventivo",V45="Manual"),"40%",IF(AND(U45="Detectivo",V45="Automático"),"40%",IF(AND(U45="Detectivo",V45="Manual"),"30%",IF(AND(U45="Correctivo",V45="Automático"),"35%",IF(AND(U45="Correctivo",V45="Manual"),"25%",""))))))</f>
        <v/>
      </c>
      <c r="X45" s="111"/>
      <c r="Y45" s="111"/>
      <c r="Z45" s="111"/>
      <c r="AA45" s="106" t="str">
        <f>IFERROR(IF(T45="Probabilidad",(L45-(+L45*W45)),IF(T45="Impacto",L45,"")),"")</f>
        <v/>
      </c>
      <c r="AB45" s="113" t="str">
        <f>IFERROR(IF(AA45="","",IF(AA45&lt;=0.2,"Muy Baja",IF(AA45&lt;=0.4,"Baja",IF(AA45&lt;=0.6,"Media",IF(AA45&lt;=0.8,"Alta","Muy Alta"))))),"")</f>
        <v/>
      </c>
      <c r="AC45" s="114" t="str">
        <f>+AA45</f>
        <v/>
      </c>
      <c r="AD45" s="113" t="str">
        <f>IFERROR(IF(AE45="","",IF(AE45&lt;=0.2,"Leve",IF(AE45&lt;=0.4,"Menor",IF(AE45&lt;=0.6,"Moderado",IF(AE45&lt;=0.8,"Mayor","Catastrófico"))))),"")</f>
        <v/>
      </c>
      <c r="AE45" s="114" t="str">
        <f>IFERROR(IF(T45="Impacto",(P45-(+P45*W45)),IF(T45="Probabilidad",P45,"")),"")</f>
        <v/>
      </c>
      <c r="AF45" s="115" t="str">
        <f>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16"/>
      <c r="AH45" s="107"/>
      <c r="AI45" s="108"/>
      <c r="AJ45" s="109"/>
      <c r="AK45" s="109"/>
      <c r="AL45" s="107"/>
      <c r="AM45" s="108"/>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26.25" hidden="1" customHeight="1" x14ac:dyDescent="0.25">
      <c r="A46" s="530"/>
      <c r="B46" s="533"/>
      <c r="C46" s="533"/>
      <c r="D46" s="533"/>
      <c r="E46" s="118"/>
      <c r="F46" s="577"/>
      <c r="G46" s="510"/>
      <c r="H46" s="121"/>
      <c r="I46" s="533"/>
      <c r="J46" s="568"/>
      <c r="K46" s="571"/>
      <c r="L46" s="543"/>
      <c r="M46" s="574"/>
      <c r="N46" s="543">
        <f>IF(NOT(ISERROR(MATCH(M46,_xlfn.ANCHORARRAY(F57),0))),L59&amp;"Por favor no seleccionar los criterios de impacto",M46)</f>
        <v>0</v>
      </c>
      <c r="O46" s="571"/>
      <c r="P46" s="543"/>
      <c r="Q46" s="546"/>
      <c r="R46" s="103">
        <v>2</v>
      </c>
      <c r="S46" s="104"/>
      <c r="T46" s="105" t="str">
        <f>IF(OR(U46="Preventivo",U46="Detectivo"),"Probabilidad",IF(U46="Correctivo","Impacto",""))</f>
        <v/>
      </c>
      <c r="U46" s="111"/>
      <c r="V46" s="111"/>
      <c r="W46" s="112" t="str">
        <f t="shared" ref="W46:W50" si="69">IF(AND(U46="Preventivo",V46="Automático"),"50%",IF(AND(U46="Preventivo",V46="Manual"),"40%",IF(AND(U46="Detectivo",V46="Automático"),"40%",IF(AND(U46="Detectivo",V46="Manual"),"30%",IF(AND(U46="Correctivo",V46="Automático"),"35%",IF(AND(U46="Correctivo",V46="Manual"),"25%",""))))))</f>
        <v/>
      </c>
      <c r="X46" s="111"/>
      <c r="Y46" s="111"/>
      <c r="Z46" s="111"/>
      <c r="AA46" s="106" t="str">
        <f>IFERROR(IF(AND(T45="Probabilidad",T46="Probabilidad"),(AC45-(+AC45*W46)),IF(AND(T45="Impacto",T46="Probabilidad"),(L45-(+L45*W46)),IF(T46="Impacto",AC45,""))),"")</f>
        <v/>
      </c>
      <c r="AB46" s="113" t="str">
        <f t="shared" ref="AB46:AB50" si="70">IFERROR(IF(AA46="","",IF(AA46&lt;=0.2,"Muy Baja",IF(AA46&lt;=0.4,"Baja",IF(AA46&lt;=0.6,"Media",IF(AA46&lt;=0.8,"Alta","Muy Alta"))))),"")</f>
        <v/>
      </c>
      <c r="AC46" s="114" t="str">
        <f>+AA46</f>
        <v/>
      </c>
      <c r="AD46" s="113" t="str">
        <f t="shared" ref="AD46:AD50" si="71">IFERROR(IF(AE46="","",IF(AE46&lt;=0.2,"Leve",IF(AE46&lt;=0.4,"Menor",IF(AE46&lt;=0.6,"Moderado",IF(AE46&lt;=0.8,"Mayor","Catastrófico"))))),"")</f>
        <v/>
      </c>
      <c r="AE46" s="114" t="str">
        <f>IFERROR(IF(AND(T45="Impacto",T46="Impacto"),(AE45-(+AE45*W46)),IF(AND(T45="Probabilidad",T46="Impacto"),(P45-(+P45*W46)),IF(T46="Probabilidad",AE45,""))),"")</f>
        <v/>
      </c>
      <c r="AF46" s="115" t="str">
        <f t="shared" ref="AF46:AF50" si="72">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6"/>
      <c r="AH46" s="107"/>
      <c r="AI46" s="108"/>
      <c r="AJ46" s="109"/>
      <c r="AK46" s="109"/>
      <c r="AL46" s="107"/>
      <c r="AM46" s="108"/>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26.25" hidden="1" customHeight="1" x14ac:dyDescent="0.25">
      <c r="A47" s="530"/>
      <c r="B47" s="533"/>
      <c r="C47" s="533"/>
      <c r="D47" s="533"/>
      <c r="E47" s="118"/>
      <c r="F47" s="577"/>
      <c r="G47" s="510"/>
      <c r="H47" s="121"/>
      <c r="I47" s="533"/>
      <c r="J47" s="568"/>
      <c r="K47" s="571"/>
      <c r="L47" s="543"/>
      <c r="M47" s="574"/>
      <c r="N47" s="543">
        <f>IF(NOT(ISERROR(MATCH(M47,_xlfn.ANCHORARRAY(F58),0))),L60&amp;"Por favor no seleccionar los criterios de impacto",M47)</f>
        <v>0</v>
      </c>
      <c r="O47" s="571"/>
      <c r="P47" s="543"/>
      <c r="Q47" s="546"/>
      <c r="R47" s="103">
        <v>3</v>
      </c>
      <c r="S47" s="110"/>
      <c r="T47" s="105" t="str">
        <f t="shared" ref="T47:T50" si="73">IF(OR(U47="Preventivo",U47="Detectivo"),"Probabilidad",IF(U47="Correctivo","Impacto",""))</f>
        <v/>
      </c>
      <c r="U47" s="111"/>
      <c r="V47" s="111"/>
      <c r="W47" s="112" t="str">
        <f t="shared" si="69"/>
        <v/>
      </c>
      <c r="X47" s="111"/>
      <c r="Y47" s="111"/>
      <c r="Z47" s="111"/>
      <c r="AA47" s="106" t="str">
        <f>IFERROR(IF(AND(T46="Probabilidad",T47="Probabilidad"),(AC46-(+AC46*W47)),IF(AND(T46="Impacto",T47="Probabilidad"),(AC45-(+AC45*W47)),IF(T47="Impacto",AC46,""))),"")</f>
        <v/>
      </c>
      <c r="AB47" s="113" t="str">
        <f t="shared" si="70"/>
        <v/>
      </c>
      <c r="AC47" s="114" t="str">
        <f t="shared" ref="AC47:AC50" si="74">+AA47</f>
        <v/>
      </c>
      <c r="AD47" s="113" t="str">
        <f t="shared" si="71"/>
        <v/>
      </c>
      <c r="AE47" s="114" t="str">
        <f t="shared" ref="AE47:AE50" si="75">IFERROR(IF(AND(T46="Impacto",T47="Impacto"),(AE46-(+AE46*W47)),IF(AND(T46="Probabilidad",T47="Impacto"),(AE45-(+AE45*W47)),IF(T47="Probabilidad",AE46,""))),"")</f>
        <v/>
      </c>
      <c r="AF47" s="115" t="str">
        <f t="shared" si="72"/>
        <v/>
      </c>
      <c r="AG47" s="116"/>
      <c r="AH47" s="107"/>
      <c r="AI47" s="108"/>
      <c r="AJ47" s="109"/>
      <c r="AK47" s="109"/>
      <c r="AL47" s="107"/>
      <c r="AM47" s="108"/>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26.25" hidden="1" customHeight="1" x14ac:dyDescent="0.25">
      <c r="A48" s="530"/>
      <c r="B48" s="533"/>
      <c r="C48" s="533"/>
      <c r="D48" s="533"/>
      <c r="E48" s="118"/>
      <c r="F48" s="577"/>
      <c r="G48" s="510"/>
      <c r="H48" s="121"/>
      <c r="I48" s="533"/>
      <c r="J48" s="568"/>
      <c r="K48" s="571"/>
      <c r="L48" s="543"/>
      <c r="M48" s="574"/>
      <c r="N48" s="543">
        <f>IF(NOT(ISERROR(MATCH(M48,_xlfn.ANCHORARRAY(F59),0))),L61&amp;"Por favor no seleccionar los criterios de impacto",M48)</f>
        <v>0</v>
      </c>
      <c r="O48" s="571"/>
      <c r="P48" s="543"/>
      <c r="Q48" s="546"/>
      <c r="R48" s="103">
        <v>4</v>
      </c>
      <c r="S48" s="104"/>
      <c r="T48" s="105" t="str">
        <f t="shared" si="73"/>
        <v/>
      </c>
      <c r="U48" s="111"/>
      <c r="V48" s="111"/>
      <c r="W48" s="112" t="str">
        <f t="shared" si="69"/>
        <v/>
      </c>
      <c r="X48" s="111"/>
      <c r="Y48" s="111"/>
      <c r="Z48" s="111"/>
      <c r="AA48" s="106" t="str">
        <f t="shared" ref="AA48:AA50" si="76">IFERROR(IF(AND(T47="Probabilidad",T48="Probabilidad"),(AC47-(+AC47*W48)),IF(AND(T47="Impacto",T48="Probabilidad"),(AC46-(+AC46*W48)),IF(T48="Impacto",AC47,""))),"")</f>
        <v/>
      </c>
      <c r="AB48" s="113" t="str">
        <f t="shared" si="70"/>
        <v/>
      </c>
      <c r="AC48" s="114" t="str">
        <f t="shared" si="74"/>
        <v/>
      </c>
      <c r="AD48" s="113" t="str">
        <f t="shared" si="71"/>
        <v/>
      </c>
      <c r="AE48" s="114" t="str">
        <f t="shared" si="75"/>
        <v/>
      </c>
      <c r="AF48" s="115" t="str">
        <f t="shared" si="72"/>
        <v/>
      </c>
      <c r="AG48" s="116"/>
      <c r="AH48" s="107"/>
      <c r="AI48" s="108"/>
      <c r="AJ48" s="109"/>
      <c r="AK48" s="109"/>
      <c r="AL48" s="107"/>
      <c r="AM48" s="108"/>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26.25" hidden="1" customHeight="1" x14ac:dyDescent="0.25">
      <c r="A49" s="530"/>
      <c r="B49" s="533"/>
      <c r="C49" s="533"/>
      <c r="D49" s="533"/>
      <c r="E49" s="118"/>
      <c r="F49" s="577"/>
      <c r="G49" s="510"/>
      <c r="H49" s="121"/>
      <c r="I49" s="533"/>
      <c r="J49" s="568"/>
      <c r="K49" s="571"/>
      <c r="L49" s="543"/>
      <c r="M49" s="574"/>
      <c r="N49" s="543">
        <f>IF(NOT(ISERROR(MATCH(M49,_xlfn.ANCHORARRAY(F60),0))),L62&amp;"Por favor no seleccionar los criterios de impacto",M49)</f>
        <v>0</v>
      </c>
      <c r="O49" s="571"/>
      <c r="P49" s="543"/>
      <c r="Q49" s="546"/>
      <c r="R49" s="103">
        <v>5</v>
      </c>
      <c r="S49" s="104"/>
      <c r="T49" s="105" t="str">
        <f t="shared" si="73"/>
        <v/>
      </c>
      <c r="U49" s="111"/>
      <c r="V49" s="111"/>
      <c r="W49" s="112" t="str">
        <f t="shared" si="69"/>
        <v/>
      </c>
      <c r="X49" s="111"/>
      <c r="Y49" s="111"/>
      <c r="Z49" s="111"/>
      <c r="AA49" s="106" t="str">
        <f t="shared" si="76"/>
        <v/>
      </c>
      <c r="AB49" s="113" t="str">
        <f t="shared" si="70"/>
        <v/>
      </c>
      <c r="AC49" s="114" t="str">
        <f t="shared" si="74"/>
        <v/>
      </c>
      <c r="AD49" s="113" t="str">
        <f t="shared" si="71"/>
        <v/>
      </c>
      <c r="AE49" s="114" t="str">
        <f t="shared" si="75"/>
        <v/>
      </c>
      <c r="AF49" s="115" t="str">
        <f t="shared" si="72"/>
        <v/>
      </c>
      <c r="AG49" s="116"/>
      <c r="AH49" s="107"/>
      <c r="AI49" s="108"/>
      <c r="AJ49" s="109"/>
      <c r="AK49" s="109"/>
      <c r="AL49" s="107"/>
      <c r="AM49" s="108"/>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26.25" hidden="1" customHeight="1" x14ac:dyDescent="0.25">
      <c r="A50" s="531"/>
      <c r="B50" s="534"/>
      <c r="C50" s="534"/>
      <c r="D50" s="534"/>
      <c r="E50" s="119"/>
      <c r="F50" s="578"/>
      <c r="G50" s="511"/>
      <c r="H50" s="122"/>
      <c r="I50" s="534"/>
      <c r="J50" s="569"/>
      <c r="K50" s="572"/>
      <c r="L50" s="544"/>
      <c r="M50" s="575"/>
      <c r="N50" s="544">
        <f>IF(NOT(ISERROR(MATCH(M50,_xlfn.ANCHORARRAY(F61),0))),L63&amp;"Por favor no seleccionar los criterios de impacto",M50)</f>
        <v>0</v>
      </c>
      <c r="O50" s="572"/>
      <c r="P50" s="544"/>
      <c r="Q50" s="547"/>
      <c r="R50" s="103">
        <v>6</v>
      </c>
      <c r="S50" s="104"/>
      <c r="T50" s="105" t="str">
        <f t="shared" si="73"/>
        <v/>
      </c>
      <c r="U50" s="111"/>
      <c r="V50" s="111"/>
      <c r="W50" s="112" t="str">
        <f t="shared" si="69"/>
        <v/>
      </c>
      <c r="X50" s="111"/>
      <c r="Y50" s="111"/>
      <c r="Z50" s="111"/>
      <c r="AA50" s="106" t="str">
        <f t="shared" si="76"/>
        <v/>
      </c>
      <c r="AB50" s="113" t="str">
        <f t="shared" si="70"/>
        <v/>
      </c>
      <c r="AC50" s="114" t="str">
        <f t="shared" si="74"/>
        <v/>
      </c>
      <c r="AD50" s="113" t="str">
        <f t="shared" si="71"/>
        <v/>
      </c>
      <c r="AE50" s="114" t="str">
        <f t="shared" si="75"/>
        <v/>
      </c>
      <c r="AF50" s="115" t="str">
        <f t="shared" si="72"/>
        <v/>
      </c>
      <c r="AG50" s="116"/>
      <c r="AH50" s="107"/>
      <c r="AI50" s="108"/>
      <c r="AJ50" s="109"/>
      <c r="AK50" s="109"/>
      <c r="AL50" s="107"/>
      <c r="AM50" s="108"/>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26.25" hidden="1" customHeight="1" x14ac:dyDescent="0.25">
      <c r="A51" s="529">
        <v>9</v>
      </c>
      <c r="B51" s="532"/>
      <c r="C51" s="532"/>
      <c r="D51" s="532"/>
      <c r="E51" s="117"/>
      <c r="F51" s="576"/>
      <c r="G51" s="509"/>
      <c r="H51" s="120"/>
      <c r="I51" s="532"/>
      <c r="J51" s="567"/>
      <c r="K51" s="570" t="str">
        <f t="shared" ref="K51" si="77">IF(J51&lt;=0,"",IF(J51&lt;=2,"Muy Baja",IF(J51&lt;=24,"Baja",IF(J51&lt;=500,"Media",IF(J51&lt;=5000,"Alta","Muy Alta")))))</f>
        <v/>
      </c>
      <c r="L51" s="542" t="str">
        <f t="shared" ref="L51" si="78">IF(K51="","",IF(K51="Muy Baja",0.2,IF(K51="Baja",0.4,IF(K51="Media",0.6,IF(K51="Alta",0.8,IF(K51="Muy Alta",1,))))))</f>
        <v/>
      </c>
      <c r="M51" s="573"/>
      <c r="N51" s="542">
        <f>IF(NOT(ISERROR(MATCH(M51,'Tabla Impacto'!$B$221:$B$223,0))),'Tabla Impacto'!$F$223&amp;"Por favor no seleccionar los criterios de impacto(Afectación Económica o presupuestal y Pérdida Reputacional)",M51)</f>
        <v>0</v>
      </c>
      <c r="O51" s="570" t="str">
        <f>IF(OR(N51='Tabla Impacto'!$C$11,N51='Tabla Impacto'!$D$11),"Leve",IF(OR(N51='Tabla Impacto'!$C$12,N51='Tabla Impacto'!$D$12),"Menor",IF(OR(N51='Tabla Impacto'!$C$13,N51='Tabla Impacto'!$D$13),"Moderado",IF(OR(N51='Tabla Impacto'!$C$14,N51='Tabla Impacto'!$D$14),"Mayor",IF(OR(N51='Tabla Impacto'!$C$15,N51='Tabla Impacto'!$D$15),"Catastrófico","")))))</f>
        <v/>
      </c>
      <c r="P51" s="542" t="str">
        <f t="shared" ref="P51" si="79">IF(O51="","",IF(O51="Leve",0.2,IF(O51="Menor",0.4,IF(O51="Moderado",0.6,IF(O51="Mayor",0.8,IF(O51="Catastrófico",1,))))))</f>
        <v/>
      </c>
      <c r="Q51" s="545" t="str">
        <f t="shared" ref="Q51" si="80">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3">
        <v>1</v>
      </c>
      <c r="S51" s="104"/>
      <c r="T51" s="105" t="str">
        <f>IF(OR(U51="Preventivo",U51="Detectivo"),"Probabilidad",IF(U51="Correctivo","Impacto",""))</f>
        <v/>
      </c>
      <c r="U51" s="111"/>
      <c r="V51" s="111"/>
      <c r="W51" s="112" t="str">
        <f>IF(AND(U51="Preventivo",V51="Automático"),"50%",IF(AND(U51="Preventivo",V51="Manual"),"40%",IF(AND(U51="Detectivo",V51="Automático"),"40%",IF(AND(U51="Detectivo",V51="Manual"),"30%",IF(AND(U51="Correctivo",V51="Automático"),"35%",IF(AND(U51="Correctivo",V51="Manual"),"25%",""))))))</f>
        <v/>
      </c>
      <c r="X51" s="111"/>
      <c r="Y51" s="111"/>
      <c r="Z51" s="111"/>
      <c r="AA51" s="106" t="str">
        <f>IFERROR(IF(T51="Probabilidad",(L51-(+L51*W51)),IF(T51="Impacto",L51,"")),"")</f>
        <v/>
      </c>
      <c r="AB51" s="113" t="str">
        <f>IFERROR(IF(AA51="","",IF(AA51&lt;=0.2,"Muy Baja",IF(AA51&lt;=0.4,"Baja",IF(AA51&lt;=0.6,"Media",IF(AA51&lt;=0.8,"Alta","Muy Alta"))))),"")</f>
        <v/>
      </c>
      <c r="AC51" s="114" t="str">
        <f>+AA51</f>
        <v/>
      </c>
      <c r="AD51" s="113" t="str">
        <f>IFERROR(IF(AE51="","",IF(AE51&lt;=0.2,"Leve",IF(AE51&lt;=0.4,"Menor",IF(AE51&lt;=0.6,"Moderado",IF(AE51&lt;=0.8,"Mayor","Catastrófico"))))),"")</f>
        <v/>
      </c>
      <c r="AE51" s="114" t="str">
        <f>IFERROR(IF(T51="Impacto",(P51-(+P51*W51)),IF(T51="Probabilidad",P51,"")),"")</f>
        <v/>
      </c>
      <c r="AF51" s="115"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6"/>
      <c r="AH51" s="107"/>
      <c r="AI51" s="108"/>
      <c r="AJ51" s="109"/>
      <c r="AK51" s="109"/>
      <c r="AL51" s="107"/>
      <c r="AM51" s="108"/>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26.25" hidden="1" customHeight="1" x14ac:dyDescent="0.25">
      <c r="A52" s="530"/>
      <c r="B52" s="533"/>
      <c r="C52" s="533"/>
      <c r="D52" s="533"/>
      <c r="E52" s="118"/>
      <c r="F52" s="577"/>
      <c r="G52" s="510"/>
      <c r="H52" s="121"/>
      <c r="I52" s="533"/>
      <c r="J52" s="568"/>
      <c r="K52" s="571"/>
      <c r="L52" s="543"/>
      <c r="M52" s="574"/>
      <c r="N52" s="543">
        <f>IF(NOT(ISERROR(MATCH(M52,_xlfn.ANCHORARRAY(F63),0))),L65&amp;"Por favor no seleccionar los criterios de impacto",M52)</f>
        <v>0</v>
      </c>
      <c r="O52" s="571"/>
      <c r="P52" s="543"/>
      <c r="Q52" s="546"/>
      <c r="R52" s="103">
        <v>2</v>
      </c>
      <c r="S52" s="104"/>
      <c r="T52" s="105" t="str">
        <f>IF(OR(U52="Preventivo",U52="Detectivo"),"Probabilidad",IF(U52="Correctivo","Impacto",""))</f>
        <v/>
      </c>
      <c r="U52" s="111"/>
      <c r="V52" s="111"/>
      <c r="W52" s="112" t="str">
        <f t="shared" ref="W52:W56" si="81">IF(AND(U52="Preventivo",V52="Automático"),"50%",IF(AND(U52="Preventivo",V52="Manual"),"40%",IF(AND(U52="Detectivo",V52="Automático"),"40%",IF(AND(U52="Detectivo",V52="Manual"),"30%",IF(AND(U52="Correctivo",V52="Automático"),"35%",IF(AND(U52="Correctivo",V52="Manual"),"25%",""))))))</f>
        <v/>
      </c>
      <c r="X52" s="111"/>
      <c r="Y52" s="111"/>
      <c r="Z52" s="111"/>
      <c r="AA52" s="106" t="str">
        <f>IFERROR(IF(AND(T51="Probabilidad",T52="Probabilidad"),(AC51-(+AC51*W52)),IF(AND(T51="Impacto",T52="Probabilidad"),(L51-(+L51*W52)),IF(T52="Impacto",AC51,""))),"")</f>
        <v/>
      </c>
      <c r="AB52" s="113" t="str">
        <f t="shared" ref="AB52:AB56" si="82">IFERROR(IF(AA52="","",IF(AA52&lt;=0.2,"Muy Baja",IF(AA52&lt;=0.4,"Baja",IF(AA52&lt;=0.6,"Media",IF(AA52&lt;=0.8,"Alta","Muy Alta"))))),"")</f>
        <v/>
      </c>
      <c r="AC52" s="114" t="str">
        <f>+AA52</f>
        <v/>
      </c>
      <c r="AD52" s="113" t="str">
        <f t="shared" ref="AD52:AD56" si="83">IFERROR(IF(AE52="","",IF(AE52&lt;=0.2,"Leve",IF(AE52&lt;=0.4,"Menor",IF(AE52&lt;=0.6,"Moderado",IF(AE52&lt;=0.8,"Mayor","Catastrófico"))))),"")</f>
        <v/>
      </c>
      <c r="AE52" s="114" t="str">
        <f>IFERROR(IF(AND(T51="Impacto",T52="Impacto"),(AE51-(+AE51*W52)),IF(AND(T51="Probabilidad",T52="Impacto"),(P51-(+P51*W52)),IF(T52="Probabilidad",AE51,""))),"")</f>
        <v/>
      </c>
      <c r="AF52" s="115" t="str">
        <f t="shared" ref="AF52:AF56" si="84">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6"/>
      <c r="AH52" s="107"/>
      <c r="AI52" s="108"/>
      <c r="AJ52" s="109"/>
      <c r="AK52" s="109"/>
      <c r="AL52" s="107"/>
      <c r="AM52" s="108"/>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26.25" hidden="1" customHeight="1" x14ac:dyDescent="0.25">
      <c r="A53" s="530"/>
      <c r="B53" s="533"/>
      <c r="C53" s="533"/>
      <c r="D53" s="533"/>
      <c r="E53" s="118"/>
      <c r="F53" s="577"/>
      <c r="G53" s="510"/>
      <c r="H53" s="121"/>
      <c r="I53" s="533"/>
      <c r="J53" s="568"/>
      <c r="K53" s="571"/>
      <c r="L53" s="543"/>
      <c r="M53" s="574"/>
      <c r="N53" s="543">
        <f>IF(NOT(ISERROR(MATCH(M53,_xlfn.ANCHORARRAY(F64),0))),L66&amp;"Por favor no seleccionar los criterios de impacto",M53)</f>
        <v>0</v>
      </c>
      <c r="O53" s="571"/>
      <c r="P53" s="543"/>
      <c r="Q53" s="546"/>
      <c r="R53" s="103">
        <v>3</v>
      </c>
      <c r="S53" s="110"/>
      <c r="T53" s="105" t="str">
        <f t="shared" ref="T53:T56" si="85">IF(OR(U53="Preventivo",U53="Detectivo"),"Probabilidad",IF(U53="Correctivo","Impacto",""))</f>
        <v/>
      </c>
      <c r="U53" s="111"/>
      <c r="V53" s="111"/>
      <c r="W53" s="112" t="str">
        <f t="shared" si="81"/>
        <v/>
      </c>
      <c r="X53" s="111"/>
      <c r="Y53" s="111"/>
      <c r="Z53" s="111"/>
      <c r="AA53" s="106" t="str">
        <f>IFERROR(IF(AND(T52="Probabilidad",T53="Probabilidad"),(AC52-(+AC52*W53)),IF(AND(T52="Impacto",T53="Probabilidad"),(AC51-(+AC51*W53)),IF(T53="Impacto",AC52,""))),"")</f>
        <v/>
      </c>
      <c r="AB53" s="113" t="str">
        <f t="shared" si="82"/>
        <v/>
      </c>
      <c r="AC53" s="114" t="str">
        <f t="shared" ref="AC53:AC56" si="86">+AA53</f>
        <v/>
      </c>
      <c r="AD53" s="113" t="str">
        <f t="shared" si="83"/>
        <v/>
      </c>
      <c r="AE53" s="114" t="str">
        <f t="shared" ref="AE53:AE56" si="87">IFERROR(IF(AND(T52="Impacto",T53="Impacto"),(AE52-(+AE52*W53)),IF(AND(T52="Probabilidad",T53="Impacto"),(AE51-(+AE51*W53)),IF(T53="Probabilidad",AE52,""))),"")</f>
        <v/>
      </c>
      <c r="AF53" s="115" t="str">
        <f t="shared" si="84"/>
        <v/>
      </c>
      <c r="AG53" s="116"/>
      <c r="AH53" s="107"/>
      <c r="AI53" s="108"/>
      <c r="AJ53" s="109"/>
      <c r="AK53" s="109"/>
      <c r="AL53" s="107"/>
      <c r="AM53" s="108"/>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26.25" hidden="1" customHeight="1" x14ac:dyDescent="0.25">
      <c r="A54" s="530"/>
      <c r="B54" s="533"/>
      <c r="C54" s="533"/>
      <c r="D54" s="533"/>
      <c r="E54" s="118"/>
      <c r="F54" s="577"/>
      <c r="G54" s="510"/>
      <c r="H54" s="121"/>
      <c r="I54" s="533"/>
      <c r="J54" s="568"/>
      <c r="K54" s="571"/>
      <c r="L54" s="543"/>
      <c r="M54" s="574"/>
      <c r="N54" s="543">
        <f>IF(NOT(ISERROR(MATCH(M54,_xlfn.ANCHORARRAY(F65),0))),L67&amp;"Por favor no seleccionar los criterios de impacto",M54)</f>
        <v>0</v>
      </c>
      <c r="O54" s="571"/>
      <c r="P54" s="543"/>
      <c r="Q54" s="546"/>
      <c r="R54" s="103">
        <v>4</v>
      </c>
      <c r="S54" s="104"/>
      <c r="T54" s="105" t="str">
        <f t="shared" si="85"/>
        <v/>
      </c>
      <c r="U54" s="111"/>
      <c r="V54" s="111"/>
      <c r="W54" s="112" t="str">
        <f t="shared" si="81"/>
        <v/>
      </c>
      <c r="X54" s="111"/>
      <c r="Y54" s="111"/>
      <c r="Z54" s="111"/>
      <c r="AA54" s="106" t="str">
        <f t="shared" ref="AA54:AA56" si="88">IFERROR(IF(AND(T53="Probabilidad",T54="Probabilidad"),(AC53-(+AC53*W54)),IF(AND(T53="Impacto",T54="Probabilidad"),(AC52-(+AC52*W54)),IF(T54="Impacto",AC53,""))),"")</f>
        <v/>
      </c>
      <c r="AB54" s="113" t="str">
        <f t="shared" si="82"/>
        <v/>
      </c>
      <c r="AC54" s="114" t="str">
        <f t="shared" si="86"/>
        <v/>
      </c>
      <c r="AD54" s="113" t="str">
        <f t="shared" si="83"/>
        <v/>
      </c>
      <c r="AE54" s="114" t="str">
        <f t="shared" si="87"/>
        <v/>
      </c>
      <c r="AF54" s="115" t="str">
        <f t="shared" si="84"/>
        <v/>
      </c>
      <c r="AG54" s="116"/>
      <c r="AH54" s="107"/>
      <c r="AI54" s="108"/>
      <c r="AJ54" s="109"/>
      <c r="AK54" s="109"/>
      <c r="AL54" s="107"/>
      <c r="AM54" s="108"/>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26.25" hidden="1" customHeight="1" x14ac:dyDescent="0.25">
      <c r="A55" s="530"/>
      <c r="B55" s="533"/>
      <c r="C55" s="533"/>
      <c r="D55" s="533"/>
      <c r="E55" s="118"/>
      <c r="F55" s="577"/>
      <c r="G55" s="510"/>
      <c r="H55" s="121"/>
      <c r="I55" s="533"/>
      <c r="J55" s="568"/>
      <c r="K55" s="571"/>
      <c r="L55" s="543"/>
      <c r="M55" s="574"/>
      <c r="N55" s="543">
        <f>IF(NOT(ISERROR(MATCH(M55,_xlfn.ANCHORARRAY(F66),0))),L68&amp;"Por favor no seleccionar los criterios de impacto",M55)</f>
        <v>0</v>
      </c>
      <c r="O55" s="571"/>
      <c r="P55" s="543"/>
      <c r="Q55" s="546"/>
      <c r="R55" s="103">
        <v>5</v>
      </c>
      <c r="S55" s="104"/>
      <c r="T55" s="105" t="str">
        <f t="shared" si="85"/>
        <v/>
      </c>
      <c r="U55" s="111"/>
      <c r="V55" s="111"/>
      <c r="W55" s="112" t="str">
        <f t="shared" si="81"/>
        <v/>
      </c>
      <c r="X55" s="111"/>
      <c r="Y55" s="111"/>
      <c r="Z55" s="111"/>
      <c r="AA55" s="106" t="str">
        <f t="shared" si="88"/>
        <v/>
      </c>
      <c r="AB55" s="113" t="str">
        <f t="shared" si="82"/>
        <v/>
      </c>
      <c r="AC55" s="114" t="str">
        <f t="shared" si="86"/>
        <v/>
      </c>
      <c r="AD55" s="113" t="str">
        <f t="shared" si="83"/>
        <v/>
      </c>
      <c r="AE55" s="114" t="str">
        <f t="shared" si="87"/>
        <v/>
      </c>
      <c r="AF55" s="115" t="str">
        <f t="shared" si="84"/>
        <v/>
      </c>
      <c r="AG55" s="116"/>
      <c r="AH55" s="107"/>
      <c r="AI55" s="108"/>
      <c r="AJ55" s="109"/>
      <c r="AK55" s="109"/>
      <c r="AL55" s="107"/>
      <c r="AM55" s="108"/>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26.25" hidden="1" customHeight="1" x14ac:dyDescent="0.25">
      <c r="A56" s="531"/>
      <c r="B56" s="534"/>
      <c r="C56" s="534"/>
      <c r="D56" s="534"/>
      <c r="E56" s="119"/>
      <c r="F56" s="578"/>
      <c r="G56" s="511"/>
      <c r="H56" s="122"/>
      <c r="I56" s="534"/>
      <c r="J56" s="569"/>
      <c r="K56" s="572"/>
      <c r="L56" s="544"/>
      <c r="M56" s="575"/>
      <c r="N56" s="544">
        <f>IF(NOT(ISERROR(MATCH(M56,_xlfn.ANCHORARRAY(F67),0))),L69&amp;"Por favor no seleccionar los criterios de impacto",M56)</f>
        <v>0</v>
      </c>
      <c r="O56" s="572"/>
      <c r="P56" s="544"/>
      <c r="Q56" s="547"/>
      <c r="R56" s="103">
        <v>6</v>
      </c>
      <c r="S56" s="104"/>
      <c r="T56" s="105" t="str">
        <f t="shared" si="85"/>
        <v/>
      </c>
      <c r="U56" s="111"/>
      <c r="V56" s="111"/>
      <c r="W56" s="112" t="str">
        <f t="shared" si="81"/>
        <v/>
      </c>
      <c r="X56" s="111"/>
      <c r="Y56" s="111"/>
      <c r="Z56" s="111"/>
      <c r="AA56" s="106" t="str">
        <f t="shared" si="88"/>
        <v/>
      </c>
      <c r="AB56" s="113" t="str">
        <f t="shared" si="82"/>
        <v/>
      </c>
      <c r="AC56" s="114" t="str">
        <f t="shared" si="86"/>
        <v/>
      </c>
      <c r="AD56" s="113" t="str">
        <f t="shared" si="83"/>
        <v/>
      </c>
      <c r="AE56" s="114" t="str">
        <f t="shared" si="87"/>
        <v/>
      </c>
      <c r="AF56" s="115" t="str">
        <f t="shared" si="84"/>
        <v/>
      </c>
      <c r="AG56" s="116"/>
      <c r="AH56" s="107"/>
      <c r="AI56" s="108"/>
      <c r="AJ56" s="109"/>
      <c r="AK56" s="109"/>
      <c r="AL56" s="107"/>
      <c r="AM56" s="108"/>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19.5" hidden="1" customHeight="1" x14ac:dyDescent="0.25">
      <c r="A57" s="529">
        <v>10</v>
      </c>
      <c r="B57" s="532"/>
      <c r="C57" s="532"/>
      <c r="D57" s="532"/>
      <c r="E57" s="117"/>
      <c r="F57" s="576"/>
      <c r="G57" s="509"/>
      <c r="H57" s="120"/>
      <c r="I57" s="532"/>
      <c r="J57" s="567"/>
      <c r="K57" s="570" t="str">
        <f t="shared" ref="K57" si="89">IF(J57&lt;=0,"",IF(J57&lt;=2,"Muy Baja",IF(J57&lt;=24,"Baja",IF(J57&lt;=500,"Media",IF(J57&lt;=5000,"Alta","Muy Alta")))))</f>
        <v/>
      </c>
      <c r="L57" s="542" t="str">
        <f t="shared" ref="L57" si="90">IF(K57="","",IF(K57="Muy Baja",0.2,IF(K57="Baja",0.4,IF(K57="Media",0.6,IF(K57="Alta",0.8,IF(K57="Muy Alta",1,))))))</f>
        <v/>
      </c>
      <c r="M57" s="573"/>
      <c r="N57" s="542">
        <f>IF(NOT(ISERROR(MATCH(M57,'Tabla Impacto'!$B$221:$B$223,0))),'Tabla Impacto'!$F$223&amp;"Por favor no seleccionar los criterios de impacto(Afectación Económica o presupuestal y Pérdida Reputacional)",M57)</f>
        <v>0</v>
      </c>
      <c r="O57" s="570" t="str">
        <f>IF(OR(N57='Tabla Impacto'!$C$11,N57='Tabla Impacto'!$D$11),"Leve",IF(OR(N57='Tabla Impacto'!$C$12,N57='Tabla Impacto'!$D$12),"Menor",IF(OR(N57='Tabla Impacto'!$C$13,N57='Tabla Impacto'!$D$13),"Moderado",IF(OR(N57='Tabla Impacto'!$C$14,N57='Tabla Impacto'!$D$14),"Mayor",IF(OR(N57='Tabla Impacto'!$C$15,N57='Tabla Impacto'!$D$15),"Catastrófico","")))))</f>
        <v/>
      </c>
      <c r="P57" s="542" t="str">
        <f t="shared" ref="P57" si="91">IF(O57="","",IF(O57="Leve",0.2,IF(O57="Menor",0.4,IF(O57="Moderado",0.6,IF(O57="Mayor",0.8,IF(O57="Catastrófico",1,))))))</f>
        <v/>
      </c>
      <c r="Q57" s="545" t="str">
        <f t="shared" ref="Q57" si="92">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3">
        <v>1</v>
      </c>
      <c r="S57" s="104"/>
      <c r="T57" s="105" t="str">
        <f>IF(OR(U57="Preventivo",U57="Detectivo"),"Probabilidad",IF(U57="Correctivo","Impacto",""))</f>
        <v/>
      </c>
      <c r="U57" s="111"/>
      <c r="V57" s="111"/>
      <c r="W57" s="112" t="str">
        <f>IF(AND(U57="Preventivo",V57="Automático"),"50%",IF(AND(U57="Preventivo",V57="Manual"),"40%",IF(AND(U57="Detectivo",V57="Automático"),"40%",IF(AND(U57="Detectivo",V57="Manual"),"30%",IF(AND(U57="Correctivo",V57="Automático"),"35%",IF(AND(U57="Correctivo",V57="Manual"),"25%",""))))))</f>
        <v/>
      </c>
      <c r="X57" s="111"/>
      <c r="Y57" s="111"/>
      <c r="Z57" s="111"/>
      <c r="AA57" s="106" t="str">
        <f>IFERROR(IF(T57="Probabilidad",(L57-(+L57*W57)),IF(T57="Impacto",L57,"")),"")</f>
        <v/>
      </c>
      <c r="AB57" s="113" t="str">
        <f>IFERROR(IF(AA57="","",IF(AA57&lt;=0.2,"Muy Baja",IF(AA57&lt;=0.4,"Baja",IF(AA57&lt;=0.6,"Media",IF(AA57&lt;=0.8,"Alta","Muy Alta"))))),"")</f>
        <v/>
      </c>
      <c r="AC57" s="114" t="str">
        <f>+AA57</f>
        <v/>
      </c>
      <c r="AD57" s="113" t="str">
        <f>IFERROR(IF(AE57="","",IF(AE57&lt;=0.2,"Leve",IF(AE57&lt;=0.4,"Menor",IF(AE57&lt;=0.6,"Moderado",IF(AE57&lt;=0.8,"Mayor","Catastrófico"))))),"")</f>
        <v/>
      </c>
      <c r="AE57" s="114" t="str">
        <f>IFERROR(IF(T57="Impacto",(P57-(+P57*W57)),IF(T57="Probabilidad",P57,"")),"")</f>
        <v/>
      </c>
      <c r="AF57" s="115"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6"/>
      <c r="AH57" s="107"/>
      <c r="AI57" s="108"/>
      <c r="AJ57" s="109"/>
      <c r="AK57" s="109"/>
      <c r="AL57" s="107"/>
      <c r="AM57" s="108"/>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19.5" hidden="1" customHeight="1" x14ac:dyDescent="0.25">
      <c r="A58" s="530"/>
      <c r="B58" s="533"/>
      <c r="C58" s="533"/>
      <c r="D58" s="533"/>
      <c r="E58" s="118"/>
      <c r="F58" s="577"/>
      <c r="G58" s="510"/>
      <c r="H58" s="121"/>
      <c r="I58" s="533"/>
      <c r="J58" s="568"/>
      <c r="K58" s="571"/>
      <c r="L58" s="543"/>
      <c r="M58" s="574"/>
      <c r="N58" s="543">
        <f>IF(NOT(ISERROR(MATCH(M58,_xlfn.ANCHORARRAY(F69),0))),L71&amp;"Por favor no seleccionar los criterios de impacto",M58)</f>
        <v>0</v>
      </c>
      <c r="O58" s="571"/>
      <c r="P58" s="543"/>
      <c r="Q58" s="546"/>
      <c r="R58" s="103">
        <v>2</v>
      </c>
      <c r="S58" s="104"/>
      <c r="T58" s="105" t="str">
        <f>IF(OR(U58="Preventivo",U58="Detectivo"),"Probabilidad",IF(U58="Correctivo","Impacto",""))</f>
        <v/>
      </c>
      <c r="U58" s="111"/>
      <c r="V58" s="111"/>
      <c r="W58" s="112" t="str">
        <f t="shared" ref="W58:W62" si="93">IF(AND(U58="Preventivo",V58="Automático"),"50%",IF(AND(U58="Preventivo",V58="Manual"),"40%",IF(AND(U58="Detectivo",V58="Automático"),"40%",IF(AND(U58="Detectivo",V58="Manual"),"30%",IF(AND(U58="Correctivo",V58="Automático"),"35%",IF(AND(U58="Correctivo",V58="Manual"),"25%",""))))))</f>
        <v/>
      </c>
      <c r="X58" s="111"/>
      <c r="Y58" s="111"/>
      <c r="Z58" s="111"/>
      <c r="AA58" s="106" t="str">
        <f>IFERROR(IF(AND(T57="Probabilidad",T58="Probabilidad"),(AC57-(+AC57*W58)),IF(AND(T57="Impacto",T58="Probabilidad"),(L57-(+L57*W58)),IF(T58="Impacto",AC57,""))),"")</f>
        <v/>
      </c>
      <c r="AB58" s="113" t="str">
        <f t="shared" ref="AB58:AB62" si="94">IFERROR(IF(AA58="","",IF(AA58&lt;=0.2,"Muy Baja",IF(AA58&lt;=0.4,"Baja",IF(AA58&lt;=0.6,"Media",IF(AA58&lt;=0.8,"Alta","Muy Alta"))))),"")</f>
        <v/>
      </c>
      <c r="AC58" s="114" t="str">
        <f>+AA58</f>
        <v/>
      </c>
      <c r="AD58" s="113" t="str">
        <f t="shared" ref="AD58:AD62" si="95">IFERROR(IF(AE58="","",IF(AE58&lt;=0.2,"Leve",IF(AE58&lt;=0.4,"Menor",IF(AE58&lt;=0.6,"Moderado",IF(AE58&lt;=0.8,"Mayor","Catastrófico"))))),"")</f>
        <v/>
      </c>
      <c r="AE58" s="114" t="str">
        <f>IFERROR(IF(AND(T57="Impacto",T58="Impacto"),(AE57-(+AE57*W58)),IF(AND(T57="Probabilidad",T58="Impacto"),(P57-(+P57*W58)),IF(T58="Probabilidad",AE57,""))),"")</f>
        <v/>
      </c>
      <c r="AF58" s="115" t="str">
        <f t="shared" ref="AF58:AF62" si="96">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6"/>
      <c r="AH58" s="107"/>
      <c r="AI58" s="108"/>
      <c r="AJ58" s="109"/>
      <c r="AK58" s="109"/>
      <c r="AL58" s="107"/>
      <c r="AM58" s="108"/>
    </row>
    <row r="59" spans="1:71" ht="19.5" hidden="1" customHeight="1" x14ac:dyDescent="0.25">
      <c r="A59" s="530"/>
      <c r="B59" s="533"/>
      <c r="C59" s="533"/>
      <c r="D59" s="533"/>
      <c r="E59" s="118"/>
      <c r="F59" s="577"/>
      <c r="G59" s="510"/>
      <c r="H59" s="121"/>
      <c r="I59" s="533"/>
      <c r="J59" s="568"/>
      <c r="K59" s="571"/>
      <c r="L59" s="543"/>
      <c r="M59" s="574"/>
      <c r="N59" s="543">
        <f>IF(NOT(ISERROR(MATCH(M59,_xlfn.ANCHORARRAY(F70),0))),L72&amp;"Por favor no seleccionar los criterios de impacto",M59)</f>
        <v>0</v>
      </c>
      <c r="O59" s="571"/>
      <c r="P59" s="543"/>
      <c r="Q59" s="546"/>
      <c r="R59" s="103">
        <v>3</v>
      </c>
      <c r="S59" s="110"/>
      <c r="T59" s="105" t="str">
        <f t="shared" ref="T59:T62" si="97">IF(OR(U59="Preventivo",U59="Detectivo"),"Probabilidad",IF(U59="Correctivo","Impacto",""))</f>
        <v/>
      </c>
      <c r="U59" s="111"/>
      <c r="V59" s="111"/>
      <c r="W59" s="112" t="str">
        <f t="shared" si="93"/>
        <v/>
      </c>
      <c r="X59" s="111"/>
      <c r="Y59" s="111"/>
      <c r="Z59" s="111"/>
      <c r="AA59" s="106" t="str">
        <f>IFERROR(IF(AND(T58="Probabilidad",T59="Probabilidad"),(AC58-(+AC58*W59)),IF(AND(T58="Impacto",T59="Probabilidad"),(AC57-(+AC57*W59)),IF(T59="Impacto",AC58,""))),"")</f>
        <v/>
      </c>
      <c r="AB59" s="113" t="str">
        <f t="shared" si="94"/>
        <v/>
      </c>
      <c r="AC59" s="114" t="str">
        <f t="shared" ref="AC59:AC62" si="98">+AA59</f>
        <v/>
      </c>
      <c r="AD59" s="113" t="str">
        <f t="shared" si="95"/>
        <v/>
      </c>
      <c r="AE59" s="114" t="str">
        <f t="shared" ref="AE59:AE62" si="99">IFERROR(IF(AND(T58="Impacto",T59="Impacto"),(AE58-(+AE58*W59)),IF(AND(T58="Probabilidad",T59="Impacto"),(AE57-(+AE57*W59)),IF(T59="Probabilidad",AE58,""))),"")</f>
        <v/>
      </c>
      <c r="AF59" s="115" t="str">
        <f t="shared" si="96"/>
        <v/>
      </c>
      <c r="AG59" s="116"/>
      <c r="AH59" s="107"/>
      <c r="AI59" s="108"/>
      <c r="AJ59" s="109"/>
      <c r="AK59" s="109"/>
      <c r="AL59" s="107"/>
      <c r="AM59" s="108"/>
    </row>
    <row r="60" spans="1:71" ht="19.5" hidden="1" customHeight="1" x14ac:dyDescent="0.25">
      <c r="A60" s="530"/>
      <c r="B60" s="533"/>
      <c r="C60" s="533"/>
      <c r="D60" s="533"/>
      <c r="E60" s="118"/>
      <c r="F60" s="577"/>
      <c r="G60" s="510"/>
      <c r="H60" s="121"/>
      <c r="I60" s="533"/>
      <c r="J60" s="568"/>
      <c r="K60" s="571"/>
      <c r="L60" s="543"/>
      <c r="M60" s="574"/>
      <c r="N60" s="543">
        <f>IF(NOT(ISERROR(MATCH(M60,_xlfn.ANCHORARRAY(F71),0))),L73&amp;"Por favor no seleccionar los criterios de impacto",M60)</f>
        <v>0</v>
      </c>
      <c r="O60" s="571"/>
      <c r="P60" s="543"/>
      <c r="Q60" s="546"/>
      <c r="R60" s="103">
        <v>4</v>
      </c>
      <c r="S60" s="104"/>
      <c r="T60" s="105" t="str">
        <f t="shared" si="97"/>
        <v/>
      </c>
      <c r="U60" s="111"/>
      <c r="V60" s="111"/>
      <c r="W60" s="112" t="str">
        <f t="shared" si="93"/>
        <v/>
      </c>
      <c r="X60" s="111"/>
      <c r="Y60" s="111"/>
      <c r="Z60" s="111"/>
      <c r="AA60" s="106" t="str">
        <f t="shared" ref="AA60:AA62" si="100">IFERROR(IF(AND(T59="Probabilidad",T60="Probabilidad"),(AC59-(+AC59*W60)),IF(AND(T59="Impacto",T60="Probabilidad"),(AC58-(+AC58*W60)),IF(T60="Impacto",AC59,""))),"")</f>
        <v/>
      </c>
      <c r="AB60" s="113" t="str">
        <f t="shared" si="94"/>
        <v/>
      </c>
      <c r="AC60" s="114" t="str">
        <f t="shared" si="98"/>
        <v/>
      </c>
      <c r="AD60" s="113" t="str">
        <f t="shared" si="95"/>
        <v/>
      </c>
      <c r="AE60" s="114" t="str">
        <f t="shared" si="99"/>
        <v/>
      </c>
      <c r="AF60" s="115" t="str">
        <f t="shared" si="96"/>
        <v/>
      </c>
      <c r="AG60" s="116"/>
      <c r="AH60" s="107"/>
      <c r="AI60" s="108"/>
      <c r="AJ60" s="109"/>
      <c r="AK60" s="109"/>
      <c r="AL60" s="107"/>
      <c r="AM60" s="108"/>
    </row>
    <row r="61" spans="1:71" ht="19.5" hidden="1" customHeight="1" x14ac:dyDescent="0.25">
      <c r="A61" s="530"/>
      <c r="B61" s="533"/>
      <c r="C61" s="533"/>
      <c r="D61" s="533"/>
      <c r="E61" s="118"/>
      <c r="F61" s="577"/>
      <c r="G61" s="510"/>
      <c r="H61" s="121"/>
      <c r="I61" s="533"/>
      <c r="J61" s="568"/>
      <c r="K61" s="571"/>
      <c r="L61" s="543"/>
      <c r="M61" s="574"/>
      <c r="N61" s="543">
        <f>IF(NOT(ISERROR(MATCH(M61,_xlfn.ANCHORARRAY(F72),0))),L74&amp;"Por favor no seleccionar los criterios de impacto",M61)</f>
        <v>0</v>
      </c>
      <c r="O61" s="571"/>
      <c r="P61" s="543"/>
      <c r="Q61" s="546"/>
      <c r="R61" s="103">
        <v>5</v>
      </c>
      <c r="S61" s="104"/>
      <c r="T61" s="105" t="str">
        <f t="shared" si="97"/>
        <v/>
      </c>
      <c r="U61" s="111"/>
      <c r="V61" s="111"/>
      <c r="W61" s="112" t="str">
        <f t="shared" si="93"/>
        <v/>
      </c>
      <c r="X61" s="111"/>
      <c r="Y61" s="111"/>
      <c r="Z61" s="111"/>
      <c r="AA61" s="106" t="str">
        <f t="shared" si="100"/>
        <v/>
      </c>
      <c r="AB61" s="113" t="str">
        <f t="shared" si="94"/>
        <v/>
      </c>
      <c r="AC61" s="114" t="str">
        <f t="shared" si="98"/>
        <v/>
      </c>
      <c r="AD61" s="113" t="str">
        <f t="shared" si="95"/>
        <v/>
      </c>
      <c r="AE61" s="114" t="str">
        <f t="shared" si="99"/>
        <v/>
      </c>
      <c r="AF61" s="115" t="str">
        <f t="shared" si="96"/>
        <v/>
      </c>
      <c r="AG61" s="116"/>
      <c r="AH61" s="107"/>
      <c r="AI61" s="108"/>
      <c r="AJ61" s="109"/>
      <c r="AK61" s="109"/>
      <c r="AL61" s="107"/>
      <c r="AM61" s="108"/>
    </row>
    <row r="62" spans="1:71" ht="19.5" hidden="1" customHeight="1" x14ac:dyDescent="0.25">
      <c r="A62" s="531"/>
      <c r="B62" s="534"/>
      <c r="C62" s="534"/>
      <c r="D62" s="534"/>
      <c r="E62" s="119"/>
      <c r="F62" s="578"/>
      <c r="G62" s="511"/>
      <c r="H62" s="122"/>
      <c r="I62" s="534"/>
      <c r="J62" s="569"/>
      <c r="K62" s="572"/>
      <c r="L62" s="544"/>
      <c r="M62" s="575"/>
      <c r="N62" s="544">
        <f>IF(NOT(ISERROR(MATCH(M62,_xlfn.ANCHORARRAY(F73),0))),L75&amp;"Por favor no seleccionar los criterios de impacto",M62)</f>
        <v>0</v>
      </c>
      <c r="O62" s="572"/>
      <c r="P62" s="544"/>
      <c r="Q62" s="547"/>
      <c r="R62" s="103">
        <v>6</v>
      </c>
      <c r="S62" s="104"/>
      <c r="T62" s="105" t="str">
        <f t="shared" si="97"/>
        <v/>
      </c>
      <c r="U62" s="111"/>
      <c r="V62" s="111"/>
      <c r="W62" s="112" t="str">
        <f t="shared" si="93"/>
        <v/>
      </c>
      <c r="X62" s="111"/>
      <c r="Y62" s="111"/>
      <c r="Z62" s="111"/>
      <c r="AA62" s="106" t="str">
        <f t="shared" si="100"/>
        <v/>
      </c>
      <c r="AB62" s="113" t="str">
        <f t="shared" si="94"/>
        <v/>
      </c>
      <c r="AC62" s="114" t="str">
        <f t="shared" si="98"/>
        <v/>
      </c>
      <c r="AD62" s="113" t="str">
        <f t="shared" si="95"/>
        <v/>
      </c>
      <c r="AE62" s="114" t="str">
        <f t="shared" si="99"/>
        <v/>
      </c>
      <c r="AF62" s="115" t="str">
        <f t="shared" si="96"/>
        <v/>
      </c>
      <c r="AG62" s="116"/>
      <c r="AH62" s="107"/>
      <c r="AI62" s="108"/>
      <c r="AJ62" s="109"/>
      <c r="AK62" s="109"/>
      <c r="AL62" s="107"/>
      <c r="AM62" s="108"/>
    </row>
    <row r="63" spans="1:71" ht="49.5" customHeight="1" x14ac:dyDescent="0.25">
      <c r="A63" s="5"/>
      <c r="B63" s="743" t="s">
        <v>126</v>
      </c>
      <c r="C63" s="744"/>
      <c r="D63" s="744"/>
      <c r="E63" s="744"/>
      <c r="F63" s="744"/>
      <c r="G63" s="744"/>
      <c r="H63" s="744"/>
      <c r="I63" s="744"/>
      <c r="J63" s="744"/>
      <c r="K63" s="744"/>
      <c r="L63" s="744"/>
      <c r="M63" s="744"/>
      <c r="N63" s="744"/>
      <c r="O63" s="744"/>
      <c r="P63" s="744"/>
      <c r="Q63" s="744"/>
      <c r="R63" s="744"/>
      <c r="S63" s="744"/>
      <c r="T63" s="744"/>
      <c r="U63" s="744"/>
      <c r="V63" s="744"/>
      <c r="W63" s="744"/>
      <c r="X63" s="744"/>
      <c r="Y63" s="744"/>
      <c r="Z63" s="744"/>
      <c r="AA63" s="744"/>
      <c r="AB63" s="744"/>
      <c r="AC63" s="744"/>
      <c r="AD63" s="744"/>
      <c r="AE63" s="744"/>
      <c r="AF63" s="744"/>
      <c r="AG63" s="744"/>
      <c r="AH63" s="744"/>
      <c r="AI63" s="744"/>
      <c r="AJ63" s="744"/>
      <c r="AK63" s="744"/>
      <c r="AL63" s="744"/>
      <c r="AM63" s="745"/>
    </row>
    <row r="65" spans="1:9" x14ac:dyDescent="0.25">
      <c r="A65" s="1"/>
      <c r="B65" s="23" t="s">
        <v>383</v>
      </c>
      <c r="C65" s="1"/>
      <c r="D65" s="1"/>
      <c r="E65" s="1"/>
      <c r="I65" s="1"/>
    </row>
  </sheetData>
  <dataConsolidate/>
  <mergeCells count="175">
    <mergeCell ref="B63:AM63"/>
    <mergeCell ref="A1:AM2"/>
    <mergeCell ref="A7:J7"/>
    <mergeCell ref="K7:Q7"/>
    <mergeCell ref="R7:Z7"/>
    <mergeCell ref="AA7:AG7"/>
    <mergeCell ref="AH7:AM7"/>
    <mergeCell ref="P51:P56"/>
    <mergeCell ref="Q51:Q56"/>
    <mergeCell ref="A57:A62"/>
    <mergeCell ref="B57:B62"/>
    <mergeCell ref="C57:C62"/>
    <mergeCell ref="D57:D62"/>
    <mergeCell ref="F57:F62"/>
    <mergeCell ref="I57:I62"/>
    <mergeCell ref="J57:J62"/>
    <mergeCell ref="K57:K62"/>
    <mergeCell ref="L57:L62"/>
    <mergeCell ref="M57:M62"/>
    <mergeCell ref="N57:N62"/>
    <mergeCell ref="O57:O62"/>
    <mergeCell ref="P57:P62"/>
    <mergeCell ref="Q57:Q62"/>
    <mergeCell ref="M51:M56"/>
    <mergeCell ref="N51:N56"/>
    <mergeCell ref="O51:O56"/>
    <mergeCell ref="A51:A56"/>
    <mergeCell ref="B51:B56"/>
    <mergeCell ref="C51:C56"/>
    <mergeCell ref="D51:D56"/>
    <mergeCell ref="F51:F56"/>
    <mergeCell ref="I51:I56"/>
    <mergeCell ref="J51:J56"/>
    <mergeCell ref="K51:K56"/>
    <mergeCell ref="L51:L56"/>
    <mergeCell ref="G51:G56"/>
    <mergeCell ref="P39:P44"/>
    <mergeCell ref="Q39:Q44"/>
    <mergeCell ref="I45:I50"/>
    <mergeCell ref="J45:J50"/>
    <mergeCell ref="K45:K50"/>
    <mergeCell ref="L45:L50"/>
    <mergeCell ref="M45:M50"/>
    <mergeCell ref="I39:I44"/>
    <mergeCell ref="J39:J44"/>
    <mergeCell ref="K39:K44"/>
    <mergeCell ref="L39:L44"/>
    <mergeCell ref="N45:N50"/>
    <mergeCell ref="O45:O50"/>
    <mergeCell ref="P45:P50"/>
    <mergeCell ref="Q45:Q50"/>
    <mergeCell ref="J33:J38"/>
    <mergeCell ref="K33:K38"/>
    <mergeCell ref="L33:L38"/>
    <mergeCell ref="N27:N32"/>
    <mergeCell ref="O27:O32"/>
    <mergeCell ref="A45:A50"/>
    <mergeCell ref="B45:B50"/>
    <mergeCell ref="C45:C50"/>
    <mergeCell ref="D45:D50"/>
    <mergeCell ref="F45:F50"/>
    <mergeCell ref="A39:A44"/>
    <mergeCell ref="B39:B44"/>
    <mergeCell ref="C39:C44"/>
    <mergeCell ref="D39:D44"/>
    <mergeCell ref="F39:F44"/>
    <mergeCell ref="G27:G32"/>
    <mergeCell ref="G33:G38"/>
    <mergeCell ref="G39:G44"/>
    <mergeCell ref="G45:G50"/>
    <mergeCell ref="Q27:Q32"/>
    <mergeCell ref="P33:P38"/>
    <mergeCell ref="Q33:Q38"/>
    <mergeCell ref="M39:M44"/>
    <mergeCell ref="N39:N44"/>
    <mergeCell ref="O39:O44"/>
    <mergeCell ref="A27:A32"/>
    <mergeCell ref="B27:B32"/>
    <mergeCell ref="C27:C32"/>
    <mergeCell ref="A33:A38"/>
    <mergeCell ref="B33:B38"/>
    <mergeCell ref="C33:C38"/>
    <mergeCell ref="D33:D38"/>
    <mergeCell ref="F33:F38"/>
    <mergeCell ref="I33:I38"/>
    <mergeCell ref="D27:D32"/>
    <mergeCell ref="F27:F32"/>
    <mergeCell ref="M33:M38"/>
    <mergeCell ref="N33:N38"/>
    <mergeCell ref="O33:O38"/>
    <mergeCell ref="I27:I32"/>
    <mergeCell ref="J27:J32"/>
    <mergeCell ref="K27:K32"/>
    <mergeCell ref="L27:L32"/>
    <mergeCell ref="G15:G20"/>
    <mergeCell ref="G21:G26"/>
    <mergeCell ref="J15:J20"/>
    <mergeCell ref="K15:K20"/>
    <mergeCell ref="L15:L20"/>
    <mergeCell ref="M15:M20"/>
    <mergeCell ref="N15:N20"/>
    <mergeCell ref="O15:O20"/>
    <mergeCell ref="P27:P32"/>
    <mergeCell ref="M27:M32"/>
    <mergeCell ref="I21:I26"/>
    <mergeCell ref="J21:J26"/>
    <mergeCell ref="K21:K26"/>
    <mergeCell ref="L21:L26"/>
    <mergeCell ref="M21:M26"/>
    <mergeCell ref="N21:N26"/>
    <mergeCell ref="O21:O26"/>
    <mergeCell ref="P21:P26"/>
    <mergeCell ref="Q21:Q26"/>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C5:AM5"/>
    <mergeCell ref="AC8:AC9"/>
    <mergeCell ref="J8:J9"/>
    <mergeCell ref="K8:K9"/>
    <mergeCell ref="L8:L9"/>
    <mergeCell ref="O8:O9"/>
    <mergeCell ref="P8:P9"/>
    <mergeCell ref="B8:B9"/>
    <mergeCell ref="Q8:Q9"/>
    <mergeCell ref="M8:M9"/>
    <mergeCell ref="N8:N9"/>
    <mergeCell ref="T8:T9"/>
    <mergeCell ref="U8:Z8"/>
    <mergeCell ref="E8:E9"/>
    <mergeCell ref="C6:AM6"/>
    <mergeCell ref="G57:G62"/>
    <mergeCell ref="AF10:AF13"/>
    <mergeCell ref="AD10:AD13"/>
    <mergeCell ref="I10:I13"/>
    <mergeCell ref="A10:A13"/>
    <mergeCell ref="B10:B13"/>
    <mergeCell ref="C10:C13"/>
    <mergeCell ref="D10:D13"/>
    <mergeCell ref="F10:F13"/>
    <mergeCell ref="H10:H13"/>
    <mergeCell ref="G10:G13"/>
    <mergeCell ref="A15:A20"/>
    <mergeCell ref="B15:B20"/>
    <mergeCell ref="C15:C20"/>
    <mergeCell ref="D15:D20"/>
    <mergeCell ref="F15:F20"/>
    <mergeCell ref="I15:I20"/>
    <mergeCell ref="P15:P20"/>
    <mergeCell ref="Q15:Q20"/>
    <mergeCell ref="A21:A26"/>
    <mergeCell ref="B21:B26"/>
    <mergeCell ref="C21:C26"/>
    <mergeCell ref="D21:D26"/>
    <mergeCell ref="F21:F26"/>
  </mergeCells>
  <conditionalFormatting sqref="K10:K15">
    <cfRule type="cellIs" dxfId="37" priority="11" operator="equal">
      <formula>"Muy Alta"</formula>
    </cfRule>
    <cfRule type="cellIs" dxfId="36" priority="12" operator="equal">
      <formula>"Alta"</formula>
    </cfRule>
    <cfRule type="cellIs" dxfId="35" priority="13" operator="equal">
      <formula>"Media"</formula>
    </cfRule>
    <cfRule type="cellIs" dxfId="34" priority="14" operator="equal">
      <formula>"Baja"</formula>
    </cfRule>
    <cfRule type="cellIs" dxfId="33" priority="15" operator="equal">
      <formula>"Muy Baja"</formula>
    </cfRule>
  </conditionalFormatting>
  <conditionalFormatting sqref="K21 K27 K33 K39 K45 K51 K57">
    <cfRule type="cellIs" dxfId="32" priority="728" operator="equal">
      <formula>"Muy Alta"</formula>
    </cfRule>
    <cfRule type="cellIs" dxfId="31" priority="729" operator="equal">
      <formula>"Alta"</formula>
    </cfRule>
    <cfRule type="cellIs" dxfId="30" priority="730" operator="equal">
      <formula>"Media"</formula>
    </cfRule>
    <cfRule type="cellIs" dxfId="29" priority="731" operator="equal">
      <formula>"Baja"</formula>
    </cfRule>
    <cfRule type="cellIs" dxfId="28" priority="732" operator="equal">
      <formula>"Muy Baja"</formula>
    </cfRule>
  </conditionalFormatting>
  <conditionalFormatting sqref="N10:N62">
    <cfRule type="containsText" dxfId="27" priority="1" operator="containsText" text="❌">
      <formula>NOT(ISERROR(SEARCH("❌",N10)))</formula>
    </cfRule>
  </conditionalFormatting>
  <conditionalFormatting sqref="O10:O15">
    <cfRule type="cellIs" dxfId="26" priority="6" operator="equal">
      <formula>"Catastrófico"</formula>
    </cfRule>
    <cfRule type="cellIs" dxfId="25" priority="7" operator="equal">
      <formula>"Mayor"</formula>
    </cfRule>
    <cfRule type="cellIs" dxfId="24" priority="8" operator="equal">
      <formula>"Moderado"</formula>
    </cfRule>
    <cfRule type="cellIs" dxfId="23" priority="9" operator="equal">
      <formula>"Menor"</formula>
    </cfRule>
    <cfRule type="cellIs" dxfId="22" priority="10" operator="equal">
      <formula>"Leve"</formula>
    </cfRule>
  </conditionalFormatting>
  <conditionalFormatting sqref="Q10:Q15">
    <cfRule type="cellIs" dxfId="21" priority="2" operator="equal">
      <formula>"Extremo"</formula>
    </cfRule>
    <cfRule type="cellIs" dxfId="20" priority="3" operator="equal">
      <formula>"Alto"</formula>
    </cfRule>
    <cfRule type="cellIs" dxfId="19" priority="4" operator="equal">
      <formula>"Moderado"</formula>
    </cfRule>
    <cfRule type="cellIs" dxfId="18" priority="5" operator="equal">
      <formula>"Bajo"</formula>
    </cfRule>
  </conditionalFormatting>
  <conditionalFormatting sqref="Q21 Q27 Q33 Q39 Q45 Q51 Q57">
    <cfRule type="cellIs" dxfId="17" priority="649" operator="equal">
      <formula>"Extremo"</formula>
    </cfRule>
    <cfRule type="cellIs" dxfId="16" priority="650" operator="equal">
      <formula>"Alto"</formula>
    </cfRule>
    <cfRule type="cellIs" dxfId="15" priority="651" operator="equal">
      <formula>"Moderado"</formula>
    </cfRule>
    <cfRule type="cellIs" dxfId="14" priority="652" operator="equal">
      <formula>"Bajo"</formula>
    </cfRule>
  </conditionalFormatting>
  <conditionalFormatting sqref="AB10:AB62">
    <cfRule type="cellIs" dxfId="13" priority="55" operator="equal">
      <formula>"Muy Alta"</formula>
    </cfRule>
    <cfRule type="cellIs" dxfId="12" priority="56" operator="equal">
      <formula>"Alta"</formula>
    </cfRule>
    <cfRule type="cellIs" dxfId="11" priority="57" operator="equal">
      <formula>"Media"</formula>
    </cfRule>
    <cfRule type="cellIs" dxfId="10" priority="58" operator="equal">
      <formula>"Baja"</formula>
    </cfRule>
    <cfRule type="cellIs" dxfId="9" priority="59" operator="equal">
      <formula>"Muy Baja"</formula>
    </cfRule>
  </conditionalFormatting>
  <conditionalFormatting sqref="AD10 AD14:AD62 O21 O27 O33 O39 O45 O51 O57">
    <cfRule type="cellIs" dxfId="8" priority="723" operator="equal">
      <formula>"Catastrófico"</formula>
    </cfRule>
    <cfRule type="cellIs" dxfId="7" priority="724" operator="equal">
      <formula>"Mayor"</formula>
    </cfRule>
    <cfRule type="cellIs" dxfId="6" priority="725" operator="equal">
      <formula>"Moderado"</formula>
    </cfRule>
    <cfRule type="cellIs" dxfId="5" priority="726" operator="equal">
      <formula>"Menor"</formula>
    </cfRule>
    <cfRule type="cellIs" dxfId="4" priority="727" operator="equal">
      <formula>"Leve"</formula>
    </cfRule>
  </conditionalFormatting>
  <conditionalFormatting sqref="AF10 AF14:AF62">
    <cfRule type="cellIs" dxfId="3" priority="719" operator="equal">
      <formula>"Extremo"</formula>
    </cfRule>
    <cfRule type="cellIs" dxfId="2" priority="720" operator="equal">
      <formula>"Alto"</formula>
    </cfRule>
    <cfRule type="cellIs" dxfId="1" priority="721" operator="equal">
      <formula>"Moderado"</formula>
    </cfRule>
    <cfRule type="cellIs" dxfId="0" priority="722" operator="equal">
      <formula>"Bajo"</formula>
    </cfRule>
  </conditionalFormatting>
  <dataValidations count="1">
    <dataValidation type="list" allowBlank="1" showInputMessage="1" showErrorMessage="1" sqref="G10:G62"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'Opciones Tratamiento'!$B$9:$B$10</xm:f>
          </x14:formula1>
          <xm:sqref>AM60:AM61 AM18:AM19 AM21:AM22 AM24:AM25 AM27:AM28 AM30:AM31 AM33:AM34 AM36:AM37 AM39:AM40 AM42:AM43 AM45:AM46 AM48:AM49 AM51:AM52 AM54:AM55 AM57:AM58 AM15:AM16</xm:sqref>
        </x14:dataValidation>
        <x14:dataValidation type="list" allowBlank="1" showInputMessage="1" showErrorMessage="1" xr:uid="{00000000-0002-0000-0400-000002000000}">
          <x14:formula1>
            <xm:f>'Opciones Tratamiento'!$B$2:$B$5</xm:f>
          </x14:formula1>
          <xm:sqref>AG17:AG21 AG23:AG27 AG29:AG33 AG35:AG39 AG41:AG45 AG47:AG51 AG53:AG57 AG59:AG62 AG10:AG15</xm:sqref>
        </x14:dataValidation>
        <x14:dataValidation type="list" allowBlank="1" showInputMessage="1" showErrorMessage="1" xr:uid="{00000000-0002-0000-0400-000003000000}">
          <x14:formula1>
            <xm:f>'C:\Users\HOME\Downloads\[Formato Matriz de Riesgos 2021 (1).xlsx]Opciones Tratamiento'!#REF!</xm:f>
          </x14:formula1>
          <xm:sqref>AG58 AG16 AG22 AG28 AG34 AG40 AG46 AG52</xm:sqref>
        </x14:dataValidation>
        <x14:dataValidation type="custom" allowBlank="1" showInputMessage="1" showErrorMessage="1" error="Recuerde que las acciones se generan bajo la medida de mitigar el riesgo" xr:uid="{00000000-0002-0000-0400-000004000000}">
          <x14:formula1>
            <xm:f>IF(OR(R10='Opciones Tratamiento'!$B$2,R10='Opciones Tratamiento'!$B$3,R10='Opciones Tratamiento'!$B$4),ISBLANK(R10),ISTEXT(R10))</xm:f>
          </x14:formula1>
          <xm:sqref>S11 AH10:AH62</xm:sqref>
        </x14:dataValidation>
        <x14:dataValidation type="list" allowBlank="1" showInputMessage="1" showErrorMessage="1" xr:uid="{00000000-0002-0000-0400-000005000000}">
          <x14:formula1>
            <xm:f>'Tabla Valoración controles'!$D$4:$D$6</xm:f>
          </x14:formula1>
          <xm:sqref>U10:U62</xm:sqref>
        </x14:dataValidation>
        <x14:dataValidation type="list" allowBlank="1" showInputMessage="1" showErrorMessage="1" xr:uid="{00000000-0002-0000-0400-000006000000}">
          <x14:formula1>
            <xm:f>'Tabla Valoración controles'!$D$7:$D$8</xm:f>
          </x14:formula1>
          <xm:sqref>V10:V62</xm:sqref>
        </x14:dataValidation>
        <x14:dataValidation type="list" allowBlank="1" showInputMessage="1" showErrorMessage="1" xr:uid="{00000000-0002-0000-0400-000007000000}">
          <x14:formula1>
            <xm:f>'Tabla Valoración controles'!$D$9:$D$10</xm:f>
          </x14:formula1>
          <xm:sqref>X10:X62</xm:sqref>
        </x14:dataValidation>
        <x14:dataValidation type="list" allowBlank="1" showInputMessage="1" showErrorMessage="1" xr:uid="{00000000-0002-0000-0400-000008000000}">
          <x14:formula1>
            <xm:f>'Tabla Valoración controles'!$D$11:$D$12</xm:f>
          </x14:formula1>
          <xm:sqref>Y10:Y62</xm:sqref>
        </x14:dataValidation>
        <x14:dataValidation type="list" allowBlank="1" showInputMessage="1" showErrorMessage="1" xr:uid="{00000000-0002-0000-0400-000009000000}">
          <x14:formula1>
            <xm:f>'Tabla Valoración controles'!$D$13:$D$14</xm:f>
          </x14:formula1>
          <xm:sqref>Z10:Z62</xm:sqref>
        </x14:dataValidation>
        <x14:dataValidation type="list" allowBlank="1" showInputMessage="1" showErrorMessage="1" xr:uid="{00000000-0002-0000-0400-00000A000000}">
          <x14:formula1>
            <xm:f>'Opciones Tratamiento'!$B$13:$B$19</xm:f>
          </x14:formula1>
          <xm:sqref>I10:I62</xm:sqref>
        </x14:dataValidation>
        <x14:dataValidation type="list" allowBlank="1" showInputMessage="1" showErrorMessage="1" xr:uid="{00000000-0002-0000-0400-00000B000000}">
          <x14:formula1>
            <xm:f>'Opciones Tratamiento'!$E$2:$E$4</xm:f>
          </x14:formula1>
          <xm:sqref>B10:B62</xm:sqref>
        </x14:dataValidation>
        <x14:dataValidation type="list" allowBlank="1" showInputMessage="1" showErrorMessage="1" xr:uid="{00000000-0002-0000-0400-00000C000000}">
          <x14:formula1>
            <xm:f>'Tabla Impacto'!$F$210:$F$221</xm:f>
          </x14:formula1>
          <xm:sqref>M10:M62</xm:sqref>
        </x14:dataValidation>
        <x14:dataValidation type="custom" allowBlank="1" showInputMessage="1" showErrorMessage="1" error="Recuerde que las acciones se generan bajo la medida de mitigar el riesgo" xr:uid="{00000000-0002-0000-0400-00000D000000}">
          <x14:formula1>
            <xm:f>IF(OR(AG15='Opciones Tratamiento'!$B$2,AG15='Opciones Tratamiento'!$B$3,AG15='Opciones Tratamiento'!$B$4),ISBLANK(AG15),ISTEXT(AG15))</xm:f>
          </x14:formula1>
          <xm:sqref>AI15:AI62</xm:sqref>
        </x14:dataValidation>
        <x14:dataValidation type="custom" allowBlank="1" showInputMessage="1" showErrorMessage="1" error="Recuerde que las acciones se generan bajo la medida de mitigar el riesgo" xr:uid="{00000000-0002-0000-0400-00000E000000}">
          <x14:formula1>
            <xm:f>IF(OR(AG15='Opciones Tratamiento'!$B$2,AG15='Opciones Tratamiento'!$B$3,AG15='Opciones Tratamiento'!$B$4),ISBLANK(AG15),ISTEXT(AG15))</xm:f>
          </x14:formula1>
          <xm:sqref>AJ15:AJ62</xm:sqref>
        </x14:dataValidation>
        <x14:dataValidation type="custom" allowBlank="1" showInputMessage="1" showErrorMessage="1" error="Recuerde que las acciones se generan bajo la medida de mitigar el riesgo" xr:uid="{00000000-0002-0000-0400-00000F000000}">
          <x14:formula1>
            <xm:f>IF(OR(AG15='Opciones Tratamiento'!$B$2,AG15='Opciones Tratamiento'!$B$3,AG15='Opciones Tratamiento'!$B$4),ISBLANK(AG15),ISTEXT(AG15))</xm:f>
          </x14:formula1>
          <xm:sqref>AK15:AK62</xm:sqref>
        </x14:dataValidation>
        <x14:dataValidation type="custom" allowBlank="1" showInputMessage="1" showErrorMessage="1" error="Recuerde que las acciones se generan bajo la medida de mitigar el riesgo" xr:uid="{00000000-0002-0000-0400-000010000000}">
          <x14:formula1>
            <xm:f>IF(OR(AG15='Opciones Tratamiento'!$B$2,AG15='Opciones Tratamiento'!$B$3,AG15='Opciones Tratamiento'!$B$4),ISBLANK(AG15),ISTEXT(AG15))</xm:f>
          </x14:formula1>
          <xm:sqref>AL15:AL62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row>
    <row r="2" spans="1:99" ht="18" customHeight="1" x14ac:dyDescent="0.3">
      <c r="A2" s="65"/>
      <c r="B2" s="589" t="s">
        <v>149</v>
      </c>
      <c r="C2" s="589"/>
      <c r="D2" s="589"/>
      <c r="E2" s="589"/>
      <c r="F2" s="589"/>
      <c r="G2" s="589"/>
      <c r="H2" s="589"/>
      <c r="I2" s="589"/>
      <c r="J2" s="626" t="s">
        <v>2</v>
      </c>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row>
    <row r="3" spans="1:99" ht="18.75" customHeight="1" x14ac:dyDescent="0.3">
      <c r="A3" s="65"/>
      <c r="B3" s="589"/>
      <c r="C3" s="589"/>
      <c r="D3" s="589"/>
      <c r="E3" s="589"/>
      <c r="F3" s="589"/>
      <c r="G3" s="589"/>
      <c r="H3" s="589"/>
      <c r="I3" s="589"/>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99" ht="15" customHeight="1" x14ac:dyDescent="0.3">
      <c r="A4" s="65"/>
      <c r="B4" s="589"/>
      <c r="C4" s="589"/>
      <c r="D4" s="589"/>
      <c r="E4" s="589"/>
      <c r="F4" s="589"/>
      <c r="G4" s="589"/>
      <c r="H4" s="589"/>
      <c r="I4" s="589"/>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row>
    <row r="5" spans="1:99"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99" ht="15" customHeight="1" x14ac:dyDescent="0.3">
      <c r="A6" s="65"/>
      <c r="B6" s="637" t="s">
        <v>4</v>
      </c>
      <c r="C6" s="637"/>
      <c r="D6" s="638"/>
      <c r="E6" s="627" t="s">
        <v>111</v>
      </c>
      <c r="F6" s="628"/>
      <c r="G6" s="628"/>
      <c r="H6" s="628"/>
      <c r="I6" s="629"/>
      <c r="J6" s="623" t="str">
        <f>IF(AND('Mapa final'!$K$10="Muy Alta",'Mapa final'!$O$10="Leve"),CONCATENATE("R",'Mapa final'!$A$10),"")</f>
        <v/>
      </c>
      <c r="K6" s="624"/>
      <c r="L6" s="624" t="str">
        <f>IF(AND('Mapa final'!$K$14="Muy Alta",'Mapa final'!$O$14="Leve"),CONCATENATE("R",'Mapa final'!$A$14),"")</f>
        <v/>
      </c>
      <c r="M6" s="624"/>
      <c r="N6" s="624" t="str">
        <f>IF(AND('Mapa final'!$K$15="Muy Alta",'Mapa final'!$O$15="Leve"),CONCATENATE("R",'Mapa final'!$A$15),"")</f>
        <v/>
      </c>
      <c r="O6" s="625"/>
      <c r="P6" s="623" t="str">
        <f>IF(AND('Mapa final'!$K$10="Muy Alta",'Mapa final'!$O$10="Menor"),CONCATENATE("R",'Mapa final'!$A$10),"")</f>
        <v/>
      </c>
      <c r="Q6" s="624"/>
      <c r="R6" s="624" t="str">
        <f>IF(AND('Mapa final'!$K$14="Muy Alta",'Mapa final'!$O$14="Menor"),CONCATENATE("R",'Mapa final'!$A$14),"")</f>
        <v/>
      </c>
      <c r="S6" s="624"/>
      <c r="T6" s="624" t="str">
        <f>IF(AND('Mapa final'!$K$15="Muy Alta",'Mapa final'!$O$15="Menor"),CONCATENATE("R",'Mapa final'!$A$15),"")</f>
        <v/>
      </c>
      <c r="U6" s="625"/>
      <c r="V6" s="623" t="str">
        <f>IF(AND('Mapa final'!$K$10="Muy Alta",'Mapa final'!$O$10="Moderado"),CONCATENATE("R",'Mapa final'!$A$10),"")</f>
        <v/>
      </c>
      <c r="W6" s="624"/>
      <c r="X6" s="624" t="str">
        <f>IF(AND('Mapa final'!$K$14="Muy Alta",'Mapa final'!$O$14="Moderado"),CONCATENATE("R",'Mapa final'!$A$14),"")</f>
        <v/>
      </c>
      <c r="Y6" s="624"/>
      <c r="Z6" s="624" t="str">
        <f>IF(AND('Mapa final'!$K$15="Muy Alta",'Mapa final'!$O$15="Moderado"),CONCATENATE("R",'Mapa final'!$A$15),"")</f>
        <v/>
      </c>
      <c r="AA6" s="625"/>
      <c r="AB6" s="623" t="str">
        <f>IF(AND('Mapa final'!$K$10="Muy Alta",'Mapa final'!$O$10="Mayor"),CONCATENATE("R",'Mapa final'!$A$10),"")</f>
        <v/>
      </c>
      <c r="AC6" s="624"/>
      <c r="AD6" s="624" t="str">
        <f>IF(AND('Mapa final'!$K$14="Muy Alta",'Mapa final'!$O$14="Mayor"),CONCATENATE("R",'Mapa final'!$A$14),"")</f>
        <v/>
      </c>
      <c r="AE6" s="624"/>
      <c r="AF6" s="624" t="str">
        <f>IF(AND('Mapa final'!$K$15="Muy Alta",'Mapa final'!$O$15="Mayor"),CONCATENATE("R",'Mapa final'!$A$15),"")</f>
        <v/>
      </c>
      <c r="AG6" s="625"/>
      <c r="AH6" s="614" t="str">
        <f>IF(AND('Mapa final'!$K$10="Muy Alta",'Mapa final'!$O$10="Catastrófico"),CONCATENATE("R",'Mapa final'!$A$10),"")</f>
        <v/>
      </c>
      <c r="AI6" s="615"/>
      <c r="AJ6" s="615" t="str">
        <f>IF(AND('Mapa final'!$K$14="Muy Alta",'Mapa final'!$O$14="Catastrófico"),CONCATENATE("R",'Mapa final'!$A$14),"")</f>
        <v/>
      </c>
      <c r="AK6" s="615"/>
      <c r="AL6" s="615" t="str">
        <f>IF(AND('Mapa final'!$K$15="Muy Alta",'Mapa final'!$O$15="Catastrófico"),CONCATENATE("R",'Mapa final'!$A$15),"")</f>
        <v/>
      </c>
      <c r="AM6" s="616"/>
      <c r="AO6" s="639" t="s">
        <v>78</v>
      </c>
      <c r="AP6" s="640"/>
      <c r="AQ6" s="640"/>
      <c r="AR6" s="640"/>
      <c r="AS6" s="640"/>
      <c r="AT6" s="641"/>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99" ht="15" customHeight="1" x14ac:dyDescent="0.3">
      <c r="A7" s="65"/>
      <c r="B7" s="637"/>
      <c r="C7" s="637"/>
      <c r="D7" s="638"/>
      <c r="E7" s="630"/>
      <c r="F7" s="631"/>
      <c r="G7" s="631"/>
      <c r="H7" s="631"/>
      <c r="I7" s="632"/>
      <c r="J7" s="617"/>
      <c r="K7" s="618"/>
      <c r="L7" s="618"/>
      <c r="M7" s="618"/>
      <c r="N7" s="618"/>
      <c r="O7" s="619"/>
      <c r="P7" s="617"/>
      <c r="Q7" s="618"/>
      <c r="R7" s="618"/>
      <c r="S7" s="618"/>
      <c r="T7" s="618"/>
      <c r="U7" s="619"/>
      <c r="V7" s="617"/>
      <c r="W7" s="618"/>
      <c r="X7" s="618"/>
      <c r="Y7" s="618"/>
      <c r="Z7" s="618"/>
      <c r="AA7" s="619"/>
      <c r="AB7" s="617"/>
      <c r="AC7" s="618"/>
      <c r="AD7" s="618"/>
      <c r="AE7" s="618"/>
      <c r="AF7" s="618"/>
      <c r="AG7" s="619"/>
      <c r="AH7" s="608"/>
      <c r="AI7" s="609"/>
      <c r="AJ7" s="609"/>
      <c r="AK7" s="609"/>
      <c r="AL7" s="609"/>
      <c r="AM7" s="610"/>
      <c r="AN7" s="65"/>
      <c r="AO7" s="642"/>
      <c r="AP7" s="643"/>
      <c r="AQ7" s="643"/>
      <c r="AR7" s="643"/>
      <c r="AS7" s="643"/>
      <c r="AT7" s="644"/>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99" ht="15" customHeight="1" x14ac:dyDescent="0.3">
      <c r="A8" s="65"/>
      <c r="B8" s="637"/>
      <c r="C8" s="637"/>
      <c r="D8" s="638"/>
      <c r="E8" s="630"/>
      <c r="F8" s="631"/>
      <c r="G8" s="631"/>
      <c r="H8" s="631"/>
      <c r="I8" s="632"/>
      <c r="J8" s="617" t="str">
        <f>IF(AND('Mapa final'!$K$21="Muy Alta",'Mapa final'!$O$21="Leve"),CONCATENATE("R",'Mapa final'!$A$21),"")</f>
        <v/>
      </c>
      <c r="K8" s="618"/>
      <c r="L8" s="618" t="str">
        <f>IF(AND('Mapa final'!$K$27="Muy Alta",'Mapa final'!$O$27="Leve"),CONCATENATE("R",'Mapa final'!$A$27),"")</f>
        <v/>
      </c>
      <c r="M8" s="618"/>
      <c r="N8" s="618" t="str">
        <f>IF(AND('Mapa final'!$K$33="Muy Alta",'Mapa final'!$O$33="Leve"),CONCATENATE("R",'Mapa final'!$A$33),"")</f>
        <v/>
      </c>
      <c r="O8" s="619"/>
      <c r="P8" s="617" t="str">
        <f>IF(AND('Mapa final'!$K$21="Muy Alta",'Mapa final'!$O$21="Menor"),CONCATENATE("R",'Mapa final'!$A$21),"")</f>
        <v/>
      </c>
      <c r="Q8" s="618"/>
      <c r="R8" s="618" t="str">
        <f>IF(AND('Mapa final'!$K$27="Muy Alta",'Mapa final'!$O$27="Menor"),CONCATENATE("R",'Mapa final'!$A$27),"")</f>
        <v/>
      </c>
      <c r="S8" s="618"/>
      <c r="T8" s="618" t="str">
        <f>IF(AND('Mapa final'!$K$33="Muy Alta",'Mapa final'!$O$33="Menor"),CONCATENATE("R",'Mapa final'!$A$33),"")</f>
        <v/>
      </c>
      <c r="U8" s="619"/>
      <c r="V8" s="617" t="str">
        <f>IF(AND('Mapa final'!$K$21="Muy Alta",'Mapa final'!$O$21="Moderado"),CONCATENATE("R",'Mapa final'!$A$21),"")</f>
        <v/>
      </c>
      <c r="W8" s="618"/>
      <c r="X8" s="618" t="str">
        <f>IF(AND('Mapa final'!$K$27="Muy Alta",'Mapa final'!$O$27="Moderado"),CONCATENATE("R",'Mapa final'!$A$27),"")</f>
        <v/>
      </c>
      <c r="Y8" s="618"/>
      <c r="Z8" s="618" t="str">
        <f>IF(AND('Mapa final'!$K$33="Muy Alta",'Mapa final'!$O$33="Moderado"),CONCATENATE("R",'Mapa final'!$A$33),"")</f>
        <v/>
      </c>
      <c r="AA8" s="619"/>
      <c r="AB8" s="617" t="str">
        <f>IF(AND('Mapa final'!$K$21="Muy Alta",'Mapa final'!$O$21="Mayor"),CONCATENATE("R",'Mapa final'!$A$21),"")</f>
        <v/>
      </c>
      <c r="AC8" s="618"/>
      <c r="AD8" s="618" t="str">
        <f>IF(AND('Mapa final'!$K$27="Muy Alta",'Mapa final'!$O$27="Mayor"),CONCATENATE("R",'Mapa final'!$A$27),"")</f>
        <v/>
      </c>
      <c r="AE8" s="618"/>
      <c r="AF8" s="618" t="str">
        <f>IF(AND('Mapa final'!$K$33="Muy Alta",'Mapa final'!$O$33="Mayor"),CONCATENATE("R",'Mapa final'!$A$33),"")</f>
        <v/>
      </c>
      <c r="AG8" s="619"/>
      <c r="AH8" s="608" t="str">
        <f>IF(AND('Mapa final'!$K$21="Muy Alta",'Mapa final'!$O$21="Catastrófico"),CONCATENATE("R",'Mapa final'!$A$21),"")</f>
        <v/>
      </c>
      <c r="AI8" s="609"/>
      <c r="AJ8" s="609" t="str">
        <f>IF(AND('Mapa final'!$K$27="Muy Alta",'Mapa final'!$O$27="Catastrófico"),CONCATENATE("R",'Mapa final'!$A$27),"")</f>
        <v/>
      </c>
      <c r="AK8" s="609"/>
      <c r="AL8" s="609" t="str">
        <f>IF(AND('Mapa final'!$K$33="Muy Alta",'Mapa final'!$O$33="Catastrófico"),CONCATENATE("R",'Mapa final'!$A$33),"")</f>
        <v/>
      </c>
      <c r="AM8" s="610"/>
      <c r="AN8" s="65"/>
      <c r="AO8" s="642"/>
      <c r="AP8" s="643"/>
      <c r="AQ8" s="643"/>
      <c r="AR8" s="643"/>
      <c r="AS8" s="643"/>
      <c r="AT8" s="644"/>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99" ht="15" customHeight="1" x14ac:dyDescent="0.3">
      <c r="A9" s="65"/>
      <c r="B9" s="637"/>
      <c r="C9" s="637"/>
      <c r="D9" s="638"/>
      <c r="E9" s="630"/>
      <c r="F9" s="631"/>
      <c r="G9" s="631"/>
      <c r="H9" s="631"/>
      <c r="I9" s="632"/>
      <c r="J9" s="617"/>
      <c r="K9" s="618"/>
      <c r="L9" s="618"/>
      <c r="M9" s="618"/>
      <c r="N9" s="618"/>
      <c r="O9" s="619"/>
      <c r="P9" s="617"/>
      <c r="Q9" s="618"/>
      <c r="R9" s="618"/>
      <c r="S9" s="618"/>
      <c r="T9" s="618"/>
      <c r="U9" s="619"/>
      <c r="V9" s="617"/>
      <c r="W9" s="618"/>
      <c r="X9" s="618"/>
      <c r="Y9" s="618"/>
      <c r="Z9" s="618"/>
      <c r="AA9" s="619"/>
      <c r="AB9" s="617"/>
      <c r="AC9" s="618"/>
      <c r="AD9" s="618"/>
      <c r="AE9" s="618"/>
      <c r="AF9" s="618"/>
      <c r="AG9" s="619"/>
      <c r="AH9" s="608"/>
      <c r="AI9" s="609"/>
      <c r="AJ9" s="609"/>
      <c r="AK9" s="609"/>
      <c r="AL9" s="609"/>
      <c r="AM9" s="610"/>
      <c r="AN9" s="65"/>
      <c r="AO9" s="642"/>
      <c r="AP9" s="643"/>
      <c r="AQ9" s="643"/>
      <c r="AR9" s="643"/>
      <c r="AS9" s="643"/>
      <c r="AT9" s="644"/>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99" ht="15" customHeight="1" x14ac:dyDescent="0.3">
      <c r="A10" s="65"/>
      <c r="B10" s="637"/>
      <c r="C10" s="637"/>
      <c r="D10" s="638"/>
      <c r="E10" s="630"/>
      <c r="F10" s="631"/>
      <c r="G10" s="631"/>
      <c r="H10" s="631"/>
      <c r="I10" s="632"/>
      <c r="J10" s="617" t="str">
        <f>IF(AND('Mapa final'!$K$39="Muy Alta",'Mapa final'!$O$39="Leve"),CONCATENATE("R",'Mapa final'!$A$39),"")</f>
        <v/>
      </c>
      <c r="K10" s="618"/>
      <c r="L10" s="618" t="str">
        <f>IF(AND('Mapa final'!$K$45="Muy Alta",'Mapa final'!$O$45="Leve"),CONCATENATE("R",'Mapa final'!$A$45),"")</f>
        <v/>
      </c>
      <c r="M10" s="618"/>
      <c r="N10" s="618" t="str">
        <f>IF(AND('Mapa final'!$K$51="Muy Alta",'Mapa final'!$O$51="Leve"),CONCATENATE("R",'Mapa final'!$A$51),"")</f>
        <v/>
      </c>
      <c r="O10" s="619"/>
      <c r="P10" s="617" t="str">
        <f>IF(AND('Mapa final'!$K$39="Muy Alta",'Mapa final'!$O$39="Menor"),CONCATENATE("R",'Mapa final'!$A$39),"")</f>
        <v/>
      </c>
      <c r="Q10" s="618"/>
      <c r="R10" s="618" t="str">
        <f>IF(AND('Mapa final'!$K$45="Muy Alta",'Mapa final'!$O$45="Menor"),CONCATENATE("R",'Mapa final'!$A$45),"")</f>
        <v/>
      </c>
      <c r="S10" s="618"/>
      <c r="T10" s="618" t="str">
        <f>IF(AND('Mapa final'!$K$51="Muy Alta",'Mapa final'!$O$51="Menor"),CONCATENATE("R",'Mapa final'!$A$51),"")</f>
        <v/>
      </c>
      <c r="U10" s="619"/>
      <c r="V10" s="617" t="str">
        <f>IF(AND('Mapa final'!$K$39="Muy Alta",'Mapa final'!$O$39="Moderado"),CONCATENATE("R",'Mapa final'!$A$39),"")</f>
        <v/>
      </c>
      <c r="W10" s="618"/>
      <c r="X10" s="618" t="str">
        <f>IF(AND('Mapa final'!$K$45="Muy Alta",'Mapa final'!$O$45="Moderado"),CONCATENATE("R",'Mapa final'!$A$45),"")</f>
        <v/>
      </c>
      <c r="Y10" s="618"/>
      <c r="Z10" s="618" t="str">
        <f>IF(AND('Mapa final'!$K$51="Muy Alta",'Mapa final'!$O$51="Moderado"),CONCATENATE("R",'Mapa final'!$A$51),"")</f>
        <v/>
      </c>
      <c r="AA10" s="619"/>
      <c r="AB10" s="617" t="str">
        <f>IF(AND('Mapa final'!$K$39="Muy Alta",'Mapa final'!$O$39="Mayor"),CONCATENATE("R",'Mapa final'!$A$39),"")</f>
        <v/>
      </c>
      <c r="AC10" s="618"/>
      <c r="AD10" s="618" t="str">
        <f>IF(AND('Mapa final'!$K$45="Muy Alta",'Mapa final'!$O$45="Mayor"),CONCATENATE("R",'Mapa final'!$A$45),"")</f>
        <v/>
      </c>
      <c r="AE10" s="618"/>
      <c r="AF10" s="618" t="str">
        <f>IF(AND('Mapa final'!$K$51="Muy Alta",'Mapa final'!$O$51="Mayor"),CONCATENATE("R",'Mapa final'!$A$51),"")</f>
        <v/>
      </c>
      <c r="AG10" s="619"/>
      <c r="AH10" s="608" t="str">
        <f>IF(AND('Mapa final'!$K$39="Muy Alta",'Mapa final'!$O$39="Catastrófico"),CONCATENATE("R",'Mapa final'!$A$39),"")</f>
        <v/>
      </c>
      <c r="AI10" s="609"/>
      <c r="AJ10" s="609" t="str">
        <f>IF(AND('Mapa final'!$K$45="Muy Alta",'Mapa final'!$O$45="Catastrófico"),CONCATENATE("R",'Mapa final'!$A$45),"")</f>
        <v/>
      </c>
      <c r="AK10" s="609"/>
      <c r="AL10" s="609" t="str">
        <f>IF(AND('Mapa final'!$K$51="Muy Alta",'Mapa final'!$O$51="Catastrófico"),CONCATENATE("R",'Mapa final'!$A$51),"")</f>
        <v/>
      </c>
      <c r="AM10" s="610"/>
      <c r="AN10" s="65"/>
      <c r="AO10" s="642"/>
      <c r="AP10" s="643"/>
      <c r="AQ10" s="643"/>
      <c r="AR10" s="643"/>
      <c r="AS10" s="643"/>
      <c r="AT10" s="644"/>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99" ht="15" customHeight="1" x14ac:dyDescent="0.3">
      <c r="A11" s="65"/>
      <c r="B11" s="637"/>
      <c r="C11" s="637"/>
      <c r="D11" s="638"/>
      <c r="E11" s="630"/>
      <c r="F11" s="631"/>
      <c r="G11" s="631"/>
      <c r="H11" s="631"/>
      <c r="I11" s="632"/>
      <c r="J11" s="617"/>
      <c r="K11" s="618"/>
      <c r="L11" s="618"/>
      <c r="M11" s="618"/>
      <c r="N11" s="618"/>
      <c r="O11" s="619"/>
      <c r="P11" s="617"/>
      <c r="Q11" s="618"/>
      <c r="R11" s="618"/>
      <c r="S11" s="618"/>
      <c r="T11" s="618"/>
      <c r="U11" s="619"/>
      <c r="V11" s="617"/>
      <c r="W11" s="618"/>
      <c r="X11" s="618"/>
      <c r="Y11" s="618"/>
      <c r="Z11" s="618"/>
      <c r="AA11" s="619"/>
      <c r="AB11" s="617"/>
      <c r="AC11" s="618"/>
      <c r="AD11" s="618"/>
      <c r="AE11" s="618"/>
      <c r="AF11" s="618"/>
      <c r="AG11" s="619"/>
      <c r="AH11" s="608"/>
      <c r="AI11" s="609"/>
      <c r="AJ11" s="609"/>
      <c r="AK11" s="609"/>
      <c r="AL11" s="609"/>
      <c r="AM11" s="610"/>
      <c r="AN11" s="65"/>
      <c r="AO11" s="642"/>
      <c r="AP11" s="643"/>
      <c r="AQ11" s="643"/>
      <c r="AR11" s="643"/>
      <c r="AS11" s="643"/>
      <c r="AT11" s="644"/>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99" ht="15" customHeight="1" x14ac:dyDescent="0.3">
      <c r="A12" s="65"/>
      <c r="B12" s="637"/>
      <c r="C12" s="637"/>
      <c r="D12" s="638"/>
      <c r="E12" s="630"/>
      <c r="F12" s="631"/>
      <c r="G12" s="631"/>
      <c r="H12" s="631"/>
      <c r="I12" s="632"/>
      <c r="J12" s="617" t="str">
        <f>IF(AND('Mapa final'!$K$57="Muy Alta",'Mapa final'!$O$57="Leve"),CONCATENATE("R",'Mapa final'!$A$57),"")</f>
        <v/>
      </c>
      <c r="K12" s="618"/>
      <c r="L12" s="618" t="str">
        <f>IF(AND('Mapa final'!$K$63="Muy Alta",'Mapa final'!$O$63="Leve"),CONCATENATE("R",'Mapa final'!$A$63),"")</f>
        <v/>
      </c>
      <c r="M12" s="618"/>
      <c r="N12" s="618" t="str">
        <f>IF(AND('Mapa final'!$K$69="Muy Alta",'Mapa final'!$O$69="Leve"),CONCATENATE("R",'Mapa final'!$A$69),"")</f>
        <v/>
      </c>
      <c r="O12" s="619"/>
      <c r="P12" s="617" t="str">
        <f>IF(AND('Mapa final'!$K$57="Muy Alta",'Mapa final'!$O$57="Menor"),CONCATENATE("R",'Mapa final'!$A$57),"")</f>
        <v/>
      </c>
      <c r="Q12" s="618"/>
      <c r="R12" s="618" t="str">
        <f>IF(AND('Mapa final'!$K$63="Muy Alta",'Mapa final'!$O$63="Menor"),CONCATENATE("R",'Mapa final'!$A$63),"")</f>
        <v/>
      </c>
      <c r="S12" s="618"/>
      <c r="T12" s="618" t="str">
        <f>IF(AND('Mapa final'!$K$69="Muy Alta",'Mapa final'!$O$69="Menor"),CONCATENATE("R",'Mapa final'!$A$69),"")</f>
        <v/>
      </c>
      <c r="U12" s="619"/>
      <c r="V12" s="617" t="str">
        <f>IF(AND('Mapa final'!$K$57="Muy Alta",'Mapa final'!$O$57="Moderado"),CONCATENATE("R",'Mapa final'!$A$57),"")</f>
        <v/>
      </c>
      <c r="W12" s="618"/>
      <c r="X12" s="618" t="str">
        <f>IF(AND('Mapa final'!$K$63="Muy Alta",'Mapa final'!$O$63="Moderado"),CONCATENATE("R",'Mapa final'!$A$63),"")</f>
        <v/>
      </c>
      <c r="Y12" s="618"/>
      <c r="Z12" s="618" t="str">
        <f>IF(AND('Mapa final'!$K$69="Muy Alta",'Mapa final'!$O$69="Moderado"),CONCATENATE("R",'Mapa final'!$A$69),"")</f>
        <v/>
      </c>
      <c r="AA12" s="619"/>
      <c r="AB12" s="617" t="str">
        <f>IF(AND('Mapa final'!$K$57="Muy Alta",'Mapa final'!$O$57="Mayor"),CONCATENATE("R",'Mapa final'!$A$57),"")</f>
        <v/>
      </c>
      <c r="AC12" s="618"/>
      <c r="AD12" s="618" t="str">
        <f>IF(AND('Mapa final'!$K$63="Muy Alta",'Mapa final'!$O$63="Mayor"),CONCATENATE("R",'Mapa final'!$A$63),"")</f>
        <v/>
      </c>
      <c r="AE12" s="618"/>
      <c r="AF12" s="618" t="str">
        <f>IF(AND('Mapa final'!$K$69="Muy Alta",'Mapa final'!$O$69="Mayor"),CONCATENATE("R",'Mapa final'!$A$69),"")</f>
        <v/>
      </c>
      <c r="AG12" s="619"/>
      <c r="AH12" s="608" t="str">
        <f>IF(AND('Mapa final'!$K$57="Muy Alta",'Mapa final'!$O$57="Catastrófico"),CONCATENATE("R",'Mapa final'!$A$57),"")</f>
        <v/>
      </c>
      <c r="AI12" s="609"/>
      <c r="AJ12" s="609" t="str">
        <f>IF(AND('Mapa final'!$K$63="Muy Alta",'Mapa final'!$O$63="Catastrófico"),CONCATENATE("R",'Mapa final'!$A$63),"")</f>
        <v/>
      </c>
      <c r="AK12" s="609"/>
      <c r="AL12" s="609" t="str">
        <f>IF(AND('Mapa final'!$K$69="Muy Alta",'Mapa final'!$O$69="Catastrófico"),CONCATENATE("R",'Mapa final'!$A$69),"")</f>
        <v/>
      </c>
      <c r="AM12" s="610"/>
      <c r="AN12" s="65"/>
      <c r="AO12" s="642"/>
      <c r="AP12" s="643"/>
      <c r="AQ12" s="643"/>
      <c r="AR12" s="643"/>
      <c r="AS12" s="643"/>
      <c r="AT12" s="644"/>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99" ht="15.75" customHeight="1" thickBot="1" x14ac:dyDescent="0.35">
      <c r="A13" s="65"/>
      <c r="B13" s="637"/>
      <c r="C13" s="637"/>
      <c r="D13" s="638"/>
      <c r="E13" s="633"/>
      <c r="F13" s="634"/>
      <c r="G13" s="634"/>
      <c r="H13" s="634"/>
      <c r="I13" s="635"/>
      <c r="J13" s="617"/>
      <c r="K13" s="618"/>
      <c r="L13" s="618"/>
      <c r="M13" s="618"/>
      <c r="N13" s="618"/>
      <c r="O13" s="619"/>
      <c r="P13" s="617"/>
      <c r="Q13" s="618"/>
      <c r="R13" s="618"/>
      <c r="S13" s="618"/>
      <c r="T13" s="618"/>
      <c r="U13" s="619"/>
      <c r="V13" s="617"/>
      <c r="W13" s="618"/>
      <c r="X13" s="618"/>
      <c r="Y13" s="618"/>
      <c r="Z13" s="618"/>
      <c r="AA13" s="619"/>
      <c r="AB13" s="617"/>
      <c r="AC13" s="618"/>
      <c r="AD13" s="618"/>
      <c r="AE13" s="618"/>
      <c r="AF13" s="618"/>
      <c r="AG13" s="619"/>
      <c r="AH13" s="611"/>
      <c r="AI13" s="612"/>
      <c r="AJ13" s="612"/>
      <c r="AK13" s="612"/>
      <c r="AL13" s="612"/>
      <c r="AM13" s="613"/>
      <c r="AN13" s="65"/>
      <c r="AO13" s="645"/>
      <c r="AP13" s="646"/>
      <c r="AQ13" s="646"/>
      <c r="AR13" s="646"/>
      <c r="AS13" s="646"/>
      <c r="AT13" s="647"/>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99" ht="15" customHeight="1" x14ac:dyDescent="0.3">
      <c r="A14" s="65"/>
      <c r="B14" s="637"/>
      <c r="C14" s="637"/>
      <c r="D14" s="638"/>
      <c r="E14" s="627" t="s">
        <v>110</v>
      </c>
      <c r="F14" s="628"/>
      <c r="G14" s="628"/>
      <c r="H14" s="628"/>
      <c r="I14" s="628"/>
      <c r="J14" s="605" t="str">
        <f>IF(AND('Mapa final'!$K$10="Alta",'Mapa final'!$O$10="Leve"),CONCATENATE("R",'Mapa final'!$A$10),"")</f>
        <v/>
      </c>
      <c r="K14" s="606"/>
      <c r="L14" s="606" t="str">
        <f>IF(AND('Mapa final'!$K$14="Alta",'Mapa final'!$O$14="Leve"),CONCATENATE("R",'Mapa final'!$A$14),"")</f>
        <v/>
      </c>
      <c r="M14" s="606"/>
      <c r="N14" s="606" t="str">
        <f>IF(AND('Mapa final'!$K$15="Alta",'Mapa final'!$O$15="Leve"),CONCATENATE("R",'Mapa final'!$A$15),"")</f>
        <v/>
      </c>
      <c r="O14" s="607"/>
      <c r="P14" s="605" t="str">
        <f>IF(AND('Mapa final'!$K$10="Alta",'Mapa final'!$O$10="Menor"),CONCATENATE("R",'Mapa final'!$A$10),"")</f>
        <v/>
      </c>
      <c r="Q14" s="606"/>
      <c r="R14" s="606" t="str">
        <f>IF(AND('Mapa final'!$K$14="Alta",'Mapa final'!$O$14="Menor"),CONCATENATE("R",'Mapa final'!$A$14),"")</f>
        <v/>
      </c>
      <c r="S14" s="606"/>
      <c r="T14" s="606" t="str">
        <f>IF(AND('Mapa final'!$K$15="Alta",'Mapa final'!$O$15="Menor"),CONCATENATE("R",'Mapa final'!$A$15),"")</f>
        <v/>
      </c>
      <c r="U14" s="607"/>
      <c r="V14" s="623" t="str">
        <f>IF(AND('Mapa final'!$K$10="Alta",'Mapa final'!$O$10="Moderado"),CONCATENATE("R",'Mapa final'!$A$10),"")</f>
        <v/>
      </c>
      <c r="W14" s="624"/>
      <c r="X14" s="624" t="str">
        <f>IF(AND('Mapa final'!$K$14="Alta",'Mapa final'!$O$14="Moderado"),CONCATENATE("R",'Mapa final'!$A$14),"")</f>
        <v/>
      </c>
      <c r="Y14" s="624"/>
      <c r="Z14" s="624" t="str">
        <f>IF(AND('Mapa final'!$K$15="Alta",'Mapa final'!$O$15="Moderado"),CONCATENATE("R",'Mapa final'!$A$15),"")</f>
        <v/>
      </c>
      <c r="AA14" s="625"/>
      <c r="AB14" s="623" t="str">
        <f>IF(AND('Mapa final'!$K$10="Alta",'Mapa final'!$O$10="Mayor"),CONCATENATE("R",'Mapa final'!$A$10),"")</f>
        <v/>
      </c>
      <c r="AC14" s="624"/>
      <c r="AD14" s="624" t="str">
        <f>IF(AND('Mapa final'!$K$14="Alta",'Mapa final'!$O$14="Mayor"),CONCATENATE("R",'Mapa final'!$A$14),"")</f>
        <v/>
      </c>
      <c r="AE14" s="624"/>
      <c r="AF14" s="624" t="str">
        <f>IF(AND('Mapa final'!$K$15="Alta",'Mapa final'!$O$15="Mayor"),CONCATENATE("R",'Mapa final'!$A$15),"")</f>
        <v/>
      </c>
      <c r="AG14" s="625"/>
      <c r="AH14" s="614" t="str">
        <f>IF(AND('Mapa final'!$K$10="Alta",'Mapa final'!$O$10="Catastrófico"),CONCATENATE("R",'Mapa final'!$A$10),"")</f>
        <v/>
      </c>
      <c r="AI14" s="615"/>
      <c r="AJ14" s="615" t="str">
        <f>IF(AND('Mapa final'!$K$14="Alta",'Mapa final'!$O$14="Catastrófico"),CONCATENATE("R",'Mapa final'!$A$14),"")</f>
        <v/>
      </c>
      <c r="AK14" s="615"/>
      <c r="AL14" s="615" t="str">
        <f>IF(AND('Mapa final'!$K$15="Alta",'Mapa final'!$O$15="Catastrófico"),CONCATENATE("R",'Mapa final'!$A$15),"")</f>
        <v/>
      </c>
      <c r="AM14" s="616"/>
      <c r="AN14" s="65"/>
      <c r="AO14" s="648" t="s">
        <v>79</v>
      </c>
      <c r="AP14" s="649"/>
      <c r="AQ14" s="649"/>
      <c r="AR14" s="649"/>
      <c r="AS14" s="649"/>
      <c r="AT14" s="650"/>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99" ht="15" customHeight="1" x14ac:dyDescent="0.3">
      <c r="A15" s="65"/>
      <c r="B15" s="637"/>
      <c r="C15" s="637"/>
      <c r="D15" s="638"/>
      <c r="E15" s="630"/>
      <c r="F15" s="631"/>
      <c r="G15" s="631"/>
      <c r="H15" s="631"/>
      <c r="I15" s="631"/>
      <c r="J15" s="599"/>
      <c r="K15" s="600"/>
      <c r="L15" s="600"/>
      <c r="M15" s="600"/>
      <c r="N15" s="600"/>
      <c r="O15" s="601"/>
      <c r="P15" s="599"/>
      <c r="Q15" s="600"/>
      <c r="R15" s="600"/>
      <c r="S15" s="600"/>
      <c r="T15" s="600"/>
      <c r="U15" s="601"/>
      <c r="V15" s="617"/>
      <c r="W15" s="618"/>
      <c r="X15" s="618"/>
      <c r="Y15" s="618"/>
      <c r="Z15" s="618"/>
      <c r="AA15" s="619"/>
      <c r="AB15" s="617"/>
      <c r="AC15" s="618"/>
      <c r="AD15" s="618"/>
      <c r="AE15" s="618"/>
      <c r="AF15" s="618"/>
      <c r="AG15" s="619"/>
      <c r="AH15" s="608"/>
      <c r="AI15" s="609"/>
      <c r="AJ15" s="609"/>
      <c r="AK15" s="609"/>
      <c r="AL15" s="609"/>
      <c r="AM15" s="610"/>
      <c r="AN15" s="65"/>
      <c r="AO15" s="651"/>
      <c r="AP15" s="652"/>
      <c r="AQ15" s="652"/>
      <c r="AR15" s="652"/>
      <c r="AS15" s="652"/>
      <c r="AT15" s="653"/>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99" ht="15" customHeight="1" x14ac:dyDescent="0.3">
      <c r="A16" s="65"/>
      <c r="B16" s="637"/>
      <c r="C16" s="637"/>
      <c r="D16" s="638"/>
      <c r="E16" s="630"/>
      <c r="F16" s="631"/>
      <c r="G16" s="631"/>
      <c r="H16" s="631"/>
      <c r="I16" s="631"/>
      <c r="J16" s="599" t="str">
        <f>IF(AND('Mapa final'!$K$21="Alta",'Mapa final'!$O$21="Leve"),CONCATENATE("R",'Mapa final'!$A$21),"")</f>
        <v/>
      </c>
      <c r="K16" s="600"/>
      <c r="L16" s="600" t="str">
        <f>IF(AND('Mapa final'!$K$27="Alta",'Mapa final'!$O$27="Leve"),CONCATENATE("R",'Mapa final'!$A$27),"")</f>
        <v/>
      </c>
      <c r="M16" s="600"/>
      <c r="N16" s="600" t="str">
        <f>IF(AND('Mapa final'!$K$33="Alta",'Mapa final'!$O$33="Leve"),CONCATENATE("R",'Mapa final'!$A$33),"")</f>
        <v/>
      </c>
      <c r="O16" s="601"/>
      <c r="P16" s="599" t="str">
        <f>IF(AND('Mapa final'!$K$21="Alta",'Mapa final'!$O$21="Menor"),CONCATENATE("R",'Mapa final'!$A$21),"")</f>
        <v/>
      </c>
      <c r="Q16" s="600"/>
      <c r="R16" s="600" t="str">
        <f>IF(AND('Mapa final'!$K$27="Alta",'Mapa final'!$O$27="Menor"),CONCATENATE("R",'Mapa final'!$A$27),"")</f>
        <v/>
      </c>
      <c r="S16" s="600"/>
      <c r="T16" s="600" t="str">
        <f>IF(AND('Mapa final'!$K$33="Alta",'Mapa final'!$O$33="Menor"),CONCATENATE("R",'Mapa final'!$A$33),"")</f>
        <v/>
      </c>
      <c r="U16" s="601"/>
      <c r="V16" s="617" t="str">
        <f>IF(AND('Mapa final'!$K$21="Alta",'Mapa final'!$O$21="Moderado"),CONCATENATE("R",'Mapa final'!$A$21),"")</f>
        <v/>
      </c>
      <c r="W16" s="618"/>
      <c r="X16" s="618" t="str">
        <f>IF(AND('Mapa final'!$K$27="Alta",'Mapa final'!$O$27="Moderado"),CONCATENATE("R",'Mapa final'!$A$27),"")</f>
        <v/>
      </c>
      <c r="Y16" s="618"/>
      <c r="Z16" s="618" t="str">
        <f>IF(AND('Mapa final'!$K$33="Alta",'Mapa final'!$O$33="Moderado"),CONCATENATE("R",'Mapa final'!$A$33),"")</f>
        <v/>
      </c>
      <c r="AA16" s="619"/>
      <c r="AB16" s="617" t="str">
        <f>IF(AND('Mapa final'!$K$21="Alta",'Mapa final'!$O$21="Mayor"),CONCATENATE("R",'Mapa final'!$A$21),"")</f>
        <v/>
      </c>
      <c r="AC16" s="618"/>
      <c r="AD16" s="618" t="str">
        <f>IF(AND('Mapa final'!$K$27="Alta",'Mapa final'!$O$27="Mayor"),CONCATENATE("R",'Mapa final'!$A$27),"")</f>
        <v/>
      </c>
      <c r="AE16" s="618"/>
      <c r="AF16" s="618" t="str">
        <f>IF(AND('Mapa final'!$K$33="Alta",'Mapa final'!$O$33="Mayor"),CONCATENATE("R",'Mapa final'!$A$33),"")</f>
        <v/>
      </c>
      <c r="AG16" s="619"/>
      <c r="AH16" s="608" t="str">
        <f>IF(AND('Mapa final'!$K$21="Alta",'Mapa final'!$O$21="Catastrófico"),CONCATENATE("R",'Mapa final'!$A$21),"")</f>
        <v/>
      </c>
      <c r="AI16" s="609"/>
      <c r="AJ16" s="609" t="str">
        <f>IF(AND('Mapa final'!$K$27="Alta",'Mapa final'!$O$27="Catastrófico"),CONCATENATE("R",'Mapa final'!$A$27),"")</f>
        <v/>
      </c>
      <c r="AK16" s="609"/>
      <c r="AL16" s="609" t="str">
        <f>IF(AND('Mapa final'!$K$33="Alta",'Mapa final'!$O$33="Catastrófico"),CONCATENATE("R",'Mapa final'!$A$33),"")</f>
        <v/>
      </c>
      <c r="AM16" s="610"/>
      <c r="AN16" s="65"/>
      <c r="AO16" s="651"/>
      <c r="AP16" s="652"/>
      <c r="AQ16" s="652"/>
      <c r="AR16" s="652"/>
      <c r="AS16" s="652"/>
      <c r="AT16" s="653"/>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ht="15" customHeight="1" x14ac:dyDescent="0.3">
      <c r="A17" s="65"/>
      <c r="B17" s="637"/>
      <c r="C17" s="637"/>
      <c r="D17" s="638"/>
      <c r="E17" s="630"/>
      <c r="F17" s="631"/>
      <c r="G17" s="631"/>
      <c r="H17" s="631"/>
      <c r="I17" s="631"/>
      <c r="J17" s="599"/>
      <c r="K17" s="600"/>
      <c r="L17" s="600"/>
      <c r="M17" s="600"/>
      <c r="N17" s="600"/>
      <c r="O17" s="601"/>
      <c r="P17" s="599"/>
      <c r="Q17" s="600"/>
      <c r="R17" s="600"/>
      <c r="S17" s="600"/>
      <c r="T17" s="600"/>
      <c r="U17" s="601"/>
      <c r="V17" s="617"/>
      <c r="W17" s="618"/>
      <c r="X17" s="618"/>
      <c r="Y17" s="618"/>
      <c r="Z17" s="618"/>
      <c r="AA17" s="619"/>
      <c r="AB17" s="617"/>
      <c r="AC17" s="618"/>
      <c r="AD17" s="618"/>
      <c r="AE17" s="618"/>
      <c r="AF17" s="618"/>
      <c r="AG17" s="619"/>
      <c r="AH17" s="608"/>
      <c r="AI17" s="609"/>
      <c r="AJ17" s="609"/>
      <c r="AK17" s="609"/>
      <c r="AL17" s="609"/>
      <c r="AM17" s="610"/>
      <c r="AN17" s="65"/>
      <c r="AO17" s="651"/>
      <c r="AP17" s="652"/>
      <c r="AQ17" s="652"/>
      <c r="AR17" s="652"/>
      <c r="AS17" s="652"/>
      <c r="AT17" s="653"/>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ht="15" customHeight="1" x14ac:dyDescent="0.3">
      <c r="A18" s="65"/>
      <c r="B18" s="637"/>
      <c r="C18" s="637"/>
      <c r="D18" s="638"/>
      <c r="E18" s="630"/>
      <c r="F18" s="631"/>
      <c r="G18" s="631"/>
      <c r="H18" s="631"/>
      <c r="I18" s="631"/>
      <c r="J18" s="599" t="str">
        <f>IF(AND('Mapa final'!$K$39="Alta",'Mapa final'!$O$39="Leve"),CONCATENATE("R",'Mapa final'!$A$39),"")</f>
        <v/>
      </c>
      <c r="K18" s="600"/>
      <c r="L18" s="600" t="str">
        <f>IF(AND('Mapa final'!$K$45="Alta",'Mapa final'!$O$45="Leve"),CONCATENATE("R",'Mapa final'!$A$45),"")</f>
        <v/>
      </c>
      <c r="M18" s="600"/>
      <c r="N18" s="600" t="str">
        <f>IF(AND('Mapa final'!$K$51="Alta",'Mapa final'!$O$51="Leve"),CONCATENATE("R",'Mapa final'!$A$51),"")</f>
        <v/>
      </c>
      <c r="O18" s="601"/>
      <c r="P18" s="599" t="str">
        <f>IF(AND('Mapa final'!$K$39="Alta",'Mapa final'!$O$39="Menor"),CONCATENATE("R",'Mapa final'!$A$39),"")</f>
        <v/>
      </c>
      <c r="Q18" s="600"/>
      <c r="R18" s="600" t="str">
        <f>IF(AND('Mapa final'!$K$45="Alta",'Mapa final'!$O$45="Menor"),CONCATENATE("R",'Mapa final'!$A$45),"")</f>
        <v/>
      </c>
      <c r="S18" s="600"/>
      <c r="T18" s="600" t="str">
        <f>IF(AND('Mapa final'!$K$51="Alta",'Mapa final'!$O$51="Menor"),CONCATENATE("R",'Mapa final'!$A$51),"")</f>
        <v/>
      </c>
      <c r="U18" s="601"/>
      <c r="V18" s="617" t="str">
        <f>IF(AND('Mapa final'!$K$39="Alta",'Mapa final'!$O$39="Moderado"),CONCATENATE("R",'Mapa final'!$A$39),"")</f>
        <v/>
      </c>
      <c r="W18" s="618"/>
      <c r="X18" s="618" t="str">
        <f>IF(AND('Mapa final'!$K$45="Alta",'Mapa final'!$O$45="Moderado"),CONCATENATE("R",'Mapa final'!$A$45),"")</f>
        <v/>
      </c>
      <c r="Y18" s="618"/>
      <c r="Z18" s="618" t="str">
        <f>IF(AND('Mapa final'!$K$51="Alta",'Mapa final'!$O$51="Moderado"),CONCATENATE("R",'Mapa final'!$A$51),"")</f>
        <v/>
      </c>
      <c r="AA18" s="619"/>
      <c r="AB18" s="617" t="str">
        <f>IF(AND('Mapa final'!$K$39="Alta",'Mapa final'!$O$39="Mayor"),CONCATENATE("R",'Mapa final'!$A$39),"")</f>
        <v/>
      </c>
      <c r="AC18" s="618"/>
      <c r="AD18" s="618" t="str">
        <f>IF(AND('Mapa final'!$K$45="Alta",'Mapa final'!$O$45="Mayor"),CONCATENATE("R",'Mapa final'!$A$45),"")</f>
        <v/>
      </c>
      <c r="AE18" s="618"/>
      <c r="AF18" s="618" t="str">
        <f>IF(AND('Mapa final'!$K$51="Alta",'Mapa final'!$O$51="Mayor"),CONCATENATE("R",'Mapa final'!$A$51),"")</f>
        <v/>
      </c>
      <c r="AG18" s="619"/>
      <c r="AH18" s="608" t="str">
        <f>IF(AND('Mapa final'!$K$39="Alta",'Mapa final'!$O$39="Catastrófico"),CONCATENATE("R",'Mapa final'!$A$39),"")</f>
        <v/>
      </c>
      <c r="AI18" s="609"/>
      <c r="AJ18" s="609" t="str">
        <f>IF(AND('Mapa final'!$K$45="Alta",'Mapa final'!$O$45="Catastrófico"),CONCATENATE("R",'Mapa final'!$A$45),"")</f>
        <v/>
      </c>
      <c r="AK18" s="609"/>
      <c r="AL18" s="609" t="str">
        <f>IF(AND('Mapa final'!$K$51="Alta",'Mapa final'!$O$51="Catastrófico"),CONCATENATE("R",'Mapa final'!$A$51),"")</f>
        <v/>
      </c>
      <c r="AM18" s="610"/>
      <c r="AN18" s="65"/>
      <c r="AO18" s="651"/>
      <c r="AP18" s="652"/>
      <c r="AQ18" s="652"/>
      <c r="AR18" s="652"/>
      <c r="AS18" s="652"/>
      <c r="AT18" s="653"/>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ht="15" customHeight="1" x14ac:dyDescent="0.3">
      <c r="A19" s="65"/>
      <c r="B19" s="637"/>
      <c r="C19" s="637"/>
      <c r="D19" s="638"/>
      <c r="E19" s="630"/>
      <c r="F19" s="631"/>
      <c r="G19" s="631"/>
      <c r="H19" s="631"/>
      <c r="I19" s="631"/>
      <c r="J19" s="599"/>
      <c r="K19" s="600"/>
      <c r="L19" s="600"/>
      <c r="M19" s="600"/>
      <c r="N19" s="600"/>
      <c r="O19" s="601"/>
      <c r="P19" s="599"/>
      <c r="Q19" s="600"/>
      <c r="R19" s="600"/>
      <c r="S19" s="600"/>
      <c r="T19" s="600"/>
      <c r="U19" s="601"/>
      <c r="V19" s="617"/>
      <c r="W19" s="618"/>
      <c r="X19" s="618"/>
      <c r="Y19" s="618"/>
      <c r="Z19" s="618"/>
      <c r="AA19" s="619"/>
      <c r="AB19" s="617"/>
      <c r="AC19" s="618"/>
      <c r="AD19" s="618"/>
      <c r="AE19" s="618"/>
      <c r="AF19" s="618"/>
      <c r="AG19" s="619"/>
      <c r="AH19" s="608"/>
      <c r="AI19" s="609"/>
      <c r="AJ19" s="609"/>
      <c r="AK19" s="609"/>
      <c r="AL19" s="609"/>
      <c r="AM19" s="610"/>
      <c r="AN19" s="65"/>
      <c r="AO19" s="651"/>
      <c r="AP19" s="652"/>
      <c r="AQ19" s="652"/>
      <c r="AR19" s="652"/>
      <c r="AS19" s="652"/>
      <c r="AT19" s="653"/>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ht="15" customHeight="1" x14ac:dyDescent="0.3">
      <c r="A20" s="65"/>
      <c r="B20" s="637"/>
      <c r="C20" s="637"/>
      <c r="D20" s="638"/>
      <c r="E20" s="630"/>
      <c r="F20" s="631"/>
      <c r="G20" s="631"/>
      <c r="H20" s="631"/>
      <c r="I20" s="631"/>
      <c r="J20" s="599" t="str">
        <f>IF(AND('Mapa final'!$K$57="Alta",'Mapa final'!$O$57="Leve"),CONCATENATE("R",'Mapa final'!$A$57),"")</f>
        <v/>
      </c>
      <c r="K20" s="600"/>
      <c r="L20" s="600" t="str">
        <f>IF(AND('Mapa final'!$K$63="Alta",'Mapa final'!$O$63="Leve"),CONCATENATE("R",'Mapa final'!$A$63),"")</f>
        <v/>
      </c>
      <c r="M20" s="600"/>
      <c r="N20" s="600" t="str">
        <f>IF(AND('Mapa final'!$K$69="Alta",'Mapa final'!$O$69="Leve"),CONCATENATE("R",'Mapa final'!$A$69),"")</f>
        <v/>
      </c>
      <c r="O20" s="601"/>
      <c r="P20" s="599" t="str">
        <f>IF(AND('Mapa final'!$K$57="Alta",'Mapa final'!$O$57="Menor"),CONCATENATE("R",'Mapa final'!$A$57),"")</f>
        <v/>
      </c>
      <c r="Q20" s="600"/>
      <c r="R20" s="600" t="str">
        <f>IF(AND('Mapa final'!$K$63="Alta",'Mapa final'!$O$63="Menor"),CONCATENATE("R",'Mapa final'!$A$63),"")</f>
        <v/>
      </c>
      <c r="S20" s="600"/>
      <c r="T20" s="600" t="str">
        <f>IF(AND('Mapa final'!$K$69="Alta",'Mapa final'!$O$69="Menor"),CONCATENATE("R",'Mapa final'!$A$69),"")</f>
        <v/>
      </c>
      <c r="U20" s="601"/>
      <c r="V20" s="617" t="str">
        <f>IF(AND('Mapa final'!$K$57="Alta",'Mapa final'!$O$57="Moderado"),CONCATENATE("R",'Mapa final'!$A$57),"")</f>
        <v/>
      </c>
      <c r="W20" s="618"/>
      <c r="X20" s="618" t="str">
        <f>IF(AND('Mapa final'!$K$63="Alta",'Mapa final'!$O$63="Moderado"),CONCATENATE("R",'Mapa final'!$A$63),"")</f>
        <v/>
      </c>
      <c r="Y20" s="618"/>
      <c r="Z20" s="618" t="str">
        <f>IF(AND('Mapa final'!$K$69="Alta",'Mapa final'!$O$69="Moderado"),CONCATENATE("R",'Mapa final'!$A$69),"")</f>
        <v/>
      </c>
      <c r="AA20" s="619"/>
      <c r="AB20" s="617" t="str">
        <f>IF(AND('Mapa final'!$K$57="Alta",'Mapa final'!$O$57="Mayor"),CONCATENATE("R",'Mapa final'!$A$57),"")</f>
        <v/>
      </c>
      <c r="AC20" s="618"/>
      <c r="AD20" s="618" t="str">
        <f>IF(AND('Mapa final'!$K$63="Alta",'Mapa final'!$O$63="Mayor"),CONCATENATE("R",'Mapa final'!$A$63),"")</f>
        <v/>
      </c>
      <c r="AE20" s="618"/>
      <c r="AF20" s="618" t="str">
        <f>IF(AND('Mapa final'!$K$69="Alta",'Mapa final'!$O$69="Mayor"),CONCATENATE("R",'Mapa final'!$A$69),"")</f>
        <v/>
      </c>
      <c r="AG20" s="619"/>
      <c r="AH20" s="608" t="str">
        <f>IF(AND('Mapa final'!$K$57="Alta",'Mapa final'!$O$57="Catastrófico"),CONCATENATE("R",'Mapa final'!$A$57),"")</f>
        <v/>
      </c>
      <c r="AI20" s="609"/>
      <c r="AJ20" s="609" t="str">
        <f>IF(AND('Mapa final'!$K$63="Alta",'Mapa final'!$O$63="Catastrófico"),CONCATENATE("R",'Mapa final'!$A$63),"")</f>
        <v/>
      </c>
      <c r="AK20" s="609"/>
      <c r="AL20" s="609" t="str">
        <f>IF(AND('Mapa final'!$K$69="Alta",'Mapa final'!$O$69="Catastrófico"),CONCATENATE("R",'Mapa final'!$A$69),"")</f>
        <v/>
      </c>
      <c r="AM20" s="610"/>
      <c r="AN20" s="65"/>
      <c r="AO20" s="651"/>
      <c r="AP20" s="652"/>
      <c r="AQ20" s="652"/>
      <c r="AR20" s="652"/>
      <c r="AS20" s="652"/>
      <c r="AT20" s="653"/>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ht="15.75" customHeight="1" thickBot="1" x14ac:dyDescent="0.35">
      <c r="A21" s="65"/>
      <c r="B21" s="637"/>
      <c r="C21" s="637"/>
      <c r="D21" s="638"/>
      <c r="E21" s="633"/>
      <c r="F21" s="634"/>
      <c r="G21" s="634"/>
      <c r="H21" s="634"/>
      <c r="I21" s="634"/>
      <c r="J21" s="602"/>
      <c r="K21" s="603"/>
      <c r="L21" s="603"/>
      <c r="M21" s="603"/>
      <c r="N21" s="603"/>
      <c r="O21" s="604"/>
      <c r="P21" s="602"/>
      <c r="Q21" s="603"/>
      <c r="R21" s="603"/>
      <c r="S21" s="603"/>
      <c r="T21" s="603"/>
      <c r="U21" s="604"/>
      <c r="V21" s="620"/>
      <c r="W21" s="621"/>
      <c r="X21" s="621"/>
      <c r="Y21" s="621"/>
      <c r="Z21" s="621"/>
      <c r="AA21" s="622"/>
      <c r="AB21" s="620"/>
      <c r="AC21" s="621"/>
      <c r="AD21" s="621"/>
      <c r="AE21" s="621"/>
      <c r="AF21" s="621"/>
      <c r="AG21" s="622"/>
      <c r="AH21" s="611"/>
      <c r="AI21" s="612"/>
      <c r="AJ21" s="612"/>
      <c r="AK21" s="612"/>
      <c r="AL21" s="612"/>
      <c r="AM21" s="613"/>
      <c r="AN21" s="65"/>
      <c r="AO21" s="654"/>
      <c r="AP21" s="655"/>
      <c r="AQ21" s="655"/>
      <c r="AR21" s="655"/>
      <c r="AS21" s="655"/>
      <c r="AT21" s="656"/>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x14ac:dyDescent="0.3">
      <c r="A22" s="65"/>
      <c r="B22" s="637"/>
      <c r="C22" s="637"/>
      <c r="D22" s="638"/>
      <c r="E22" s="627" t="s">
        <v>112</v>
      </c>
      <c r="F22" s="628"/>
      <c r="G22" s="628"/>
      <c r="H22" s="628"/>
      <c r="I22" s="629"/>
      <c r="J22" s="605" t="str">
        <f>IF(AND('Mapa final'!$K$10="Media",'Mapa final'!$O$10="Leve"),CONCATENATE("R",'Mapa final'!$A$10),"")</f>
        <v/>
      </c>
      <c r="K22" s="606"/>
      <c r="L22" s="606" t="str">
        <f>IF(AND('Mapa final'!$K$14="Media",'Mapa final'!$O$14="Leve"),CONCATENATE("R",'Mapa final'!$A$14),"")</f>
        <v/>
      </c>
      <c r="M22" s="606"/>
      <c r="N22" s="606" t="str">
        <f>IF(AND('Mapa final'!$K$15="Media",'Mapa final'!$O$15="Leve"),CONCATENATE("R",'Mapa final'!$A$15),"")</f>
        <v/>
      </c>
      <c r="O22" s="607"/>
      <c r="P22" s="605" t="str">
        <f>IF(AND('Mapa final'!$K$10="Media",'Mapa final'!$O$10="Menor"),CONCATENATE("R",'Mapa final'!$A$10),"")</f>
        <v/>
      </c>
      <c r="Q22" s="606"/>
      <c r="R22" s="606" t="str">
        <f>IF(AND('Mapa final'!$K$14="Media",'Mapa final'!$O$14="Menor"),CONCATENATE("R",'Mapa final'!$A$14),"")</f>
        <v/>
      </c>
      <c r="S22" s="606"/>
      <c r="T22" s="606" t="str">
        <f>IF(AND('Mapa final'!$K$15="Media",'Mapa final'!$O$15="Menor"),CONCATENATE("R",'Mapa final'!$A$15),"")</f>
        <v/>
      </c>
      <c r="U22" s="607"/>
      <c r="V22" s="605" t="str">
        <f>IF(AND('Mapa final'!$K$10="Media",'Mapa final'!$O$10="Moderado"),CONCATENATE("R",'Mapa final'!$A$10),"")</f>
        <v>R1</v>
      </c>
      <c r="W22" s="606"/>
      <c r="X22" s="606" t="str">
        <f>IF(AND('Mapa final'!$K$14="Media",'Mapa final'!$O$14="Moderado"),CONCATENATE("R",'Mapa final'!$A$14),"")</f>
        <v/>
      </c>
      <c r="Y22" s="606"/>
      <c r="Z22" s="606" t="str">
        <f>IF(AND('Mapa final'!$K$15="Media",'Mapa final'!$O$15="Moderado"),CONCATENATE("R",'Mapa final'!$A$15),"")</f>
        <v/>
      </c>
      <c r="AA22" s="607"/>
      <c r="AB22" s="623" t="str">
        <f>IF(AND('Mapa final'!$K$10="Media",'Mapa final'!$O$10="Mayor"),CONCATENATE("R",'Mapa final'!$A$10),"")</f>
        <v/>
      </c>
      <c r="AC22" s="624"/>
      <c r="AD22" s="624" t="str">
        <f>IF(AND('Mapa final'!$K$14="Media",'Mapa final'!$O$14="Mayor"),CONCATENATE("R",'Mapa final'!$A$14),"")</f>
        <v/>
      </c>
      <c r="AE22" s="624"/>
      <c r="AF22" s="624" t="str">
        <f>IF(AND('Mapa final'!$K$15="Media",'Mapa final'!$O$15="Mayor"),CONCATENATE("R",'Mapa final'!$A$15),"")</f>
        <v/>
      </c>
      <c r="AG22" s="625"/>
      <c r="AH22" s="614" t="str">
        <f>IF(AND('Mapa final'!$K$10="Media",'Mapa final'!$O$10="Catastrófico"),CONCATENATE("R",'Mapa final'!$A$10),"")</f>
        <v/>
      </c>
      <c r="AI22" s="615"/>
      <c r="AJ22" s="615" t="str">
        <f>IF(AND('Mapa final'!$K$14="Media",'Mapa final'!$O$14="Catastrófico"),CONCATENATE("R",'Mapa final'!$A$14),"")</f>
        <v/>
      </c>
      <c r="AK22" s="615"/>
      <c r="AL22" s="615" t="str">
        <f>IF(AND('Mapa final'!$K$15="Media",'Mapa final'!$O$15="Catastrófico"),CONCATENATE("R",'Mapa final'!$A$15),"")</f>
        <v/>
      </c>
      <c r="AM22" s="616"/>
      <c r="AN22" s="65"/>
      <c r="AO22" s="657" t="s">
        <v>80</v>
      </c>
      <c r="AP22" s="658"/>
      <c r="AQ22" s="658"/>
      <c r="AR22" s="658"/>
      <c r="AS22" s="658"/>
      <c r="AT22" s="659"/>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x14ac:dyDescent="0.3">
      <c r="A23" s="65"/>
      <c r="B23" s="637"/>
      <c r="C23" s="637"/>
      <c r="D23" s="638"/>
      <c r="E23" s="630"/>
      <c r="F23" s="631"/>
      <c r="G23" s="631"/>
      <c r="H23" s="631"/>
      <c r="I23" s="632"/>
      <c r="J23" s="599"/>
      <c r="K23" s="600"/>
      <c r="L23" s="600"/>
      <c r="M23" s="600"/>
      <c r="N23" s="600"/>
      <c r="O23" s="601"/>
      <c r="P23" s="599"/>
      <c r="Q23" s="600"/>
      <c r="R23" s="600"/>
      <c r="S23" s="600"/>
      <c r="T23" s="600"/>
      <c r="U23" s="601"/>
      <c r="V23" s="599"/>
      <c r="W23" s="600"/>
      <c r="X23" s="600"/>
      <c r="Y23" s="600"/>
      <c r="Z23" s="600"/>
      <c r="AA23" s="601"/>
      <c r="AB23" s="617"/>
      <c r="AC23" s="618"/>
      <c r="AD23" s="618"/>
      <c r="AE23" s="618"/>
      <c r="AF23" s="618"/>
      <c r="AG23" s="619"/>
      <c r="AH23" s="608"/>
      <c r="AI23" s="609"/>
      <c r="AJ23" s="609"/>
      <c r="AK23" s="609"/>
      <c r="AL23" s="609"/>
      <c r="AM23" s="610"/>
      <c r="AN23" s="65"/>
      <c r="AO23" s="660"/>
      <c r="AP23" s="661"/>
      <c r="AQ23" s="661"/>
      <c r="AR23" s="661"/>
      <c r="AS23" s="661"/>
      <c r="AT23" s="662"/>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x14ac:dyDescent="0.3">
      <c r="A24" s="65"/>
      <c r="B24" s="637"/>
      <c r="C24" s="637"/>
      <c r="D24" s="638"/>
      <c r="E24" s="630"/>
      <c r="F24" s="631"/>
      <c r="G24" s="631"/>
      <c r="H24" s="631"/>
      <c r="I24" s="632"/>
      <c r="J24" s="599" t="str">
        <f>IF(AND('Mapa final'!$K$21="Media",'Mapa final'!$O$21="Leve"),CONCATENATE("R",'Mapa final'!$A$21),"")</f>
        <v/>
      </c>
      <c r="K24" s="600"/>
      <c r="L24" s="600" t="str">
        <f>IF(AND('Mapa final'!$K$27="Media",'Mapa final'!$O$27="Leve"),CONCATENATE("R",'Mapa final'!$A$27),"")</f>
        <v/>
      </c>
      <c r="M24" s="600"/>
      <c r="N24" s="600" t="str">
        <f>IF(AND('Mapa final'!$K$33="Media",'Mapa final'!$O$33="Leve"),CONCATENATE("R",'Mapa final'!$A$33),"")</f>
        <v/>
      </c>
      <c r="O24" s="601"/>
      <c r="P24" s="599" t="str">
        <f>IF(AND('Mapa final'!$K$21="Media",'Mapa final'!$O$21="Menor"),CONCATENATE("R",'Mapa final'!$A$21),"")</f>
        <v/>
      </c>
      <c r="Q24" s="600"/>
      <c r="R24" s="600" t="str">
        <f>IF(AND('Mapa final'!$K$27="Media",'Mapa final'!$O$27="Menor"),CONCATENATE("R",'Mapa final'!$A$27),"")</f>
        <v/>
      </c>
      <c r="S24" s="600"/>
      <c r="T24" s="600" t="str">
        <f>IF(AND('Mapa final'!$K$33="Media",'Mapa final'!$O$33="Menor"),CONCATENATE("R",'Mapa final'!$A$33),"")</f>
        <v/>
      </c>
      <c r="U24" s="601"/>
      <c r="V24" s="599" t="str">
        <f>IF(AND('Mapa final'!$K$21="Media",'Mapa final'!$O$21="Moderado"),CONCATENATE("R",'Mapa final'!$A$21),"")</f>
        <v/>
      </c>
      <c r="W24" s="600"/>
      <c r="X24" s="600" t="str">
        <f>IF(AND('Mapa final'!$K$27="Media",'Mapa final'!$O$27="Moderado"),CONCATENATE("R",'Mapa final'!$A$27),"")</f>
        <v/>
      </c>
      <c r="Y24" s="600"/>
      <c r="Z24" s="600" t="str">
        <f>IF(AND('Mapa final'!$K$33="Media",'Mapa final'!$O$33="Moderado"),CONCATENATE("R",'Mapa final'!$A$33),"")</f>
        <v/>
      </c>
      <c r="AA24" s="601"/>
      <c r="AB24" s="617" t="str">
        <f>IF(AND('Mapa final'!$K$21="Media",'Mapa final'!$O$21="Mayor"),CONCATENATE("R",'Mapa final'!$A$21),"")</f>
        <v/>
      </c>
      <c r="AC24" s="618"/>
      <c r="AD24" s="618" t="str">
        <f>IF(AND('Mapa final'!$K$27="Media",'Mapa final'!$O$27="Mayor"),CONCATENATE("R",'Mapa final'!$A$27),"")</f>
        <v/>
      </c>
      <c r="AE24" s="618"/>
      <c r="AF24" s="618" t="str">
        <f>IF(AND('Mapa final'!$K$33="Media",'Mapa final'!$O$33="Mayor"),CONCATENATE("R",'Mapa final'!$A$33),"")</f>
        <v/>
      </c>
      <c r="AG24" s="619"/>
      <c r="AH24" s="608" t="str">
        <f>IF(AND('Mapa final'!$K$21="Media",'Mapa final'!$O$21="Catastrófico"),CONCATENATE("R",'Mapa final'!$A$21),"")</f>
        <v/>
      </c>
      <c r="AI24" s="609"/>
      <c r="AJ24" s="609" t="str">
        <f>IF(AND('Mapa final'!$K$27="Media",'Mapa final'!$O$27="Catastrófico"),CONCATENATE("R",'Mapa final'!$A$27),"")</f>
        <v/>
      </c>
      <c r="AK24" s="609"/>
      <c r="AL24" s="609" t="str">
        <f>IF(AND('Mapa final'!$K$33="Media",'Mapa final'!$O$33="Catastrófico"),CONCATENATE("R",'Mapa final'!$A$33),"")</f>
        <v/>
      </c>
      <c r="AM24" s="610"/>
      <c r="AN24" s="65"/>
      <c r="AO24" s="660"/>
      <c r="AP24" s="661"/>
      <c r="AQ24" s="661"/>
      <c r="AR24" s="661"/>
      <c r="AS24" s="661"/>
      <c r="AT24" s="662"/>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row>
    <row r="25" spans="1:80" x14ac:dyDescent="0.3">
      <c r="A25" s="65"/>
      <c r="B25" s="637"/>
      <c r="C25" s="637"/>
      <c r="D25" s="638"/>
      <c r="E25" s="630"/>
      <c r="F25" s="631"/>
      <c r="G25" s="631"/>
      <c r="H25" s="631"/>
      <c r="I25" s="632"/>
      <c r="J25" s="599"/>
      <c r="K25" s="600"/>
      <c r="L25" s="600"/>
      <c r="M25" s="600"/>
      <c r="N25" s="600"/>
      <c r="O25" s="601"/>
      <c r="P25" s="599"/>
      <c r="Q25" s="600"/>
      <c r="R25" s="600"/>
      <c r="S25" s="600"/>
      <c r="T25" s="600"/>
      <c r="U25" s="601"/>
      <c r="V25" s="599"/>
      <c r="W25" s="600"/>
      <c r="X25" s="600"/>
      <c r="Y25" s="600"/>
      <c r="Z25" s="600"/>
      <c r="AA25" s="601"/>
      <c r="AB25" s="617"/>
      <c r="AC25" s="618"/>
      <c r="AD25" s="618"/>
      <c r="AE25" s="618"/>
      <c r="AF25" s="618"/>
      <c r="AG25" s="619"/>
      <c r="AH25" s="608"/>
      <c r="AI25" s="609"/>
      <c r="AJ25" s="609"/>
      <c r="AK25" s="609"/>
      <c r="AL25" s="609"/>
      <c r="AM25" s="610"/>
      <c r="AN25" s="65"/>
      <c r="AO25" s="660"/>
      <c r="AP25" s="661"/>
      <c r="AQ25" s="661"/>
      <c r="AR25" s="661"/>
      <c r="AS25" s="661"/>
      <c r="AT25" s="662"/>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row>
    <row r="26" spans="1:80" x14ac:dyDescent="0.3">
      <c r="A26" s="65"/>
      <c r="B26" s="637"/>
      <c r="C26" s="637"/>
      <c r="D26" s="638"/>
      <c r="E26" s="630"/>
      <c r="F26" s="631"/>
      <c r="G26" s="631"/>
      <c r="H26" s="631"/>
      <c r="I26" s="632"/>
      <c r="J26" s="599" t="str">
        <f>IF(AND('Mapa final'!$K$39="Media",'Mapa final'!$O$39="Leve"),CONCATENATE("R",'Mapa final'!$A$39),"")</f>
        <v/>
      </c>
      <c r="K26" s="600"/>
      <c r="L26" s="600" t="str">
        <f>IF(AND('Mapa final'!$K$45="Media",'Mapa final'!$O$45="Leve"),CONCATENATE("R",'Mapa final'!$A$45),"")</f>
        <v/>
      </c>
      <c r="M26" s="600"/>
      <c r="N26" s="600" t="str">
        <f>IF(AND('Mapa final'!$K$51="Media",'Mapa final'!$O$51="Leve"),CONCATENATE("R",'Mapa final'!$A$51),"")</f>
        <v/>
      </c>
      <c r="O26" s="601"/>
      <c r="P26" s="599" t="str">
        <f>IF(AND('Mapa final'!$K$39="Media",'Mapa final'!$O$39="Menor"),CONCATENATE("R",'Mapa final'!$A$39),"")</f>
        <v/>
      </c>
      <c r="Q26" s="600"/>
      <c r="R26" s="600" t="str">
        <f>IF(AND('Mapa final'!$K$45="Media",'Mapa final'!$O$45="Menor"),CONCATENATE("R",'Mapa final'!$A$45),"")</f>
        <v/>
      </c>
      <c r="S26" s="600"/>
      <c r="T26" s="600" t="str">
        <f>IF(AND('Mapa final'!$K$51="Media",'Mapa final'!$O$51="Menor"),CONCATENATE("R",'Mapa final'!$A$51),"")</f>
        <v/>
      </c>
      <c r="U26" s="601"/>
      <c r="V26" s="599" t="str">
        <f>IF(AND('Mapa final'!$K$39="Media",'Mapa final'!$O$39="Moderado"),CONCATENATE("R",'Mapa final'!$A$39),"")</f>
        <v/>
      </c>
      <c r="W26" s="600"/>
      <c r="X26" s="600" t="str">
        <f>IF(AND('Mapa final'!$K$45="Media",'Mapa final'!$O$45="Moderado"),CONCATENATE("R",'Mapa final'!$A$45),"")</f>
        <v/>
      </c>
      <c r="Y26" s="600"/>
      <c r="Z26" s="600" t="str">
        <f>IF(AND('Mapa final'!$K$51="Media",'Mapa final'!$O$51="Moderado"),CONCATENATE("R",'Mapa final'!$A$51),"")</f>
        <v/>
      </c>
      <c r="AA26" s="601"/>
      <c r="AB26" s="617" t="str">
        <f>IF(AND('Mapa final'!$K$39="Media",'Mapa final'!$O$39="Mayor"),CONCATENATE("R",'Mapa final'!$A$39),"")</f>
        <v/>
      </c>
      <c r="AC26" s="618"/>
      <c r="AD26" s="618" t="str">
        <f>IF(AND('Mapa final'!$K$45="Media",'Mapa final'!$O$45="Mayor"),CONCATENATE("R",'Mapa final'!$A$45),"")</f>
        <v/>
      </c>
      <c r="AE26" s="618"/>
      <c r="AF26" s="618" t="str">
        <f>IF(AND('Mapa final'!$K$51="Media",'Mapa final'!$O$51="Mayor"),CONCATENATE("R",'Mapa final'!$A$51),"")</f>
        <v/>
      </c>
      <c r="AG26" s="619"/>
      <c r="AH26" s="608" t="str">
        <f>IF(AND('Mapa final'!$K$39="Media",'Mapa final'!$O$39="Catastrófico"),CONCATENATE("R",'Mapa final'!$A$39),"")</f>
        <v/>
      </c>
      <c r="AI26" s="609"/>
      <c r="AJ26" s="609" t="str">
        <f>IF(AND('Mapa final'!$K$45="Media",'Mapa final'!$O$45="Catastrófico"),CONCATENATE("R",'Mapa final'!$A$45),"")</f>
        <v/>
      </c>
      <c r="AK26" s="609"/>
      <c r="AL26" s="609" t="str">
        <f>IF(AND('Mapa final'!$K$51="Media",'Mapa final'!$O$51="Catastrófico"),CONCATENATE("R",'Mapa final'!$A$51),"")</f>
        <v/>
      </c>
      <c r="AM26" s="610"/>
      <c r="AN26" s="65"/>
      <c r="AO26" s="660"/>
      <c r="AP26" s="661"/>
      <c r="AQ26" s="661"/>
      <c r="AR26" s="661"/>
      <c r="AS26" s="661"/>
      <c r="AT26" s="662"/>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row>
    <row r="27" spans="1:80" x14ac:dyDescent="0.3">
      <c r="A27" s="65"/>
      <c r="B27" s="637"/>
      <c r="C27" s="637"/>
      <c r="D27" s="638"/>
      <c r="E27" s="630"/>
      <c r="F27" s="631"/>
      <c r="G27" s="631"/>
      <c r="H27" s="631"/>
      <c r="I27" s="632"/>
      <c r="J27" s="599"/>
      <c r="K27" s="600"/>
      <c r="L27" s="600"/>
      <c r="M27" s="600"/>
      <c r="N27" s="600"/>
      <c r="O27" s="601"/>
      <c r="P27" s="599"/>
      <c r="Q27" s="600"/>
      <c r="R27" s="600"/>
      <c r="S27" s="600"/>
      <c r="T27" s="600"/>
      <c r="U27" s="601"/>
      <c r="V27" s="599"/>
      <c r="W27" s="600"/>
      <c r="X27" s="600"/>
      <c r="Y27" s="600"/>
      <c r="Z27" s="600"/>
      <c r="AA27" s="601"/>
      <c r="AB27" s="617"/>
      <c r="AC27" s="618"/>
      <c r="AD27" s="618"/>
      <c r="AE27" s="618"/>
      <c r="AF27" s="618"/>
      <c r="AG27" s="619"/>
      <c r="AH27" s="608"/>
      <c r="AI27" s="609"/>
      <c r="AJ27" s="609"/>
      <c r="AK27" s="609"/>
      <c r="AL27" s="609"/>
      <c r="AM27" s="610"/>
      <c r="AN27" s="65"/>
      <c r="AO27" s="660"/>
      <c r="AP27" s="661"/>
      <c r="AQ27" s="661"/>
      <c r="AR27" s="661"/>
      <c r="AS27" s="661"/>
      <c r="AT27" s="662"/>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row>
    <row r="28" spans="1:80" x14ac:dyDescent="0.3">
      <c r="A28" s="65"/>
      <c r="B28" s="637"/>
      <c r="C28" s="637"/>
      <c r="D28" s="638"/>
      <c r="E28" s="630"/>
      <c r="F28" s="631"/>
      <c r="G28" s="631"/>
      <c r="H28" s="631"/>
      <c r="I28" s="632"/>
      <c r="J28" s="599" t="str">
        <f>IF(AND('Mapa final'!$K$57="Media",'Mapa final'!$O$57="Leve"),CONCATENATE("R",'Mapa final'!$A$57),"")</f>
        <v/>
      </c>
      <c r="K28" s="600"/>
      <c r="L28" s="600" t="str">
        <f>IF(AND('Mapa final'!$K$63="Media",'Mapa final'!$O$63="Leve"),CONCATENATE("R",'Mapa final'!$A$63),"")</f>
        <v/>
      </c>
      <c r="M28" s="600"/>
      <c r="N28" s="600" t="str">
        <f>IF(AND('Mapa final'!$K$69="Media",'Mapa final'!$O$69="Leve"),CONCATENATE("R",'Mapa final'!$A$69),"")</f>
        <v/>
      </c>
      <c r="O28" s="601"/>
      <c r="P28" s="599" t="str">
        <f>IF(AND('Mapa final'!$K$57="Media",'Mapa final'!$O$57="Menor"),CONCATENATE("R",'Mapa final'!$A$57),"")</f>
        <v/>
      </c>
      <c r="Q28" s="600"/>
      <c r="R28" s="600" t="str">
        <f>IF(AND('Mapa final'!$K$63="Media",'Mapa final'!$O$63="Menor"),CONCATENATE("R",'Mapa final'!$A$63),"")</f>
        <v/>
      </c>
      <c r="S28" s="600"/>
      <c r="T28" s="600" t="str">
        <f>IF(AND('Mapa final'!$K$69="Media",'Mapa final'!$O$69="Menor"),CONCATENATE("R",'Mapa final'!$A$69),"")</f>
        <v/>
      </c>
      <c r="U28" s="601"/>
      <c r="V28" s="599" t="str">
        <f>IF(AND('Mapa final'!$K$57="Media",'Mapa final'!$O$57="Moderado"),CONCATENATE("R",'Mapa final'!$A$57),"")</f>
        <v/>
      </c>
      <c r="W28" s="600"/>
      <c r="X28" s="600" t="str">
        <f>IF(AND('Mapa final'!$K$63="Media",'Mapa final'!$O$63="Moderado"),CONCATENATE("R",'Mapa final'!$A$63),"")</f>
        <v/>
      </c>
      <c r="Y28" s="600"/>
      <c r="Z28" s="600" t="str">
        <f>IF(AND('Mapa final'!$K$69="Media",'Mapa final'!$O$69="Moderado"),CONCATENATE("R",'Mapa final'!$A$69),"")</f>
        <v/>
      </c>
      <c r="AA28" s="601"/>
      <c r="AB28" s="617" t="str">
        <f>IF(AND('Mapa final'!$K$57="Media",'Mapa final'!$O$57="Mayor"),CONCATENATE("R",'Mapa final'!$A$57),"")</f>
        <v/>
      </c>
      <c r="AC28" s="618"/>
      <c r="AD28" s="618" t="str">
        <f>IF(AND('Mapa final'!$K$63="Media",'Mapa final'!$O$63="Mayor"),CONCATENATE("R",'Mapa final'!$A$63),"")</f>
        <v/>
      </c>
      <c r="AE28" s="618"/>
      <c r="AF28" s="618" t="str">
        <f>IF(AND('Mapa final'!$K$69="Media",'Mapa final'!$O$69="Mayor"),CONCATENATE("R",'Mapa final'!$A$69),"")</f>
        <v/>
      </c>
      <c r="AG28" s="619"/>
      <c r="AH28" s="608" t="str">
        <f>IF(AND('Mapa final'!$K$57="Media",'Mapa final'!$O$57="Catastrófico"),CONCATENATE("R",'Mapa final'!$A$57),"")</f>
        <v/>
      </c>
      <c r="AI28" s="609"/>
      <c r="AJ28" s="609" t="str">
        <f>IF(AND('Mapa final'!$K$63="Media",'Mapa final'!$O$63="Catastrófico"),CONCATENATE("R",'Mapa final'!$A$63),"")</f>
        <v/>
      </c>
      <c r="AK28" s="609"/>
      <c r="AL28" s="609" t="str">
        <f>IF(AND('Mapa final'!$K$69="Media",'Mapa final'!$O$69="Catastrófico"),CONCATENATE("R",'Mapa final'!$A$69),"")</f>
        <v/>
      </c>
      <c r="AM28" s="610"/>
      <c r="AN28" s="65"/>
      <c r="AO28" s="660"/>
      <c r="AP28" s="661"/>
      <c r="AQ28" s="661"/>
      <c r="AR28" s="661"/>
      <c r="AS28" s="661"/>
      <c r="AT28" s="662"/>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row>
    <row r="29" spans="1:80" ht="15" thickBot="1" x14ac:dyDescent="0.35">
      <c r="A29" s="65"/>
      <c r="B29" s="637"/>
      <c r="C29" s="637"/>
      <c r="D29" s="638"/>
      <c r="E29" s="633"/>
      <c r="F29" s="634"/>
      <c r="G29" s="634"/>
      <c r="H29" s="634"/>
      <c r="I29" s="635"/>
      <c r="J29" s="599"/>
      <c r="K29" s="600"/>
      <c r="L29" s="600"/>
      <c r="M29" s="600"/>
      <c r="N29" s="600"/>
      <c r="O29" s="601"/>
      <c r="P29" s="602"/>
      <c r="Q29" s="603"/>
      <c r="R29" s="603"/>
      <c r="S29" s="603"/>
      <c r="T29" s="603"/>
      <c r="U29" s="604"/>
      <c r="V29" s="602"/>
      <c r="W29" s="603"/>
      <c r="X29" s="603"/>
      <c r="Y29" s="603"/>
      <c r="Z29" s="603"/>
      <c r="AA29" s="604"/>
      <c r="AB29" s="620"/>
      <c r="AC29" s="621"/>
      <c r="AD29" s="621"/>
      <c r="AE29" s="621"/>
      <c r="AF29" s="621"/>
      <c r="AG29" s="622"/>
      <c r="AH29" s="611"/>
      <c r="AI29" s="612"/>
      <c r="AJ29" s="612"/>
      <c r="AK29" s="612"/>
      <c r="AL29" s="612"/>
      <c r="AM29" s="613"/>
      <c r="AN29" s="65"/>
      <c r="AO29" s="663"/>
      <c r="AP29" s="664"/>
      <c r="AQ29" s="664"/>
      <c r="AR29" s="664"/>
      <c r="AS29" s="664"/>
      <c r="AT29" s="6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row>
    <row r="30" spans="1:80" x14ac:dyDescent="0.3">
      <c r="A30" s="65"/>
      <c r="B30" s="637"/>
      <c r="C30" s="637"/>
      <c r="D30" s="638"/>
      <c r="E30" s="627" t="s">
        <v>109</v>
      </c>
      <c r="F30" s="628"/>
      <c r="G30" s="628"/>
      <c r="H30" s="628"/>
      <c r="I30" s="628"/>
      <c r="J30" s="596" t="str">
        <f>IF(AND('Mapa final'!$K$10="Baja",'Mapa final'!$O$10="Leve"),CONCATENATE("R",'Mapa final'!$A$10),"")</f>
        <v/>
      </c>
      <c r="K30" s="597"/>
      <c r="L30" s="597" t="str">
        <f>IF(AND('Mapa final'!$K$14="Baja",'Mapa final'!$O$14="Leve"),CONCATENATE("R",'Mapa final'!$A$14),"")</f>
        <v/>
      </c>
      <c r="M30" s="597"/>
      <c r="N30" s="597" t="str">
        <f>IF(AND('Mapa final'!$K$15="Baja",'Mapa final'!$O$15="Leve"),CONCATENATE("R",'Mapa final'!$A$15),"")</f>
        <v/>
      </c>
      <c r="O30" s="598"/>
      <c r="P30" s="606" t="str">
        <f>IF(AND('Mapa final'!$K$10="Baja",'Mapa final'!$O$10="Menor"),CONCATENATE("R",'Mapa final'!$A$10),"")</f>
        <v/>
      </c>
      <c r="Q30" s="606"/>
      <c r="R30" s="606" t="str">
        <f>IF(AND('Mapa final'!$K$14="Baja",'Mapa final'!$O$14="Menor"),CONCATENATE("R",'Mapa final'!$A$14),"")</f>
        <v/>
      </c>
      <c r="S30" s="606"/>
      <c r="T30" s="606" t="str">
        <f>IF(AND('Mapa final'!$K$15="Baja",'Mapa final'!$O$15="Menor"),CONCATENATE("R",'Mapa final'!$A$15),"")</f>
        <v/>
      </c>
      <c r="U30" s="607"/>
      <c r="V30" s="605" t="str">
        <f>IF(AND('Mapa final'!$K$10="Baja",'Mapa final'!$O$10="Moderado"),CONCATENATE("R",'Mapa final'!$A$10),"")</f>
        <v/>
      </c>
      <c r="W30" s="606"/>
      <c r="X30" s="606" t="str">
        <f>IF(AND('Mapa final'!$K$14="Baja",'Mapa final'!$O$14="Moderado"),CONCATENATE("R",'Mapa final'!$A$14),"")</f>
        <v>R2</v>
      </c>
      <c r="Y30" s="606"/>
      <c r="Z30" s="606" t="str">
        <f>IF(AND('Mapa final'!$K$15="Baja",'Mapa final'!$O$15="Moderado"),CONCATENATE("R",'Mapa final'!$A$15),"")</f>
        <v/>
      </c>
      <c r="AA30" s="607"/>
      <c r="AB30" s="623" t="str">
        <f>IF(AND('Mapa final'!$K$10="Baja",'Mapa final'!$O$10="Mayor"),CONCATENATE("R",'Mapa final'!$A$10),"")</f>
        <v/>
      </c>
      <c r="AC30" s="624"/>
      <c r="AD30" s="624" t="str">
        <f>IF(AND('Mapa final'!$K$14="Baja",'Mapa final'!$O$14="Mayor"),CONCATENATE("R",'Mapa final'!$A$14),"")</f>
        <v/>
      </c>
      <c r="AE30" s="624"/>
      <c r="AF30" s="624" t="str">
        <f>IF(AND('Mapa final'!$K$15="Baja",'Mapa final'!$O$15="Mayor"),CONCATENATE("R",'Mapa final'!$A$15),"")</f>
        <v/>
      </c>
      <c r="AG30" s="625"/>
      <c r="AH30" s="614" t="str">
        <f>IF(AND('Mapa final'!$K$10="Baja",'Mapa final'!$O$10="Catastrófico"),CONCATENATE("R",'Mapa final'!$A$10),"")</f>
        <v/>
      </c>
      <c r="AI30" s="615"/>
      <c r="AJ30" s="615" t="str">
        <f>IF(AND('Mapa final'!$K$14="Baja",'Mapa final'!$O$14="Catastrófico"),CONCATENATE("R",'Mapa final'!$A$14),"")</f>
        <v/>
      </c>
      <c r="AK30" s="615"/>
      <c r="AL30" s="615" t="str">
        <f>IF(AND('Mapa final'!$K$15="Baja",'Mapa final'!$O$15="Catastrófico"),CONCATENATE("R",'Mapa final'!$A$15),"")</f>
        <v/>
      </c>
      <c r="AM30" s="616"/>
      <c r="AN30" s="65"/>
      <c r="AO30" s="666" t="s">
        <v>81</v>
      </c>
      <c r="AP30" s="667"/>
      <c r="AQ30" s="667"/>
      <c r="AR30" s="667"/>
      <c r="AS30" s="667"/>
      <c r="AT30" s="668"/>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row>
    <row r="31" spans="1:80" x14ac:dyDescent="0.3">
      <c r="A31" s="65"/>
      <c r="B31" s="637"/>
      <c r="C31" s="637"/>
      <c r="D31" s="638"/>
      <c r="E31" s="630"/>
      <c r="F31" s="631"/>
      <c r="G31" s="631"/>
      <c r="H31" s="631"/>
      <c r="I31" s="631"/>
      <c r="J31" s="590"/>
      <c r="K31" s="591"/>
      <c r="L31" s="591"/>
      <c r="M31" s="591"/>
      <c r="N31" s="591"/>
      <c r="O31" s="592"/>
      <c r="P31" s="600"/>
      <c r="Q31" s="600"/>
      <c r="R31" s="600"/>
      <c r="S31" s="600"/>
      <c r="T31" s="600"/>
      <c r="U31" s="601"/>
      <c r="V31" s="599"/>
      <c r="W31" s="600"/>
      <c r="X31" s="600"/>
      <c r="Y31" s="600"/>
      <c r="Z31" s="600"/>
      <c r="AA31" s="601"/>
      <c r="AB31" s="617"/>
      <c r="AC31" s="618"/>
      <c r="AD31" s="618"/>
      <c r="AE31" s="618"/>
      <c r="AF31" s="618"/>
      <c r="AG31" s="619"/>
      <c r="AH31" s="608"/>
      <c r="AI31" s="609"/>
      <c r="AJ31" s="609"/>
      <c r="AK31" s="609"/>
      <c r="AL31" s="609"/>
      <c r="AM31" s="610"/>
      <c r="AN31" s="65"/>
      <c r="AO31" s="669"/>
      <c r="AP31" s="670"/>
      <c r="AQ31" s="670"/>
      <c r="AR31" s="670"/>
      <c r="AS31" s="670"/>
      <c r="AT31" s="671"/>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row>
    <row r="32" spans="1:80" x14ac:dyDescent="0.3">
      <c r="A32" s="65"/>
      <c r="B32" s="637"/>
      <c r="C32" s="637"/>
      <c r="D32" s="638"/>
      <c r="E32" s="630"/>
      <c r="F32" s="631"/>
      <c r="G32" s="631"/>
      <c r="H32" s="631"/>
      <c r="I32" s="631"/>
      <c r="J32" s="590" t="str">
        <f>IF(AND('Mapa final'!$K$21="Baja",'Mapa final'!$O$21="Leve"),CONCATENATE("R",'Mapa final'!$A$21),"")</f>
        <v/>
      </c>
      <c r="K32" s="591"/>
      <c r="L32" s="591" t="str">
        <f>IF(AND('Mapa final'!$K$27="Baja",'Mapa final'!$O$27="Leve"),CONCATENATE("R",'Mapa final'!$A$27),"")</f>
        <v/>
      </c>
      <c r="M32" s="591"/>
      <c r="N32" s="591" t="str">
        <f>IF(AND('Mapa final'!$K$33="Baja",'Mapa final'!$O$33="Leve"),CONCATENATE("R",'Mapa final'!$A$33),"")</f>
        <v/>
      </c>
      <c r="O32" s="592"/>
      <c r="P32" s="600" t="str">
        <f>IF(AND('Mapa final'!$K$21="Baja",'Mapa final'!$O$21="Menor"),CONCATENATE("R",'Mapa final'!$A$21),"")</f>
        <v/>
      </c>
      <c r="Q32" s="600"/>
      <c r="R32" s="600" t="str">
        <f>IF(AND('Mapa final'!$K$27="Baja",'Mapa final'!$O$27="Menor"),CONCATENATE("R",'Mapa final'!$A$27),"")</f>
        <v/>
      </c>
      <c r="S32" s="600"/>
      <c r="T32" s="600" t="str">
        <f>IF(AND('Mapa final'!$K$33="Baja",'Mapa final'!$O$33="Menor"),CONCATENATE("R",'Mapa final'!$A$33),"")</f>
        <v/>
      </c>
      <c r="U32" s="601"/>
      <c r="V32" s="599" t="str">
        <f>IF(AND('Mapa final'!$K$21="Baja",'Mapa final'!$O$21="Moderado"),CONCATENATE("R",'Mapa final'!$A$21),"")</f>
        <v/>
      </c>
      <c r="W32" s="600"/>
      <c r="X32" s="600" t="str">
        <f>IF(AND('Mapa final'!$K$27="Baja",'Mapa final'!$O$27="Moderado"),CONCATENATE("R",'Mapa final'!$A$27),"")</f>
        <v/>
      </c>
      <c r="Y32" s="600"/>
      <c r="Z32" s="600" t="str">
        <f>IF(AND('Mapa final'!$K$33="Baja",'Mapa final'!$O$33="Moderado"),CONCATENATE("R",'Mapa final'!$A$33),"")</f>
        <v/>
      </c>
      <c r="AA32" s="601"/>
      <c r="AB32" s="617" t="str">
        <f>IF(AND('Mapa final'!$K$21="Baja",'Mapa final'!$O$21="Mayor"),CONCATENATE("R",'Mapa final'!$A$21),"")</f>
        <v/>
      </c>
      <c r="AC32" s="618"/>
      <c r="AD32" s="618" t="str">
        <f>IF(AND('Mapa final'!$K$27="Baja",'Mapa final'!$O$27="Mayor"),CONCATENATE("R",'Mapa final'!$A$27),"")</f>
        <v/>
      </c>
      <c r="AE32" s="618"/>
      <c r="AF32" s="618" t="str">
        <f>IF(AND('Mapa final'!$K$33="Baja",'Mapa final'!$O$33="Mayor"),CONCATENATE("R",'Mapa final'!$A$33),"")</f>
        <v/>
      </c>
      <c r="AG32" s="619"/>
      <c r="AH32" s="608" t="str">
        <f>IF(AND('Mapa final'!$K$21="Baja",'Mapa final'!$O$21="Catastrófico"),CONCATENATE("R",'Mapa final'!$A$21),"")</f>
        <v/>
      </c>
      <c r="AI32" s="609"/>
      <c r="AJ32" s="609" t="str">
        <f>IF(AND('Mapa final'!$K$27="Baja",'Mapa final'!$O$27="Catastrófico"),CONCATENATE("R",'Mapa final'!$A$27),"")</f>
        <v/>
      </c>
      <c r="AK32" s="609"/>
      <c r="AL32" s="609" t="str">
        <f>IF(AND('Mapa final'!$K$33="Baja",'Mapa final'!$O$33="Catastrófico"),CONCATENATE("R",'Mapa final'!$A$33),"")</f>
        <v/>
      </c>
      <c r="AM32" s="610"/>
      <c r="AN32" s="65"/>
      <c r="AO32" s="669"/>
      <c r="AP32" s="670"/>
      <c r="AQ32" s="670"/>
      <c r="AR32" s="670"/>
      <c r="AS32" s="670"/>
      <c r="AT32" s="671"/>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row>
    <row r="33" spans="1:80" x14ac:dyDescent="0.3">
      <c r="A33" s="65"/>
      <c r="B33" s="637"/>
      <c r="C33" s="637"/>
      <c r="D33" s="638"/>
      <c r="E33" s="630"/>
      <c r="F33" s="631"/>
      <c r="G33" s="631"/>
      <c r="H33" s="631"/>
      <c r="I33" s="631"/>
      <c r="J33" s="590"/>
      <c r="K33" s="591"/>
      <c r="L33" s="591"/>
      <c r="M33" s="591"/>
      <c r="N33" s="591"/>
      <c r="O33" s="592"/>
      <c r="P33" s="600"/>
      <c r="Q33" s="600"/>
      <c r="R33" s="600"/>
      <c r="S33" s="600"/>
      <c r="T33" s="600"/>
      <c r="U33" s="601"/>
      <c r="V33" s="599"/>
      <c r="W33" s="600"/>
      <c r="X33" s="600"/>
      <c r="Y33" s="600"/>
      <c r="Z33" s="600"/>
      <c r="AA33" s="601"/>
      <c r="AB33" s="617"/>
      <c r="AC33" s="618"/>
      <c r="AD33" s="618"/>
      <c r="AE33" s="618"/>
      <c r="AF33" s="618"/>
      <c r="AG33" s="619"/>
      <c r="AH33" s="608"/>
      <c r="AI33" s="609"/>
      <c r="AJ33" s="609"/>
      <c r="AK33" s="609"/>
      <c r="AL33" s="609"/>
      <c r="AM33" s="610"/>
      <c r="AN33" s="65"/>
      <c r="AO33" s="669"/>
      <c r="AP33" s="670"/>
      <c r="AQ33" s="670"/>
      <c r="AR33" s="670"/>
      <c r="AS33" s="670"/>
      <c r="AT33" s="671"/>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row>
    <row r="34" spans="1:80" x14ac:dyDescent="0.3">
      <c r="A34" s="65"/>
      <c r="B34" s="637"/>
      <c r="C34" s="637"/>
      <c r="D34" s="638"/>
      <c r="E34" s="630"/>
      <c r="F34" s="631"/>
      <c r="G34" s="631"/>
      <c r="H34" s="631"/>
      <c r="I34" s="631"/>
      <c r="J34" s="590" t="str">
        <f>IF(AND('Mapa final'!$K$39="Baja",'Mapa final'!$O$39="Leve"),CONCATENATE("R",'Mapa final'!$A$39),"")</f>
        <v/>
      </c>
      <c r="K34" s="591"/>
      <c r="L34" s="591" t="str">
        <f>IF(AND('Mapa final'!$K$45="Baja",'Mapa final'!$O$45="Leve"),CONCATENATE("R",'Mapa final'!$A$45),"")</f>
        <v/>
      </c>
      <c r="M34" s="591"/>
      <c r="N34" s="591" t="str">
        <f>IF(AND('Mapa final'!$K$51="Baja",'Mapa final'!$O$51="Leve"),CONCATENATE("R",'Mapa final'!$A$51),"")</f>
        <v/>
      </c>
      <c r="O34" s="592"/>
      <c r="P34" s="600" t="str">
        <f>IF(AND('Mapa final'!$K$39="Baja",'Mapa final'!$O$39="Menor"),CONCATENATE("R",'Mapa final'!$A$39),"")</f>
        <v/>
      </c>
      <c r="Q34" s="600"/>
      <c r="R34" s="600" t="str">
        <f>IF(AND('Mapa final'!$K$45="Baja",'Mapa final'!$O$45="Menor"),CONCATENATE("R",'Mapa final'!$A$45),"")</f>
        <v/>
      </c>
      <c r="S34" s="600"/>
      <c r="T34" s="600" t="str">
        <f>IF(AND('Mapa final'!$K$51="Baja",'Mapa final'!$O$51="Menor"),CONCATENATE("R",'Mapa final'!$A$51),"")</f>
        <v/>
      </c>
      <c r="U34" s="601"/>
      <c r="V34" s="599" t="str">
        <f>IF(AND('Mapa final'!$K$39="Baja",'Mapa final'!$O$39="Moderado"),CONCATENATE("R",'Mapa final'!$A$39),"")</f>
        <v/>
      </c>
      <c r="W34" s="600"/>
      <c r="X34" s="600" t="str">
        <f>IF(AND('Mapa final'!$K$45="Baja",'Mapa final'!$O$45="Moderado"),CONCATENATE("R",'Mapa final'!$A$45),"")</f>
        <v/>
      </c>
      <c r="Y34" s="600"/>
      <c r="Z34" s="600" t="str">
        <f>IF(AND('Mapa final'!$K$51="Baja",'Mapa final'!$O$51="Moderado"),CONCATENATE("R",'Mapa final'!$A$51),"")</f>
        <v/>
      </c>
      <c r="AA34" s="601"/>
      <c r="AB34" s="617" t="str">
        <f>IF(AND('Mapa final'!$K$39="Baja",'Mapa final'!$O$39="Mayor"),CONCATENATE("R",'Mapa final'!$A$39),"")</f>
        <v/>
      </c>
      <c r="AC34" s="618"/>
      <c r="AD34" s="618" t="str">
        <f>IF(AND('Mapa final'!$K$45="Baja",'Mapa final'!$O$45="Mayor"),CONCATENATE("R",'Mapa final'!$A$45),"")</f>
        <v/>
      </c>
      <c r="AE34" s="618"/>
      <c r="AF34" s="618" t="str">
        <f>IF(AND('Mapa final'!$K$51="Baja",'Mapa final'!$O$51="Mayor"),CONCATENATE("R",'Mapa final'!$A$51),"")</f>
        <v/>
      </c>
      <c r="AG34" s="619"/>
      <c r="AH34" s="608" t="str">
        <f>IF(AND('Mapa final'!$K$39="Baja",'Mapa final'!$O$39="Catastrófico"),CONCATENATE("R",'Mapa final'!$A$39),"")</f>
        <v/>
      </c>
      <c r="AI34" s="609"/>
      <c r="AJ34" s="609" t="str">
        <f>IF(AND('Mapa final'!$K$45="Baja",'Mapa final'!$O$45="Catastrófico"),CONCATENATE("R",'Mapa final'!$A$45),"")</f>
        <v/>
      </c>
      <c r="AK34" s="609"/>
      <c r="AL34" s="609" t="str">
        <f>IF(AND('Mapa final'!$K$51="Baja",'Mapa final'!$O$51="Catastrófico"),CONCATENATE("R",'Mapa final'!$A$51),"")</f>
        <v/>
      </c>
      <c r="AM34" s="610"/>
      <c r="AN34" s="65"/>
      <c r="AO34" s="669"/>
      <c r="AP34" s="670"/>
      <c r="AQ34" s="670"/>
      <c r="AR34" s="670"/>
      <c r="AS34" s="670"/>
      <c r="AT34" s="671"/>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row>
    <row r="35" spans="1:80" x14ac:dyDescent="0.3">
      <c r="A35" s="65"/>
      <c r="B35" s="637"/>
      <c r="C35" s="637"/>
      <c r="D35" s="638"/>
      <c r="E35" s="630"/>
      <c r="F35" s="631"/>
      <c r="G35" s="631"/>
      <c r="H35" s="631"/>
      <c r="I35" s="631"/>
      <c r="J35" s="590"/>
      <c r="K35" s="591"/>
      <c r="L35" s="591"/>
      <c r="M35" s="591"/>
      <c r="N35" s="591"/>
      <c r="O35" s="592"/>
      <c r="P35" s="600"/>
      <c r="Q35" s="600"/>
      <c r="R35" s="600"/>
      <c r="S35" s="600"/>
      <c r="T35" s="600"/>
      <c r="U35" s="601"/>
      <c r="V35" s="599"/>
      <c r="W35" s="600"/>
      <c r="X35" s="600"/>
      <c r="Y35" s="600"/>
      <c r="Z35" s="600"/>
      <c r="AA35" s="601"/>
      <c r="AB35" s="617"/>
      <c r="AC35" s="618"/>
      <c r="AD35" s="618"/>
      <c r="AE35" s="618"/>
      <c r="AF35" s="618"/>
      <c r="AG35" s="619"/>
      <c r="AH35" s="608"/>
      <c r="AI35" s="609"/>
      <c r="AJ35" s="609"/>
      <c r="AK35" s="609"/>
      <c r="AL35" s="609"/>
      <c r="AM35" s="610"/>
      <c r="AN35" s="65"/>
      <c r="AO35" s="669"/>
      <c r="AP35" s="670"/>
      <c r="AQ35" s="670"/>
      <c r="AR35" s="670"/>
      <c r="AS35" s="670"/>
      <c r="AT35" s="671"/>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row>
    <row r="36" spans="1:80" x14ac:dyDescent="0.3">
      <c r="A36" s="65"/>
      <c r="B36" s="637"/>
      <c r="C36" s="637"/>
      <c r="D36" s="638"/>
      <c r="E36" s="630"/>
      <c r="F36" s="631"/>
      <c r="G36" s="631"/>
      <c r="H36" s="631"/>
      <c r="I36" s="631"/>
      <c r="J36" s="590" t="str">
        <f>IF(AND('Mapa final'!$K$57="Baja",'Mapa final'!$O$57="Leve"),CONCATENATE("R",'Mapa final'!$A$57),"")</f>
        <v/>
      </c>
      <c r="K36" s="591"/>
      <c r="L36" s="591" t="str">
        <f>IF(AND('Mapa final'!$K$63="Baja",'Mapa final'!$O$63="Leve"),CONCATENATE("R",'Mapa final'!$A$63),"")</f>
        <v/>
      </c>
      <c r="M36" s="591"/>
      <c r="N36" s="591" t="str">
        <f>IF(AND('Mapa final'!$K$69="Baja",'Mapa final'!$O$69="Leve"),CONCATENATE("R",'Mapa final'!$A$69),"")</f>
        <v/>
      </c>
      <c r="O36" s="592"/>
      <c r="P36" s="600" t="str">
        <f>IF(AND('Mapa final'!$K$57="Baja",'Mapa final'!$O$57="Menor"),CONCATENATE("R",'Mapa final'!$A$57),"")</f>
        <v/>
      </c>
      <c r="Q36" s="600"/>
      <c r="R36" s="600" t="str">
        <f>IF(AND('Mapa final'!$K$63="Baja",'Mapa final'!$O$63="Menor"),CONCATENATE("R",'Mapa final'!$A$63),"")</f>
        <v/>
      </c>
      <c r="S36" s="600"/>
      <c r="T36" s="600" t="str">
        <f>IF(AND('Mapa final'!$K$69="Baja",'Mapa final'!$O$69="Menor"),CONCATENATE("R",'Mapa final'!$A$69),"")</f>
        <v/>
      </c>
      <c r="U36" s="601"/>
      <c r="V36" s="599" t="str">
        <f>IF(AND('Mapa final'!$K$57="Baja",'Mapa final'!$O$57="Moderado"),CONCATENATE("R",'Mapa final'!$A$57),"")</f>
        <v/>
      </c>
      <c r="W36" s="600"/>
      <c r="X36" s="600" t="str">
        <f>IF(AND('Mapa final'!$K$63="Baja",'Mapa final'!$O$63="Moderado"),CONCATENATE("R",'Mapa final'!$A$63),"")</f>
        <v/>
      </c>
      <c r="Y36" s="600"/>
      <c r="Z36" s="600" t="str">
        <f>IF(AND('Mapa final'!$K$69="Baja",'Mapa final'!$O$69="Moderado"),CONCATENATE("R",'Mapa final'!$A$69),"")</f>
        <v/>
      </c>
      <c r="AA36" s="601"/>
      <c r="AB36" s="617" t="str">
        <f>IF(AND('Mapa final'!$K$57="Baja",'Mapa final'!$O$57="Mayor"),CONCATENATE("R",'Mapa final'!$A$57),"")</f>
        <v/>
      </c>
      <c r="AC36" s="618"/>
      <c r="AD36" s="618" t="str">
        <f>IF(AND('Mapa final'!$K$63="Baja",'Mapa final'!$O$63="Mayor"),CONCATENATE("R",'Mapa final'!$A$63),"")</f>
        <v/>
      </c>
      <c r="AE36" s="618"/>
      <c r="AF36" s="618" t="str">
        <f>IF(AND('Mapa final'!$K$69="Baja",'Mapa final'!$O$69="Mayor"),CONCATENATE("R",'Mapa final'!$A$69),"")</f>
        <v/>
      </c>
      <c r="AG36" s="619"/>
      <c r="AH36" s="608" t="str">
        <f>IF(AND('Mapa final'!$K$57="Baja",'Mapa final'!$O$57="Catastrófico"),CONCATENATE("R",'Mapa final'!$A$57),"")</f>
        <v/>
      </c>
      <c r="AI36" s="609"/>
      <c r="AJ36" s="609" t="str">
        <f>IF(AND('Mapa final'!$K$63="Baja",'Mapa final'!$O$63="Catastrófico"),CONCATENATE("R",'Mapa final'!$A$63),"")</f>
        <v/>
      </c>
      <c r="AK36" s="609"/>
      <c r="AL36" s="609" t="str">
        <f>IF(AND('Mapa final'!$K$69="Baja",'Mapa final'!$O$69="Catastrófico"),CONCATENATE("R",'Mapa final'!$A$69),"")</f>
        <v/>
      </c>
      <c r="AM36" s="610"/>
      <c r="AN36" s="65"/>
      <c r="AO36" s="669"/>
      <c r="AP36" s="670"/>
      <c r="AQ36" s="670"/>
      <c r="AR36" s="670"/>
      <c r="AS36" s="670"/>
      <c r="AT36" s="671"/>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row>
    <row r="37" spans="1:80" ht="15" thickBot="1" x14ac:dyDescent="0.35">
      <c r="A37" s="65"/>
      <c r="B37" s="637"/>
      <c r="C37" s="637"/>
      <c r="D37" s="638"/>
      <c r="E37" s="633"/>
      <c r="F37" s="634"/>
      <c r="G37" s="634"/>
      <c r="H37" s="634"/>
      <c r="I37" s="634"/>
      <c r="J37" s="593"/>
      <c r="K37" s="594"/>
      <c r="L37" s="594"/>
      <c r="M37" s="594"/>
      <c r="N37" s="594"/>
      <c r="O37" s="595"/>
      <c r="P37" s="603"/>
      <c r="Q37" s="603"/>
      <c r="R37" s="603"/>
      <c r="S37" s="603"/>
      <c r="T37" s="603"/>
      <c r="U37" s="604"/>
      <c r="V37" s="602"/>
      <c r="W37" s="603"/>
      <c r="X37" s="603"/>
      <c r="Y37" s="603"/>
      <c r="Z37" s="603"/>
      <c r="AA37" s="604"/>
      <c r="AB37" s="620"/>
      <c r="AC37" s="621"/>
      <c r="AD37" s="621"/>
      <c r="AE37" s="621"/>
      <c r="AF37" s="621"/>
      <c r="AG37" s="622"/>
      <c r="AH37" s="611"/>
      <c r="AI37" s="612"/>
      <c r="AJ37" s="612"/>
      <c r="AK37" s="612"/>
      <c r="AL37" s="612"/>
      <c r="AM37" s="613"/>
      <c r="AN37" s="65"/>
      <c r="AO37" s="672"/>
      <c r="AP37" s="673"/>
      <c r="AQ37" s="673"/>
      <c r="AR37" s="673"/>
      <c r="AS37" s="673"/>
      <c r="AT37" s="674"/>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row>
    <row r="38" spans="1:80" x14ac:dyDescent="0.3">
      <c r="A38" s="65"/>
      <c r="B38" s="637"/>
      <c r="C38" s="637"/>
      <c r="D38" s="638"/>
      <c r="E38" s="627" t="s">
        <v>108</v>
      </c>
      <c r="F38" s="628"/>
      <c r="G38" s="628"/>
      <c r="H38" s="628"/>
      <c r="I38" s="629"/>
      <c r="J38" s="596" t="str">
        <f>IF(AND('Mapa final'!$K$10="Muy Baja",'Mapa final'!$O$10="Leve"),CONCATENATE("R",'Mapa final'!$A$10),"")</f>
        <v/>
      </c>
      <c r="K38" s="597"/>
      <c r="L38" s="597" t="str">
        <f>IF(AND('Mapa final'!$K$14="Muy Baja",'Mapa final'!$O$14="Leve"),CONCATENATE("R",'Mapa final'!$A$14),"")</f>
        <v/>
      </c>
      <c r="M38" s="597"/>
      <c r="N38" s="597" t="str">
        <f>IF(AND('Mapa final'!$K$15="Muy Baja",'Mapa final'!$O$15="Leve"),CONCATENATE("R",'Mapa final'!$A$15),"")</f>
        <v/>
      </c>
      <c r="O38" s="598"/>
      <c r="P38" s="596" t="str">
        <f>IF(AND('Mapa final'!$K$10="Muy Baja",'Mapa final'!$O$10="Menor"),CONCATENATE("R",'Mapa final'!$A$10),"")</f>
        <v/>
      </c>
      <c r="Q38" s="597"/>
      <c r="R38" s="597" t="str">
        <f>IF(AND('Mapa final'!$K$14="Muy Baja",'Mapa final'!$O$14="Menor"),CONCATENATE("R",'Mapa final'!$A$14),"")</f>
        <v/>
      </c>
      <c r="S38" s="597"/>
      <c r="T38" s="597" t="str">
        <f>IF(AND('Mapa final'!$K$15="Muy Baja",'Mapa final'!$O$15="Menor"),CONCATENATE("R",'Mapa final'!$A$15),"")</f>
        <v/>
      </c>
      <c r="U38" s="598"/>
      <c r="V38" s="605" t="str">
        <f>IF(AND('Mapa final'!$K$10="Muy Baja",'Mapa final'!$O$10="Moderado"),CONCATENATE("R",'Mapa final'!$A$10),"")</f>
        <v/>
      </c>
      <c r="W38" s="606"/>
      <c r="X38" s="606" t="str">
        <f>IF(AND('Mapa final'!$K$14="Muy Baja",'Mapa final'!$O$14="Moderado"),CONCATENATE("R",'Mapa final'!$A$14),"")</f>
        <v/>
      </c>
      <c r="Y38" s="606"/>
      <c r="Z38" s="606" t="str">
        <f>IF(AND('Mapa final'!$K$15="Muy Baja",'Mapa final'!$O$15="Moderado"),CONCATENATE("R",'Mapa final'!$A$15),"")</f>
        <v/>
      </c>
      <c r="AA38" s="607"/>
      <c r="AB38" s="623" t="str">
        <f>IF(AND('Mapa final'!$K$10="Muy Baja",'Mapa final'!$O$10="Mayor"),CONCATENATE("R",'Mapa final'!$A$10),"")</f>
        <v/>
      </c>
      <c r="AC38" s="624"/>
      <c r="AD38" s="624" t="str">
        <f>IF(AND('Mapa final'!$K$14="Muy Baja",'Mapa final'!$O$14="Mayor"),CONCATENATE("R",'Mapa final'!$A$14),"")</f>
        <v/>
      </c>
      <c r="AE38" s="624"/>
      <c r="AF38" s="624" t="str">
        <f>IF(AND('Mapa final'!$K$15="Muy Baja",'Mapa final'!$O$15="Mayor"),CONCATENATE("R",'Mapa final'!$A$15),"")</f>
        <v/>
      </c>
      <c r="AG38" s="625"/>
      <c r="AH38" s="614" t="str">
        <f>IF(AND('Mapa final'!$K$10="Muy Baja",'Mapa final'!$O$10="Catastrófico"),CONCATENATE("R",'Mapa final'!$A$10),"")</f>
        <v/>
      </c>
      <c r="AI38" s="615"/>
      <c r="AJ38" s="615" t="str">
        <f>IF(AND('Mapa final'!$K$14="Muy Baja",'Mapa final'!$O$14="Catastrófico"),CONCATENATE("R",'Mapa final'!$A$14),"")</f>
        <v/>
      </c>
      <c r="AK38" s="615"/>
      <c r="AL38" s="615" t="str">
        <f>IF(AND('Mapa final'!$K$15="Muy Baja",'Mapa final'!$O$15="Catastrófico"),CONCATENATE("R",'Mapa final'!$A$15),"")</f>
        <v/>
      </c>
      <c r="AM38" s="616"/>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row>
    <row r="39" spans="1:80" x14ac:dyDescent="0.3">
      <c r="A39" s="65"/>
      <c r="B39" s="637"/>
      <c r="C39" s="637"/>
      <c r="D39" s="638"/>
      <c r="E39" s="630"/>
      <c r="F39" s="631"/>
      <c r="G39" s="631"/>
      <c r="H39" s="631"/>
      <c r="I39" s="632"/>
      <c r="J39" s="590"/>
      <c r="K39" s="591"/>
      <c r="L39" s="591"/>
      <c r="M39" s="591"/>
      <c r="N39" s="591"/>
      <c r="O39" s="592"/>
      <c r="P39" s="590"/>
      <c r="Q39" s="591"/>
      <c r="R39" s="591"/>
      <c r="S39" s="591"/>
      <c r="T39" s="591"/>
      <c r="U39" s="592"/>
      <c r="V39" s="599"/>
      <c r="W39" s="600"/>
      <c r="X39" s="600"/>
      <c r="Y39" s="600"/>
      <c r="Z39" s="600"/>
      <c r="AA39" s="601"/>
      <c r="AB39" s="617"/>
      <c r="AC39" s="618"/>
      <c r="AD39" s="618"/>
      <c r="AE39" s="618"/>
      <c r="AF39" s="618"/>
      <c r="AG39" s="619"/>
      <c r="AH39" s="608"/>
      <c r="AI39" s="609"/>
      <c r="AJ39" s="609"/>
      <c r="AK39" s="609"/>
      <c r="AL39" s="609"/>
      <c r="AM39" s="610"/>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row>
    <row r="40" spans="1:80" x14ac:dyDescent="0.3">
      <c r="A40" s="65"/>
      <c r="B40" s="637"/>
      <c r="C40" s="637"/>
      <c r="D40" s="638"/>
      <c r="E40" s="630"/>
      <c r="F40" s="631"/>
      <c r="G40" s="631"/>
      <c r="H40" s="631"/>
      <c r="I40" s="632"/>
      <c r="J40" s="590" t="str">
        <f>IF(AND('Mapa final'!$K$21="Muy Baja",'Mapa final'!$O$21="Leve"),CONCATENATE("R",'Mapa final'!$A$21),"")</f>
        <v/>
      </c>
      <c r="K40" s="591"/>
      <c r="L40" s="591" t="str">
        <f>IF(AND('Mapa final'!$K$27="Muy Baja",'Mapa final'!$O$27="Leve"),CONCATENATE("R",'Mapa final'!$A$27),"")</f>
        <v/>
      </c>
      <c r="M40" s="591"/>
      <c r="N40" s="591" t="str">
        <f>IF(AND('Mapa final'!$K$33="Muy Baja",'Mapa final'!$O$33="Leve"),CONCATENATE("R",'Mapa final'!$A$33),"")</f>
        <v/>
      </c>
      <c r="O40" s="592"/>
      <c r="P40" s="590" t="str">
        <f>IF(AND('Mapa final'!$K$21="Muy Baja",'Mapa final'!$O$21="Menor"),CONCATENATE("R",'Mapa final'!$A$21),"")</f>
        <v/>
      </c>
      <c r="Q40" s="591"/>
      <c r="R40" s="591" t="str">
        <f>IF(AND('Mapa final'!$K$27="Muy Baja",'Mapa final'!$O$27="Menor"),CONCATENATE("R",'Mapa final'!$A$27),"")</f>
        <v/>
      </c>
      <c r="S40" s="591"/>
      <c r="T40" s="591" t="str">
        <f>IF(AND('Mapa final'!$K$33="Muy Baja",'Mapa final'!$O$33="Menor"),CONCATENATE("R",'Mapa final'!$A$33),"")</f>
        <v/>
      </c>
      <c r="U40" s="592"/>
      <c r="V40" s="599" t="str">
        <f>IF(AND('Mapa final'!$K$21="Muy Baja",'Mapa final'!$O$21="Moderado"),CONCATENATE("R",'Mapa final'!$A$21),"")</f>
        <v/>
      </c>
      <c r="W40" s="600"/>
      <c r="X40" s="600" t="str">
        <f>IF(AND('Mapa final'!$K$27="Muy Baja",'Mapa final'!$O$27="Moderado"),CONCATENATE("R",'Mapa final'!$A$27),"")</f>
        <v/>
      </c>
      <c r="Y40" s="600"/>
      <c r="Z40" s="600" t="str">
        <f>IF(AND('Mapa final'!$K$33="Muy Baja",'Mapa final'!$O$33="Moderado"),CONCATENATE("R",'Mapa final'!$A$33),"")</f>
        <v/>
      </c>
      <c r="AA40" s="601"/>
      <c r="AB40" s="617" t="str">
        <f>IF(AND('Mapa final'!$K$21="Muy Baja",'Mapa final'!$O$21="Mayor"),CONCATENATE("R",'Mapa final'!$A$21),"")</f>
        <v/>
      </c>
      <c r="AC40" s="618"/>
      <c r="AD40" s="618" t="str">
        <f>IF(AND('Mapa final'!$K$27="Muy Baja",'Mapa final'!$O$27="Mayor"),CONCATENATE("R",'Mapa final'!$A$27),"")</f>
        <v/>
      </c>
      <c r="AE40" s="618"/>
      <c r="AF40" s="618" t="str">
        <f>IF(AND('Mapa final'!$K$33="Muy Baja",'Mapa final'!$O$33="Mayor"),CONCATENATE("R",'Mapa final'!$A$33),"")</f>
        <v/>
      </c>
      <c r="AG40" s="619"/>
      <c r="AH40" s="608" t="str">
        <f>IF(AND('Mapa final'!$K$21="Muy Baja",'Mapa final'!$O$21="Catastrófico"),CONCATENATE("R",'Mapa final'!$A$21),"")</f>
        <v/>
      </c>
      <c r="AI40" s="609"/>
      <c r="AJ40" s="609" t="str">
        <f>IF(AND('Mapa final'!$K$27="Muy Baja",'Mapa final'!$O$27="Catastrófico"),CONCATENATE("R",'Mapa final'!$A$27),"")</f>
        <v/>
      </c>
      <c r="AK40" s="609"/>
      <c r="AL40" s="609" t="str">
        <f>IF(AND('Mapa final'!$K$33="Muy Baja",'Mapa final'!$O$33="Catastrófico"),CONCATENATE("R",'Mapa final'!$A$33),"")</f>
        <v/>
      </c>
      <c r="AM40" s="610"/>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row>
    <row r="41" spans="1:80" x14ac:dyDescent="0.3">
      <c r="A41" s="65"/>
      <c r="B41" s="637"/>
      <c r="C41" s="637"/>
      <c r="D41" s="638"/>
      <c r="E41" s="630"/>
      <c r="F41" s="631"/>
      <c r="G41" s="631"/>
      <c r="H41" s="631"/>
      <c r="I41" s="632"/>
      <c r="J41" s="590"/>
      <c r="K41" s="591"/>
      <c r="L41" s="591"/>
      <c r="M41" s="591"/>
      <c r="N41" s="591"/>
      <c r="O41" s="592"/>
      <c r="P41" s="590"/>
      <c r="Q41" s="591"/>
      <c r="R41" s="591"/>
      <c r="S41" s="591"/>
      <c r="T41" s="591"/>
      <c r="U41" s="592"/>
      <c r="V41" s="599"/>
      <c r="W41" s="600"/>
      <c r="X41" s="600"/>
      <c r="Y41" s="600"/>
      <c r="Z41" s="600"/>
      <c r="AA41" s="601"/>
      <c r="AB41" s="617"/>
      <c r="AC41" s="618"/>
      <c r="AD41" s="618"/>
      <c r="AE41" s="618"/>
      <c r="AF41" s="618"/>
      <c r="AG41" s="619"/>
      <c r="AH41" s="608"/>
      <c r="AI41" s="609"/>
      <c r="AJ41" s="609"/>
      <c r="AK41" s="609"/>
      <c r="AL41" s="609"/>
      <c r="AM41" s="610"/>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row>
    <row r="42" spans="1:80" x14ac:dyDescent="0.3">
      <c r="A42" s="65"/>
      <c r="B42" s="637"/>
      <c r="C42" s="637"/>
      <c r="D42" s="638"/>
      <c r="E42" s="630"/>
      <c r="F42" s="631"/>
      <c r="G42" s="631"/>
      <c r="H42" s="631"/>
      <c r="I42" s="632"/>
      <c r="J42" s="590" t="str">
        <f>IF(AND('Mapa final'!$K$39="Muy Baja",'Mapa final'!$O$39="Leve"),CONCATENATE("R",'Mapa final'!$A$39),"")</f>
        <v/>
      </c>
      <c r="K42" s="591"/>
      <c r="L42" s="591" t="str">
        <f>IF(AND('Mapa final'!$K$45="Muy Baja",'Mapa final'!$O$45="Leve"),CONCATENATE("R",'Mapa final'!$A$45),"")</f>
        <v/>
      </c>
      <c r="M42" s="591"/>
      <c r="N42" s="591" t="str">
        <f>IF(AND('Mapa final'!$K$51="Muy Baja",'Mapa final'!$O$51="Leve"),CONCATENATE("R",'Mapa final'!$A$51),"")</f>
        <v/>
      </c>
      <c r="O42" s="592"/>
      <c r="P42" s="590" t="str">
        <f>IF(AND('Mapa final'!$K$39="Muy Baja",'Mapa final'!$O$39="Menor"),CONCATENATE("R",'Mapa final'!$A$39),"")</f>
        <v/>
      </c>
      <c r="Q42" s="591"/>
      <c r="R42" s="591" t="str">
        <f>IF(AND('Mapa final'!$K$45="Muy Baja",'Mapa final'!$O$45="Menor"),CONCATENATE("R",'Mapa final'!$A$45),"")</f>
        <v/>
      </c>
      <c r="S42" s="591"/>
      <c r="T42" s="591" t="str">
        <f>IF(AND('Mapa final'!$K$51="Muy Baja",'Mapa final'!$O$51="Menor"),CONCATENATE("R",'Mapa final'!$A$51),"")</f>
        <v/>
      </c>
      <c r="U42" s="592"/>
      <c r="V42" s="599" t="str">
        <f>IF(AND('Mapa final'!$K$39="Muy Baja",'Mapa final'!$O$39="Moderado"),CONCATENATE("R",'Mapa final'!$A$39),"")</f>
        <v/>
      </c>
      <c r="W42" s="600"/>
      <c r="X42" s="600" t="str">
        <f>IF(AND('Mapa final'!$K$45="Muy Baja",'Mapa final'!$O$45="Moderado"),CONCATENATE("R",'Mapa final'!$A$45),"")</f>
        <v/>
      </c>
      <c r="Y42" s="600"/>
      <c r="Z42" s="600" t="str">
        <f>IF(AND('Mapa final'!$K$51="Muy Baja",'Mapa final'!$O$51="Moderado"),CONCATENATE("R",'Mapa final'!$A$51),"")</f>
        <v/>
      </c>
      <c r="AA42" s="601"/>
      <c r="AB42" s="617" t="str">
        <f>IF(AND('Mapa final'!$K$39="Muy Baja",'Mapa final'!$O$39="Mayor"),CONCATENATE("R",'Mapa final'!$A$39),"")</f>
        <v/>
      </c>
      <c r="AC42" s="618"/>
      <c r="AD42" s="618" t="str">
        <f>IF(AND('Mapa final'!$K$45="Muy Baja",'Mapa final'!$O$45="Mayor"),CONCATENATE("R",'Mapa final'!$A$45),"")</f>
        <v/>
      </c>
      <c r="AE42" s="618"/>
      <c r="AF42" s="618" t="str">
        <f>IF(AND('Mapa final'!$K$51="Muy Baja",'Mapa final'!$O$51="Mayor"),CONCATENATE("R",'Mapa final'!$A$51),"")</f>
        <v/>
      </c>
      <c r="AG42" s="619"/>
      <c r="AH42" s="608" t="str">
        <f>IF(AND('Mapa final'!$K$39="Muy Baja",'Mapa final'!$O$39="Catastrófico"),CONCATENATE("R",'Mapa final'!$A$39),"")</f>
        <v/>
      </c>
      <c r="AI42" s="609"/>
      <c r="AJ42" s="609" t="str">
        <f>IF(AND('Mapa final'!$K$45="Muy Baja",'Mapa final'!$O$45="Catastrófico"),CONCATENATE("R",'Mapa final'!$A$45),"")</f>
        <v/>
      </c>
      <c r="AK42" s="609"/>
      <c r="AL42" s="609" t="str">
        <f>IF(AND('Mapa final'!$K$51="Muy Baja",'Mapa final'!$O$51="Catastrófico"),CONCATENATE("R",'Mapa final'!$A$51),"")</f>
        <v/>
      </c>
      <c r="AM42" s="610"/>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row>
    <row r="43" spans="1:80" x14ac:dyDescent="0.3">
      <c r="A43" s="65"/>
      <c r="B43" s="637"/>
      <c r="C43" s="637"/>
      <c r="D43" s="638"/>
      <c r="E43" s="630"/>
      <c r="F43" s="631"/>
      <c r="G43" s="631"/>
      <c r="H43" s="631"/>
      <c r="I43" s="632"/>
      <c r="J43" s="590"/>
      <c r="K43" s="591"/>
      <c r="L43" s="591"/>
      <c r="M43" s="591"/>
      <c r="N43" s="591"/>
      <c r="O43" s="592"/>
      <c r="P43" s="590"/>
      <c r="Q43" s="591"/>
      <c r="R43" s="591"/>
      <c r="S43" s="591"/>
      <c r="T43" s="591"/>
      <c r="U43" s="592"/>
      <c r="V43" s="599"/>
      <c r="W43" s="600"/>
      <c r="X43" s="600"/>
      <c r="Y43" s="600"/>
      <c r="Z43" s="600"/>
      <c r="AA43" s="601"/>
      <c r="AB43" s="617"/>
      <c r="AC43" s="618"/>
      <c r="AD43" s="618"/>
      <c r="AE43" s="618"/>
      <c r="AF43" s="618"/>
      <c r="AG43" s="619"/>
      <c r="AH43" s="608"/>
      <c r="AI43" s="609"/>
      <c r="AJ43" s="609"/>
      <c r="AK43" s="609"/>
      <c r="AL43" s="609"/>
      <c r="AM43" s="610"/>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row>
    <row r="44" spans="1:80" x14ac:dyDescent="0.3">
      <c r="A44" s="65"/>
      <c r="B44" s="637"/>
      <c r="C44" s="637"/>
      <c r="D44" s="638"/>
      <c r="E44" s="630"/>
      <c r="F44" s="631"/>
      <c r="G44" s="631"/>
      <c r="H44" s="631"/>
      <c r="I44" s="632"/>
      <c r="J44" s="590" t="str">
        <f>IF(AND('Mapa final'!$K$57="Muy Baja",'Mapa final'!$O$57="Leve"),CONCATENATE("R",'Mapa final'!$A$57),"")</f>
        <v/>
      </c>
      <c r="K44" s="591"/>
      <c r="L44" s="591" t="str">
        <f>IF(AND('Mapa final'!$K$63="Muy Baja",'Mapa final'!$O$63="Leve"),CONCATENATE("R",'Mapa final'!$A$63),"")</f>
        <v/>
      </c>
      <c r="M44" s="591"/>
      <c r="N44" s="591" t="str">
        <f>IF(AND('Mapa final'!$K$69="Muy Baja",'Mapa final'!$O$69="Leve"),CONCATENATE("R",'Mapa final'!$A$69),"")</f>
        <v/>
      </c>
      <c r="O44" s="592"/>
      <c r="P44" s="590" t="str">
        <f>IF(AND('Mapa final'!$K$57="Muy Baja",'Mapa final'!$O$57="Menor"),CONCATENATE("R",'Mapa final'!$A$57),"")</f>
        <v/>
      </c>
      <c r="Q44" s="591"/>
      <c r="R44" s="591" t="str">
        <f>IF(AND('Mapa final'!$K$63="Muy Baja",'Mapa final'!$O$63="Menor"),CONCATENATE("R",'Mapa final'!$A$63),"")</f>
        <v/>
      </c>
      <c r="S44" s="591"/>
      <c r="T44" s="591" t="str">
        <f>IF(AND('Mapa final'!$K$69="Muy Baja",'Mapa final'!$O$69="Menor"),CONCATENATE("R",'Mapa final'!$A$69),"")</f>
        <v/>
      </c>
      <c r="U44" s="592"/>
      <c r="V44" s="599" t="str">
        <f>IF(AND('Mapa final'!$K$57="Muy Baja",'Mapa final'!$O$57="Moderado"),CONCATENATE("R",'Mapa final'!$A$57),"")</f>
        <v/>
      </c>
      <c r="W44" s="600"/>
      <c r="X44" s="600" t="str">
        <f>IF(AND('Mapa final'!$K$63="Muy Baja",'Mapa final'!$O$63="Moderado"),CONCATENATE("R",'Mapa final'!$A$63),"")</f>
        <v/>
      </c>
      <c r="Y44" s="600"/>
      <c r="Z44" s="600" t="str">
        <f>IF(AND('Mapa final'!$K$69="Muy Baja",'Mapa final'!$O$69="Moderado"),CONCATENATE("R",'Mapa final'!$A$69),"")</f>
        <v/>
      </c>
      <c r="AA44" s="601"/>
      <c r="AB44" s="617" t="str">
        <f>IF(AND('Mapa final'!$K$57="Muy Baja",'Mapa final'!$O$57="Mayor"),CONCATENATE("R",'Mapa final'!$A$57),"")</f>
        <v/>
      </c>
      <c r="AC44" s="618"/>
      <c r="AD44" s="618" t="str">
        <f>IF(AND('Mapa final'!$K$63="Muy Baja",'Mapa final'!$O$63="Mayor"),CONCATENATE("R",'Mapa final'!$A$63),"")</f>
        <v/>
      </c>
      <c r="AE44" s="618"/>
      <c r="AF44" s="618" t="str">
        <f>IF(AND('Mapa final'!$K$69="Muy Baja",'Mapa final'!$O$69="Mayor"),CONCATENATE("R",'Mapa final'!$A$69),"")</f>
        <v/>
      </c>
      <c r="AG44" s="619"/>
      <c r="AH44" s="608" t="str">
        <f>IF(AND('Mapa final'!$K$57="Muy Baja",'Mapa final'!$O$57="Catastrófico"),CONCATENATE("R",'Mapa final'!$A$57),"")</f>
        <v/>
      </c>
      <c r="AI44" s="609"/>
      <c r="AJ44" s="609" t="str">
        <f>IF(AND('Mapa final'!$K$63="Muy Baja",'Mapa final'!$O$63="Catastrófico"),CONCATENATE("R",'Mapa final'!$A$63),"")</f>
        <v/>
      </c>
      <c r="AK44" s="609"/>
      <c r="AL44" s="609" t="str">
        <f>IF(AND('Mapa final'!$K$69="Muy Baja",'Mapa final'!$O$69="Catastrófico"),CONCATENATE("R",'Mapa final'!$A$69),"")</f>
        <v/>
      </c>
      <c r="AM44" s="610"/>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row>
    <row r="45" spans="1:80" ht="15" thickBot="1" x14ac:dyDescent="0.35">
      <c r="A45" s="65"/>
      <c r="B45" s="637"/>
      <c r="C45" s="637"/>
      <c r="D45" s="638"/>
      <c r="E45" s="633"/>
      <c r="F45" s="634"/>
      <c r="G45" s="634"/>
      <c r="H45" s="634"/>
      <c r="I45" s="635"/>
      <c r="J45" s="593"/>
      <c r="K45" s="594"/>
      <c r="L45" s="594"/>
      <c r="M45" s="594"/>
      <c r="N45" s="594"/>
      <c r="O45" s="595"/>
      <c r="P45" s="593"/>
      <c r="Q45" s="594"/>
      <c r="R45" s="594"/>
      <c r="S45" s="594"/>
      <c r="T45" s="594"/>
      <c r="U45" s="595"/>
      <c r="V45" s="602"/>
      <c r="W45" s="603"/>
      <c r="X45" s="603"/>
      <c r="Y45" s="603"/>
      <c r="Z45" s="603"/>
      <c r="AA45" s="604"/>
      <c r="AB45" s="620"/>
      <c r="AC45" s="621"/>
      <c r="AD45" s="621"/>
      <c r="AE45" s="621"/>
      <c r="AF45" s="621"/>
      <c r="AG45" s="622"/>
      <c r="AH45" s="611"/>
      <c r="AI45" s="612"/>
      <c r="AJ45" s="612"/>
      <c r="AK45" s="612"/>
      <c r="AL45" s="612"/>
      <c r="AM45" s="613"/>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row>
    <row r="46" spans="1:80" x14ac:dyDescent="0.3">
      <c r="A46" s="65"/>
      <c r="B46" s="65"/>
      <c r="C46" s="65"/>
      <c r="D46" s="65"/>
      <c r="E46" s="65"/>
      <c r="F46" s="65"/>
      <c r="G46" s="65"/>
      <c r="H46" s="65"/>
      <c r="I46" s="65"/>
      <c r="J46" s="627" t="s">
        <v>107</v>
      </c>
      <c r="K46" s="628"/>
      <c r="L46" s="628"/>
      <c r="M46" s="628"/>
      <c r="N46" s="628"/>
      <c r="O46" s="629"/>
      <c r="P46" s="627" t="s">
        <v>106</v>
      </c>
      <c r="Q46" s="628"/>
      <c r="R46" s="628"/>
      <c r="S46" s="628"/>
      <c r="T46" s="628"/>
      <c r="U46" s="629"/>
      <c r="V46" s="627" t="s">
        <v>105</v>
      </c>
      <c r="W46" s="628"/>
      <c r="X46" s="628"/>
      <c r="Y46" s="628"/>
      <c r="Z46" s="628"/>
      <c r="AA46" s="629"/>
      <c r="AB46" s="627" t="s">
        <v>104</v>
      </c>
      <c r="AC46" s="636"/>
      <c r="AD46" s="628"/>
      <c r="AE46" s="628"/>
      <c r="AF46" s="628"/>
      <c r="AG46" s="629"/>
      <c r="AH46" s="627" t="s">
        <v>103</v>
      </c>
      <c r="AI46" s="628"/>
      <c r="AJ46" s="628"/>
      <c r="AK46" s="628"/>
      <c r="AL46" s="628"/>
      <c r="AM46" s="629"/>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x14ac:dyDescent="0.3">
      <c r="A47" s="65"/>
      <c r="B47" s="65"/>
      <c r="C47" s="65"/>
      <c r="D47" s="65"/>
      <c r="E47" s="65"/>
      <c r="F47" s="65"/>
      <c r="G47" s="65"/>
      <c r="H47" s="65"/>
      <c r="I47" s="65"/>
      <c r="J47" s="630"/>
      <c r="K47" s="631"/>
      <c r="L47" s="631"/>
      <c r="M47" s="631"/>
      <c r="N47" s="631"/>
      <c r="O47" s="632"/>
      <c r="P47" s="630"/>
      <c r="Q47" s="631"/>
      <c r="R47" s="631"/>
      <c r="S47" s="631"/>
      <c r="T47" s="631"/>
      <c r="U47" s="632"/>
      <c r="V47" s="630"/>
      <c r="W47" s="631"/>
      <c r="X47" s="631"/>
      <c r="Y47" s="631"/>
      <c r="Z47" s="631"/>
      <c r="AA47" s="632"/>
      <c r="AB47" s="630"/>
      <c r="AC47" s="631"/>
      <c r="AD47" s="631"/>
      <c r="AE47" s="631"/>
      <c r="AF47" s="631"/>
      <c r="AG47" s="632"/>
      <c r="AH47" s="630"/>
      <c r="AI47" s="631"/>
      <c r="AJ47" s="631"/>
      <c r="AK47" s="631"/>
      <c r="AL47" s="631"/>
      <c r="AM47" s="632"/>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x14ac:dyDescent="0.3">
      <c r="A48" s="65"/>
      <c r="B48" s="65"/>
      <c r="C48" s="65"/>
      <c r="D48" s="65"/>
      <c r="E48" s="65"/>
      <c r="F48" s="65"/>
      <c r="G48" s="65"/>
      <c r="H48" s="65"/>
      <c r="I48" s="65"/>
      <c r="J48" s="630"/>
      <c r="K48" s="631"/>
      <c r="L48" s="631"/>
      <c r="M48" s="631"/>
      <c r="N48" s="631"/>
      <c r="O48" s="632"/>
      <c r="P48" s="630"/>
      <c r="Q48" s="631"/>
      <c r="R48" s="631"/>
      <c r="S48" s="631"/>
      <c r="T48" s="631"/>
      <c r="U48" s="632"/>
      <c r="V48" s="630"/>
      <c r="W48" s="631"/>
      <c r="X48" s="631"/>
      <c r="Y48" s="631"/>
      <c r="Z48" s="631"/>
      <c r="AA48" s="632"/>
      <c r="AB48" s="630"/>
      <c r="AC48" s="631"/>
      <c r="AD48" s="631"/>
      <c r="AE48" s="631"/>
      <c r="AF48" s="631"/>
      <c r="AG48" s="632"/>
      <c r="AH48" s="630"/>
      <c r="AI48" s="631"/>
      <c r="AJ48" s="631"/>
      <c r="AK48" s="631"/>
      <c r="AL48" s="631"/>
      <c r="AM48" s="632"/>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x14ac:dyDescent="0.3">
      <c r="A49" s="65"/>
      <c r="B49" s="65"/>
      <c r="C49" s="65"/>
      <c r="D49" s="65"/>
      <c r="E49" s="65"/>
      <c r="F49" s="65"/>
      <c r="G49" s="65"/>
      <c r="H49" s="65"/>
      <c r="I49" s="65"/>
      <c r="J49" s="630"/>
      <c r="K49" s="631"/>
      <c r="L49" s="631"/>
      <c r="M49" s="631"/>
      <c r="N49" s="631"/>
      <c r="O49" s="632"/>
      <c r="P49" s="630"/>
      <c r="Q49" s="631"/>
      <c r="R49" s="631"/>
      <c r="S49" s="631"/>
      <c r="T49" s="631"/>
      <c r="U49" s="632"/>
      <c r="V49" s="630"/>
      <c r="W49" s="631"/>
      <c r="X49" s="631"/>
      <c r="Y49" s="631"/>
      <c r="Z49" s="631"/>
      <c r="AA49" s="632"/>
      <c r="AB49" s="630"/>
      <c r="AC49" s="631"/>
      <c r="AD49" s="631"/>
      <c r="AE49" s="631"/>
      <c r="AF49" s="631"/>
      <c r="AG49" s="632"/>
      <c r="AH49" s="630"/>
      <c r="AI49" s="631"/>
      <c r="AJ49" s="631"/>
      <c r="AK49" s="631"/>
      <c r="AL49" s="631"/>
      <c r="AM49" s="632"/>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x14ac:dyDescent="0.3">
      <c r="A50" s="65"/>
      <c r="B50" s="65"/>
      <c r="C50" s="65"/>
      <c r="D50" s="65"/>
      <c r="E50" s="65"/>
      <c r="F50" s="65"/>
      <c r="G50" s="65"/>
      <c r="H50" s="65"/>
      <c r="I50" s="65"/>
      <c r="J50" s="630"/>
      <c r="K50" s="631"/>
      <c r="L50" s="631"/>
      <c r="M50" s="631"/>
      <c r="N50" s="631"/>
      <c r="O50" s="632"/>
      <c r="P50" s="630"/>
      <c r="Q50" s="631"/>
      <c r="R50" s="631"/>
      <c r="S50" s="631"/>
      <c r="T50" s="631"/>
      <c r="U50" s="632"/>
      <c r="V50" s="630"/>
      <c r="W50" s="631"/>
      <c r="X50" s="631"/>
      <c r="Y50" s="631"/>
      <c r="Z50" s="631"/>
      <c r="AA50" s="632"/>
      <c r="AB50" s="630"/>
      <c r="AC50" s="631"/>
      <c r="AD50" s="631"/>
      <c r="AE50" s="631"/>
      <c r="AF50" s="631"/>
      <c r="AG50" s="632"/>
      <c r="AH50" s="630"/>
      <c r="AI50" s="631"/>
      <c r="AJ50" s="631"/>
      <c r="AK50" s="631"/>
      <c r="AL50" s="631"/>
      <c r="AM50" s="632"/>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thickBot="1" x14ac:dyDescent="0.35">
      <c r="A51" s="65"/>
      <c r="B51" s="65"/>
      <c r="C51" s="65"/>
      <c r="D51" s="65"/>
      <c r="E51" s="65"/>
      <c r="F51" s="65"/>
      <c r="G51" s="65"/>
      <c r="H51" s="65"/>
      <c r="I51" s="65"/>
      <c r="J51" s="633"/>
      <c r="K51" s="634"/>
      <c r="L51" s="634"/>
      <c r="M51" s="634"/>
      <c r="N51" s="634"/>
      <c r="O51" s="635"/>
      <c r="P51" s="633"/>
      <c r="Q51" s="634"/>
      <c r="R51" s="634"/>
      <c r="S51" s="634"/>
      <c r="T51" s="634"/>
      <c r="U51" s="635"/>
      <c r="V51" s="633"/>
      <c r="W51" s="634"/>
      <c r="X51" s="634"/>
      <c r="Y51" s="634"/>
      <c r="Z51" s="634"/>
      <c r="AA51" s="635"/>
      <c r="AB51" s="633"/>
      <c r="AC51" s="634"/>
      <c r="AD51" s="634"/>
      <c r="AE51" s="634"/>
      <c r="AF51" s="634"/>
      <c r="AG51" s="635"/>
      <c r="AH51" s="633"/>
      <c r="AI51" s="634"/>
      <c r="AJ51" s="634"/>
      <c r="AK51" s="634"/>
      <c r="AL51" s="634"/>
      <c r="AM51" s="63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row>
    <row r="63" spans="1:80"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row>
    <row r="64" spans="1:80"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row>
    <row r="65" spans="1:8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row>
    <row r="66" spans="1:8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row>
    <row r="67" spans="1:8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row>
    <row r="68" spans="1:8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row>
    <row r="69" spans="1:8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row>
    <row r="70" spans="1:8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row>
    <row r="71" spans="1:8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row>
    <row r="72" spans="1:8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row>
    <row r="73" spans="1:8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row>
    <row r="74" spans="1:8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row>
    <row r="75" spans="1:8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row>
    <row r="76" spans="1:8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row>
    <row r="77" spans="1:8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row>
    <row r="78" spans="1:8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row>
    <row r="79" spans="1:8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row>
    <row r="80" spans="1:8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row>
    <row r="81" spans="1:63"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row>
    <row r="82" spans="1:63"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row>
    <row r="83" spans="1:63"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row>
    <row r="84" spans="1:63"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row>
    <row r="85" spans="1:63"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row>
    <row r="86" spans="1:63"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row>
    <row r="87" spans="1:63"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row>
    <row r="88" spans="1:63"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row>
    <row r="89" spans="1:63"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row>
    <row r="90" spans="1:63"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row>
    <row r="91" spans="1:63"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row>
    <row r="92" spans="1:63"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row>
    <row r="93" spans="1:63"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row>
    <row r="94" spans="1:63"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row>
    <row r="95" spans="1:63"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row>
    <row r="96" spans="1:63"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row>
    <row r="97" spans="1:63"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row>
    <row r="98" spans="1:63"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row>
    <row r="99" spans="1:63"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row>
    <row r="100" spans="1:63"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row>
    <row r="102" spans="1:63"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row>
    <row r="103" spans="1:63"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row>
    <row r="104" spans="1:63"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row>
    <row r="105" spans="1:63"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row>
    <row r="106" spans="1:63"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row>
    <row r="107" spans="1:63"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row>
    <row r="108" spans="1:63"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row>
    <row r="109" spans="1:63"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row>
    <row r="110" spans="1:63"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row>
    <row r="111" spans="1:63"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row>
    <row r="112" spans="1:63"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row>
    <row r="113" spans="1:63"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row>
    <row r="114" spans="1:63"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row>
    <row r="115" spans="1:63"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row>
    <row r="116" spans="1:63"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row>
    <row r="117" spans="1:63"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row>
    <row r="118" spans="1:63"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row>
    <row r="119" spans="1:63"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row>
    <row r="120" spans="1:63"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row>
    <row r="121" spans="1:63"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row>
    <row r="122" spans="1:63" x14ac:dyDescent="0.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row>
    <row r="123" spans="1:63" x14ac:dyDescent="0.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row>
    <row r="124" spans="1:63" x14ac:dyDescent="0.3">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row>
    <row r="125" spans="1:63" x14ac:dyDescent="0.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row>
    <row r="126" spans="1:63" x14ac:dyDescent="0.3">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row>
    <row r="127" spans="1:63" x14ac:dyDescent="0.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row>
    <row r="128" spans="1:63" x14ac:dyDescent="0.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row>
    <row r="129" spans="2:63" x14ac:dyDescent="0.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row>
    <row r="130" spans="2:63" x14ac:dyDescent="0.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row>
    <row r="131" spans="2:63" x14ac:dyDescent="0.3">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row>
    <row r="132" spans="2:63" x14ac:dyDescent="0.3">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row>
    <row r="133" spans="2:63" x14ac:dyDescent="0.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row>
    <row r="134" spans="2:63" x14ac:dyDescent="0.3">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row>
    <row r="135" spans="2:63"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row>
    <row r="136" spans="2:63" x14ac:dyDescent="0.3">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row>
    <row r="137" spans="2:63" x14ac:dyDescent="0.3">
      <c r="B137" s="65"/>
      <c r="C137" s="65"/>
      <c r="D137" s="65"/>
      <c r="E137" s="65"/>
      <c r="F137" s="65"/>
      <c r="G137" s="65"/>
      <c r="H137" s="65"/>
      <c r="I137" s="65"/>
    </row>
    <row r="138" spans="2:63" x14ac:dyDescent="0.3">
      <c r="B138" s="65"/>
      <c r="C138" s="65"/>
      <c r="D138" s="65"/>
      <c r="E138" s="65"/>
      <c r="F138" s="65"/>
      <c r="G138" s="65"/>
      <c r="H138" s="65"/>
      <c r="I138" s="65"/>
    </row>
    <row r="139" spans="2:63" x14ac:dyDescent="0.3">
      <c r="B139" s="65"/>
      <c r="C139" s="65"/>
      <c r="D139" s="65"/>
      <c r="E139" s="65"/>
      <c r="F139" s="65"/>
      <c r="G139" s="65"/>
      <c r="H139" s="65"/>
      <c r="I139" s="65"/>
    </row>
    <row r="140" spans="2:63" x14ac:dyDescent="0.3">
      <c r="B140" s="65"/>
      <c r="C140" s="65"/>
      <c r="D140" s="65"/>
      <c r="E140" s="65"/>
      <c r="F140" s="65"/>
      <c r="G140" s="65"/>
      <c r="H140" s="65"/>
      <c r="I140" s="65"/>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row>
    <row r="2" spans="1:91" ht="18" customHeight="1" x14ac:dyDescent="0.3">
      <c r="A2" s="65"/>
      <c r="B2" s="704" t="s">
        <v>148</v>
      </c>
      <c r="C2" s="705"/>
      <c r="D2" s="705"/>
      <c r="E2" s="705"/>
      <c r="F2" s="705"/>
      <c r="G2" s="705"/>
      <c r="H2" s="705"/>
      <c r="I2" s="705"/>
      <c r="J2" s="626" t="s">
        <v>2</v>
      </c>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row>
    <row r="3" spans="1:91" ht="18.75" customHeight="1" x14ac:dyDescent="0.3">
      <c r="A3" s="65"/>
      <c r="B3" s="705"/>
      <c r="C3" s="705"/>
      <c r="D3" s="705"/>
      <c r="E3" s="705"/>
      <c r="F3" s="705"/>
      <c r="G3" s="705"/>
      <c r="H3" s="705"/>
      <c r="I3" s="705"/>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row>
    <row r="4" spans="1:91" ht="15" customHeight="1" x14ac:dyDescent="0.3">
      <c r="A4" s="65"/>
      <c r="B4" s="705"/>
      <c r="C4" s="705"/>
      <c r="D4" s="705"/>
      <c r="E4" s="705"/>
      <c r="F4" s="705"/>
      <c r="G4" s="705"/>
      <c r="H4" s="705"/>
      <c r="I4" s="705"/>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row>
    <row r="6" spans="1:91" ht="15" customHeight="1" x14ac:dyDescent="0.3">
      <c r="A6" s="65"/>
      <c r="B6" s="637" t="s">
        <v>4</v>
      </c>
      <c r="C6" s="637"/>
      <c r="D6" s="638"/>
      <c r="E6" s="675" t="s">
        <v>111</v>
      </c>
      <c r="F6" s="676"/>
      <c r="G6" s="676"/>
      <c r="H6" s="676"/>
      <c r="I6" s="677"/>
      <c r="J6" s="28" t="str">
        <f>IF(AND('Mapa final'!$AB$10="Muy Alta",'Mapa final'!$AD$10="Leve"),CONCATENATE("R1C",'Mapa final'!$R$10),"")</f>
        <v/>
      </c>
      <c r="K6" s="29" t="str">
        <f>IF(AND('Mapa final'!$AB$11="Muy Alta",'Mapa final'!$AD$11="Leve"),CONCATENATE("R1C",'Mapa final'!$R$11),"")</f>
        <v/>
      </c>
      <c r="L6" s="29" t="str">
        <f>IF(AND('Mapa final'!$AB$12="Muy Alta",'Mapa final'!$AD$12="Leve"),CONCATENATE("R1C",'Mapa final'!$R$12),"")</f>
        <v/>
      </c>
      <c r="M6" s="29" t="str">
        <f>IF(AND('Mapa final'!$AB$13="Muy Alta",'Mapa final'!$AD$13="Leve"),CONCATENATE("R1C",'Mapa final'!$R$13),"")</f>
        <v/>
      </c>
      <c r="N6" s="29" t="e">
        <f>IF(AND('Mapa final'!#REF!="Muy Alta",'Mapa final'!#REF!="Leve"),CONCATENATE("R1C",'Mapa final'!#REF!),"")</f>
        <v>#REF!</v>
      </c>
      <c r="O6" s="30" t="e">
        <f>IF(AND('Mapa final'!#REF!="Muy Alta",'Mapa final'!#REF!="Leve"),CONCATENATE("R1C",'Mapa final'!#REF!),"")</f>
        <v>#REF!</v>
      </c>
      <c r="P6" s="28" t="str">
        <f>IF(AND('Mapa final'!$AB$10="Muy Alta",'Mapa final'!$AD$10="Menor"),CONCATENATE("R1C",'Mapa final'!$R$10),"")</f>
        <v/>
      </c>
      <c r="Q6" s="29" t="str">
        <f>IF(AND('Mapa final'!$AB$11="Muy Alta",'Mapa final'!$AD$11="Menor"),CONCATENATE("R1C",'Mapa final'!$R$11),"")</f>
        <v/>
      </c>
      <c r="R6" s="29" t="str">
        <f>IF(AND('Mapa final'!$AB$12="Muy Alta",'Mapa final'!$AD$12="Menor"),CONCATENATE("R1C",'Mapa final'!$R$12),"")</f>
        <v/>
      </c>
      <c r="S6" s="29" t="str">
        <f>IF(AND('Mapa final'!$AB$13="Muy Alta",'Mapa final'!$AD$13="Menor"),CONCATENATE("R1C",'Mapa final'!$R$13),"")</f>
        <v/>
      </c>
      <c r="T6" s="29" t="e">
        <f>IF(AND('Mapa final'!#REF!="Muy Alta",'Mapa final'!#REF!="Menor"),CONCATENATE("R1C",'Mapa final'!#REF!),"")</f>
        <v>#REF!</v>
      </c>
      <c r="U6" s="30" t="e">
        <f>IF(AND('Mapa final'!#REF!="Muy Alta",'Mapa final'!#REF!="Menor"),CONCATENATE("R1C",'Mapa final'!#REF!),"")</f>
        <v>#REF!</v>
      </c>
      <c r="V6" s="28" t="str">
        <f>IF(AND('Mapa final'!$AB$10="Muy Alta",'Mapa final'!$AD$10="Moderado"),CONCATENATE("R1C",'Mapa final'!$R$10),"")</f>
        <v/>
      </c>
      <c r="W6" s="29" t="str">
        <f>IF(AND('Mapa final'!$AB$11="Muy Alta",'Mapa final'!$AD$11="Moderado"),CONCATENATE("R1C",'Mapa final'!$R$11),"")</f>
        <v/>
      </c>
      <c r="X6" s="29" t="str">
        <f>IF(AND('Mapa final'!$AB$12="Muy Alta",'Mapa final'!$AD$12="Moderado"),CONCATENATE("R1C",'Mapa final'!$R$12),"")</f>
        <v/>
      </c>
      <c r="Y6" s="29" t="str">
        <f>IF(AND('Mapa final'!$AB$13="Muy Alta",'Mapa final'!$AD$13="Moderado"),CONCATENATE("R1C",'Mapa final'!$R$13),"")</f>
        <v/>
      </c>
      <c r="Z6" s="29" t="e">
        <f>IF(AND('Mapa final'!#REF!="Muy Alta",'Mapa final'!#REF!="Moderado"),CONCATENATE("R1C",'Mapa final'!#REF!),"")</f>
        <v>#REF!</v>
      </c>
      <c r="AA6" s="30" t="e">
        <f>IF(AND('Mapa final'!#REF!="Muy Alta",'Mapa final'!#REF!="Moderado"),CONCATENATE("R1C",'Mapa final'!#REF!),"")</f>
        <v>#REF!</v>
      </c>
      <c r="AB6" s="28" t="str">
        <f>IF(AND('Mapa final'!$AB$10="Muy Alta",'Mapa final'!$AD$10="Mayor"),CONCATENATE("R1C",'Mapa final'!$R$10),"")</f>
        <v/>
      </c>
      <c r="AC6" s="29" t="str">
        <f>IF(AND('Mapa final'!$AB$11="Muy Alta",'Mapa final'!$AD$11="Mayor"),CONCATENATE("R1C",'Mapa final'!$R$11),"")</f>
        <v/>
      </c>
      <c r="AD6" s="29" t="str">
        <f>IF(AND('Mapa final'!$AB$12="Muy Alta",'Mapa final'!$AD$12="Mayor"),CONCATENATE("R1C",'Mapa final'!$R$12),"")</f>
        <v/>
      </c>
      <c r="AE6" s="29" t="str">
        <f>IF(AND('Mapa final'!$AB$13="Muy Alta",'Mapa final'!$AD$13="Mayor"),CONCATENATE("R1C",'Mapa final'!$R$13),"")</f>
        <v/>
      </c>
      <c r="AF6" s="29" t="e">
        <f>IF(AND('Mapa final'!#REF!="Muy Alta",'Mapa final'!#REF!="Mayor"),CONCATENATE("R1C",'Mapa final'!#REF!),"")</f>
        <v>#REF!</v>
      </c>
      <c r="AG6" s="30" t="e">
        <f>IF(AND('Mapa final'!#REF!="Muy Alta",'Mapa final'!#REF!="Mayor"),CONCATENATE("R1C",'Mapa final'!#REF!),"")</f>
        <v>#REF!</v>
      </c>
      <c r="AH6" s="31" t="str">
        <f>IF(AND('Mapa final'!$AB$10="Muy Alta",'Mapa final'!$AD$10="Catastrófico"),CONCATENATE("R1C",'Mapa final'!$R$10),"")</f>
        <v/>
      </c>
      <c r="AI6" s="32" t="str">
        <f>IF(AND('Mapa final'!$AB$11="Muy Alta",'Mapa final'!$AD$11="Catastrófico"),CONCATENATE("R1C",'Mapa final'!$R$11),"")</f>
        <v/>
      </c>
      <c r="AJ6" s="32" t="str">
        <f>IF(AND('Mapa final'!$AB$12="Muy Alta",'Mapa final'!$AD$12="Catastrófico"),CONCATENATE("R1C",'Mapa final'!$R$12),"")</f>
        <v/>
      </c>
      <c r="AK6" s="32" t="str">
        <f>IF(AND('Mapa final'!$AB$13="Muy Alta",'Mapa final'!$AD$13="Catastrófico"),CONCATENATE("R1C",'Mapa final'!$R$13),"")</f>
        <v/>
      </c>
      <c r="AL6" s="32" t="e">
        <f>IF(AND('Mapa final'!#REF!="Muy Alta",'Mapa final'!#REF!="Catastrófico"),CONCATENATE("R1C",'Mapa final'!#REF!),"")</f>
        <v>#REF!</v>
      </c>
      <c r="AM6" s="33" t="e">
        <f>IF(AND('Mapa final'!#REF!="Muy Alta",'Mapa final'!#REF!="Catastrófico"),CONCATENATE("R1C",'Mapa final'!#REF!),"")</f>
        <v>#REF!</v>
      </c>
      <c r="AN6" s="65"/>
      <c r="AO6" s="695" t="s">
        <v>78</v>
      </c>
      <c r="AP6" s="696"/>
      <c r="AQ6" s="696"/>
      <c r="AR6" s="696"/>
      <c r="AS6" s="696"/>
      <c r="AT6" s="697"/>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row>
    <row r="7" spans="1:91" ht="15" customHeight="1" x14ac:dyDescent="0.3">
      <c r="A7" s="65"/>
      <c r="B7" s="637"/>
      <c r="C7" s="637"/>
      <c r="D7" s="638"/>
      <c r="E7" s="678"/>
      <c r="F7" s="679"/>
      <c r="G7" s="679"/>
      <c r="H7" s="679"/>
      <c r="I7" s="680"/>
      <c r="J7" s="34" t="str">
        <f>IF(AND('Mapa final'!$AB$14="Muy Alta",'Mapa final'!$AD$14="Leve"),CONCATENATE("R2C",'Mapa final'!$R$14),"")</f>
        <v/>
      </c>
      <c r="K7" s="35" t="e">
        <f>IF(AND('Mapa final'!#REF!="Muy Alta",'Mapa final'!#REF!="Leve"),CONCATENATE("R2C",'Mapa final'!#REF!),"")</f>
        <v>#REF!</v>
      </c>
      <c r="L7" s="35" t="e">
        <f>IF(AND('Mapa final'!#REF!="Muy Alta",'Mapa final'!#REF!="Leve"),CONCATENATE("R2C",'Mapa final'!#REF!),"")</f>
        <v>#REF!</v>
      </c>
      <c r="M7" s="35" t="e">
        <f>IF(AND('Mapa final'!#REF!="Muy Alta",'Mapa final'!#REF!="Leve"),CONCATENATE("R2C",'Mapa final'!#REF!),"")</f>
        <v>#REF!</v>
      </c>
      <c r="N7" s="35" t="e">
        <f>IF(AND('Mapa final'!#REF!="Muy Alta",'Mapa final'!#REF!="Leve"),CONCATENATE("R2C",'Mapa final'!#REF!),"")</f>
        <v>#REF!</v>
      </c>
      <c r="O7" s="36" t="e">
        <f>IF(AND('Mapa final'!#REF!="Muy Alta",'Mapa final'!#REF!="Leve"),CONCATENATE("R2C",'Mapa final'!#REF!),"")</f>
        <v>#REF!</v>
      </c>
      <c r="P7" s="34" t="str">
        <f>IF(AND('Mapa final'!$AB$14="Muy Alta",'Mapa final'!$AD$14="Menor"),CONCATENATE("R2C",'Mapa final'!$R$14),"")</f>
        <v/>
      </c>
      <c r="Q7" s="35" t="e">
        <f>IF(AND('Mapa final'!#REF!="Muy Alta",'Mapa final'!#REF!="Menor"),CONCATENATE("R2C",'Mapa final'!#REF!),"")</f>
        <v>#REF!</v>
      </c>
      <c r="R7" s="35" t="e">
        <f>IF(AND('Mapa final'!#REF!="Muy Alta",'Mapa final'!#REF!="Menor"),CONCATENATE("R2C",'Mapa final'!#REF!),"")</f>
        <v>#REF!</v>
      </c>
      <c r="S7" s="35" t="e">
        <f>IF(AND('Mapa final'!#REF!="Muy Alta",'Mapa final'!#REF!="Menor"),CONCATENATE("R2C",'Mapa final'!#REF!),"")</f>
        <v>#REF!</v>
      </c>
      <c r="T7" s="35" t="e">
        <f>IF(AND('Mapa final'!#REF!="Muy Alta",'Mapa final'!#REF!="Menor"),CONCATENATE("R2C",'Mapa final'!#REF!),"")</f>
        <v>#REF!</v>
      </c>
      <c r="U7" s="36" t="e">
        <f>IF(AND('Mapa final'!#REF!="Muy Alta",'Mapa final'!#REF!="Menor"),CONCATENATE("R2C",'Mapa final'!#REF!),"")</f>
        <v>#REF!</v>
      </c>
      <c r="V7" s="34" t="str">
        <f>IF(AND('Mapa final'!$AB$14="Muy Alta",'Mapa final'!$AD$14="Moderado"),CONCATENATE("R2C",'Mapa final'!$R$14),"")</f>
        <v/>
      </c>
      <c r="W7" s="35" t="e">
        <f>IF(AND('Mapa final'!#REF!="Muy Alta",'Mapa final'!#REF!="Moderado"),CONCATENATE("R2C",'Mapa final'!#REF!),"")</f>
        <v>#REF!</v>
      </c>
      <c r="X7" s="35" t="e">
        <f>IF(AND('Mapa final'!#REF!="Muy Alta",'Mapa final'!#REF!="Moderado"),CONCATENATE("R2C",'Mapa final'!#REF!),"")</f>
        <v>#REF!</v>
      </c>
      <c r="Y7" s="35" t="e">
        <f>IF(AND('Mapa final'!#REF!="Muy Alta",'Mapa final'!#REF!="Moderado"),CONCATENATE("R2C",'Mapa final'!#REF!),"")</f>
        <v>#REF!</v>
      </c>
      <c r="Z7" s="35" t="e">
        <f>IF(AND('Mapa final'!#REF!="Muy Alta",'Mapa final'!#REF!="Moderado"),CONCATENATE("R2C",'Mapa final'!#REF!),"")</f>
        <v>#REF!</v>
      </c>
      <c r="AA7" s="36" t="e">
        <f>IF(AND('Mapa final'!#REF!="Muy Alta",'Mapa final'!#REF!="Moderado"),CONCATENATE("R2C",'Mapa final'!#REF!),"")</f>
        <v>#REF!</v>
      </c>
      <c r="AB7" s="34" t="str">
        <f>IF(AND('Mapa final'!$AB$14="Muy Alta",'Mapa final'!$AD$14="Mayor"),CONCATENATE("R2C",'Mapa final'!$R$14),"")</f>
        <v/>
      </c>
      <c r="AC7" s="35" t="e">
        <f>IF(AND('Mapa final'!#REF!="Muy Alta",'Mapa final'!#REF!="Mayor"),CONCATENATE("R2C",'Mapa final'!#REF!),"")</f>
        <v>#REF!</v>
      </c>
      <c r="AD7" s="35" t="e">
        <f>IF(AND('Mapa final'!#REF!="Muy Alta",'Mapa final'!#REF!="Mayor"),CONCATENATE("R2C",'Mapa final'!#REF!),"")</f>
        <v>#REF!</v>
      </c>
      <c r="AE7" s="35" t="e">
        <f>IF(AND('Mapa final'!#REF!="Muy Alta",'Mapa final'!#REF!="Mayor"),CONCATENATE("R2C",'Mapa final'!#REF!),"")</f>
        <v>#REF!</v>
      </c>
      <c r="AF7" s="35" t="e">
        <f>IF(AND('Mapa final'!#REF!="Muy Alta",'Mapa final'!#REF!="Mayor"),CONCATENATE("R2C",'Mapa final'!#REF!),"")</f>
        <v>#REF!</v>
      </c>
      <c r="AG7" s="36" t="e">
        <f>IF(AND('Mapa final'!#REF!="Muy Alta",'Mapa final'!#REF!="Mayor"),CONCATENATE("R2C",'Mapa final'!#REF!),"")</f>
        <v>#REF!</v>
      </c>
      <c r="AH7" s="37" t="str">
        <f>IF(AND('Mapa final'!$AB$14="Muy Alta",'Mapa final'!$AD$14="Catastrófico"),CONCATENATE("R2C",'Mapa final'!$R$14),"")</f>
        <v/>
      </c>
      <c r="AI7" s="38" t="e">
        <f>IF(AND('Mapa final'!#REF!="Muy Alta",'Mapa final'!#REF!="Catastrófico"),CONCATENATE("R2C",'Mapa final'!#REF!),"")</f>
        <v>#REF!</v>
      </c>
      <c r="AJ7" s="38" t="e">
        <f>IF(AND('Mapa final'!#REF!="Muy Alta",'Mapa final'!#REF!="Catastrófico"),CONCATENATE("R2C",'Mapa final'!#REF!),"")</f>
        <v>#REF!</v>
      </c>
      <c r="AK7" s="38" t="e">
        <f>IF(AND('Mapa final'!#REF!="Muy Alta",'Mapa final'!#REF!="Catastrófico"),CONCATENATE("R2C",'Mapa final'!#REF!),"")</f>
        <v>#REF!</v>
      </c>
      <c r="AL7" s="38" t="e">
        <f>IF(AND('Mapa final'!#REF!="Muy Alta",'Mapa final'!#REF!="Catastrófico"),CONCATENATE("R2C",'Mapa final'!#REF!),"")</f>
        <v>#REF!</v>
      </c>
      <c r="AM7" s="39" t="e">
        <f>IF(AND('Mapa final'!#REF!="Muy Alta",'Mapa final'!#REF!="Catastrófico"),CONCATENATE("R2C",'Mapa final'!#REF!),"")</f>
        <v>#REF!</v>
      </c>
      <c r="AN7" s="65"/>
      <c r="AO7" s="698"/>
      <c r="AP7" s="699"/>
      <c r="AQ7" s="699"/>
      <c r="AR7" s="699"/>
      <c r="AS7" s="699"/>
      <c r="AT7" s="700"/>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row>
    <row r="8" spans="1:91" ht="15" customHeight="1" x14ac:dyDescent="0.3">
      <c r="A8" s="65"/>
      <c r="B8" s="637"/>
      <c r="C8" s="637"/>
      <c r="D8" s="638"/>
      <c r="E8" s="678"/>
      <c r="F8" s="679"/>
      <c r="G8" s="679"/>
      <c r="H8" s="679"/>
      <c r="I8" s="680"/>
      <c r="J8" s="34" t="str">
        <f>IF(AND('Mapa final'!$AB$15="Muy Alta",'Mapa final'!$AD$15="Leve"),CONCATENATE("R3C",'Mapa final'!$R$15),"")</f>
        <v/>
      </c>
      <c r="K8" s="35" t="str">
        <f>IF(AND('Mapa final'!$AB$16="Muy Alta",'Mapa final'!$AD$16="Leve"),CONCATENATE("R3C",'Mapa final'!$R$16),"")</f>
        <v/>
      </c>
      <c r="L8" s="35" t="str">
        <f>IF(AND('Mapa final'!$AB$17="Muy Alta",'Mapa final'!$AD$17="Leve"),CONCATENATE("R3C",'Mapa final'!$R$17),"")</f>
        <v/>
      </c>
      <c r="M8" s="35" t="str">
        <f>IF(AND('Mapa final'!$AB$18="Muy Alta",'Mapa final'!$AD$18="Leve"),CONCATENATE("R3C",'Mapa final'!$R$18),"")</f>
        <v/>
      </c>
      <c r="N8" s="35" t="str">
        <f>IF(AND('Mapa final'!$AB$19="Muy Alta",'Mapa final'!$AD$19="Leve"),CONCATENATE("R3C",'Mapa final'!$R$19),"")</f>
        <v/>
      </c>
      <c r="O8" s="36" t="str">
        <f>IF(AND('Mapa final'!$AB$20="Muy Alta",'Mapa final'!$AD$20="Leve"),CONCATENATE("R3C",'Mapa final'!$R$20),"")</f>
        <v/>
      </c>
      <c r="P8" s="34" t="str">
        <f>IF(AND('Mapa final'!$AB$15="Muy Alta",'Mapa final'!$AD$15="Menor"),CONCATENATE("R3C",'Mapa final'!$R$15),"")</f>
        <v/>
      </c>
      <c r="Q8" s="35" t="str">
        <f>IF(AND('Mapa final'!$AB$16="Muy Alta",'Mapa final'!$AD$16="Menor"),CONCATENATE("R3C",'Mapa final'!$R$16),"")</f>
        <v/>
      </c>
      <c r="R8" s="35" t="str">
        <f>IF(AND('Mapa final'!$AB$17="Muy Alta",'Mapa final'!$AD$17="Menor"),CONCATENATE("R3C",'Mapa final'!$R$17),"")</f>
        <v/>
      </c>
      <c r="S8" s="35" t="str">
        <f>IF(AND('Mapa final'!$AB$18="Muy Alta",'Mapa final'!$AD$18="Menor"),CONCATENATE("R3C",'Mapa final'!$R$18),"")</f>
        <v/>
      </c>
      <c r="T8" s="35" t="str">
        <f>IF(AND('Mapa final'!$AB$19="Muy Alta",'Mapa final'!$AD$19="Menor"),CONCATENATE("R3C",'Mapa final'!$R$19),"")</f>
        <v/>
      </c>
      <c r="U8" s="36" t="str">
        <f>IF(AND('Mapa final'!$AB$20="Muy Alta",'Mapa final'!$AD$20="Menor"),CONCATENATE("R3C",'Mapa final'!$R$20),"")</f>
        <v/>
      </c>
      <c r="V8" s="34" t="str">
        <f>IF(AND('Mapa final'!$AB$15="Muy Alta",'Mapa final'!$AD$15="Moderado"),CONCATENATE("R3C",'Mapa final'!$R$15),"")</f>
        <v/>
      </c>
      <c r="W8" s="35" t="str">
        <f>IF(AND('Mapa final'!$AB$16="Muy Alta",'Mapa final'!$AD$16="Moderado"),CONCATENATE("R3C",'Mapa final'!$R$16),"")</f>
        <v/>
      </c>
      <c r="X8" s="35" t="str">
        <f>IF(AND('Mapa final'!$AB$17="Muy Alta",'Mapa final'!$AD$17="Moderado"),CONCATENATE("R3C",'Mapa final'!$R$17),"")</f>
        <v/>
      </c>
      <c r="Y8" s="35" t="str">
        <f>IF(AND('Mapa final'!$AB$18="Muy Alta",'Mapa final'!$AD$18="Moderado"),CONCATENATE("R3C",'Mapa final'!$R$18),"")</f>
        <v/>
      </c>
      <c r="Z8" s="35" t="str">
        <f>IF(AND('Mapa final'!$AB$19="Muy Alta",'Mapa final'!$AD$19="Moderado"),CONCATENATE("R3C",'Mapa final'!$R$19),"")</f>
        <v/>
      </c>
      <c r="AA8" s="36" t="str">
        <f>IF(AND('Mapa final'!$AB$20="Muy Alta",'Mapa final'!$AD$20="Moderado"),CONCATENATE("R3C",'Mapa final'!$R$20),"")</f>
        <v/>
      </c>
      <c r="AB8" s="34" t="str">
        <f>IF(AND('Mapa final'!$AB$15="Muy Alta",'Mapa final'!$AD$15="Mayor"),CONCATENATE("R3C",'Mapa final'!$R$15),"")</f>
        <v/>
      </c>
      <c r="AC8" s="35" t="str">
        <f>IF(AND('Mapa final'!$AB$16="Muy Alta",'Mapa final'!$AD$16="Mayor"),CONCATENATE("R3C",'Mapa final'!$R$16),"")</f>
        <v/>
      </c>
      <c r="AD8" s="35" t="str">
        <f>IF(AND('Mapa final'!$AB$17="Muy Alta",'Mapa final'!$AD$17="Mayor"),CONCATENATE("R3C",'Mapa final'!$R$17),"")</f>
        <v/>
      </c>
      <c r="AE8" s="35" t="str">
        <f>IF(AND('Mapa final'!$AB$18="Muy Alta",'Mapa final'!$AD$18="Mayor"),CONCATENATE("R3C",'Mapa final'!$R$18),"")</f>
        <v/>
      </c>
      <c r="AF8" s="35" t="str">
        <f>IF(AND('Mapa final'!$AB$19="Muy Alta",'Mapa final'!$AD$19="Mayor"),CONCATENATE("R3C",'Mapa final'!$R$19),"")</f>
        <v/>
      </c>
      <c r="AG8" s="36" t="str">
        <f>IF(AND('Mapa final'!$AB$20="Muy Alta",'Mapa final'!$AD$20="Mayor"),CONCATENATE("R3C",'Mapa final'!$R$20),"")</f>
        <v/>
      </c>
      <c r="AH8" s="37" t="str">
        <f>IF(AND('Mapa final'!$AB$15="Muy Alta",'Mapa final'!$AD$15="Catastrófico"),CONCATENATE("R3C",'Mapa final'!$R$15),"")</f>
        <v/>
      </c>
      <c r="AI8" s="38" t="str">
        <f>IF(AND('Mapa final'!$AB$16="Muy Alta",'Mapa final'!$AD$16="Catastrófico"),CONCATENATE("R3C",'Mapa final'!$R$16),"")</f>
        <v/>
      </c>
      <c r="AJ8" s="38" t="str">
        <f>IF(AND('Mapa final'!$AB$17="Muy Alta",'Mapa final'!$AD$17="Catastrófico"),CONCATENATE("R3C",'Mapa final'!$R$17),"")</f>
        <v/>
      </c>
      <c r="AK8" s="38" t="str">
        <f>IF(AND('Mapa final'!$AB$18="Muy Alta",'Mapa final'!$AD$18="Catastrófico"),CONCATENATE("R3C",'Mapa final'!$R$18),"")</f>
        <v/>
      </c>
      <c r="AL8" s="38" t="str">
        <f>IF(AND('Mapa final'!$AB$19="Muy Alta",'Mapa final'!$AD$19="Catastrófico"),CONCATENATE("R3C",'Mapa final'!$R$19),"")</f>
        <v/>
      </c>
      <c r="AM8" s="39" t="str">
        <f>IF(AND('Mapa final'!$AB$20="Muy Alta",'Mapa final'!$AD$20="Catastrófico"),CONCATENATE("R3C",'Mapa final'!$R$20),"")</f>
        <v/>
      </c>
      <c r="AN8" s="65"/>
      <c r="AO8" s="698"/>
      <c r="AP8" s="699"/>
      <c r="AQ8" s="699"/>
      <c r="AR8" s="699"/>
      <c r="AS8" s="699"/>
      <c r="AT8" s="700"/>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row>
    <row r="9" spans="1:91" ht="15" customHeight="1" x14ac:dyDescent="0.3">
      <c r="A9" s="65"/>
      <c r="B9" s="637"/>
      <c r="C9" s="637"/>
      <c r="D9" s="638"/>
      <c r="E9" s="678"/>
      <c r="F9" s="679"/>
      <c r="G9" s="679"/>
      <c r="H9" s="679"/>
      <c r="I9" s="680"/>
      <c r="J9" s="34" t="str">
        <f>IF(AND('Mapa final'!$AB$21="Muy Alta",'Mapa final'!$AD$21="Leve"),CONCATENATE("R4C",'Mapa final'!$R$21),"")</f>
        <v/>
      </c>
      <c r="K9" s="35" t="str">
        <f>IF(AND('Mapa final'!$AB$22="Muy Alta",'Mapa final'!$AD$22="Leve"),CONCATENATE("R4C",'Mapa final'!$R$22),"")</f>
        <v/>
      </c>
      <c r="L9" s="35" t="str">
        <f>IF(AND('Mapa final'!$AB$23="Muy Alta",'Mapa final'!$AD$23="Leve"),CONCATENATE("R4C",'Mapa final'!$R$23),"")</f>
        <v/>
      </c>
      <c r="M9" s="35" t="str">
        <f>IF(AND('Mapa final'!$AB$24="Muy Alta",'Mapa final'!$AD$24="Leve"),CONCATENATE("R4C",'Mapa final'!$R$24),"")</f>
        <v/>
      </c>
      <c r="N9" s="35" t="str">
        <f>IF(AND('Mapa final'!$AB$25="Muy Alta",'Mapa final'!$AD$25="Leve"),CONCATENATE("R4C",'Mapa final'!$R$25),"")</f>
        <v/>
      </c>
      <c r="O9" s="36" t="str">
        <f>IF(AND('Mapa final'!$AB$26="Muy Alta",'Mapa final'!$AD$26="Leve"),CONCATENATE("R4C",'Mapa final'!$R$26),"")</f>
        <v/>
      </c>
      <c r="P9" s="34" t="str">
        <f>IF(AND('Mapa final'!$AB$21="Muy Alta",'Mapa final'!$AD$21="Menor"),CONCATENATE("R4C",'Mapa final'!$R$21),"")</f>
        <v/>
      </c>
      <c r="Q9" s="35" t="str">
        <f>IF(AND('Mapa final'!$AB$22="Muy Alta",'Mapa final'!$AD$22="Menor"),CONCATENATE("R4C",'Mapa final'!$R$22),"")</f>
        <v/>
      </c>
      <c r="R9" s="35" t="str">
        <f>IF(AND('Mapa final'!$AB$23="Muy Alta",'Mapa final'!$AD$23="Menor"),CONCATENATE("R4C",'Mapa final'!$R$23),"")</f>
        <v/>
      </c>
      <c r="S9" s="35" t="str">
        <f>IF(AND('Mapa final'!$AB$24="Muy Alta",'Mapa final'!$AD$24="Menor"),CONCATENATE("R4C",'Mapa final'!$R$24),"")</f>
        <v/>
      </c>
      <c r="T9" s="35" t="str">
        <f>IF(AND('Mapa final'!$AB$25="Muy Alta",'Mapa final'!$AD$25="Menor"),CONCATENATE("R4C",'Mapa final'!$R$25),"")</f>
        <v/>
      </c>
      <c r="U9" s="36" t="str">
        <f>IF(AND('Mapa final'!$AB$26="Muy Alta",'Mapa final'!$AD$26="Menor"),CONCATENATE("R4C",'Mapa final'!$R$26),"")</f>
        <v/>
      </c>
      <c r="V9" s="34" t="str">
        <f>IF(AND('Mapa final'!$AB$21="Muy Alta",'Mapa final'!$AD$21="Moderado"),CONCATENATE("R4C",'Mapa final'!$R$21),"")</f>
        <v/>
      </c>
      <c r="W9" s="35" t="str">
        <f>IF(AND('Mapa final'!$AB$22="Muy Alta",'Mapa final'!$AD$22="Moderado"),CONCATENATE("R4C",'Mapa final'!$R$22),"")</f>
        <v/>
      </c>
      <c r="X9" s="35" t="str">
        <f>IF(AND('Mapa final'!$AB$23="Muy Alta",'Mapa final'!$AD$23="Moderado"),CONCATENATE("R4C",'Mapa final'!$R$23),"")</f>
        <v/>
      </c>
      <c r="Y9" s="35" t="str">
        <f>IF(AND('Mapa final'!$AB$24="Muy Alta",'Mapa final'!$AD$24="Moderado"),CONCATENATE("R4C",'Mapa final'!$R$24),"")</f>
        <v/>
      </c>
      <c r="Z9" s="35" t="str">
        <f>IF(AND('Mapa final'!$AB$25="Muy Alta",'Mapa final'!$AD$25="Moderado"),CONCATENATE("R4C",'Mapa final'!$R$25),"")</f>
        <v/>
      </c>
      <c r="AA9" s="36" t="str">
        <f>IF(AND('Mapa final'!$AB$26="Muy Alta",'Mapa final'!$AD$26="Moderado"),CONCATENATE("R4C",'Mapa final'!$R$26),"")</f>
        <v/>
      </c>
      <c r="AB9" s="34" t="str">
        <f>IF(AND('Mapa final'!$AB$21="Muy Alta",'Mapa final'!$AD$21="Mayor"),CONCATENATE("R4C",'Mapa final'!$R$21),"")</f>
        <v/>
      </c>
      <c r="AC9" s="35" t="str">
        <f>IF(AND('Mapa final'!$AB$22="Muy Alta",'Mapa final'!$AD$22="Mayor"),CONCATENATE("R4C",'Mapa final'!$R$22),"")</f>
        <v/>
      </c>
      <c r="AD9" s="35" t="str">
        <f>IF(AND('Mapa final'!$AB$23="Muy Alta",'Mapa final'!$AD$23="Mayor"),CONCATENATE("R4C",'Mapa final'!$R$23),"")</f>
        <v/>
      </c>
      <c r="AE9" s="35" t="str">
        <f>IF(AND('Mapa final'!$AB$24="Muy Alta",'Mapa final'!$AD$24="Mayor"),CONCATENATE("R4C",'Mapa final'!$R$24),"")</f>
        <v/>
      </c>
      <c r="AF9" s="35" t="str">
        <f>IF(AND('Mapa final'!$AB$25="Muy Alta",'Mapa final'!$AD$25="Mayor"),CONCATENATE("R4C",'Mapa final'!$R$25),"")</f>
        <v/>
      </c>
      <c r="AG9" s="36" t="str">
        <f>IF(AND('Mapa final'!$AB$26="Muy Alta",'Mapa final'!$AD$26="Mayor"),CONCATENATE("R4C",'Mapa final'!$R$26),"")</f>
        <v/>
      </c>
      <c r="AH9" s="37" t="str">
        <f>IF(AND('Mapa final'!$AB$21="Muy Alta",'Mapa final'!$AD$21="Catastrófico"),CONCATENATE("R4C",'Mapa final'!$R$21),"")</f>
        <v/>
      </c>
      <c r="AI9" s="38" t="str">
        <f>IF(AND('Mapa final'!$AB$22="Muy Alta",'Mapa final'!$AD$22="Catastrófico"),CONCATENATE("R4C",'Mapa final'!$R$22),"")</f>
        <v/>
      </c>
      <c r="AJ9" s="38" t="str">
        <f>IF(AND('Mapa final'!$AB$23="Muy Alta",'Mapa final'!$AD$23="Catastrófico"),CONCATENATE("R4C",'Mapa final'!$R$23),"")</f>
        <v/>
      </c>
      <c r="AK9" s="38" t="str">
        <f>IF(AND('Mapa final'!$AB$24="Muy Alta",'Mapa final'!$AD$24="Catastrófico"),CONCATENATE("R4C",'Mapa final'!$R$24),"")</f>
        <v/>
      </c>
      <c r="AL9" s="38" t="str">
        <f>IF(AND('Mapa final'!$AB$25="Muy Alta",'Mapa final'!$AD$25="Catastrófico"),CONCATENATE("R4C",'Mapa final'!$R$25),"")</f>
        <v/>
      </c>
      <c r="AM9" s="39" t="str">
        <f>IF(AND('Mapa final'!$AB$26="Muy Alta",'Mapa final'!$AD$26="Catastrófico"),CONCATENATE("R4C",'Mapa final'!$R$26),"")</f>
        <v/>
      </c>
      <c r="AN9" s="65"/>
      <c r="AO9" s="698"/>
      <c r="AP9" s="699"/>
      <c r="AQ9" s="699"/>
      <c r="AR9" s="699"/>
      <c r="AS9" s="699"/>
      <c r="AT9" s="700"/>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row>
    <row r="10" spans="1:91" ht="15" customHeight="1" x14ac:dyDescent="0.3">
      <c r="A10" s="65"/>
      <c r="B10" s="637"/>
      <c r="C10" s="637"/>
      <c r="D10" s="638"/>
      <c r="E10" s="678"/>
      <c r="F10" s="679"/>
      <c r="G10" s="679"/>
      <c r="H10" s="679"/>
      <c r="I10" s="680"/>
      <c r="J10" s="34" t="str">
        <f>IF(AND('Mapa final'!$AB$27="Muy Alta",'Mapa final'!$AD$27="Leve"),CONCATENATE("R5C",'Mapa final'!$R$27),"")</f>
        <v/>
      </c>
      <c r="K10" s="35" t="str">
        <f>IF(AND('Mapa final'!$AB$28="Muy Alta",'Mapa final'!$AD$28="Leve"),CONCATENATE("R5C",'Mapa final'!$R$28),"")</f>
        <v/>
      </c>
      <c r="L10" s="35" t="str">
        <f>IF(AND('Mapa final'!$AB$29="Muy Alta",'Mapa final'!$AD$29="Leve"),CONCATENATE("R5C",'Mapa final'!$R$29),"")</f>
        <v/>
      </c>
      <c r="M10" s="35" t="str">
        <f>IF(AND('Mapa final'!$AB$30="Muy Alta",'Mapa final'!$AD$30="Leve"),CONCATENATE("R5C",'Mapa final'!$R$30),"")</f>
        <v/>
      </c>
      <c r="N10" s="35" t="str">
        <f>IF(AND('Mapa final'!$AB$31="Muy Alta",'Mapa final'!$AD$31="Leve"),CONCATENATE("R5C",'Mapa final'!$R$31),"")</f>
        <v/>
      </c>
      <c r="O10" s="36" t="str">
        <f>IF(AND('Mapa final'!$AB$32="Muy Alta",'Mapa final'!$AD$32="Leve"),CONCATENATE("R5C",'Mapa final'!$R$32),"")</f>
        <v/>
      </c>
      <c r="P10" s="34" t="str">
        <f>IF(AND('Mapa final'!$AB$27="Muy Alta",'Mapa final'!$AD$27="Menor"),CONCATENATE("R5C",'Mapa final'!$R$27),"")</f>
        <v/>
      </c>
      <c r="Q10" s="35" t="str">
        <f>IF(AND('Mapa final'!$AB$28="Muy Alta",'Mapa final'!$AD$28="Menor"),CONCATENATE("R5C",'Mapa final'!$R$28),"")</f>
        <v/>
      </c>
      <c r="R10" s="35" t="str">
        <f>IF(AND('Mapa final'!$AB$29="Muy Alta",'Mapa final'!$AD$29="Menor"),CONCATENATE("R5C",'Mapa final'!$R$29),"")</f>
        <v/>
      </c>
      <c r="S10" s="35" t="str">
        <f>IF(AND('Mapa final'!$AB$30="Muy Alta",'Mapa final'!$AD$30="Menor"),CONCATENATE("R5C",'Mapa final'!$R$30),"")</f>
        <v/>
      </c>
      <c r="T10" s="35" t="str">
        <f>IF(AND('Mapa final'!$AB$31="Muy Alta",'Mapa final'!$AD$31="Menor"),CONCATENATE("R5C",'Mapa final'!$R$31),"")</f>
        <v/>
      </c>
      <c r="U10" s="36" t="str">
        <f>IF(AND('Mapa final'!$AB$32="Muy Alta",'Mapa final'!$AD$32="Menor"),CONCATENATE("R5C",'Mapa final'!$R$32),"")</f>
        <v/>
      </c>
      <c r="V10" s="34" t="str">
        <f>IF(AND('Mapa final'!$AB$27="Muy Alta",'Mapa final'!$AD$27="Moderado"),CONCATENATE("R5C",'Mapa final'!$R$27),"")</f>
        <v/>
      </c>
      <c r="W10" s="35" t="str">
        <f>IF(AND('Mapa final'!$AB$28="Muy Alta",'Mapa final'!$AD$28="Moderado"),CONCATENATE("R5C",'Mapa final'!$R$28),"")</f>
        <v/>
      </c>
      <c r="X10" s="35" t="str">
        <f>IF(AND('Mapa final'!$AB$29="Muy Alta",'Mapa final'!$AD$29="Moderado"),CONCATENATE("R5C",'Mapa final'!$R$29),"")</f>
        <v/>
      </c>
      <c r="Y10" s="35" t="str">
        <f>IF(AND('Mapa final'!$AB$30="Muy Alta",'Mapa final'!$AD$30="Moderado"),CONCATENATE("R5C",'Mapa final'!$R$30),"")</f>
        <v/>
      </c>
      <c r="Z10" s="35" t="str">
        <f>IF(AND('Mapa final'!$AB$31="Muy Alta",'Mapa final'!$AD$31="Moderado"),CONCATENATE("R5C",'Mapa final'!$R$31),"")</f>
        <v/>
      </c>
      <c r="AA10" s="36" t="str">
        <f>IF(AND('Mapa final'!$AB$32="Muy Alta",'Mapa final'!$AD$32="Moderado"),CONCATENATE("R5C",'Mapa final'!$R$32),"")</f>
        <v/>
      </c>
      <c r="AB10" s="34" t="str">
        <f>IF(AND('Mapa final'!$AB$27="Muy Alta",'Mapa final'!$AD$27="Mayor"),CONCATENATE("R5C",'Mapa final'!$R$27),"")</f>
        <v/>
      </c>
      <c r="AC10" s="35" t="str">
        <f>IF(AND('Mapa final'!$AB$28="Muy Alta",'Mapa final'!$AD$28="Mayor"),CONCATENATE("R5C",'Mapa final'!$R$28),"")</f>
        <v/>
      </c>
      <c r="AD10" s="35" t="str">
        <f>IF(AND('Mapa final'!$AB$29="Muy Alta",'Mapa final'!$AD$29="Mayor"),CONCATENATE("R5C",'Mapa final'!$R$29),"")</f>
        <v/>
      </c>
      <c r="AE10" s="35" t="str">
        <f>IF(AND('Mapa final'!$AB$30="Muy Alta",'Mapa final'!$AD$30="Mayor"),CONCATENATE("R5C",'Mapa final'!$R$30),"")</f>
        <v/>
      </c>
      <c r="AF10" s="35" t="str">
        <f>IF(AND('Mapa final'!$AB$31="Muy Alta",'Mapa final'!$AD$31="Mayor"),CONCATENATE("R5C",'Mapa final'!$R$31),"")</f>
        <v/>
      </c>
      <c r="AG10" s="36" t="str">
        <f>IF(AND('Mapa final'!$AB$32="Muy Alta",'Mapa final'!$AD$32="Mayor"),CONCATENATE("R5C",'Mapa final'!$R$32),"")</f>
        <v/>
      </c>
      <c r="AH10" s="37" t="str">
        <f>IF(AND('Mapa final'!$AB$27="Muy Alta",'Mapa final'!$AD$27="Catastrófico"),CONCATENATE("R5C",'Mapa final'!$R$27),"")</f>
        <v/>
      </c>
      <c r="AI10" s="38" t="str">
        <f>IF(AND('Mapa final'!$AB$28="Muy Alta",'Mapa final'!$AD$28="Catastrófico"),CONCATENATE("R5C",'Mapa final'!$R$28),"")</f>
        <v/>
      </c>
      <c r="AJ10" s="38" t="str">
        <f>IF(AND('Mapa final'!$AB$29="Muy Alta",'Mapa final'!$AD$29="Catastrófico"),CONCATENATE("R5C",'Mapa final'!$R$29),"")</f>
        <v/>
      </c>
      <c r="AK10" s="38" t="str">
        <f>IF(AND('Mapa final'!$AB$30="Muy Alta",'Mapa final'!$AD$30="Catastrófico"),CONCATENATE("R5C",'Mapa final'!$R$30),"")</f>
        <v/>
      </c>
      <c r="AL10" s="38" t="str">
        <f>IF(AND('Mapa final'!$AB$31="Muy Alta",'Mapa final'!$AD$31="Catastrófico"),CONCATENATE("R5C",'Mapa final'!$R$31),"")</f>
        <v/>
      </c>
      <c r="AM10" s="39" t="str">
        <f>IF(AND('Mapa final'!$AB$32="Muy Alta",'Mapa final'!$AD$32="Catastrófico"),CONCATENATE("R5C",'Mapa final'!$R$32),"")</f>
        <v/>
      </c>
      <c r="AN10" s="65"/>
      <c r="AO10" s="698"/>
      <c r="AP10" s="699"/>
      <c r="AQ10" s="699"/>
      <c r="AR10" s="699"/>
      <c r="AS10" s="699"/>
      <c r="AT10" s="700"/>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row>
    <row r="11" spans="1:91" ht="15" customHeight="1" x14ac:dyDescent="0.3">
      <c r="A11" s="65"/>
      <c r="B11" s="637"/>
      <c r="C11" s="637"/>
      <c r="D11" s="638"/>
      <c r="E11" s="678"/>
      <c r="F11" s="679"/>
      <c r="G11" s="679"/>
      <c r="H11" s="679"/>
      <c r="I11" s="680"/>
      <c r="J11" s="34" t="str">
        <f>IF(AND('Mapa final'!$AB$33="Muy Alta",'Mapa final'!$AD$33="Leve"),CONCATENATE("R6C",'Mapa final'!$R$33),"")</f>
        <v/>
      </c>
      <c r="K11" s="35" t="str">
        <f>IF(AND('Mapa final'!$AB$34="Muy Alta",'Mapa final'!$AD$34="Leve"),CONCATENATE("R6C",'Mapa final'!$R$34),"")</f>
        <v/>
      </c>
      <c r="L11" s="35" t="str">
        <f>IF(AND('Mapa final'!$AB$35="Muy Alta",'Mapa final'!$AD$35="Leve"),CONCATENATE("R6C",'Mapa final'!$R$35),"")</f>
        <v/>
      </c>
      <c r="M11" s="35" t="str">
        <f>IF(AND('Mapa final'!$AB$36="Muy Alta",'Mapa final'!$AD$36="Leve"),CONCATENATE("R6C",'Mapa final'!$R$36),"")</f>
        <v/>
      </c>
      <c r="N11" s="35" t="str">
        <f>IF(AND('Mapa final'!$AB$37="Muy Alta",'Mapa final'!$AD$37="Leve"),CONCATENATE("R6C",'Mapa final'!$R$37),"")</f>
        <v/>
      </c>
      <c r="O11" s="36" t="str">
        <f>IF(AND('Mapa final'!$AB$38="Muy Alta",'Mapa final'!$AD$38="Leve"),CONCATENATE("R6C",'Mapa final'!$R$38),"")</f>
        <v/>
      </c>
      <c r="P11" s="34" t="str">
        <f>IF(AND('Mapa final'!$AB$33="Muy Alta",'Mapa final'!$AD$33="Menor"),CONCATENATE("R6C",'Mapa final'!$R$33),"")</f>
        <v/>
      </c>
      <c r="Q11" s="35" t="str">
        <f>IF(AND('Mapa final'!$AB$34="Muy Alta",'Mapa final'!$AD$34="Menor"),CONCATENATE("R6C",'Mapa final'!$R$34),"")</f>
        <v/>
      </c>
      <c r="R11" s="35" t="str">
        <f>IF(AND('Mapa final'!$AB$35="Muy Alta",'Mapa final'!$AD$35="Menor"),CONCATENATE("R6C",'Mapa final'!$R$35),"")</f>
        <v/>
      </c>
      <c r="S11" s="35" t="str">
        <f>IF(AND('Mapa final'!$AB$36="Muy Alta",'Mapa final'!$AD$36="Menor"),CONCATENATE("R6C",'Mapa final'!$R$36),"")</f>
        <v/>
      </c>
      <c r="T11" s="35" t="str">
        <f>IF(AND('Mapa final'!$AB$37="Muy Alta",'Mapa final'!$AD$37="Menor"),CONCATENATE("R6C",'Mapa final'!$R$37),"")</f>
        <v/>
      </c>
      <c r="U11" s="36" t="str">
        <f>IF(AND('Mapa final'!$AB$38="Muy Alta",'Mapa final'!$AD$38="Menor"),CONCATENATE("R6C",'Mapa final'!$R$38),"")</f>
        <v/>
      </c>
      <c r="V11" s="34" t="str">
        <f>IF(AND('Mapa final'!$AB$33="Muy Alta",'Mapa final'!$AD$33="Moderado"),CONCATENATE("R6C",'Mapa final'!$R$33),"")</f>
        <v/>
      </c>
      <c r="W11" s="35" t="str">
        <f>IF(AND('Mapa final'!$AB$34="Muy Alta",'Mapa final'!$AD$34="Moderado"),CONCATENATE("R6C",'Mapa final'!$R$34),"")</f>
        <v/>
      </c>
      <c r="X11" s="35" t="str">
        <f>IF(AND('Mapa final'!$AB$35="Muy Alta",'Mapa final'!$AD$35="Moderado"),CONCATENATE("R6C",'Mapa final'!$R$35),"")</f>
        <v/>
      </c>
      <c r="Y11" s="35" t="str">
        <f>IF(AND('Mapa final'!$AB$36="Muy Alta",'Mapa final'!$AD$36="Moderado"),CONCATENATE("R6C",'Mapa final'!$R$36),"")</f>
        <v/>
      </c>
      <c r="Z11" s="35" t="str">
        <f>IF(AND('Mapa final'!$AB$37="Muy Alta",'Mapa final'!$AD$37="Moderado"),CONCATENATE("R6C",'Mapa final'!$R$37),"")</f>
        <v/>
      </c>
      <c r="AA11" s="36" t="str">
        <f>IF(AND('Mapa final'!$AB$38="Muy Alta",'Mapa final'!$AD$38="Moderado"),CONCATENATE("R6C",'Mapa final'!$R$38),"")</f>
        <v/>
      </c>
      <c r="AB11" s="34" t="str">
        <f>IF(AND('Mapa final'!$AB$33="Muy Alta",'Mapa final'!$AD$33="Mayor"),CONCATENATE("R6C",'Mapa final'!$R$33),"")</f>
        <v/>
      </c>
      <c r="AC11" s="35" t="str">
        <f>IF(AND('Mapa final'!$AB$34="Muy Alta",'Mapa final'!$AD$34="Mayor"),CONCATENATE("R6C",'Mapa final'!$R$34),"")</f>
        <v/>
      </c>
      <c r="AD11" s="35" t="str">
        <f>IF(AND('Mapa final'!$AB$35="Muy Alta",'Mapa final'!$AD$35="Mayor"),CONCATENATE("R6C",'Mapa final'!$R$35),"")</f>
        <v/>
      </c>
      <c r="AE11" s="35" t="str">
        <f>IF(AND('Mapa final'!$AB$36="Muy Alta",'Mapa final'!$AD$36="Mayor"),CONCATENATE("R6C",'Mapa final'!$R$36),"")</f>
        <v/>
      </c>
      <c r="AF11" s="35" t="str">
        <f>IF(AND('Mapa final'!$AB$37="Muy Alta",'Mapa final'!$AD$37="Mayor"),CONCATENATE("R6C",'Mapa final'!$R$37),"")</f>
        <v/>
      </c>
      <c r="AG11" s="36" t="str">
        <f>IF(AND('Mapa final'!$AB$38="Muy Alta",'Mapa final'!$AD$38="Mayor"),CONCATENATE("R6C",'Mapa final'!$R$38),"")</f>
        <v/>
      </c>
      <c r="AH11" s="37" t="str">
        <f>IF(AND('Mapa final'!$AB$33="Muy Alta",'Mapa final'!$AD$33="Catastrófico"),CONCATENATE("R6C",'Mapa final'!$R$33),"")</f>
        <v/>
      </c>
      <c r="AI11" s="38" t="str">
        <f>IF(AND('Mapa final'!$AB$34="Muy Alta",'Mapa final'!$AD$34="Catastrófico"),CONCATENATE("R6C",'Mapa final'!$R$34),"")</f>
        <v/>
      </c>
      <c r="AJ11" s="38" t="str">
        <f>IF(AND('Mapa final'!$AB$35="Muy Alta",'Mapa final'!$AD$35="Catastrófico"),CONCATENATE("R6C",'Mapa final'!$R$35),"")</f>
        <v/>
      </c>
      <c r="AK11" s="38" t="str">
        <f>IF(AND('Mapa final'!$AB$36="Muy Alta",'Mapa final'!$AD$36="Catastrófico"),CONCATENATE("R6C",'Mapa final'!$R$36),"")</f>
        <v/>
      </c>
      <c r="AL11" s="38" t="str">
        <f>IF(AND('Mapa final'!$AB$37="Muy Alta",'Mapa final'!$AD$37="Catastrófico"),CONCATENATE("R6C",'Mapa final'!$R$37),"")</f>
        <v/>
      </c>
      <c r="AM11" s="39" t="str">
        <f>IF(AND('Mapa final'!$AB$38="Muy Alta",'Mapa final'!$AD$38="Catastrófico"),CONCATENATE("R6C",'Mapa final'!$R$38),"")</f>
        <v/>
      </c>
      <c r="AN11" s="65"/>
      <c r="AO11" s="698"/>
      <c r="AP11" s="699"/>
      <c r="AQ11" s="699"/>
      <c r="AR11" s="699"/>
      <c r="AS11" s="699"/>
      <c r="AT11" s="700"/>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row>
    <row r="12" spans="1:91" ht="15" customHeight="1" x14ac:dyDescent="0.3">
      <c r="A12" s="65"/>
      <c r="B12" s="637"/>
      <c r="C12" s="637"/>
      <c r="D12" s="638"/>
      <c r="E12" s="678"/>
      <c r="F12" s="679"/>
      <c r="G12" s="679"/>
      <c r="H12" s="679"/>
      <c r="I12" s="680"/>
      <c r="J12" s="34" t="str">
        <f>IF(AND('Mapa final'!$AB$39="Muy Alta",'Mapa final'!$AD$39="Leve"),CONCATENATE("R7C",'Mapa final'!$R$39),"")</f>
        <v/>
      </c>
      <c r="K12" s="35" t="str">
        <f>IF(AND('Mapa final'!$AB$40="Muy Alta",'Mapa final'!$AD$40="Leve"),CONCATENATE("R7C",'Mapa final'!$R$40),"")</f>
        <v/>
      </c>
      <c r="L12" s="35" t="str">
        <f>IF(AND('Mapa final'!$AB$41="Muy Alta",'Mapa final'!$AD$41="Leve"),CONCATENATE("R7C",'Mapa final'!$R$41),"")</f>
        <v/>
      </c>
      <c r="M12" s="35" t="str">
        <f>IF(AND('Mapa final'!$AB$42="Muy Alta",'Mapa final'!$AD$42="Leve"),CONCATENATE("R7C",'Mapa final'!$R$42),"")</f>
        <v/>
      </c>
      <c r="N12" s="35" t="str">
        <f>IF(AND('Mapa final'!$AB$43="Muy Alta",'Mapa final'!$AD$43="Leve"),CONCATENATE("R7C",'Mapa final'!$R$43),"")</f>
        <v/>
      </c>
      <c r="O12" s="36" t="str">
        <f>IF(AND('Mapa final'!$AB$44="Muy Alta",'Mapa final'!$AD$44="Leve"),CONCATENATE("R7C",'Mapa final'!$R$44),"")</f>
        <v/>
      </c>
      <c r="P12" s="34" t="str">
        <f>IF(AND('Mapa final'!$AB$39="Muy Alta",'Mapa final'!$AD$39="Menor"),CONCATENATE("R7C",'Mapa final'!$R$39),"")</f>
        <v/>
      </c>
      <c r="Q12" s="35" t="str">
        <f>IF(AND('Mapa final'!$AB$40="Muy Alta",'Mapa final'!$AD$40="Menor"),CONCATENATE("R7C",'Mapa final'!$R$40),"")</f>
        <v/>
      </c>
      <c r="R12" s="35" t="str">
        <f>IF(AND('Mapa final'!$AB$41="Muy Alta",'Mapa final'!$AD$41="Menor"),CONCATENATE("R7C",'Mapa final'!$R$41),"")</f>
        <v/>
      </c>
      <c r="S12" s="35" t="str">
        <f>IF(AND('Mapa final'!$AB$42="Muy Alta",'Mapa final'!$AD$42="Menor"),CONCATENATE("R7C",'Mapa final'!$R$42),"")</f>
        <v/>
      </c>
      <c r="T12" s="35" t="str">
        <f>IF(AND('Mapa final'!$AB$43="Muy Alta",'Mapa final'!$AD$43="Menor"),CONCATENATE("R7C",'Mapa final'!$R$43),"")</f>
        <v/>
      </c>
      <c r="U12" s="36" t="str">
        <f>IF(AND('Mapa final'!$AB$44="Muy Alta",'Mapa final'!$AD$44="Menor"),CONCATENATE("R7C",'Mapa final'!$R$44),"")</f>
        <v/>
      </c>
      <c r="V12" s="34" t="str">
        <f>IF(AND('Mapa final'!$AB$39="Muy Alta",'Mapa final'!$AD$39="Moderado"),CONCATENATE("R7C",'Mapa final'!$R$39),"")</f>
        <v/>
      </c>
      <c r="W12" s="35" t="str">
        <f>IF(AND('Mapa final'!$AB$40="Muy Alta",'Mapa final'!$AD$40="Moderado"),CONCATENATE("R7C",'Mapa final'!$R$40),"")</f>
        <v/>
      </c>
      <c r="X12" s="35" t="str">
        <f>IF(AND('Mapa final'!$AB$41="Muy Alta",'Mapa final'!$AD$41="Moderado"),CONCATENATE("R7C",'Mapa final'!$R$41),"")</f>
        <v/>
      </c>
      <c r="Y12" s="35" t="str">
        <f>IF(AND('Mapa final'!$AB$42="Muy Alta",'Mapa final'!$AD$42="Moderado"),CONCATENATE("R7C",'Mapa final'!$R$42),"")</f>
        <v/>
      </c>
      <c r="Z12" s="35" t="str">
        <f>IF(AND('Mapa final'!$AB$43="Muy Alta",'Mapa final'!$AD$43="Moderado"),CONCATENATE("R7C",'Mapa final'!$R$43),"")</f>
        <v/>
      </c>
      <c r="AA12" s="36" t="str">
        <f>IF(AND('Mapa final'!$AB$44="Muy Alta",'Mapa final'!$AD$44="Moderado"),CONCATENATE("R7C",'Mapa final'!$R$44),"")</f>
        <v/>
      </c>
      <c r="AB12" s="34" t="str">
        <f>IF(AND('Mapa final'!$AB$39="Muy Alta",'Mapa final'!$AD$39="Mayor"),CONCATENATE("R7C",'Mapa final'!$R$39),"")</f>
        <v/>
      </c>
      <c r="AC12" s="35" t="str">
        <f>IF(AND('Mapa final'!$AB$40="Muy Alta",'Mapa final'!$AD$40="Mayor"),CONCATENATE("R7C",'Mapa final'!$R$40),"")</f>
        <v/>
      </c>
      <c r="AD12" s="35" t="str">
        <f>IF(AND('Mapa final'!$AB$41="Muy Alta",'Mapa final'!$AD$41="Mayor"),CONCATENATE("R7C",'Mapa final'!$R$41),"")</f>
        <v/>
      </c>
      <c r="AE12" s="35" t="str">
        <f>IF(AND('Mapa final'!$AB$42="Muy Alta",'Mapa final'!$AD$42="Mayor"),CONCATENATE("R7C",'Mapa final'!$R$42),"")</f>
        <v/>
      </c>
      <c r="AF12" s="35" t="str">
        <f>IF(AND('Mapa final'!$AB$43="Muy Alta",'Mapa final'!$AD$43="Mayor"),CONCATENATE("R7C",'Mapa final'!$R$43),"")</f>
        <v/>
      </c>
      <c r="AG12" s="36" t="str">
        <f>IF(AND('Mapa final'!$AB$44="Muy Alta",'Mapa final'!$AD$44="Mayor"),CONCATENATE("R7C",'Mapa final'!$R$44),"")</f>
        <v/>
      </c>
      <c r="AH12" s="37" t="str">
        <f>IF(AND('Mapa final'!$AB$39="Muy Alta",'Mapa final'!$AD$39="Catastrófico"),CONCATENATE("R7C",'Mapa final'!$R$39),"")</f>
        <v/>
      </c>
      <c r="AI12" s="38" t="str">
        <f>IF(AND('Mapa final'!$AB$40="Muy Alta",'Mapa final'!$AD$40="Catastrófico"),CONCATENATE("R7C",'Mapa final'!$R$40),"")</f>
        <v/>
      </c>
      <c r="AJ12" s="38" t="str">
        <f>IF(AND('Mapa final'!$AB$41="Muy Alta",'Mapa final'!$AD$41="Catastrófico"),CONCATENATE("R7C",'Mapa final'!$R$41),"")</f>
        <v/>
      </c>
      <c r="AK12" s="38" t="str">
        <f>IF(AND('Mapa final'!$AB$42="Muy Alta",'Mapa final'!$AD$42="Catastrófico"),CONCATENATE("R7C",'Mapa final'!$R$42),"")</f>
        <v/>
      </c>
      <c r="AL12" s="38" t="str">
        <f>IF(AND('Mapa final'!$AB$43="Muy Alta",'Mapa final'!$AD$43="Catastrófico"),CONCATENATE("R7C",'Mapa final'!$R$43),"")</f>
        <v/>
      </c>
      <c r="AM12" s="39" t="str">
        <f>IF(AND('Mapa final'!$AB$44="Muy Alta",'Mapa final'!$AD$44="Catastrófico"),CONCATENATE("R7C",'Mapa final'!$R$44),"")</f>
        <v/>
      </c>
      <c r="AN12" s="65"/>
      <c r="AO12" s="698"/>
      <c r="AP12" s="699"/>
      <c r="AQ12" s="699"/>
      <c r="AR12" s="699"/>
      <c r="AS12" s="699"/>
      <c r="AT12" s="700"/>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row>
    <row r="13" spans="1:91" ht="15" customHeight="1" x14ac:dyDescent="0.3">
      <c r="A13" s="65"/>
      <c r="B13" s="637"/>
      <c r="C13" s="637"/>
      <c r="D13" s="638"/>
      <c r="E13" s="678"/>
      <c r="F13" s="679"/>
      <c r="G13" s="679"/>
      <c r="H13" s="679"/>
      <c r="I13" s="680"/>
      <c r="J13" s="34" t="str">
        <f>IF(AND('Mapa final'!$AB$45="Muy Alta",'Mapa final'!$AD$45="Leve"),CONCATENATE("R8C",'Mapa final'!$R$45),"")</f>
        <v/>
      </c>
      <c r="K13" s="35" t="str">
        <f>IF(AND('Mapa final'!$AB$46="Muy Alta",'Mapa final'!$AD$46="Leve"),CONCATENATE("R8C",'Mapa final'!$R$46),"")</f>
        <v/>
      </c>
      <c r="L13" s="35" t="str">
        <f>IF(AND('Mapa final'!$AB$47="Muy Alta",'Mapa final'!$AD$47="Leve"),CONCATENATE("R8C",'Mapa final'!$R$47),"")</f>
        <v/>
      </c>
      <c r="M13" s="35" t="str">
        <f>IF(AND('Mapa final'!$AB$48="Muy Alta",'Mapa final'!$AD$48="Leve"),CONCATENATE("R8C",'Mapa final'!$R$48),"")</f>
        <v/>
      </c>
      <c r="N13" s="35" t="str">
        <f>IF(AND('Mapa final'!$AB$49="Muy Alta",'Mapa final'!$AD$49="Leve"),CONCATENATE("R8C",'Mapa final'!$R$49),"")</f>
        <v/>
      </c>
      <c r="O13" s="36" t="str">
        <f>IF(AND('Mapa final'!$AB$50="Muy Alta",'Mapa final'!$AD$50="Leve"),CONCATENATE("R8C",'Mapa final'!$R$50),"")</f>
        <v/>
      </c>
      <c r="P13" s="34" t="str">
        <f>IF(AND('Mapa final'!$AB$45="Muy Alta",'Mapa final'!$AD$45="Menor"),CONCATENATE("R8C",'Mapa final'!$R$45),"")</f>
        <v/>
      </c>
      <c r="Q13" s="35" t="str">
        <f>IF(AND('Mapa final'!$AB$46="Muy Alta",'Mapa final'!$AD$46="Menor"),CONCATENATE("R8C",'Mapa final'!$R$46),"")</f>
        <v/>
      </c>
      <c r="R13" s="35" t="str">
        <f>IF(AND('Mapa final'!$AB$47="Muy Alta",'Mapa final'!$AD$47="Menor"),CONCATENATE("R8C",'Mapa final'!$R$47),"")</f>
        <v/>
      </c>
      <c r="S13" s="35" t="str">
        <f>IF(AND('Mapa final'!$AB$48="Muy Alta",'Mapa final'!$AD$48="Menor"),CONCATENATE("R8C",'Mapa final'!$R$48),"")</f>
        <v/>
      </c>
      <c r="T13" s="35" t="str">
        <f>IF(AND('Mapa final'!$AB$49="Muy Alta",'Mapa final'!$AD$49="Menor"),CONCATENATE("R8C",'Mapa final'!$R$49),"")</f>
        <v/>
      </c>
      <c r="U13" s="36" t="str">
        <f>IF(AND('Mapa final'!$AB$50="Muy Alta",'Mapa final'!$AD$50="Menor"),CONCATENATE("R8C",'Mapa final'!$R$50),"")</f>
        <v/>
      </c>
      <c r="V13" s="34" t="str">
        <f>IF(AND('Mapa final'!$AB$45="Muy Alta",'Mapa final'!$AD$45="Moderado"),CONCATENATE("R8C",'Mapa final'!$R$45),"")</f>
        <v/>
      </c>
      <c r="W13" s="35" t="str">
        <f>IF(AND('Mapa final'!$AB$46="Muy Alta",'Mapa final'!$AD$46="Moderado"),CONCATENATE("R8C",'Mapa final'!$R$46),"")</f>
        <v/>
      </c>
      <c r="X13" s="35" t="str">
        <f>IF(AND('Mapa final'!$AB$47="Muy Alta",'Mapa final'!$AD$47="Moderado"),CONCATENATE("R8C",'Mapa final'!$R$47),"")</f>
        <v/>
      </c>
      <c r="Y13" s="35" t="str">
        <f>IF(AND('Mapa final'!$AB$48="Muy Alta",'Mapa final'!$AD$48="Moderado"),CONCATENATE("R8C",'Mapa final'!$R$48),"")</f>
        <v/>
      </c>
      <c r="Z13" s="35" t="str">
        <f>IF(AND('Mapa final'!$AB$49="Muy Alta",'Mapa final'!$AD$49="Moderado"),CONCATENATE("R8C",'Mapa final'!$R$49),"")</f>
        <v/>
      </c>
      <c r="AA13" s="36" t="str">
        <f>IF(AND('Mapa final'!$AB$50="Muy Alta",'Mapa final'!$AD$50="Moderado"),CONCATENATE("R8C",'Mapa final'!$R$50),"")</f>
        <v/>
      </c>
      <c r="AB13" s="34" t="str">
        <f>IF(AND('Mapa final'!$AB$45="Muy Alta",'Mapa final'!$AD$45="Mayor"),CONCATENATE("R8C",'Mapa final'!$R$45),"")</f>
        <v/>
      </c>
      <c r="AC13" s="35" t="str">
        <f>IF(AND('Mapa final'!$AB$46="Muy Alta",'Mapa final'!$AD$46="Mayor"),CONCATENATE("R8C",'Mapa final'!$R$46),"")</f>
        <v/>
      </c>
      <c r="AD13" s="35" t="str">
        <f>IF(AND('Mapa final'!$AB$47="Muy Alta",'Mapa final'!$AD$47="Mayor"),CONCATENATE("R8C",'Mapa final'!$R$47),"")</f>
        <v/>
      </c>
      <c r="AE13" s="35" t="str">
        <f>IF(AND('Mapa final'!$AB$48="Muy Alta",'Mapa final'!$AD$48="Mayor"),CONCATENATE("R8C",'Mapa final'!$R$48),"")</f>
        <v/>
      </c>
      <c r="AF13" s="35" t="str">
        <f>IF(AND('Mapa final'!$AB$49="Muy Alta",'Mapa final'!$AD$49="Mayor"),CONCATENATE("R8C",'Mapa final'!$R$49),"")</f>
        <v/>
      </c>
      <c r="AG13" s="36" t="str">
        <f>IF(AND('Mapa final'!$AB$50="Muy Alta",'Mapa final'!$AD$50="Mayor"),CONCATENATE("R8C",'Mapa final'!$R$50),"")</f>
        <v/>
      </c>
      <c r="AH13" s="37" t="str">
        <f>IF(AND('Mapa final'!$AB$45="Muy Alta",'Mapa final'!$AD$45="Catastrófico"),CONCATENATE("R8C",'Mapa final'!$R$45),"")</f>
        <v/>
      </c>
      <c r="AI13" s="38" t="str">
        <f>IF(AND('Mapa final'!$AB$46="Muy Alta",'Mapa final'!$AD$46="Catastrófico"),CONCATENATE("R8C",'Mapa final'!$R$46),"")</f>
        <v/>
      </c>
      <c r="AJ13" s="38" t="str">
        <f>IF(AND('Mapa final'!$AB$47="Muy Alta",'Mapa final'!$AD$47="Catastrófico"),CONCATENATE("R8C",'Mapa final'!$R$47),"")</f>
        <v/>
      </c>
      <c r="AK13" s="38" t="str">
        <f>IF(AND('Mapa final'!$AB$48="Muy Alta",'Mapa final'!$AD$48="Catastrófico"),CONCATENATE("R8C",'Mapa final'!$R$48),"")</f>
        <v/>
      </c>
      <c r="AL13" s="38" t="str">
        <f>IF(AND('Mapa final'!$AB$49="Muy Alta",'Mapa final'!$AD$49="Catastrófico"),CONCATENATE("R8C",'Mapa final'!$R$49),"")</f>
        <v/>
      </c>
      <c r="AM13" s="39" t="str">
        <f>IF(AND('Mapa final'!$AB$50="Muy Alta",'Mapa final'!$AD$50="Catastrófico"),CONCATENATE("R8C",'Mapa final'!$R$50),"")</f>
        <v/>
      </c>
      <c r="AN13" s="65"/>
      <c r="AO13" s="698"/>
      <c r="AP13" s="699"/>
      <c r="AQ13" s="699"/>
      <c r="AR13" s="699"/>
      <c r="AS13" s="699"/>
      <c r="AT13" s="700"/>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91" ht="15" customHeight="1" x14ac:dyDescent="0.3">
      <c r="A14" s="65"/>
      <c r="B14" s="637"/>
      <c r="C14" s="637"/>
      <c r="D14" s="638"/>
      <c r="E14" s="678"/>
      <c r="F14" s="679"/>
      <c r="G14" s="679"/>
      <c r="H14" s="679"/>
      <c r="I14" s="680"/>
      <c r="J14" s="34" t="str">
        <f>IF(AND('Mapa final'!$AB$51="Muy Alta",'Mapa final'!$AD$51="Leve"),CONCATENATE("R9C",'Mapa final'!$R$51),"")</f>
        <v/>
      </c>
      <c r="K14" s="35" t="str">
        <f>IF(AND('Mapa final'!$AB$52="Muy Alta",'Mapa final'!$AD$52="Leve"),CONCATENATE("R9C",'Mapa final'!$R$52),"")</f>
        <v/>
      </c>
      <c r="L14" s="35" t="str">
        <f>IF(AND('Mapa final'!$AB$53="Muy Alta",'Mapa final'!$AD$53="Leve"),CONCATENATE("R9C",'Mapa final'!$R$53),"")</f>
        <v/>
      </c>
      <c r="M14" s="35" t="str">
        <f>IF(AND('Mapa final'!$AB$54="Muy Alta",'Mapa final'!$AD$54="Leve"),CONCATENATE("R9C",'Mapa final'!$R$54),"")</f>
        <v/>
      </c>
      <c r="N14" s="35" t="str">
        <f>IF(AND('Mapa final'!$AB$55="Muy Alta",'Mapa final'!$AD$55="Leve"),CONCATENATE("R9C",'Mapa final'!$R$55),"")</f>
        <v/>
      </c>
      <c r="O14" s="36" t="str">
        <f>IF(AND('Mapa final'!$AB$56="Muy Alta",'Mapa final'!$AD$56="Leve"),CONCATENATE("R9C",'Mapa final'!$R$56),"")</f>
        <v/>
      </c>
      <c r="P14" s="34" t="str">
        <f>IF(AND('Mapa final'!$AB$51="Muy Alta",'Mapa final'!$AD$51="Menor"),CONCATENATE("R9C",'Mapa final'!$R$51),"")</f>
        <v/>
      </c>
      <c r="Q14" s="35" t="str">
        <f>IF(AND('Mapa final'!$AB$52="Muy Alta",'Mapa final'!$AD$52="Menor"),CONCATENATE("R9C",'Mapa final'!$R$52),"")</f>
        <v/>
      </c>
      <c r="R14" s="35" t="str">
        <f>IF(AND('Mapa final'!$AB$53="Muy Alta",'Mapa final'!$AD$53="Menor"),CONCATENATE("R9C",'Mapa final'!$R$53),"")</f>
        <v/>
      </c>
      <c r="S14" s="35" t="str">
        <f>IF(AND('Mapa final'!$AB$54="Muy Alta",'Mapa final'!$AD$54="Menor"),CONCATENATE("R9C",'Mapa final'!$R$54),"")</f>
        <v/>
      </c>
      <c r="T14" s="35" t="str">
        <f>IF(AND('Mapa final'!$AB$55="Muy Alta",'Mapa final'!$AD$55="Menor"),CONCATENATE("R9C",'Mapa final'!$R$55),"")</f>
        <v/>
      </c>
      <c r="U14" s="36" t="str">
        <f>IF(AND('Mapa final'!$AB$56="Muy Alta",'Mapa final'!$AD$56="Menor"),CONCATENATE("R9C",'Mapa final'!$R$56),"")</f>
        <v/>
      </c>
      <c r="V14" s="34" t="str">
        <f>IF(AND('Mapa final'!$AB$51="Muy Alta",'Mapa final'!$AD$51="Moderado"),CONCATENATE("R9C",'Mapa final'!$R$51),"")</f>
        <v/>
      </c>
      <c r="W14" s="35" t="str">
        <f>IF(AND('Mapa final'!$AB$52="Muy Alta",'Mapa final'!$AD$52="Moderado"),CONCATENATE("R9C",'Mapa final'!$R$52),"")</f>
        <v/>
      </c>
      <c r="X14" s="35" t="str">
        <f>IF(AND('Mapa final'!$AB$53="Muy Alta",'Mapa final'!$AD$53="Moderado"),CONCATENATE("R9C",'Mapa final'!$R$53),"")</f>
        <v/>
      </c>
      <c r="Y14" s="35" t="str">
        <f>IF(AND('Mapa final'!$AB$54="Muy Alta",'Mapa final'!$AD$54="Moderado"),CONCATENATE("R9C",'Mapa final'!$R$54),"")</f>
        <v/>
      </c>
      <c r="Z14" s="35" t="str">
        <f>IF(AND('Mapa final'!$AB$55="Muy Alta",'Mapa final'!$AD$55="Moderado"),CONCATENATE("R9C",'Mapa final'!$R$55),"")</f>
        <v/>
      </c>
      <c r="AA14" s="36" t="str">
        <f>IF(AND('Mapa final'!$AB$56="Muy Alta",'Mapa final'!$AD$56="Moderado"),CONCATENATE("R9C",'Mapa final'!$R$56),"")</f>
        <v/>
      </c>
      <c r="AB14" s="34" t="str">
        <f>IF(AND('Mapa final'!$AB$51="Muy Alta",'Mapa final'!$AD$51="Mayor"),CONCATENATE("R9C",'Mapa final'!$R$51),"")</f>
        <v/>
      </c>
      <c r="AC14" s="35" t="str">
        <f>IF(AND('Mapa final'!$AB$52="Muy Alta",'Mapa final'!$AD$52="Mayor"),CONCATENATE("R9C",'Mapa final'!$R$52),"")</f>
        <v/>
      </c>
      <c r="AD14" s="35" t="str">
        <f>IF(AND('Mapa final'!$AB$53="Muy Alta",'Mapa final'!$AD$53="Mayor"),CONCATENATE("R9C",'Mapa final'!$R$53),"")</f>
        <v/>
      </c>
      <c r="AE14" s="35" t="str">
        <f>IF(AND('Mapa final'!$AB$54="Muy Alta",'Mapa final'!$AD$54="Mayor"),CONCATENATE("R9C",'Mapa final'!$R$54),"")</f>
        <v/>
      </c>
      <c r="AF14" s="35" t="str">
        <f>IF(AND('Mapa final'!$AB$55="Muy Alta",'Mapa final'!$AD$55="Mayor"),CONCATENATE("R9C",'Mapa final'!$R$55),"")</f>
        <v/>
      </c>
      <c r="AG14" s="36" t="str">
        <f>IF(AND('Mapa final'!$AB$56="Muy Alta",'Mapa final'!$AD$56="Mayor"),CONCATENATE("R9C",'Mapa final'!$R$56),"")</f>
        <v/>
      </c>
      <c r="AH14" s="37" t="str">
        <f>IF(AND('Mapa final'!$AB$51="Muy Alta",'Mapa final'!$AD$51="Catastrófico"),CONCATENATE("R9C",'Mapa final'!$R$51),"")</f>
        <v/>
      </c>
      <c r="AI14" s="38" t="str">
        <f>IF(AND('Mapa final'!$AB$52="Muy Alta",'Mapa final'!$AD$52="Catastrófico"),CONCATENATE("R9C",'Mapa final'!$R$52),"")</f>
        <v/>
      </c>
      <c r="AJ14" s="38" t="str">
        <f>IF(AND('Mapa final'!$AB$53="Muy Alta",'Mapa final'!$AD$53="Catastrófico"),CONCATENATE("R9C",'Mapa final'!$R$53),"")</f>
        <v/>
      </c>
      <c r="AK14" s="38" t="str">
        <f>IF(AND('Mapa final'!$AB$54="Muy Alta",'Mapa final'!$AD$54="Catastrófico"),CONCATENATE("R9C",'Mapa final'!$R$54),"")</f>
        <v/>
      </c>
      <c r="AL14" s="38" t="str">
        <f>IF(AND('Mapa final'!$AB$55="Muy Alta",'Mapa final'!$AD$55="Catastrófico"),CONCATENATE("R9C",'Mapa final'!$R$55),"")</f>
        <v/>
      </c>
      <c r="AM14" s="39" t="str">
        <f>IF(AND('Mapa final'!$AB$56="Muy Alta",'Mapa final'!$AD$56="Catastrófico"),CONCATENATE("R9C",'Mapa final'!$R$56),"")</f>
        <v/>
      </c>
      <c r="AN14" s="65"/>
      <c r="AO14" s="698"/>
      <c r="AP14" s="699"/>
      <c r="AQ14" s="699"/>
      <c r="AR14" s="699"/>
      <c r="AS14" s="699"/>
      <c r="AT14" s="700"/>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row>
    <row r="15" spans="1:91" ht="15.75" customHeight="1" thickBot="1" x14ac:dyDescent="0.35">
      <c r="A15" s="65"/>
      <c r="B15" s="637"/>
      <c r="C15" s="637"/>
      <c r="D15" s="638"/>
      <c r="E15" s="681"/>
      <c r="F15" s="682"/>
      <c r="G15" s="682"/>
      <c r="H15" s="682"/>
      <c r="I15" s="683"/>
      <c r="J15" s="40" t="str">
        <f>IF(AND('Mapa final'!$AB$57="Muy Alta",'Mapa final'!$AD$57="Leve"),CONCATENATE("R10C",'Mapa final'!$R$57),"")</f>
        <v/>
      </c>
      <c r="K15" s="41" t="str">
        <f>IF(AND('Mapa final'!$AB$58="Muy Alta",'Mapa final'!$AD$58="Leve"),CONCATENATE("R10C",'Mapa final'!$R$58),"")</f>
        <v/>
      </c>
      <c r="L15" s="41" t="str">
        <f>IF(AND('Mapa final'!$AB$59="Muy Alta",'Mapa final'!$AD$59="Leve"),CONCATENATE("R10C",'Mapa final'!$R$59),"")</f>
        <v/>
      </c>
      <c r="M15" s="41" t="str">
        <f>IF(AND('Mapa final'!$AB$60="Muy Alta",'Mapa final'!$AD$60="Leve"),CONCATENATE("R10C",'Mapa final'!$R$60),"")</f>
        <v/>
      </c>
      <c r="N15" s="41" t="str">
        <f>IF(AND('Mapa final'!$AB$61="Muy Alta",'Mapa final'!$AD$61="Leve"),CONCATENATE("R10C",'Mapa final'!$R$61),"")</f>
        <v/>
      </c>
      <c r="O15" s="42" t="str">
        <f>IF(AND('Mapa final'!$AB$62="Muy Alta",'Mapa final'!$AD$62="Leve"),CONCATENATE("R10C",'Mapa final'!$R$62),"")</f>
        <v/>
      </c>
      <c r="P15" s="34" t="str">
        <f>IF(AND('Mapa final'!$AB$57="Muy Alta",'Mapa final'!$AD$57="Menor"),CONCATENATE("R10C",'Mapa final'!$R$57),"")</f>
        <v/>
      </c>
      <c r="Q15" s="35" t="str">
        <f>IF(AND('Mapa final'!$AB$58="Muy Alta",'Mapa final'!$AD$58="Menor"),CONCATENATE("R10C",'Mapa final'!$R$58),"")</f>
        <v/>
      </c>
      <c r="R15" s="35" t="str">
        <f>IF(AND('Mapa final'!$AB$59="Muy Alta",'Mapa final'!$AD$59="Menor"),CONCATENATE("R10C",'Mapa final'!$R$59),"")</f>
        <v/>
      </c>
      <c r="S15" s="35" t="str">
        <f>IF(AND('Mapa final'!$AB$60="Muy Alta",'Mapa final'!$AD$60="Menor"),CONCATENATE("R10C",'Mapa final'!$R$60),"")</f>
        <v/>
      </c>
      <c r="T15" s="35" t="str">
        <f>IF(AND('Mapa final'!$AB$61="Muy Alta",'Mapa final'!$AD$61="Menor"),CONCATENATE("R10C",'Mapa final'!$R$61),"")</f>
        <v/>
      </c>
      <c r="U15" s="36" t="str">
        <f>IF(AND('Mapa final'!$AB$62="Muy Alta",'Mapa final'!$AD$62="Menor"),CONCATENATE("R10C",'Mapa final'!$R$62),"")</f>
        <v/>
      </c>
      <c r="V15" s="40" t="str">
        <f>IF(AND('Mapa final'!$AB$57="Muy Alta",'Mapa final'!$AD$57="Moderado"),CONCATENATE("R10C",'Mapa final'!$R$57),"")</f>
        <v/>
      </c>
      <c r="W15" s="41" t="str">
        <f>IF(AND('Mapa final'!$AB$58="Muy Alta",'Mapa final'!$AD$58="Moderado"),CONCATENATE("R10C",'Mapa final'!$R$58),"")</f>
        <v/>
      </c>
      <c r="X15" s="41" t="str">
        <f>IF(AND('Mapa final'!$AB$59="Muy Alta",'Mapa final'!$AD$59="Moderado"),CONCATENATE("R10C",'Mapa final'!$R$59),"")</f>
        <v/>
      </c>
      <c r="Y15" s="41" t="str">
        <f>IF(AND('Mapa final'!$AB$60="Muy Alta",'Mapa final'!$AD$60="Moderado"),CONCATENATE("R10C",'Mapa final'!$R$60),"")</f>
        <v/>
      </c>
      <c r="Z15" s="41" t="str">
        <f>IF(AND('Mapa final'!$AB$61="Muy Alta",'Mapa final'!$AD$61="Moderado"),CONCATENATE("R10C",'Mapa final'!$R$61),"")</f>
        <v/>
      </c>
      <c r="AA15" s="42" t="str">
        <f>IF(AND('Mapa final'!$AB$62="Muy Alta",'Mapa final'!$AD$62="Moderado"),CONCATENATE("R10C",'Mapa final'!$R$62),"")</f>
        <v/>
      </c>
      <c r="AB15" s="34" t="str">
        <f>IF(AND('Mapa final'!$AB$57="Muy Alta",'Mapa final'!$AD$57="Mayor"),CONCATENATE("R10C",'Mapa final'!$R$57),"")</f>
        <v/>
      </c>
      <c r="AC15" s="35" t="str">
        <f>IF(AND('Mapa final'!$AB$58="Muy Alta",'Mapa final'!$AD$58="Mayor"),CONCATENATE("R10C",'Mapa final'!$R$58),"")</f>
        <v/>
      </c>
      <c r="AD15" s="35" t="str">
        <f>IF(AND('Mapa final'!$AB$59="Muy Alta",'Mapa final'!$AD$59="Mayor"),CONCATENATE("R10C",'Mapa final'!$R$59),"")</f>
        <v/>
      </c>
      <c r="AE15" s="35" t="str">
        <f>IF(AND('Mapa final'!$AB$60="Muy Alta",'Mapa final'!$AD$60="Mayor"),CONCATENATE("R10C",'Mapa final'!$R$60),"")</f>
        <v/>
      </c>
      <c r="AF15" s="35" t="str">
        <f>IF(AND('Mapa final'!$AB$61="Muy Alta",'Mapa final'!$AD$61="Mayor"),CONCATENATE("R10C",'Mapa final'!$R$61),"")</f>
        <v/>
      </c>
      <c r="AG15" s="36" t="str">
        <f>IF(AND('Mapa final'!$AB$62="Muy Alta",'Mapa final'!$AD$62="Mayor"),CONCATENATE("R10C",'Mapa final'!$R$62),"")</f>
        <v/>
      </c>
      <c r="AH15" s="43" t="str">
        <f>IF(AND('Mapa final'!$AB$57="Muy Alta",'Mapa final'!$AD$57="Catastrófico"),CONCATENATE("R10C",'Mapa final'!$R$57),"")</f>
        <v/>
      </c>
      <c r="AI15" s="44" t="str">
        <f>IF(AND('Mapa final'!$AB$58="Muy Alta",'Mapa final'!$AD$58="Catastrófico"),CONCATENATE("R10C",'Mapa final'!$R$58),"")</f>
        <v/>
      </c>
      <c r="AJ15" s="44" t="str">
        <f>IF(AND('Mapa final'!$AB$59="Muy Alta",'Mapa final'!$AD$59="Catastrófico"),CONCATENATE("R10C",'Mapa final'!$R$59),"")</f>
        <v/>
      </c>
      <c r="AK15" s="44" t="str">
        <f>IF(AND('Mapa final'!$AB$60="Muy Alta",'Mapa final'!$AD$60="Catastrófico"),CONCATENATE("R10C",'Mapa final'!$R$60),"")</f>
        <v/>
      </c>
      <c r="AL15" s="44" t="str">
        <f>IF(AND('Mapa final'!$AB$61="Muy Alta",'Mapa final'!$AD$61="Catastrófico"),CONCATENATE("R10C",'Mapa final'!$R$61),"")</f>
        <v/>
      </c>
      <c r="AM15" s="45" t="str">
        <f>IF(AND('Mapa final'!$AB$62="Muy Alta",'Mapa final'!$AD$62="Catastrófico"),CONCATENATE("R10C",'Mapa final'!$R$62),"")</f>
        <v/>
      </c>
      <c r="AN15" s="65"/>
      <c r="AO15" s="701"/>
      <c r="AP15" s="702"/>
      <c r="AQ15" s="702"/>
      <c r="AR15" s="702"/>
      <c r="AS15" s="702"/>
      <c r="AT15" s="703"/>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91" ht="15" customHeight="1" x14ac:dyDescent="0.3">
      <c r="A16" s="65"/>
      <c r="B16" s="637"/>
      <c r="C16" s="637"/>
      <c r="D16" s="638"/>
      <c r="E16" s="675" t="s">
        <v>110</v>
      </c>
      <c r="F16" s="676"/>
      <c r="G16" s="676"/>
      <c r="H16" s="676"/>
      <c r="I16" s="676"/>
      <c r="J16" s="46" t="str">
        <f>IF(AND('Mapa final'!$AB$10="Alta",'Mapa final'!$AD$10="Leve"),CONCATENATE("R1C",'Mapa final'!$R$10),"")</f>
        <v/>
      </c>
      <c r="K16" s="47" t="str">
        <f>IF(AND('Mapa final'!$AB$11="Alta",'Mapa final'!$AD$11="Leve"),CONCATENATE("R1C",'Mapa final'!$R$11),"")</f>
        <v/>
      </c>
      <c r="L16" s="47" t="str">
        <f>IF(AND('Mapa final'!$AB$12="Alta",'Mapa final'!$AD$12="Leve"),CONCATENATE("R1C",'Mapa final'!$R$12),"")</f>
        <v/>
      </c>
      <c r="M16" s="47" t="str">
        <f>IF(AND('Mapa final'!$AB$13="Alta",'Mapa final'!$AD$13="Leve"),CONCATENATE("R1C",'Mapa final'!$R$13),"")</f>
        <v/>
      </c>
      <c r="N16" s="47" t="e">
        <f>IF(AND('Mapa final'!#REF!="Alta",'Mapa final'!#REF!="Leve"),CONCATENATE("R1C",'Mapa final'!#REF!),"")</f>
        <v>#REF!</v>
      </c>
      <c r="O16" s="48" t="e">
        <f>IF(AND('Mapa final'!#REF!="Alta",'Mapa final'!#REF!="Leve"),CONCATENATE("R1C",'Mapa final'!#REF!),"")</f>
        <v>#REF!</v>
      </c>
      <c r="P16" s="46" t="str">
        <f>IF(AND('Mapa final'!$AB$10="Alta",'Mapa final'!$AD$10="Menor"),CONCATENATE("R1C",'Mapa final'!$R$10),"")</f>
        <v/>
      </c>
      <c r="Q16" s="47" t="str">
        <f>IF(AND('Mapa final'!$AB$11="Alta",'Mapa final'!$AD$11="Menor"),CONCATENATE("R1C",'Mapa final'!$R$11),"")</f>
        <v/>
      </c>
      <c r="R16" s="47" t="str">
        <f>IF(AND('Mapa final'!$AB$12="Alta",'Mapa final'!$AD$12="Menor"),CONCATENATE("R1C",'Mapa final'!$R$12),"")</f>
        <v/>
      </c>
      <c r="S16" s="47" t="str">
        <f>IF(AND('Mapa final'!$AB$13="Alta",'Mapa final'!$AD$13="Menor"),CONCATENATE("R1C",'Mapa final'!$R$13),"")</f>
        <v/>
      </c>
      <c r="T16" s="47" t="e">
        <f>IF(AND('Mapa final'!#REF!="Alta",'Mapa final'!#REF!="Menor"),CONCATENATE("R1C",'Mapa final'!#REF!),"")</f>
        <v>#REF!</v>
      </c>
      <c r="U16" s="48" t="e">
        <f>IF(AND('Mapa final'!#REF!="Alta",'Mapa final'!#REF!="Menor"),CONCATENATE("R1C",'Mapa final'!#REF!),"")</f>
        <v>#REF!</v>
      </c>
      <c r="V16" s="28" t="str">
        <f>IF(AND('Mapa final'!$AB$10="Alta",'Mapa final'!$AD$10="Moderado"),CONCATENATE("R1C",'Mapa final'!$R$10),"")</f>
        <v/>
      </c>
      <c r="W16" s="29" t="str">
        <f>IF(AND('Mapa final'!$AB$11="Alta",'Mapa final'!$AD$11="Moderado"),CONCATENATE("R1C",'Mapa final'!$R$11),"")</f>
        <v/>
      </c>
      <c r="X16" s="29" t="str">
        <f>IF(AND('Mapa final'!$AB$12="Alta",'Mapa final'!$AD$12="Moderado"),CONCATENATE("R1C",'Mapa final'!$R$12),"")</f>
        <v/>
      </c>
      <c r="Y16" s="29" t="str">
        <f>IF(AND('Mapa final'!$AB$13="Alta",'Mapa final'!$AD$13="Moderado"),CONCATENATE("R1C",'Mapa final'!$R$13),"")</f>
        <v/>
      </c>
      <c r="Z16" s="29" t="e">
        <f>IF(AND('Mapa final'!#REF!="Alta",'Mapa final'!#REF!="Moderado"),CONCATENATE("R1C",'Mapa final'!#REF!),"")</f>
        <v>#REF!</v>
      </c>
      <c r="AA16" s="30" t="e">
        <f>IF(AND('Mapa final'!#REF!="Alta",'Mapa final'!#REF!="Moderado"),CONCATENATE("R1C",'Mapa final'!#REF!),"")</f>
        <v>#REF!</v>
      </c>
      <c r="AB16" s="28" t="str">
        <f>IF(AND('Mapa final'!$AB$10="Alta",'Mapa final'!$AD$10="Mayor"),CONCATENATE("R1C",'Mapa final'!$R$10),"")</f>
        <v/>
      </c>
      <c r="AC16" s="29" t="str">
        <f>IF(AND('Mapa final'!$AB$11="Alta",'Mapa final'!$AD$11="Mayor"),CONCATENATE("R1C",'Mapa final'!$R$11),"")</f>
        <v/>
      </c>
      <c r="AD16" s="29" t="str">
        <f>IF(AND('Mapa final'!$AB$12="Alta",'Mapa final'!$AD$12="Mayor"),CONCATENATE("R1C",'Mapa final'!$R$12),"")</f>
        <v/>
      </c>
      <c r="AE16" s="29" t="str">
        <f>IF(AND('Mapa final'!$AB$13="Alta",'Mapa final'!$AD$13="Mayor"),CONCATENATE("R1C",'Mapa final'!$R$13),"")</f>
        <v/>
      </c>
      <c r="AF16" s="29" t="e">
        <f>IF(AND('Mapa final'!#REF!="Alta",'Mapa final'!#REF!="Mayor"),CONCATENATE("R1C",'Mapa final'!#REF!),"")</f>
        <v>#REF!</v>
      </c>
      <c r="AG16" s="30" t="e">
        <f>IF(AND('Mapa final'!#REF!="Alta",'Mapa final'!#REF!="Mayor"),CONCATENATE("R1C",'Mapa final'!#REF!),"")</f>
        <v>#REF!</v>
      </c>
      <c r="AH16" s="31" t="str">
        <f>IF(AND('Mapa final'!$AB$10="Alta",'Mapa final'!$AD$10="Catastrófico"),CONCATENATE("R1C",'Mapa final'!$R$10),"")</f>
        <v/>
      </c>
      <c r="AI16" s="32" t="str">
        <f>IF(AND('Mapa final'!$AB$11="Alta",'Mapa final'!$AD$11="Catastrófico"),CONCATENATE("R1C",'Mapa final'!$R$11),"")</f>
        <v/>
      </c>
      <c r="AJ16" s="32" t="str">
        <f>IF(AND('Mapa final'!$AB$12="Alta",'Mapa final'!$AD$12="Catastrófico"),CONCATENATE("R1C",'Mapa final'!$R$12),"")</f>
        <v/>
      </c>
      <c r="AK16" s="32" t="str">
        <f>IF(AND('Mapa final'!$AB$13="Alta",'Mapa final'!$AD$13="Catastrófico"),CONCATENATE("R1C",'Mapa final'!$R$13),"")</f>
        <v/>
      </c>
      <c r="AL16" s="32" t="e">
        <f>IF(AND('Mapa final'!#REF!="Alta",'Mapa final'!#REF!="Catastrófico"),CONCATENATE("R1C",'Mapa final'!#REF!),"")</f>
        <v>#REF!</v>
      </c>
      <c r="AM16" s="33" t="e">
        <f>IF(AND('Mapa final'!#REF!="Alta",'Mapa final'!#REF!="Catastrófico"),CONCATENATE("R1C",'Mapa final'!#REF!),"")</f>
        <v>#REF!</v>
      </c>
      <c r="AN16" s="65"/>
      <c r="AO16" s="685" t="s">
        <v>79</v>
      </c>
      <c r="AP16" s="686"/>
      <c r="AQ16" s="686"/>
      <c r="AR16" s="686"/>
      <c r="AS16" s="686"/>
      <c r="AT16" s="687"/>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ht="15" customHeight="1" x14ac:dyDescent="0.3">
      <c r="A17" s="65"/>
      <c r="B17" s="637"/>
      <c r="C17" s="637"/>
      <c r="D17" s="638"/>
      <c r="E17" s="694"/>
      <c r="F17" s="679"/>
      <c r="G17" s="679"/>
      <c r="H17" s="679"/>
      <c r="I17" s="679"/>
      <c r="J17" s="49" t="str">
        <f>IF(AND('Mapa final'!$AB$14="Alta",'Mapa final'!$AD$14="Leve"),CONCATENATE("R2C",'Mapa final'!$R$14),"")</f>
        <v/>
      </c>
      <c r="K17" s="50" t="e">
        <f>IF(AND('Mapa final'!#REF!="Alta",'Mapa final'!#REF!="Leve"),CONCATENATE("R2C",'Mapa final'!#REF!),"")</f>
        <v>#REF!</v>
      </c>
      <c r="L17" s="50" t="e">
        <f>IF(AND('Mapa final'!#REF!="Alta",'Mapa final'!#REF!="Leve"),CONCATENATE("R2C",'Mapa final'!#REF!),"")</f>
        <v>#REF!</v>
      </c>
      <c r="M17" s="50" t="e">
        <f>IF(AND('Mapa final'!#REF!="Alta",'Mapa final'!#REF!="Leve"),CONCATENATE("R2C",'Mapa final'!#REF!),"")</f>
        <v>#REF!</v>
      </c>
      <c r="N17" s="50" t="e">
        <f>IF(AND('Mapa final'!#REF!="Alta",'Mapa final'!#REF!="Leve"),CONCATENATE("R2C",'Mapa final'!#REF!),"")</f>
        <v>#REF!</v>
      </c>
      <c r="O17" s="51" t="e">
        <f>IF(AND('Mapa final'!#REF!="Alta",'Mapa final'!#REF!="Leve"),CONCATENATE("R2C",'Mapa final'!#REF!),"")</f>
        <v>#REF!</v>
      </c>
      <c r="P17" s="49" t="str">
        <f>IF(AND('Mapa final'!$AB$14="Alta",'Mapa final'!$AD$14="Menor"),CONCATENATE("R2C",'Mapa final'!$R$14),"")</f>
        <v/>
      </c>
      <c r="Q17" s="50" t="e">
        <f>IF(AND('Mapa final'!#REF!="Alta",'Mapa final'!#REF!="Menor"),CONCATENATE("R2C",'Mapa final'!#REF!),"")</f>
        <v>#REF!</v>
      </c>
      <c r="R17" s="50" t="e">
        <f>IF(AND('Mapa final'!#REF!="Alta",'Mapa final'!#REF!="Menor"),CONCATENATE("R2C",'Mapa final'!#REF!),"")</f>
        <v>#REF!</v>
      </c>
      <c r="S17" s="50" t="e">
        <f>IF(AND('Mapa final'!#REF!="Alta",'Mapa final'!#REF!="Menor"),CONCATENATE("R2C",'Mapa final'!#REF!),"")</f>
        <v>#REF!</v>
      </c>
      <c r="T17" s="50" t="e">
        <f>IF(AND('Mapa final'!#REF!="Alta",'Mapa final'!#REF!="Menor"),CONCATENATE("R2C",'Mapa final'!#REF!),"")</f>
        <v>#REF!</v>
      </c>
      <c r="U17" s="51" t="e">
        <f>IF(AND('Mapa final'!#REF!="Alta",'Mapa final'!#REF!="Menor"),CONCATENATE("R2C",'Mapa final'!#REF!),"")</f>
        <v>#REF!</v>
      </c>
      <c r="V17" s="34" t="str">
        <f>IF(AND('Mapa final'!$AB$14="Alta",'Mapa final'!$AD$14="Moderado"),CONCATENATE("R2C",'Mapa final'!$R$14),"")</f>
        <v/>
      </c>
      <c r="W17" s="35" t="e">
        <f>IF(AND('Mapa final'!#REF!="Alta",'Mapa final'!#REF!="Moderado"),CONCATENATE("R2C",'Mapa final'!#REF!),"")</f>
        <v>#REF!</v>
      </c>
      <c r="X17" s="35" t="e">
        <f>IF(AND('Mapa final'!#REF!="Alta",'Mapa final'!#REF!="Moderado"),CONCATENATE("R2C",'Mapa final'!#REF!),"")</f>
        <v>#REF!</v>
      </c>
      <c r="Y17" s="35" t="e">
        <f>IF(AND('Mapa final'!#REF!="Alta",'Mapa final'!#REF!="Moderado"),CONCATENATE("R2C",'Mapa final'!#REF!),"")</f>
        <v>#REF!</v>
      </c>
      <c r="Z17" s="35" t="e">
        <f>IF(AND('Mapa final'!#REF!="Alta",'Mapa final'!#REF!="Moderado"),CONCATENATE("R2C",'Mapa final'!#REF!),"")</f>
        <v>#REF!</v>
      </c>
      <c r="AA17" s="36" t="e">
        <f>IF(AND('Mapa final'!#REF!="Alta",'Mapa final'!#REF!="Moderado"),CONCATENATE("R2C",'Mapa final'!#REF!),"")</f>
        <v>#REF!</v>
      </c>
      <c r="AB17" s="34" t="str">
        <f>IF(AND('Mapa final'!$AB$14="Alta",'Mapa final'!$AD$14="Mayor"),CONCATENATE("R2C",'Mapa final'!$R$14),"")</f>
        <v/>
      </c>
      <c r="AC17" s="35" t="e">
        <f>IF(AND('Mapa final'!#REF!="Alta",'Mapa final'!#REF!="Mayor"),CONCATENATE("R2C",'Mapa final'!#REF!),"")</f>
        <v>#REF!</v>
      </c>
      <c r="AD17" s="35" t="e">
        <f>IF(AND('Mapa final'!#REF!="Alta",'Mapa final'!#REF!="Mayor"),CONCATENATE("R2C",'Mapa final'!#REF!),"")</f>
        <v>#REF!</v>
      </c>
      <c r="AE17" s="35" t="e">
        <f>IF(AND('Mapa final'!#REF!="Alta",'Mapa final'!#REF!="Mayor"),CONCATENATE("R2C",'Mapa final'!#REF!),"")</f>
        <v>#REF!</v>
      </c>
      <c r="AF17" s="35" t="e">
        <f>IF(AND('Mapa final'!#REF!="Alta",'Mapa final'!#REF!="Mayor"),CONCATENATE("R2C",'Mapa final'!#REF!),"")</f>
        <v>#REF!</v>
      </c>
      <c r="AG17" s="36" t="e">
        <f>IF(AND('Mapa final'!#REF!="Alta",'Mapa final'!#REF!="Mayor"),CONCATENATE("R2C",'Mapa final'!#REF!),"")</f>
        <v>#REF!</v>
      </c>
      <c r="AH17" s="37" t="str">
        <f>IF(AND('Mapa final'!$AB$14="Alta",'Mapa final'!$AD$14="Catastrófico"),CONCATENATE("R2C",'Mapa final'!$R$14),"")</f>
        <v/>
      </c>
      <c r="AI17" s="38" t="e">
        <f>IF(AND('Mapa final'!#REF!="Alta",'Mapa final'!#REF!="Catastrófico"),CONCATENATE("R2C",'Mapa final'!#REF!),"")</f>
        <v>#REF!</v>
      </c>
      <c r="AJ17" s="38" t="e">
        <f>IF(AND('Mapa final'!#REF!="Alta",'Mapa final'!#REF!="Catastrófico"),CONCATENATE("R2C",'Mapa final'!#REF!),"")</f>
        <v>#REF!</v>
      </c>
      <c r="AK17" s="38" t="e">
        <f>IF(AND('Mapa final'!#REF!="Alta",'Mapa final'!#REF!="Catastrófico"),CONCATENATE("R2C",'Mapa final'!#REF!),"")</f>
        <v>#REF!</v>
      </c>
      <c r="AL17" s="38" t="e">
        <f>IF(AND('Mapa final'!#REF!="Alta",'Mapa final'!#REF!="Catastrófico"),CONCATENATE("R2C",'Mapa final'!#REF!),"")</f>
        <v>#REF!</v>
      </c>
      <c r="AM17" s="39" t="e">
        <f>IF(AND('Mapa final'!#REF!="Alta",'Mapa final'!#REF!="Catastrófico"),CONCATENATE("R2C",'Mapa final'!#REF!),"")</f>
        <v>#REF!</v>
      </c>
      <c r="AN17" s="65"/>
      <c r="AO17" s="688"/>
      <c r="AP17" s="689"/>
      <c r="AQ17" s="689"/>
      <c r="AR17" s="689"/>
      <c r="AS17" s="689"/>
      <c r="AT17" s="690"/>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ht="15" customHeight="1" x14ac:dyDescent="0.3">
      <c r="A18" s="65"/>
      <c r="B18" s="637"/>
      <c r="C18" s="637"/>
      <c r="D18" s="638"/>
      <c r="E18" s="678"/>
      <c r="F18" s="679"/>
      <c r="G18" s="679"/>
      <c r="H18" s="679"/>
      <c r="I18" s="679"/>
      <c r="J18" s="49" t="str">
        <f>IF(AND('Mapa final'!$AB$15="Alta",'Mapa final'!$AD$15="Leve"),CONCATENATE("R3C",'Mapa final'!$R$15),"")</f>
        <v/>
      </c>
      <c r="K18" s="50" t="str">
        <f>IF(AND('Mapa final'!$AB$16="Alta",'Mapa final'!$AD$16="Leve"),CONCATENATE("R3C",'Mapa final'!$R$16),"")</f>
        <v/>
      </c>
      <c r="L18" s="50" t="str">
        <f>IF(AND('Mapa final'!$AB$17="Alta",'Mapa final'!$AD$17="Leve"),CONCATENATE("R3C",'Mapa final'!$R$17),"")</f>
        <v/>
      </c>
      <c r="M18" s="50" t="str">
        <f>IF(AND('Mapa final'!$AB$18="Alta",'Mapa final'!$AD$18="Leve"),CONCATENATE("R3C",'Mapa final'!$R$18),"")</f>
        <v/>
      </c>
      <c r="N18" s="50" t="str">
        <f>IF(AND('Mapa final'!$AB$19="Alta",'Mapa final'!$AD$19="Leve"),CONCATENATE("R3C",'Mapa final'!$R$19),"")</f>
        <v/>
      </c>
      <c r="O18" s="51" t="str">
        <f>IF(AND('Mapa final'!$AB$20="Alta",'Mapa final'!$AD$20="Leve"),CONCATENATE("R3C",'Mapa final'!$R$20),"")</f>
        <v/>
      </c>
      <c r="P18" s="49" t="str">
        <f>IF(AND('Mapa final'!$AB$15="Alta",'Mapa final'!$AD$15="Menor"),CONCATENATE("R3C",'Mapa final'!$R$15),"")</f>
        <v/>
      </c>
      <c r="Q18" s="50" t="str">
        <f>IF(AND('Mapa final'!$AB$16="Alta",'Mapa final'!$AD$16="Menor"),CONCATENATE("R3C",'Mapa final'!$R$16),"")</f>
        <v/>
      </c>
      <c r="R18" s="50" t="str">
        <f>IF(AND('Mapa final'!$AB$17="Alta",'Mapa final'!$AD$17="Menor"),CONCATENATE("R3C",'Mapa final'!$R$17),"")</f>
        <v/>
      </c>
      <c r="S18" s="50" t="str">
        <f>IF(AND('Mapa final'!$AB$18="Alta",'Mapa final'!$AD$18="Menor"),CONCATENATE("R3C",'Mapa final'!$R$18),"")</f>
        <v/>
      </c>
      <c r="T18" s="50" t="str">
        <f>IF(AND('Mapa final'!$AB$19="Alta",'Mapa final'!$AD$19="Menor"),CONCATENATE("R3C",'Mapa final'!$R$19),"")</f>
        <v/>
      </c>
      <c r="U18" s="51" t="str">
        <f>IF(AND('Mapa final'!$AB$20="Alta",'Mapa final'!$AD$20="Menor"),CONCATENATE("R3C",'Mapa final'!$R$20),"")</f>
        <v/>
      </c>
      <c r="V18" s="34" t="str">
        <f>IF(AND('Mapa final'!$AB$15="Alta",'Mapa final'!$AD$15="Moderado"),CONCATENATE("R3C",'Mapa final'!$R$15),"")</f>
        <v/>
      </c>
      <c r="W18" s="35" t="str">
        <f>IF(AND('Mapa final'!$AB$16="Alta",'Mapa final'!$AD$16="Moderado"),CONCATENATE("R3C",'Mapa final'!$R$16),"")</f>
        <v/>
      </c>
      <c r="X18" s="35" t="str">
        <f>IF(AND('Mapa final'!$AB$17="Alta",'Mapa final'!$AD$17="Moderado"),CONCATENATE("R3C",'Mapa final'!$R$17),"")</f>
        <v/>
      </c>
      <c r="Y18" s="35" t="str">
        <f>IF(AND('Mapa final'!$AB$18="Alta",'Mapa final'!$AD$18="Moderado"),CONCATENATE("R3C",'Mapa final'!$R$18),"")</f>
        <v/>
      </c>
      <c r="Z18" s="35" t="str">
        <f>IF(AND('Mapa final'!$AB$19="Alta",'Mapa final'!$AD$19="Moderado"),CONCATENATE("R3C",'Mapa final'!$R$19),"")</f>
        <v/>
      </c>
      <c r="AA18" s="36" t="str">
        <f>IF(AND('Mapa final'!$AB$20="Alta",'Mapa final'!$AD$20="Moderado"),CONCATENATE("R3C",'Mapa final'!$R$20),"")</f>
        <v/>
      </c>
      <c r="AB18" s="34" t="str">
        <f>IF(AND('Mapa final'!$AB$15="Alta",'Mapa final'!$AD$15="Mayor"),CONCATENATE("R3C",'Mapa final'!$R$15),"")</f>
        <v/>
      </c>
      <c r="AC18" s="35" t="str">
        <f>IF(AND('Mapa final'!$AB$16="Alta",'Mapa final'!$AD$16="Mayor"),CONCATENATE("R3C",'Mapa final'!$R$16),"")</f>
        <v/>
      </c>
      <c r="AD18" s="35" t="str">
        <f>IF(AND('Mapa final'!$AB$17="Alta",'Mapa final'!$AD$17="Mayor"),CONCATENATE("R3C",'Mapa final'!$R$17),"")</f>
        <v/>
      </c>
      <c r="AE18" s="35" t="str">
        <f>IF(AND('Mapa final'!$AB$18="Alta",'Mapa final'!$AD$18="Mayor"),CONCATENATE("R3C",'Mapa final'!$R$18),"")</f>
        <v/>
      </c>
      <c r="AF18" s="35" t="str">
        <f>IF(AND('Mapa final'!$AB$19="Alta",'Mapa final'!$AD$19="Mayor"),CONCATENATE("R3C",'Mapa final'!$R$19),"")</f>
        <v/>
      </c>
      <c r="AG18" s="36" t="str">
        <f>IF(AND('Mapa final'!$AB$20="Alta",'Mapa final'!$AD$20="Mayor"),CONCATENATE("R3C",'Mapa final'!$R$20),"")</f>
        <v/>
      </c>
      <c r="AH18" s="37" t="str">
        <f>IF(AND('Mapa final'!$AB$15="Alta",'Mapa final'!$AD$15="Catastrófico"),CONCATENATE("R3C",'Mapa final'!$R$15),"")</f>
        <v/>
      </c>
      <c r="AI18" s="38" t="str">
        <f>IF(AND('Mapa final'!$AB$16="Alta",'Mapa final'!$AD$16="Catastrófico"),CONCATENATE("R3C",'Mapa final'!$R$16),"")</f>
        <v/>
      </c>
      <c r="AJ18" s="38" t="str">
        <f>IF(AND('Mapa final'!$AB$17="Alta",'Mapa final'!$AD$17="Catastrófico"),CONCATENATE("R3C",'Mapa final'!$R$17),"")</f>
        <v/>
      </c>
      <c r="AK18" s="38" t="str">
        <f>IF(AND('Mapa final'!$AB$18="Alta",'Mapa final'!$AD$18="Catastrófico"),CONCATENATE("R3C",'Mapa final'!$R$18),"")</f>
        <v/>
      </c>
      <c r="AL18" s="38" t="str">
        <f>IF(AND('Mapa final'!$AB$19="Alta",'Mapa final'!$AD$19="Catastrófico"),CONCATENATE("R3C",'Mapa final'!$R$19),"")</f>
        <v/>
      </c>
      <c r="AM18" s="39" t="str">
        <f>IF(AND('Mapa final'!$AB$20="Alta",'Mapa final'!$AD$20="Catastrófico"),CONCATENATE("R3C",'Mapa final'!$R$20),"")</f>
        <v/>
      </c>
      <c r="AN18" s="65"/>
      <c r="AO18" s="688"/>
      <c r="AP18" s="689"/>
      <c r="AQ18" s="689"/>
      <c r="AR18" s="689"/>
      <c r="AS18" s="689"/>
      <c r="AT18" s="690"/>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ht="15" customHeight="1" x14ac:dyDescent="0.3">
      <c r="A19" s="65"/>
      <c r="B19" s="637"/>
      <c r="C19" s="637"/>
      <c r="D19" s="638"/>
      <c r="E19" s="678"/>
      <c r="F19" s="679"/>
      <c r="G19" s="679"/>
      <c r="H19" s="679"/>
      <c r="I19" s="679"/>
      <c r="J19" s="49" t="str">
        <f>IF(AND('Mapa final'!$AB$21="Alta",'Mapa final'!$AD$21="Leve"),CONCATENATE("R4C",'Mapa final'!$R$21),"")</f>
        <v/>
      </c>
      <c r="K19" s="50" t="str">
        <f>IF(AND('Mapa final'!$AB$22="Alta",'Mapa final'!$AD$22="Leve"),CONCATENATE("R4C",'Mapa final'!$R$22),"")</f>
        <v/>
      </c>
      <c r="L19" s="50" t="str">
        <f>IF(AND('Mapa final'!$AB$23="Alta",'Mapa final'!$AD$23="Leve"),CONCATENATE("R4C",'Mapa final'!$R$23),"")</f>
        <v/>
      </c>
      <c r="M19" s="50" t="str">
        <f>IF(AND('Mapa final'!$AB$24="Alta",'Mapa final'!$AD$24="Leve"),CONCATENATE("R4C",'Mapa final'!$R$24),"")</f>
        <v/>
      </c>
      <c r="N19" s="50" t="str">
        <f>IF(AND('Mapa final'!$AB$25="Alta",'Mapa final'!$AD$25="Leve"),CONCATENATE("R4C",'Mapa final'!$R$25),"")</f>
        <v/>
      </c>
      <c r="O19" s="51" t="str">
        <f>IF(AND('Mapa final'!$AB$26="Alta",'Mapa final'!$AD$26="Leve"),CONCATENATE("R4C",'Mapa final'!$R$26),"")</f>
        <v/>
      </c>
      <c r="P19" s="49" t="str">
        <f>IF(AND('Mapa final'!$AB$21="Alta",'Mapa final'!$AD$21="Menor"),CONCATENATE("R4C",'Mapa final'!$R$21),"")</f>
        <v/>
      </c>
      <c r="Q19" s="50" t="str">
        <f>IF(AND('Mapa final'!$AB$22="Alta",'Mapa final'!$AD$22="Menor"),CONCATENATE("R4C",'Mapa final'!$R$22),"")</f>
        <v/>
      </c>
      <c r="R19" s="50" t="str">
        <f>IF(AND('Mapa final'!$AB$23="Alta",'Mapa final'!$AD$23="Menor"),CONCATENATE("R4C",'Mapa final'!$R$23),"")</f>
        <v/>
      </c>
      <c r="S19" s="50" t="str">
        <f>IF(AND('Mapa final'!$AB$24="Alta",'Mapa final'!$AD$24="Menor"),CONCATENATE("R4C",'Mapa final'!$R$24),"")</f>
        <v/>
      </c>
      <c r="T19" s="50" t="str">
        <f>IF(AND('Mapa final'!$AB$25="Alta",'Mapa final'!$AD$25="Menor"),CONCATENATE("R4C",'Mapa final'!$R$25),"")</f>
        <v/>
      </c>
      <c r="U19" s="51" t="str">
        <f>IF(AND('Mapa final'!$AB$26="Alta",'Mapa final'!$AD$26="Menor"),CONCATENATE("R4C",'Mapa final'!$R$26),"")</f>
        <v/>
      </c>
      <c r="V19" s="34" t="str">
        <f>IF(AND('Mapa final'!$AB$21="Alta",'Mapa final'!$AD$21="Moderado"),CONCATENATE("R4C",'Mapa final'!$R$21),"")</f>
        <v/>
      </c>
      <c r="W19" s="35" t="str">
        <f>IF(AND('Mapa final'!$AB$22="Alta",'Mapa final'!$AD$22="Moderado"),CONCATENATE("R4C",'Mapa final'!$R$22),"")</f>
        <v/>
      </c>
      <c r="X19" s="35" t="str">
        <f>IF(AND('Mapa final'!$AB$23="Alta",'Mapa final'!$AD$23="Moderado"),CONCATENATE("R4C",'Mapa final'!$R$23),"")</f>
        <v/>
      </c>
      <c r="Y19" s="35" t="str">
        <f>IF(AND('Mapa final'!$AB$24="Alta",'Mapa final'!$AD$24="Moderado"),CONCATENATE("R4C",'Mapa final'!$R$24),"")</f>
        <v/>
      </c>
      <c r="Z19" s="35" t="str">
        <f>IF(AND('Mapa final'!$AB$25="Alta",'Mapa final'!$AD$25="Moderado"),CONCATENATE("R4C",'Mapa final'!$R$25),"")</f>
        <v/>
      </c>
      <c r="AA19" s="36" t="str">
        <f>IF(AND('Mapa final'!$AB$26="Alta",'Mapa final'!$AD$26="Moderado"),CONCATENATE("R4C",'Mapa final'!$R$26),"")</f>
        <v/>
      </c>
      <c r="AB19" s="34" t="str">
        <f>IF(AND('Mapa final'!$AB$21="Alta",'Mapa final'!$AD$21="Mayor"),CONCATENATE("R4C",'Mapa final'!$R$21),"")</f>
        <v/>
      </c>
      <c r="AC19" s="35" t="str">
        <f>IF(AND('Mapa final'!$AB$22="Alta",'Mapa final'!$AD$22="Mayor"),CONCATENATE("R4C",'Mapa final'!$R$22),"")</f>
        <v/>
      </c>
      <c r="AD19" s="35" t="str">
        <f>IF(AND('Mapa final'!$AB$23="Alta",'Mapa final'!$AD$23="Mayor"),CONCATENATE("R4C",'Mapa final'!$R$23),"")</f>
        <v/>
      </c>
      <c r="AE19" s="35" t="str">
        <f>IF(AND('Mapa final'!$AB$24="Alta",'Mapa final'!$AD$24="Mayor"),CONCATENATE("R4C",'Mapa final'!$R$24),"")</f>
        <v/>
      </c>
      <c r="AF19" s="35" t="str">
        <f>IF(AND('Mapa final'!$AB$25="Alta",'Mapa final'!$AD$25="Mayor"),CONCATENATE("R4C",'Mapa final'!$R$25),"")</f>
        <v/>
      </c>
      <c r="AG19" s="36" t="str">
        <f>IF(AND('Mapa final'!$AB$26="Alta",'Mapa final'!$AD$26="Mayor"),CONCATENATE("R4C",'Mapa final'!$R$26),"")</f>
        <v/>
      </c>
      <c r="AH19" s="37" t="str">
        <f>IF(AND('Mapa final'!$AB$21="Alta",'Mapa final'!$AD$21="Catastrófico"),CONCATENATE("R4C",'Mapa final'!$R$21),"")</f>
        <v/>
      </c>
      <c r="AI19" s="38" t="str">
        <f>IF(AND('Mapa final'!$AB$22="Alta",'Mapa final'!$AD$22="Catastrófico"),CONCATENATE("R4C",'Mapa final'!$R$22),"")</f>
        <v/>
      </c>
      <c r="AJ19" s="38" t="str">
        <f>IF(AND('Mapa final'!$AB$23="Alta",'Mapa final'!$AD$23="Catastrófico"),CONCATENATE("R4C",'Mapa final'!$R$23),"")</f>
        <v/>
      </c>
      <c r="AK19" s="38" t="str">
        <f>IF(AND('Mapa final'!$AB$24="Alta",'Mapa final'!$AD$24="Catastrófico"),CONCATENATE("R4C",'Mapa final'!$R$24),"")</f>
        <v/>
      </c>
      <c r="AL19" s="38" t="str">
        <f>IF(AND('Mapa final'!$AB$25="Alta",'Mapa final'!$AD$25="Catastrófico"),CONCATENATE("R4C",'Mapa final'!$R$25),"")</f>
        <v/>
      </c>
      <c r="AM19" s="39" t="str">
        <f>IF(AND('Mapa final'!$AB$26="Alta",'Mapa final'!$AD$26="Catastrófico"),CONCATENATE("R4C",'Mapa final'!$R$26),"")</f>
        <v/>
      </c>
      <c r="AN19" s="65"/>
      <c r="AO19" s="688"/>
      <c r="AP19" s="689"/>
      <c r="AQ19" s="689"/>
      <c r="AR19" s="689"/>
      <c r="AS19" s="689"/>
      <c r="AT19" s="690"/>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ht="15" customHeight="1" x14ac:dyDescent="0.3">
      <c r="A20" s="65"/>
      <c r="B20" s="637"/>
      <c r="C20" s="637"/>
      <c r="D20" s="638"/>
      <c r="E20" s="678"/>
      <c r="F20" s="679"/>
      <c r="G20" s="679"/>
      <c r="H20" s="679"/>
      <c r="I20" s="679"/>
      <c r="J20" s="49" t="str">
        <f>IF(AND('Mapa final'!$AB$27="Alta",'Mapa final'!$AD$27="Leve"),CONCATENATE("R5C",'Mapa final'!$R$27),"")</f>
        <v/>
      </c>
      <c r="K20" s="50" t="str">
        <f>IF(AND('Mapa final'!$AB$28="Alta",'Mapa final'!$AD$28="Leve"),CONCATENATE("R5C",'Mapa final'!$R$28),"")</f>
        <v/>
      </c>
      <c r="L20" s="50" t="str">
        <f>IF(AND('Mapa final'!$AB$29="Alta",'Mapa final'!$AD$29="Leve"),CONCATENATE("R5C",'Mapa final'!$R$29),"")</f>
        <v/>
      </c>
      <c r="M20" s="50" t="str">
        <f>IF(AND('Mapa final'!$AB$30="Alta",'Mapa final'!$AD$30="Leve"),CONCATENATE("R5C",'Mapa final'!$R$30),"")</f>
        <v/>
      </c>
      <c r="N20" s="50" t="str">
        <f>IF(AND('Mapa final'!$AB$31="Alta",'Mapa final'!$AD$31="Leve"),CONCATENATE("R5C",'Mapa final'!$R$31),"")</f>
        <v/>
      </c>
      <c r="O20" s="51" t="str">
        <f>IF(AND('Mapa final'!$AB$32="Alta",'Mapa final'!$AD$32="Leve"),CONCATENATE("R5C",'Mapa final'!$R$32),"")</f>
        <v/>
      </c>
      <c r="P20" s="49" t="str">
        <f>IF(AND('Mapa final'!$AB$27="Alta",'Mapa final'!$AD$27="Menor"),CONCATENATE("R5C",'Mapa final'!$R$27),"")</f>
        <v/>
      </c>
      <c r="Q20" s="50" t="str">
        <f>IF(AND('Mapa final'!$AB$28="Alta",'Mapa final'!$AD$28="Menor"),CONCATENATE("R5C",'Mapa final'!$R$28),"")</f>
        <v/>
      </c>
      <c r="R20" s="50" t="str">
        <f>IF(AND('Mapa final'!$AB$29="Alta",'Mapa final'!$AD$29="Menor"),CONCATENATE("R5C",'Mapa final'!$R$29),"")</f>
        <v/>
      </c>
      <c r="S20" s="50" t="str">
        <f>IF(AND('Mapa final'!$AB$30="Alta",'Mapa final'!$AD$30="Menor"),CONCATENATE("R5C",'Mapa final'!$R$30),"")</f>
        <v/>
      </c>
      <c r="T20" s="50" t="str">
        <f>IF(AND('Mapa final'!$AB$31="Alta",'Mapa final'!$AD$31="Menor"),CONCATENATE("R5C",'Mapa final'!$R$31),"")</f>
        <v/>
      </c>
      <c r="U20" s="51" t="str">
        <f>IF(AND('Mapa final'!$AB$32="Alta",'Mapa final'!$AD$32="Menor"),CONCATENATE("R5C",'Mapa final'!$R$32),"")</f>
        <v/>
      </c>
      <c r="V20" s="34" t="str">
        <f>IF(AND('Mapa final'!$AB$27="Alta",'Mapa final'!$AD$27="Moderado"),CONCATENATE("R5C",'Mapa final'!$R$27),"")</f>
        <v/>
      </c>
      <c r="W20" s="35" t="str">
        <f>IF(AND('Mapa final'!$AB$28="Alta",'Mapa final'!$AD$28="Moderado"),CONCATENATE("R5C",'Mapa final'!$R$28),"")</f>
        <v/>
      </c>
      <c r="X20" s="35" t="str">
        <f>IF(AND('Mapa final'!$AB$29="Alta",'Mapa final'!$AD$29="Moderado"),CONCATENATE("R5C",'Mapa final'!$R$29),"")</f>
        <v/>
      </c>
      <c r="Y20" s="35" t="str">
        <f>IF(AND('Mapa final'!$AB$30="Alta",'Mapa final'!$AD$30="Moderado"),CONCATENATE("R5C",'Mapa final'!$R$30),"")</f>
        <v/>
      </c>
      <c r="Z20" s="35" t="str">
        <f>IF(AND('Mapa final'!$AB$31="Alta",'Mapa final'!$AD$31="Moderado"),CONCATENATE("R5C",'Mapa final'!$R$31),"")</f>
        <v/>
      </c>
      <c r="AA20" s="36" t="str">
        <f>IF(AND('Mapa final'!$AB$32="Alta",'Mapa final'!$AD$32="Moderado"),CONCATENATE("R5C",'Mapa final'!$R$32),"")</f>
        <v/>
      </c>
      <c r="AB20" s="34" t="str">
        <f>IF(AND('Mapa final'!$AB$27="Alta",'Mapa final'!$AD$27="Mayor"),CONCATENATE("R5C",'Mapa final'!$R$27),"")</f>
        <v/>
      </c>
      <c r="AC20" s="35" t="str">
        <f>IF(AND('Mapa final'!$AB$28="Alta",'Mapa final'!$AD$28="Mayor"),CONCATENATE("R5C",'Mapa final'!$R$28),"")</f>
        <v/>
      </c>
      <c r="AD20" s="35" t="str">
        <f>IF(AND('Mapa final'!$AB$29="Alta",'Mapa final'!$AD$29="Mayor"),CONCATENATE("R5C",'Mapa final'!$R$29),"")</f>
        <v/>
      </c>
      <c r="AE20" s="35" t="str">
        <f>IF(AND('Mapa final'!$AB$30="Alta",'Mapa final'!$AD$30="Mayor"),CONCATENATE("R5C",'Mapa final'!$R$30),"")</f>
        <v/>
      </c>
      <c r="AF20" s="35" t="str">
        <f>IF(AND('Mapa final'!$AB$31="Alta",'Mapa final'!$AD$31="Mayor"),CONCATENATE("R5C",'Mapa final'!$R$31),"")</f>
        <v/>
      </c>
      <c r="AG20" s="36" t="str">
        <f>IF(AND('Mapa final'!$AB$32="Alta",'Mapa final'!$AD$32="Mayor"),CONCATENATE("R5C",'Mapa final'!$R$32),"")</f>
        <v/>
      </c>
      <c r="AH20" s="37" t="str">
        <f>IF(AND('Mapa final'!$AB$27="Alta",'Mapa final'!$AD$27="Catastrófico"),CONCATENATE("R5C",'Mapa final'!$R$27),"")</f>
        <v/>
      </c>
      <c r="AI20" s="38" t="str">
        <f>IF(AND('Mapa final'!$AB$28="Alta",'Mapa final'!$AD$28="Catastrófico"),CONCATENATE("R5C",'Mapa final'!$R$28),"")</f>
        <v/>
      </c>
      <c r="AJ20" s="38" t="str">
        <f>IF(AND('Mapa final'!$AB$29="Alta",'Mapa final'!$AD$29="Catastrófico"),CONCATENATE("R5C",'Mapa final'!$R$29),"")</f>
        <v/>
      </c>
      <c r="AK20" s="38" t="str">
        <f>IF(AND('Mapa final'!$AB$30="Alta",'Mapa final'!$AD$30="Catastrófico"),CONCATENATE("R5C",'Mapa final'!$R$30),"")</f>
        <v/>
      </c>
      <c r="AL20" s="38" t="str">
        <f>IF(AND('Mapa final'!$AB$31="Alta",'Mapa final'!$AD$31="Catastrófico"),CONCATENATE("R5C",'Mapa final'!$R$31),"")</f>
        <v/>
      </c>
      <c r="AM20" s="39" t="str">
        <f>IF(AND('Mapa final'!$AB$32="Alta",'Mapa final'!$AD$32="Catastrófico"),CONCATENATE("R5C",'Mapa final'!$R$32),"")</f>
        <v/>
      </c>
      <c r="AN20" s="65"/>
      <c r="AO20" s="688"/>
      <c r="AP20" s="689"/>
      <c r="AQ20" s="689"/>
      <c r="AR20" s="689"/>
      <c r="AS20" s="689"/>
      <c r="AT20" s="690"/>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ht="15" customHeight="1" x14ac:dyDescent="0.3">
      <c r="A21" s="65"/>
      <c r="B21" s="637"/>
      <c r="C21" s="637"/>
      <c r="D21" s="638"/>
      <c r="E21" s="678"/>
      <c r="F21" s="679"/>
      <c r="G21" s="679"/>
      <c r="H21" s="679"/>
      <c r="I21" s="679"/>
      <c r="J21" s="49" t="str">
        <f>IF(AND('Mapa final'!$AB$33="Alta",'Mapa final'!$AD$33="Leve"),CONCATENATE("R6C",'Mapa final'!$R$33),"")</f>
        <v/>
      </c>
      <c r="K21" s="50" t="str">
        <f>IF(AND('Mapa final'!$AB$34="Alta",'Mapa final'!$AD$34="Leve"),CONCATENATE("R6C",'Mapa final'!$R$34),"")</f>
        <v/>
      </c>
      <c r="L21" s="50" t="str">
        <f>IF(AND('Mapa final'!$AB$35="Alta",'Mapa final'!$AD$35="Leve"),CONCATENATE("R6C",'Mapa final'!$R$35),"")</f>
        <v/>
      </c>
      <c r="M21" s="50" t="str">
        <f>IF(AND('Mapa final'!$AB$36="Alta",'Mapa final'!$AD$36="Leve"),CONCATENATE("R6C",'Mapa final'!$R$36),"")</f>
        <v/>
      </c>
      <c r="N21" s="50" t="str">
        <f>IF(AND('Mapa final'!$AB$37="Alta",'Mapa final'!$AD$37="Leve"),CONCATENATE("R6C",'Mapa final'!$R$37),"")</f>
        <v/>
      </c>
      <c r="O21" s="51" t="str">
        <f>IF(AND('Mapa final'!$AB$38="Alta",'Mapa final'!$AD$38="Leve"),CONCATENATE("R6C",'Mapa final'!$R$38),"")</f>
        <v/>
      </c>
      <c r="P21" s="49" t="str">
        <f>IF(AND('Mapa final'!$AB$33="Alta",'Mapa final'!$AD$33="Menor"),CONCATENATE("R6C",'Mapa final'!$R$33),"")</f>
        <v/>
      </c>
      <c r="Q21" s="50" t="str">
        <f>IF(AND('Mapa final'!$AB$34="Alta",'Mapa final'!$AD$34="Menor"),CONCATENATE("R6C",'Mapa final'!$R$34),"")</f>
        <v/>
      </c>
      <c r="R21" s="50" t="str">
        <f>IF(AND('Mapa final'!$AB$35="Alta",'Mapa final'!$AD$35="Menor"),CONCATENATE("R6C",'Mapa final'!$R$35),"")</f>
        <v/>
      </c>
      <c r="S21" s="50" t="str">
        <f>IF(AND('Mapa final'!$AB$36="Alta",'Mapa final'!$AD$36="Menor"),CONCATENATE("R6C",'Mapa final'!$R$36),"")</f>
        <v/>
      </c>
      <c r="T21" s="50" t="str">
        <f>IF(AND('Mapa final'!$AB$37="Alta",'Mapa final'!$AD$37="Menor"),CONCATENATE("R6C",'Mapa final'!$R$37),"")</f>
        <v/>
      </c>
      <c r="U21" s="51" t="str">
        <f>IF(AND('Mapa final'!$AB$38="Alta",'Mapa final'!$AD$38="Menor"),CONCATENATE("R6C",'Mapa final'!$R$38),"")</f>
        <v/>
      </c>
      <c r="V21" s="34" t="str">
        <f>IF(AND('Mapa final'!$AB$33="Alta",'Mapa final'!$AD$33="Moderado"),CONCATENATE("R6C",'Mapa final'!$R$33),"")</f>
        <v/>
      </c>
      <c r="W21" s="35" t="str">
        <f>IF(AND('Mapa final'!$AB$34="Alta",'Mapa final'!$AD$34="Moderado"),CONCATENATE("R6C",'Mapa final'!$R$34),"")</f>
        <v/>
      </c>
      <c r="X21" s="35" t="str">
        <f>IF(AND('Mapa final'!$AB$35="Alta",'Mapa final'!$AD$35="Moderado"),CONCATENATE("R6C",'Mapa final'!$R$35),"")</f>
        <v/>
      </c>
      <c r="Y21" s="35" t="str">
        <f>IF(AND('Mapa final'!$AB$36="Alta",'Mapa final'!$AD$36="Moderado"),CONCATENATE("R6C",'Mapa final'!$R$36),"")</f>
        <v/>
      </c>
      <c r="Z21" s="35" t="str">
        <f>IF(AND('Mapa final'!$AB$37="Alta",'Mapa final'!$AD$37="Moderado"),CONCATENATE("R6C",'Mapa final'!$R$37),"")</f>
        <v/>
      </c>
      <c r="AA21" s="36" t="str">
        <f>IF(AND('Mapa final'!$AB$38="Alta",'Mapa final'!$AD$38="Moderado"),CONCATENATE("R6C",'Mapa final'!$R$38),"")</f>
        <v/>
      </c>
      <c r="AB21" s="34" t="str">
        <f>IF(AND('Mapa final'!$AB$33="Alta",'Mapa final'!$AD$33="Mayor"),CONCATENATE("R6C",'Mapa final'!$R$33),"")</f>
        <v/>
      </c>
      <c r="AC21" s="35" t="str">
        <f>IF(AND('Mapa final'!$AB$34="Alta",'Mapa final'!$AD$34="Mayor"),CONCATENATE("R6C",'Mapa final'!$R$34),"")</f>
        <v/>
      </c>
      <c r="AD21" s="35" t="str">
        <f>IF(AND('Mapa final'!$AB$35="Alta",'Mapa final'!$AD$35="Mayor"),CONCATENATE("R6C",'Mapa final'!$R$35),"")</f>
        <v/>
      </c>
      <c r="AE21" s="35" t="str">
        <f>IF(AND('Mapa final'!$AB$36="Alta",'Mapa final'!$AD$36="Mayor"),CONCATENATE("R6C",'Mapa final'!$R$36),"")</f>
        <v/>
      </c>
      <c r="AF21" s="35" t="str">
        <f>IF(AND('Mapa final'!$AB$37="Alta",'Mapa final'!$AD$37="Mayor"),CONCATENATE("R6C",'Mapa final'!$R$37),"")</f>
        <v/>
      </c>
      <c r="AG21" s="36" t="str">
        <f>IF(AND('Mapa final'!$AB$38="Alta",'Mapa final'!$AD$38="Mayor"),CONCATENATE("R6C",'Mapa final'!$R$38),"")</f>
        <v/>
      </c>
      <c r="AH21" s="37" t="str">
        <f>IF(AND('Mapa final'!$AB$33="Alta",'Mapa final'!$AD$33="Catastrófico"),CONCATENATE("R6C",'Mapa final'!$R$33),"")</f>
        <v/>
      </c>
      <c r="AI21" s="38" t="str">
        <f>IF(AND('Mapa final'!$AB$34="Alta",'Mapa final'!$AD$34="Catastrófico"),CONCATENATE("R6C",'Mapa final'!$R$34),"")</f>
        <v/>
      </c>
      <c r="AJ21" s="38" t="str">
        <f>IF(AND('Mapa final'!$AB$35="Alta",'Mapa final'!$AD$35="Catastrófico"),CONCATENATE("R6C",'Mapa final'!$R$35),"")</f>
        <v/>
      </c>
      <c r="AK21" s="38" t="str">
        <f>IF(AND('Mapa final'!$AB$36="Alta",'Mapa final'!$AD$36="Catastrófico"),CONCATENATE("R6C",'Mapa final'!$R$36),"")</f>
        <v/>
      </c>
      <c r="AL21" s="38" t="str">
        <f>IF(AND('Mapa final'!$AB$37="Alta",'Mapa final'!$AD$37="Catastrófico"),CONCATENATE("R6C",'Mapa final'!$R$37),"")</f>
        <v/>
      </c>
      <c r="AM21" s="39" t="str">
        <f>IF(AND('Mapa final'!$AB$38="Alta",'Mapa final'!$AD$38="Catastrófico"),CONCATENATE("R6C",'Mapa final'!$R$38),"")</f>
        <v/>
      </c>
      <c r="AN21" s="65"/>
      <c r="AO21" s="688"/>
      <c r="AP21" s="689"/>
      <c r="AQ21" s="689"/>
      <c r="AR21" s="689"/>
      <c r="AS21" s="689"/>
      <c r="AT21" s="690"/>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ht="15" customHeight="1" x14ac:dyDescent="0.3">
      <c r="A22" s="65"/>
      <c r="B22" s="637"/>
      <c r="C22" s="637"/>
      <c r="D22" s="638"/>
      <c r="E22" s="678"/>
      <c r="F22" s="679"/>
      <c r="G22" s="679"/>
      <c r="H22" s="679"/>
      <c r="I22" s="679"/>
      <c r="J22" s="49" t="str">
        <f>IF(AND('Mapa final'!$AB$39="Alta",'Mapa final'!$AD$39="Leve"),CONCATENATE("R7C",'Mapa final'!$R$39),"")</f>
        <v/>
      </c>
      <c r="K22" s="50" t="str">
        <f>IF(AND('Mapa final'!$AB$40="Alta",'Mapa final'!$AD$40="Leve"),CONCATENATE("R7C",'Mapa final'!$R$40),"")</f>
        <v/>
      </c>
      <c r="L22" s="50" t="str">
        <f>IF(AND('Mapa final'!$AB$41="Alta",'Mapa final'!$AD$41="Leve"),CONCATENATE("R7C",'Mapa final'!$R$41),"")</f>
        <v/>
      </c>
      <c r="M22" s="50" t="str">
        <f>IF(AND('Mapa final'!$AB$42="Alta",'Mapa final'!$AD$42="Leve"),CONCATENATE("R7C",'Mapa final'!$R$42),"")</f>
        <v/>
      </c>
      <c r="N22" s="50" t="str">
        <f>IF(AND('Mapa final'!$AB$43="Alta",'Mapa final'!$AD$43="Leve"),CONCATENATE("R7C",'Mapa final'!$R$43),"")</f>
        <v/>
      </c>
      <c r="O22" s="51" t="str">
        <f>IF(AND('Mapa final'!$AB$44="Alta",'Mapa final'!$AD$44="Leve"),CONCATENATE("R7C",'Mapa final'!$R$44),"")</f>
        <v/>
      </c>
      <c r="P22" s="49" t="str">
        <f>IF(AND('Mapa final'!$AB$39="Alta",'Mapa final'!$AD$39="Menor"),CONCATENATE("R7C",'Mapa final'!$R$39),"")</f>
        <v/>
      </c>
      <c r="Q22" s="50" t="str">
        <f>IF(AND('Mapa final'!$AB$40="Alta",'Mapa final'!$AD$40="Menor"),CONCATENATE("R7C",'Mapa final'!$R$40),"")</f>
        <v/>
      </c>
      <c r="R22" s="50" t="str">
        <f>IF(AND('Mapa final'!$AB$41="Alta",'Mapa final'!$AD$41="Menor"),CONCATENATE("R7C",'Mapa final'!$R$41),"")</f>
        <v/>
      </c>
      <c r="S22" s="50" t="str">
        <f>IF(AND('Mapa final'!$AB$42="Alta",'Mapa final'!$AD$42="Menor"),CONCATENATE("R7C",'Mapa final'!$R$42),"")</f>
        <v/>
      </c>
      <c r="T22" s="50" t="str">
        <f>IF(AND('Mapa final'!$AB$43="Alta",'Mapa final'!$AD$43="Menor"),CONCATENATE("R7C",'Mapa final'!$R$43),"")</f>
        <v/>
      </c>
      <c r="U22" s="51" t="str">
        <f>IF(AND('Mapa final'!$AB$44="Alta",'Mapa final'!$AD$44="Menor"),CONCATENATE("R7C",'Mapa final'!$R$44),"")</f>
        <v/>
      </c>
      <c r="V22" s="34" t="str">
        <f>IF(AND('Mapa final'!$AB$39="Alta",'Mapa final'!$AD$39="Moderado"),CONCATENATE("R7C",'Mapa final'!$R$39),"")</f>
        <v/>
      </c>
      <c r="W22" s="35" t="str">
        <f>IF(AND('Mapa final'!$AB$40="Alta",'Mapa final'!$AD$40="Moderado"),CONCATENATE("R7C",'Mapa final'!$R$40),"")</f>
        <v/>
      </c>
      <c r="X22" s="35" t="str">
        <f>IF(AND('Mapa final'!$AB$41="Alta",'Mapa final'!$AD$41="Moderado"),CONCATENATE("R7C",'Mapa final'!$R$41),"")</f>
        <v/>
      </c>
      <c r="Y22" s="35" t="str">
        <f>IF(AND('Mapa final'!$AB$42="Alta",'Mapa final'!$AD$42="Moderado"),CONCATENATE("R7C",'Mapa final'!$R$42),"")</f>
        <v/>
      </c>
      <c r="Z22" s="35" t="str">
        <f>IF(AND('Mapa final'!$AB$43="Alta",'Mapa final'!$AD$43="Moderado"),CONCATENATE("R7C",'Mapa final'!$R$43),"")</f>
        <v/>
      </c>
      <c r="AA22" s="36" t="str">
        <f>IF(AND('Mapa final'!$AB$44="Alta",'Mapa final'!$AD$44="Moderado"),CONCATENATE("R7C",'Mapa final'!$R$44),"")</f>
        <v/>
      </c>
      <c r="AB22" s="34" t="str">
        <f>IF(AND('Mapa final'!$AB$39="Alta",'Mapa final'!$AD$39="Mayor"),CONCATENATE("R7C",'Mapa final'!$R$39),"")</f>
        <v/>
      </c>
      <c r="AC22" s="35" t="str">
        <f>IF(AND('Mapa final'!$AB$40="Alta",'Mapa final'!$AD$40="Mayor"),CONCATENATE("R7C",'Mapa final'!$R$40),"")</f>
        <v/>
      </c>
      <c r="AD22" s="35" t="str">
        <f>IF(AND('Mapa final'!$AB$41="Alta",'Mapa final'!$AD$41="Mayor"),CONCATENATE("R7C",'Mapa final'!$R$41),"")</f>
        <v/>
      </c>
      <c r="AE22" s="35" t="str">
        <f>IF(AND('Mapa final'!$AB$42="Alta",'Mapa final'!$AD$42="Mayor"),CONCATENATE("R7C",'Mapa final'!$R$42),"")</f>
        <v/>
      </c>
      <c r="AF22" s="35" t="str">
        <f>IF(AND('Mapa final'!$AB$43="Alta",'Mapa final'!$AD$43="Mayor"),CONCATENATE("R7C",'Mapa final'!$R$43),"")</f>
        <v/>
      </c>
      <c r="AG22" s="36" t="str">
        <f>IF(AND('Mapa final'!$AB$44="Alta",'Mapa final'!$AD$44="Mayor"),CONCATENATE("R7C",'Mapa final'!$R$44),"")</f>
        <v/>
      </c>
      <c r="AH22" s="37" t="str">
        <f>IF(AND('Mapa final'!$AB$39="Alta",'Mapa final'!$AD$39="Catastrófico"),CONCATENATE("R7C",'Mapa final'!$R$39),"")</f>
        <v/>
      </c>
      <c r="AI22" s="38" t="str">
        <f>IF(AND('Mapa final'!$AB$40="Alta",'Mapa final'!$AD$40="Catastrófico"),CONCATENATE("R7C",'Mapa final'!$R$40),"")</f>
        <v/>
      </c>
      <c r="AJ22" s="38" t="str">
        <f>IF(AND('Mapa final'!$AB$41="Alta",'Mapa final'!$AD$41="Catastrófico"),CONCATENATE("R7C",'Mapa final'!$R$41),"")</f>
        <v/>
      </c>
      <c r="AK22" s="38" t="str">
        <f>IF(AND('Mapa final'!$AB$42="Alta",'Mapa final'!$AD$42="Catastrófico"),CONCATENATE("R7C",'Mapa final'!$R$42),"")</f>
        <v/>
      </c>
      <c r="AL22" s="38" t="str">
        <f>IF(AND('Mapa final'!$AB$43="Alta",'Mapa final'!$AD$43="Catastrófico"),CONCATENATE("R7C",'Mapa final'!$R$43),"")</f>
        <v/>
      </c>
      <c r="AM22" s="39" t="str">
        <f>IF(AND('Mapa final'!$AB$44="Alta",'Mapa final'!$AD$44="Catastrófico"),CONCATENATE("R7C",'Mapa final'!$R$44),"")</f>
        <v/>
      </c>
      <c r="AN22" s="65"/>
      <c r="AO22" s="688"/>
      <c r="AP22" s="689"/>
      <c r="AQ22" s="689"/>
      <c r="AR22" s="689"/>
      <c r="AS22" s="689"/>
      <c r="AT22" s="690"/>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ht="15" customHeight="1" x14ac:dyDescent="0.3">
      <c r="A23" s="65"/>
      <c r="B23" s="637"/>
      <c r="C23" s="637"/>
      <c r="D23" s="638"/>
      <c r="E23" s="678"/>
      <c r="F23" s="679"/>
      <c r="G23" s="679"/>
      <c r="H23" s="679"/>
      <c r="I23" s="679"/>
      <c r="J23" s="49" t="str">
        <f>IF(AND('Mapa final'!$AB$45="Alta",'Mapa final'!$AD$45="Leve"),CONCATENATE("R8C",'Mapa final'!$R$45),"")</f>
        <v/>
      </c>
      <c r="K23" s="50" t="str">
        <f>IF(AND('Mapa final'!$AB$46="Alta",'Mapa final'!$AD$46="Leve"),CONCATENATE("R8C",'Mapa final'!$R$46),"")</f>
        <v/>
      </c>
      <c r="L23" s="50" t="str">
        <f>IF(AND('Mapa final'!$AB$47="Alta",'Mapa final'!$AD$47="Leve"),CONCATENATE("R8C",'Mapa final'!$R$47),"")</f>
        <v/>
      </c>
      <c r="M23" s="50" t="str">
        <f>IF(AND('Mapa final'!$AB$48="Alta",'Mapa final'!$AD$48="Leve"),CONCATENATE("R8C",'Mapa final'!$R$48),"")</f>
        <v/>
      </c>
      <c r="N23" s="50" t="str">
        <f>IF(AND('Mapa final'!$AB$49="Alta",'Mapa final'!$AD$49="Leve"),CONCATENATE("R8C",'Mapa final'!$R$49),"")</f>
        <v/>
      </c>
      <c r="O23" s="51" t="str">
        <f>IF(AND('Mapa final'!$AB$50="Alta",'Mapa final'!$AD$50="Leve"),CONCATENATE("R8C",'Mapa final'!$R$50),"")</f>
        <v/>
      </c>
      <c r="P23" s="49" t="str">
        <f>IF(AND('Mapa final'!$AB$45="Alta",'Mapa final'!$AD$45="Menor"),CONCATENATE("R8C",'Mapa final'!$R$45),"")</f>
        <v/>
      </c>
      <c r="Q23" s="50" t="str">
        <f>IF(AND('Mapa final'!$AB$46="Alta",'Mapa final'!$AD$46="Menor"),CONCATENATE("R8C",'Mapa final'!$R$46),"")</f>
        <v/>
      </c>
      <c r="R23" s="50" t="str">
        <f>IF(AND('Mapa final'!$AB$47="Alta",'Mapa final'!$AD$47="Menor"),CONCATENATE("R8C",'Mapa final'!$R$47),"")</f>
        <v/>
      </c>
      <c r="S23" s="50" t="str">
        <f>IF(AND('Mapa final'!$AB$48="Alta",'Mapa final'!$AD$48="Menor"),CONCATENATE("R8C",'Mapa final'!$R$48),"")</f>
        <v/>
      </c>
      <c r="T23" s="50" t="str">
        <f>IF(AND('Mapa final'!$AB$49="Alta",'Mapa final'!$AD$49="Menor"),CONCATENATE("R8C",'Mapa final'!$R$49),"")</f>
        <v/>
      </c>
      <c r="U23" s="51" t="str">
        <f>IF(AND('Mapa final'!$AB$50="Alta",'Mapa final'!$AD$50="Menor"),CONCATENATE("R8C",'Mapa final'!$R$50),"")</f>
        <v/>
      </c>
      <c r="V23" s="34" t="str">
        <f>IF(AND('Mapa final'!$AB$45="Alta",'Mapa final'!$AD$45="Moderado"),CONCATENATE("R8C",'Mapa final'!$R$45),"")</f>
        <v/>
      </c>
      <c r="W23" s="35" t="str">
        <f>IF(AND('Mapa final'!$AB$46="Alta",'Mapa final'!$AD$46="Moderado"),CONCATENATE("R8C",'Mapa final'!$R$46),"")</f>
        <v/>
      </c>
      <c r="X23" s="35" t="str">
        <f>IF(AND('Mapa final'!$AB$47="Alta",'Mapa final'!$AD$47="Moderado"),CONCATENATE("R8C",'Mapa final'!$R$47),"")</f>
        <v/>
      </c>
      <c r="Y23" s="35" t="str">
        <f>IF(AND('Mapa final'!$AB$48="Alta",'Mapa final'!$AD$48="Moderado"),CONCATENATE("R8C",'Mapa final'!$R$48),"")</f>
        <v/>
      </c>
      <c r="Z23" s="35" t="str">
        <f>IF(AND('Mapa final'!$AB$49="Alta",'Mapa final'!$AD$49="Moderado"),CONCATENATE("R8C",'Mapa final'!$R$49),"")</f>
        <v/>
      </c>
      <c r="AA23" s="36" t="str">
        <f>IF(AND('Mapa final'!$AB$50="Alta",'Mapa final'!$AD$50="Moderado"),CONCATENATE("R8C",'Mapa final'!$R$50),"")</f>
        <v/>
      </c>
      <c r="AB23" s="34" t="str">
        <f>IF(AND('Mapa final'!$AB$45="Alta",'Mapa final'!$AD$45="Mayor"),CONCATENATE("R8C",'Mapa final'!$R$45),"")</f>
        <v/>
      </c>
      <c r="AC23" s="35" t="str">
        <f>IF(AND('Mapa final'!$AB$46="Alta",'Mapa final'!$AD$46="Mayor"),CONCATENATE("R8C",'Mapa final'!$R$46),"")</f>
        <v/>
      </c>
      <c r="AD23" s="35" t="str">
        <f>IF(AND('Mapa final'!$AB$47="Alta",'Mapa final'!$AD$47="Mayor"),CONCATENATE("R8C",'Mapa final'!$R$47),"")</f>
        <v/>
      </c>
      <c r="AE23" s="35" t="str">
        <f>IF(AND('Mapa final'!$AB$48="Alta",'Mapa final'!$AD$48="Mayor"),CONCATENATE("R8C",'Mapa final'!$R$48),"")</f>
        <v/>
      </c>
      <c r="AF23" s="35" t="str">
        <f>IF(AND('Mapa final'!$AB$49="Alta",'Mapa final'!$AD$49="Mayor"),CONCATENATE("R8C",'Mapa final'!$R$49),"")</f>
        <v/>
      </c>
      <c r="AG23" s="36" t="str">
        <f>IF(AND('Mapa final'!$AB$50="Alta",'Mapa final'!$AD$50="Mayor"),CONCATENATE("R8C",'Mapa final'!$R$50),"")</f>
        <v/>
      </c>
      <c r="AH23" s="37" t="str">
        <f>IF(AND('Mapa final'!$AB$45="Alta",'Mapa final'!$AD$45="Catastrófico"),CONCATENATE("R8C",'Mapa final'!$R$45),"")</f>
        <v/>
      </c>
      <c r="AI23" s="38" t="str">
        <f>IF(AND('Mapa final'!$AB$46="Alta",'Mapa final'!$AD$46="Catastrófico"),CONCATENATE("R8C",'Mapa final'!$R$46),"")</f>
        <v/>
      </c>
      <c r="AJ23" s="38" t="str">
        <f>IF(AND('Mapa final'!$AB$47="Alta",'Mapa final'!$AD$47="Catastrófico"),CONCATENATE("R8C",'Mapa final'!$R$47),"")</f>
        <v/>
      </c>
      <c r="AK23" s="38" t="str">
        <f>IF(AND('Mapa final'!$AB$48="Alta",'Mapa final'!$AD$48="Catastrófico"),CONCATENATE("R8C",'Mapa final'!$R$48),"")</f>
        <v/>
      </c>
      <c r="AL23" s="38" t="str">
        <f>IF(AND('Mapa final'!$AB$49="Alta",'Mapa final'!$AD$49="Catastrófico"),CONCATENATE("R8C",'Mapa final'!$R$49),"")</f>
        <v/>
      </c>
      <c r="AM23" s="39" t="str">
        <f>IF(AND('Mapa final'!$AB$50="Alta",'Mapa final'!$AD$50="Catastrófico"),CONCATENATE("R8C",'Mapa final'!$R$50),"")</f>
        <v/>
      </c>
      <c r="AN23" s="65"/>
      <c r="AO23" s="688"/>
      <c r="AP23" s="689"/>
      <c r="AQ23" s="689"/>
      <c r="AR23" s="689"/>
      <c r="AS23" s="689"/>
      <c r="AT23" s="690"/>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ht="15" customHeight="1" x14ac:dyDescent="0.3">
      <c r="A24" s="65"/>
      <c r="B24" s="637"/>
      <c r="C24" s="637"/>
      <c r="D24" s="638"/>
      <c r="E24" s="678"/>
      <c r="F24" s="679"/>
      <c r="G24" s="679"/>
      <c r="H24" s="679"/>
      <c r="I24" s="679"/>
      <c r="J24" s="49" t="str">
        <f>IF(AND('Mapa final'!$AB$51="Alta",'Mapa final'!$AD$51="Leve"),CONCATENATE("R9C",'Mapa final'!$R$51),"")</f>
        <v/>
      </c>
      <c r="K24" s="50" t="str">
        <f>IF(AND('Mapa final'!$AB$52="Alta",'Mapa final'!$AD$52="Leve"),CONCATENATE("R9C",'Mapa final'!$R$52),"")</f>
        <v/>
      </c>
      <c r="L24" s="50" t="str">
        <f>IF(AND('Mapa final'!$AB$53="Alta",'Mapa final'!$AD$53="Leve"),CONCATENATE("R9C",'Mapa final'!$R$53),"")</f>
        <v/>
      </c>
      <c r="M24" s="50" t="str">
        <f>IF(AND('Mapa final'!$AB$54="Alta",'Mapa final'!$AD$54="Leve"),CONCATENATE("R9C",'Mapa final'!$R$54),"")</f>
        <v/>
      </c>
      <c r="N24" s="50" t="str">
        <f>IF(AND('Mapa final'!$AB$55="Alta",'Mapa final'!$AD$55="Leve"),CONCATENATE("R9C",'Mapa final'!$R$55),"")</f>
        <v/>
      </c>
      <c r="O24" s="51" t="str">
        <f>IF(AND('Mapa final'!$AB$56="Alta",'Mapa final'!$AD$56="Leve"),CONCATENATE("R9C",'Mapa final'!$R$56),"")</f>
        <v/>
      </c>
      <c r="P24" s="49" t="str">
        <f>IF(AND('Mapa final'!$AB$51="Alta",'Mapa final'!$AD$51="Menor"),CONCATENATE("R9C",'Mapa final'!$R$51),"")</f>
        <v/>
      </c>
      <c r="Q24" s="50" t="str">
        <f>IF(AND('Mapa final'!$AB$52="Alta",'Mapa final'!$AD$52="Menor"),CONCATENATE("R9C",'Mapa final'!$R$52),"")</f>
        <v/>
      </c>
      <c r="R24" s="50" t="str">
        <f>IF(AND('Mapa final'!$AB$53="Alta",'Mapa final'!$AD$53="Menor"),CONCATENATE("R9C",'Mapa final'!$R$53),"")</f>
        <v/>
      </c>
      <c r="S24" s="50" t="str">
        <f>IF(AND('Mapa final'!$AB$54="Alta",'Mapa final'!$AD$54="Menor"),CONCATENATE("R9C",'Mapa final'!$R$54),"")</f>
        <v/>
      </c>
      <c r="T24" s="50" t="str">
        <f>IF(AND('Mapa final'!$AB$55="Alta",'Mapa final'!$AD$55="Menor"),CONCATENATE("R9C",'Mapa final'!$R$55),"")</f>
        <v/>
      </c>
      <c r="U24" s="51" t="str">
        <f>IF(AND('Mapa final'!$AB$56="Alta",'Mapa final'!$AD$56="Menor"),CONCATENATE("R9C",'Mapa final'!$R$56),"")</f>
        <v/>
      </c>
      <c r="V24" s="34" t="str">
        <f>IF(AND('Mapa final'!$AB$51="Alta",'Mapa final'!$AD$51="Moderado"),CONCATENATE("R9C",'Mapa final'!$R$51),"")</f>
        <v/>
      </c>
      <c r="W24" s="35" t="str">
        <f>IF(AND('Mapa final'!$AB$52="Alta",'Mapa final'!$AD$52="Moderado"),CONCATENATE("R9C",'Mapa final'!$R$52),"")</f>
        <v/>
      </c>
      <c r="X24" s="35" t="str">
        <f>IF(AND('Mapa final'!$AB$53="Alta",'Mapa final'!$AD$53="Moderado"),CONCATENATE("R9C",'Mapa final'!$R$53),"")</f>
        <v/>
      </c>
      <c r="Y24" s="35" t="str">
        <f>IF(AND('Mapa final'!$AB$54="Alta",'Mapa final'!$AD$54="Moderado"),CONCATENATE("R9C",'Mapa final'!$R$54),"")</f>
        <v/>
      </c>
      <c r="Z24" s="35" t="str">
        <f>IF(AND('Mapa final'!$AB$55="Alta",'Mapa final'!$AD$55="Moderado"),CONCATENATE("R9C",'Mapa final'!$R$55),"")</f>
        <v/>
      </c>
      <c r="AA24" s="36" t="str">
        <f>IF(AND('Mapa final'!$AB$56="Alta",'Mapa final'!$AD$56="Moderado"),CONCATENATE("R9C",'Mapa final'!$R$56),"")</f>
        <v/>
      </c>
      <c r="AB24" s="34" t="str">
        <f>IF(AND('Mapa final'!$AB$51="Alta",'Mapa final'!$AD$51="Mayor"),CONCATENATE("R9C",'Mapa final'!$R$51),"")</f>
        <v/>
      </c>
      <c r="AC24" s="35" t="str">
        <f>IF(AND('Mapa final'!$AB$52="Alta",'Mapa final'!$AD$52="Mayor"),CONCATENATE("R9C",'Mapa final'!$R$52),"")</f>
        <v/>
      </c>
      <c r="AD24" s="35" t="str">
        <f>IF(AND('Mapa final'!$AB$53="Alta",'Mapa final'!$AD$53="Mayor"),CONCATENATE("R9C",'Mapa final'!$R$53),"")</f>
        <v/>
      </c>
      <c r="AE24" s="35" t="str">
        <f>IF(AND('Mapa final'!$AB$54="Alta",'Mapa final'!$AD$54="Mayor"),CONCATENATE("R9C",'Mapa final'!$R$54),"")</f>
        <v/>
      </c>
      <c r="AF24" s="35" t="str">
        <f>IF(AND('Mapa final'!$AB$55="Alta",'Mapa final'!$AD$55="Mayor"),CONCATENATE("R9C",'Mapa final'!$R$55),"")</f>
        <v/>
      </c>
      <c r="AG24" s="36" t="str">
        <f>IF(AND('Mapa final'!$AB$56="Alta",'Mapa final'!$AD$56="Mayor"),CONCATENATE("R9C",'Mapa final'!$R$56),"")</f>
        <v/>
      </c>
      <c r="AH24" s="37" t="str">
        <f>IF(AND('Mapa final'!$AB$51="Alta",'Mapa final'!$AD$51="Catastrófico"),CONCATENATE("R9C",'Mapa final'!$R$51),"")</f>
        <v/>
      </c>
      <c r="AI24" s="38" t="str">
        <f>IF(AND('Mapa final'!$AB$52="Alta",'Mapa final'!$AD$52="Catastrófico"),CONCATENATE("R9C",'Mapa final'!$R$52),"")</f>
        <v/>
      </c>
      <c r="AJ24" s="38" t="str">
        <f>IF(AND('Mapa final'!$AB$53="Alta",'Mapa final'!$AD$53="Catastrófico"),CONCATENATE("R9C",'Mapa final'!$R$53),"")</f>
        <v/>
      </c>
      <c r="AK24" s="38" t="str">
        <f>IF(AND('Mapa final'!$AB$54="Alta",'Mapa final'!$AD$54="Catastrófico"),CONCATENATE("R9C",'Mapa final'!$R$54),"")</f>
        <v/>
      </c>
      <c r="AL24" s="38" t="str">
        <f>IF(AND('Mapa final'!$AB$55="Alta",'Mapa final'!$AD$55="Catastrófico"),CONCATENATE("R9C",'Mapa final'!$R$55),"")</f>
        <v/>
      </c>
      <c r="AM24" s="39" t="str">
        <f>IF(AND('Mapa final'!$AB$56="Alta",'Mapa final'!$AD$56="Catastrófico"),CONCATENATE("R9C",'Mapa final'!$R$56),"")</f>
        <v/>
      </c>
      <c r="AN24" s="65"/>
      <c r="AO24" s="688"/>
      <c r="AP24" s="689"/>
      <c r="AQ24" s="689"/>
      <c r="AR24" s="689"/>
      <c r="AS24" s="689"/>
      <c r="AT24" s="690"/>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ht="15.75" customHeight="1" thickBot="1" x14ac:dyDescent="0.35">
      <c r="A25" s="65"/>
      <c r="B25" s="637"/>
      <c r="C25" s="637"/>
      <c r="D25" s="638"/>
      <c r="E25" s="681"/>
      <c r="F25" s="682"/>
      <c r="G25" s="682"/>
      <c r="H25" s="682"/>
      <c r="I25" s="682"/>
      <c r="J25" s="52" t="str">
        <f>IF(AND('Mapa final'!$AB$57="Alta",'Mapa final'!$AD$57="Leve"),CONCATENATE("R10C",'Mapa final'!$R$57),"")</f>
        <v/>
      </c>
      <c r="K25" s="53" t="str">
        <f>IF(AND('Mapa final'!$AB$58="Alta",'Mapa final'!$AD$58="Leve"),CONCATENATE("R10C",'Mapa final'!$R$58),"")</f>
        <v/>
      </c>
      <c r="L25" s="53" t="str">
        <f>IF(AND('Mapa final'!$AB$59="Alta",'Mapa final'!$AD$59="Leve"),CONCATENATE("R10C",'Mapa final'!$R$59),"")</f>
        <v/>
      </c>
      <c r="M25" s="53" t="str">
        <f>IF(AND('Mapa final'!$AB$60="Alta",'Mapa final'!$AD$60="Leve"),CONCATENATE("R10C",'Mapa final'!$R$60),"")</f>
        <v/>
      </c>
      <c r="N25" s="53" t="str">
        <f>IF(AND('Mapa final'!$AB$61="Alta",'Mapa final'!$AD$61="Leve"),CONCATENATE("R10C",'Mapa final'!$R$61),"")</f>
        <v/>
      </c>
      <c r="O25" s="54" t="str">
        <f>IF(AND('Mapa final'!$AB$62="Alta",'Mapa final'!$AD$62="Leve"),CONCATENATE("R10C",'Mapa final'!$R$62),"")</f>
        <v/>
      </c>
      <c r="P25" s="52" t="str">
        <f>IF(AND('Mapa final'!$AB$57="Alta",'Mapa final'!$AD$57="Menor"),CONCATENATE("R10C",'Mapa final'!$R$57),"")</f>
        <v/>
      </c>
      <c r="Q25" s="53" t="str">
        <f>IF(AND('Mapa final'!$AB$58="Alta",'Mapa final'!$AD$58="Menor"),CONCATENATE("R10C",'Mapa final'!$R$58),"")</f>
        <v/>
      </c>
      <c r="R25" s="53" t="str">
        <f>IF(AND('Mapa final'!$AB$59="Alta",'Mapa final'!$AD$59="Menor"),CONCATENATE("R10C",'Mapa final'!$R$59),"")</f>
        <v/>
      </c>
      <c r="S25" s="53" t="str">
        <f>IF(AND('Mapa final'!$AB$60="Alta",'Mapa final'!$AD$60="Menor"),CONCATENATE("R10C",'Mapa final'!$R$60),"")</f>
        <v/>
      </c>
      <c r="T25" s="53" t="str">
        <f>IF(AND('Mapa final'!$AB$61="Alta",'Mapa final'!$AD$61="Menor"),CONCATENATE("R10C",'Mapa final'!$R$61),"")</f>
        <v/>
      </c>
      <c r="U25" s="54" t="str">
        <f>IF(AND('Mapa final'!$AB$62="Alta",'Mapa final'!$AD$62="Menor"),CONCATENATE("R10C",'Mapa final'!$R$62),"")</f>
        <v/>
      </c>
      <c r="V25" s="40" t="str">
        <f>IF(AND('Mapa final'!$AB$57="Alta",'Mapa final'!$AD$57="Moderado"),CONCATENATE("R10C",'Mapa final'!$R$57),"")</f>
        <v/>
      </c>
      <c r="W25" s="41" t="str">
        <f>IF(AND('Mapa final'!$AB$58="Alta",'Mapa final'!$AD$58="Moderado"),CONCATENATE("R10C",'Mapa final'!$R$58),"")</f>
        <v/>
      </c>
      <c r="X25" s="41" t="str">
        <f>IF(AND('Mapa final'!$AB$59="Alta",'Mapa final'!$AD$59="Moderado"),CONCATENATE("R10C",'Mapa final'!$R$59),"")</f>
        <v/>
      </c>
      <c r="Y25" s="41" t="str">
        <f>IF(AND('Mapa final'!$AB$60="Alta",'Mapa final'!$AD$60="Moderado"),CONCATENATE("R10C",'Mapa final'!$R$60),"")</f>
        <v/>
      </c>
      <c r="Z25" s="41" t="str">
        <f>IF(AND('Mapa final'!$AB$61="Alta",'Mapa final'!$AD$61="Moderado"),CONCATENATE("R10C",'Mapa final'!$R$61),"")</f>
        <v/>
      </c>
      <c r="AA25" s="42" t="str">
        <f>IF(AND('Mapa final'!$AB$62="Alta",'Mapa final'!$AD$62="Moderado"),CONCATENATE("R10C",'Mapa final'!$R$62),"")</f>
        <v/>
      </c>
      <c r="AB25" s="40" t="str">
        <f>IF(AND('Mapa final'!$AB$57="Alta",'Mapa final'!$AD$57="Mayor"),CONCATENATE("R10C",'Mapa final'!$R$57),"")</f>
        <v/>
      </c>
      <c r="AC25" s="41" t="str">
        <f>IF(AND('Mapa final'!$AB$58="Alta",'Mapa final'!$AD$58="Mayor"),CONCATENATE("R10C",'Mapa final'!$R$58),"")</f>
        <v/>
      </c>
      <c r="AD25" s="41" t="str">
        <f>IF(AND('Mapa final'!$AB$59="Alta",'Mapa final'!$AD$59="Mayor"),CONCATENATE("R10C",'Mapa final'!$R$59),"")</f>
        <v/>
      </c>
      <c r="AE25" s="41" t="str">
        <f>IF(AND('Mapa final'!$AB$60="Alta",'Mapa final'!$AD$60="Mayor"),CONCATENATE("R10C",'Mapa final'!$R$60),"")</f>
        <v/>
      </c>
      <c r="AF25" s="41" t="str">
        <f>IF(AND('Mapa final'!$AB$61="Alta",'Mapa final'!$AD$61="Mayor"),CONCATENATE("R10C",'Mapa final'!$R$61),"")</f>
        <v/>
      </c>
      <c r="AG25" s="42" t="str">
        <f>IF(AND('Mapa final'!$AB$62="Alta",'Mapa final'!$AD$62="Mayor"),CONCATENATE("R10C",'Mapa final'!$R$62),"")</f>
        <v/>
      </c>
      <c r="AH25" s="43" t="str">
        <f>IF(AND('Mapa final'!$AB$57="Alta",'Mapa final'!$AD$57="Catastrófico"),CONCATENATE("R10C",'Mapa final'!$R$57),"")</f>
        <v/>
      </c>
      <c r="AI25" s="44" t="str">
        <f>IF(AND('Mapa final'!$AB$58="Alta",'Mapa final'!$AD$58="Catastrófico"),CONCATENATE("R10C",'Mapa final'!$R$58),"")</f>
        <v/>
      </c>
      <c r="AJ25" s="44" t="str">
        <f>IF(AND('Mapa final'!$AB$59="Alta",'Mapa final'!$AD$59="Catastrófico"),CONCATENATE("R10C",'Mapa final'!$R$59),"")</f>
        <v/>
      </c>
      <c r="AK25" s="44" t="str">
        <f>IF(AND('Mapa final'!$AB$60="Alta",'Mapa final'!$AD$60="Catastrófico"),CONCATENATE("R10C",'Mapa final'!$R$60),"")</f>
        <v/>
      </c>
      <c r="AL25" s="44" t="str">
        <f>IF(AND('Mapa final'!$AB$61="Alta",'Mapa final'!$AD$61="Catastrófico"),CONCATENATE("R10C",'Mapa final'!$R$61),"")</f>
        <v/>
      </c>
      <c r="AM25" s="45" t="str">
        <f>IF(AND('Mapa final'!$AB$62="Alta",'Mapa final'!$AD$62="Catastrófico"),CONCATENATE("R10C",'Mapa final'!$R$62),"")</f>
        <v/>
      </c>
      <c r="AN25" s="65"/>
      <c r="AO25" s="691"/>
      <c r="AP25" s="692"/>
      <c r="AQ25" s="692"/>
      <c r="AR25" s="692"/>
      <c r="AS25" s="692"/>
      <c r="AT25" s="693"/>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ht="15" customHeight="1" x14ac:dyDescent="0.3">
      <c r="A26" s="65"/>
      <c r="B26" s="637"/>
      <c r="C26" s="637"/>
      <c r="D26" s="638"/>
      <c r="E26" s="675" t="s">
        <v>112</v>
      </c>
      <c r="F26" s="676"/>
      <c r="G26" s="676"/>
      <c r="H26" s="676"/>
      <c r="I26" s="677"/>
      <c r="J26" s="46" t="str">
        <f>IF(AND('Mapa final'!$AB$10="Media",'Mapa final'!$AD$10="Leve"),CONCATENATE("R1C",'Mapa final'!$R$10),"")</f>
        <v/>
      </c>
      <c r="K26" s="47" t="str">
        <f>IF(AND('Mapa final'!$AB$11="Media",'Mapa final'!$AD$11="Leve"),CONCATENATE("R1C",'Mapa final'!$R$11),"")</f>
        <v/>
      </c>
      <c r="L26" s="47" t="str">
        <f>IF(AND('Mapa final'!$AB$12="Media",'Mapa final'!$AD$12="Leve"),CONCATENATE("R1C",'Mapa final'!$R$12),"")</f>
        <v/>
      </c>
      <c r="M26" s="47" t="str">
        <f>IF(AND('Mapa final'!$AB$13="Media",'Mapa final'!$AD$13="Leve"),CONCATENATE("R1C",'Mapa final'!$R$13),"")</f>
        <v/>
      </c>
      <c r="N26" s="47" t="e">
        <f>IF(AND('Mapa final'!#REF!="Media",'Mapa final'!#REF!="Leve"),CONCATENATE("R1C",'Mapa final'!#REF!),"")</f>
        <v>#REF!</v>
      </c>
      <c r="O26" s="48" t="e">
        <f>IF(AND('Mapa final'!#REF!="Media",'Mapa final'!#REF!="Leve"),CONCATENATE("R1C",'Mapa final'!#REF!),"")</f>
        <v>#REF!</v>
      </c>
      <c r="P26" s="46" t="str">
        <f>IF(AND('Mapa final'!$AB$10="Media",'Mapa final'!$AD$10="Menor"),CONCATENATE("R1C",'Mapa final'!$R$10),"")</f>
        <v/>
      </c>
      <c r="Q26" s="47" t="str">
        <f>IF(AND('Mapa final'!$AB$11="Media",'Mapa final'!$AD$11="Menor"),CONCATENATE("R1C",'Mapa final'!$R$11),"")</f>
        <v/>
      </c>
      <c r="R26" s="47" t="str">
        <f>IF(AND('Mapa final'!$AB$12="Media",'Mapa final'!$AD$12="Menor"),CONCATENATE("R1C",'Mapa final'!$R$12),"")</f>
        <v/>
      </c>
      <c r="S26" s="47" t="str">
        <f>IF(AND('Mapa final'!$AB$13="Media",'Mapa final'!$AD$13="Menor"),CONCATENATE("R1C",'Mapa final'!$R$13),"")</f>
        <v/>
      </c>
      <c r="T26" s="47" t="e">
        <f>IF(AND('Mapa final'!#REF!="Media",'Mapa final'!#REF!="Menor"),CONCATENATE("R1C",'Mapa final'!#REF!),"")</f>
        <v>#REF!</v>
      </c>
      <c r="U26" s="48" t="e">
        <f>IF(AND('Mapa final'!#REF!="Media",'Mapa final'!#REF!="Menor"),CONCATENATE("R1C",'Mapa final'!#REF!),"")</f>
        <v>#REF!</v>
      </c>
      <c r="V26" s="46" t="str">
        <f>IF(AND('Mapa final'!$AB$10="Media",'Mapa final'!$AD$10="Moderado"),CONCATENATE("R1C",'Mapa final'!$R$10),"")</f>
        <v/>
      </c>
      <c r="W26" s="47" t="str">
        <f>IF(AND('Mapa final'!$AB$11="Media",'Mapa final'!$AD$11="Moderado"),CONCATENATE("R1C",'Mapa final'!$R$11),"")</f>
        <v/>
      </c>
      <c r="X26" s="47" t="str">
        <f>IF(AND('Mapa final'!$AB$12="Media",'Mapa final'!$AD$12="Moderado"),CONCATENATE("R1C",'Mapa final'!$R$12),"")</f>
        <v/>
      </c>
      <c r="Y26" s="47" t="str">
        <f>IF(AND('Mapa final'!$AB$13="Media",'Mapa final'!$AD$13="Moderado"),CONCATENATE("R1C",'Mapa final'!$R$13),"")</f>
        <v/>
      </c>
      <c r="Z26" s="47" t="e">
        <f>IF(AND('Mapa final'!#REF!="Media",'Mapa final'!#REF!="Moderado"),CONCATENATE("R1C",'Mapa final'!#REF!),"")</f>
        <v>#REF!</v>
      </c>
      <c r="AA26" s="48" t="e">
        <f>IF(AND('Mapa final'!#REF!="Media",'Mapa final'!#REF!="Moderado"),CONCATENATE("R1C",'Mapa final'!#REF!),"")</f>
        <v>#REF!</v>
      </c>
      <c r="AB26" s="28" t="str">
        <f>IF(AND('Mapa final'!$AB$10="Media",'Mapa final'!$AD$10="Mayor"),CONCATENATE("R1C",'Mapa final'!$R$10),"")</f>
        <v/>
      </c>
      <c r="AC26" s="29" t="str">
        <f>IF(AND('Mapa final'!$AB$11="Media",'Mapa final'!$AD$11="Mayor"),CONCATENATE("R1C",'Mapa final'!$R$11),"")</f>
        <v/>
      </c>
      <c r="AD26" s="29" t="str">
        <f>IF(AND('Mapa final'!$AB$12="Media",'Mapa final'!$AD$12="Mayor"),CONCATENATE("R1C",'Mapa final'!$R$12),"")</f>
        <v/>
      </c>
      <c r="AE26" s="29" t="str">
        <f>IF(AND('Mapa final'!$AB$13="Media",'Mapa final'!$AD$13="Mayor"),CONCATENATE("R1C",'Mapa final'!$R$13),"")</f>
        <v/>
      </c>
      <c r="AF26" s="29" t="e">
        <f>IF(AND('Mapa final'!#REF!="Media",'Mapa final'!#REF!="Mayor"),CONCATENATE("R1C",'Mapa final'!#REF!),"")</f>
        <v>#REF!</v>
      </c>
      <c r="AG26" s="30" t="e">
        <f>IF(AND('Mapa final'!#REF!="Media",'Mapa final'!#REF!="Mayor"),CONCATENATE("R1C",'Mapa final'!#REF!),"")</f>
        <v>#REF!</v>
      </c>
      <c r="AH26" s="31" t="str">
        <f>IF(AND('Mapa final'!$AB$10="Media",'Mapa final'!$AD$10="Catastrófico"),CONCATENATE("R1C",'Mapa final'!$R$10),"")</f>
        <v/>
      </c>
      <c r="AI26" s="32" t="str">
        <f>IF(AND('Mapa final'!$AB$11="Media",'Mapa final'!$AD$11="Catastrófico"),CONCATENATE("R1C",'Mapa final'!$R$11),"")</f>
        <v/>
      </c>
      <c r="AJ26" s="32" t="str">
        <f>IF(AND('Mapa final'!$AB$12="Media",'Mapa final'!$AD$12="Catastrófico"),CONCATENATE("R1C",'Mapa final'!$R$12),"")</f>
        <v/>
      </c>
      <c r="AK26" s="32" t="str">
        <f>IF(AND('Mapa final'!$AB$13="Media",'Mapa final'!$AD$13="Catastrófico"),CONCATENATE("R1C",'Mapa final'!$R$13),"")</f>
        <v/>
      </c>
      <c r="AL26" s="32" t="e">
        <f>IF(AND('Mapa final'!#REF!="Media",'Mapa final'!#REF!="Catastrófico"),CONCATENATE("R1C",'Mapa final'!#REF!),"")</f>
        <v>#REF!</v>
      </c>
      <c r="AM26" s="33" t="e">
        <f>IF(AND('Mapa final'!#REF!="Media",'Mapa final'!#REF!="Catastrófico"),CONCATENATE("R1C",'Mapa final'!#REF!),"")</f>
        <v>#REF!</v>
      </c>
      <c r="AN26" s="65"/>
      <c r="AO26" s="715" t="s">
        <v>80</v>
      </c>
      <c r="AP26" s="716"/>
      <c r="AQ26" s="716"/>
      <c r="AR26" s="716"/>
      <c r="AS26" s="716"/>
      <c r="AT26" s="717"/>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ht="15" customHeight="1" x14ac:dyDescent="0.3">
      <c r="A27" s="65"/>
      <c r="B27" s="637"/>
      <c r="C27" s="637"/>
      <c r="D27" s="638"/>
      <c r="E27" s="694"/>
      <c r="F27" s="679"/>
      <c r="G27" s="679"/>
      <c r="H27" s="679"/>
      <c r="I27" s="680"/>
      <c r="J27" s="49" t="str">
        <f>IF(AND('Mapa final'!$AB$14="Media",'Mapa final'!$AD$14="Leve"),CONCATENATE("R2C",'Mapa final'!$R$14),"")</f>
        <v/>
      </c>
      <c r="K27" s="50" t="e">
        <f>IF(AND('Mapa final'!#REF!="Media",'Mapa final'!#REF!="Leve"),CONCATENATE("R2C",'Mapa final'!#REF!),"")</f>
        <v>#REF!</v>
      </c>
      <c r="L27" s="50" t="e">
        <f>IF(AND('Mapa final'!#REF!="Media",'Mapa final'!#REF!="Leve"),CONCATENATE("R2C",'Mapa final'!#REF!),"")</f>
        <v>#REF!</v>
      </c>
      <c r="M27" s="50" t="e">
        <f>IF(AND('Mapa final'!#REF!="Media",'Mapa final'!#REF!="Leve"),CONCATENATE("R2C",'Mapa final'!#REF!),"")</f>
        <v>#REF!</v>
      </c>
      <c r="N27" s="50" t="e">
        <f>IF(AND('Mapa final'!#REF!="Media",'Mapa final'!#REF!="Leve"),CONCATENATE("R2C",'Mapa final'!#REF!),"")</f>
        <v>#REF!</v>
      </c>
      <c r="O27" s="51" t="e">
        <f>IF(AND('Mapa final'!#REF!="Media",'Mapa final'!#REF!="Leve"),CONCATENATE("R2C",'Mapa final'!#REF!),"")</f>
        <v>#REF!</v>
      </c>
      <c r="P27" s="49" t="str">
        <f>IF(AND('Mapa final'!$AB$14="Media",'Mapa final'!$AD$14="Menor"),CONCATENATE("R2C",'Mapa final'!$R$14),"")</f>
        <v/>
      </c>
      <c r="Q27" s="50" t="e">
        <f>IF(AND('Mapa final'!#REF!="Media",'Mapa final'!#REF!="Menor"),CONCATENATE("R2C",'Mapa final'!#REF!),"")</f>
        <v>#REF!</v>
      </c>
      <c r="R27" s="50" t="e">
        <f>IF(AND('Mapa final'!#REF!="Media",'Mapa final'!#REF!="Menor"),CONCATENATE("R2C",'Mapa final'!#REF!),"")</f>
        <v>#REF!</v>
      </c>
      <c r="S27" s="50" t="e">
        <f>IF(AND('Mapa final'!#REF!="Media",'Mapa final'!#REF!="Menor"),CONCATENATE("R2C",'Mapa final'!#REF!),"")</f>
        <v>#REF!</v>
      </c>
      <c r="T27" s="50" t="e">
        <f>IF(AND('Mapa final'!#REF!="Media",'Mapa final'!#REF!="Menor"),CONCATENATE("R2C",'Mapa final'!#REF!),"")</f>
        <v>#REF!</v>
      </c>
      <c r="U27" s="51" t="e">
        <f>IF(AND('Mapa final'!#REF!="Media",'Mapa final'!#REF!="Menor"),CONCATENATE("R2C",'Mapa final'!#REF!),"")</f>
        <v>#REF!</v>
      </c>
      <c r="V27" s="49" t="str">
        <f>IF(AND('Mapa final'!$AB$14="Media",'Mapa final'!$AD$14="Moderado"),CONCATENATE("R2C",'Mapa final'!$R$14),"")</f>
        <v/>
      </c>
      <c r="W27" s="50" t="e">
        <f>IF(AND('Mapa final'!#REF!="Media",'Mapa final'!#REF!="Moderado"),CONCATENATE("R2C",'Mapa final'!#REF!),"")</f>
        <v>#REF!</v>
      </c>
      <c r="X27" s="50" t="e">
        <f>IF(AND('Mapa final'!#REF!="Media",'Mapa final'!#REF!="Moderado"),CONCATENATE("R2C",'Mapa final'!#REF!),"")</f>
        <v>#REF!</v>
      </c>
      <c r="Y27" s="50" t="e">
        <f>IF(AND('Mapa final'!#REF!="Media",'Mapa final'!#REF!="Moderado"),CONCATENATE("R2C",'Mapa final'!#REF!),"")</f>
        <v>#REF!</v>
      </c>
      <c r="Z27" s="50" t="e">
        <f>IF(AND('Mapa final'!#REF!="Media",'Mapa final'!#REF!="Moderado"),CONCATENATE("R2C",'Mapa final'!#REF!),"")</f>
        <v>#REF!</v>
      </c>
      <c r="AA27" s="51" t="e">
        <f>IF(AND('Mapa final'!#REF!="Media",'Mapa final'!#REF!="Moderado"),CONCATENATE("R2C",'Mapa final'!#REF!),"")</f>
        <v>#REF!</v>
      </c>
      <c r="AB27" s="34" t="str">
        <f>IF(AND('Mapa final'!$AB$14="Media",'Mapa final'!$AD$14="Mayor"),CONCATENATE("R2C",'Mapa final'!$R$14),"")</f>
        <v/>
      </c>
      <c r="AC27" s="35" t="e">
        <f>IF(AND('Mapa final'!#REF!="Media",'Mapa final'!#REF!="Mayor"),CONCATENATE("R2C",'Mapa final'!#REF!),"")</f>
        <v>#REF!</v>
      </c>
      <c r="AD27" s="35" t="e">
        <f>IF(AND('Mapa final'!#REF!="Media",'Mapa final'!#REF!="Mayor"),CONCATENATE("R2C",'Mapa final'!#REF!),"")</f>
        <v>#REF!</v>
      </c>
      <c r="AE27" s="35" t="e">
        <f>IF(AND('Mapa final'!#REF!="Media",'Mapa final'!#REF!="Mayor"),CONCATENATE("R2C",'Mapa final'!#REF!),"")</f>
        <v>#REF!</v>
      </c>
      <c r="AF27" s="35" t="e">
        <f>IF(AND('Mapa final'!#REF!="Media",'Mapa final'!#REF!="Mayor"),CONCATENATE("R2C",'Mapa final'!#REF!),"")</f>
        <v>#REF!</v>
      </c>
      <c r="AG27" s="36" t="e">
        <f>IF(AND('Mapa final'!#REF!="Media",'Mapa final'!#REF!="Mayor"),CONCATENATE("R2C",'Mapa final'!#REF!),"")</f>
        <v>#REF!</v>
      </c>
      <c r="AH27" s="37" t="str">
        <f>IF(AND('Mapa final'!$AB$14="Media",'Mapa final'!$AD$14="Catastrófico"),CONCATENATE("R2C",'Mapa final'!$R$14),"")</f>
        <v/>
      </c>
      <c r="AI27" s="38" t="e">
        <f>IF(AND('Mapa final'!#REF!="Media",'Mapa final'!#REF!="Catastrófico"),CONCATENATE("R2C",'Mapa final'!#REF!),"")</f>
        <v>#REF!</v>
      </c>
      <c r="AJ27" s="38" t="e">
        <f>IF(AND('Mapa final'!#REF!="Media",'Mapa final'!#REF!="Catastrófico"),CONCATENATE("R2C",'Mapa final'!#REF!),"")</f>
        <v>#REF!</v>
      </c>
      <c r="AK27" s="38" t="e">
        <f>IF(AND('Mapa final'!#REF!="Media",'Mapa final'!#REF!="Catastrófico"),CONCATENATE("R2C",'Mapa final'!#REF!),"")</f>
        <v>#REF!</v>
      </c>
      <c r="AL27" s="38" t="e">
        <f>IF(AND('Mapa final'!#REF!="Media",'Mapa final'!#REF!="Catastrófico"),CONCATENATE("R2C",'Mapa final'!#REF!),"")</f>
        <v>#REF!</v>
      </c>
      <c r="AM27" s="39" t="e">
        <f>IF(AND('Mapa final'!#REF!="Media",'Mapa final'!#REF!="Catastrófico"),CONCATENATE("R2C",'Mapa final'!#REF!),"")</f>
        <v>#REF!</v>
      </c>
      <c r="AN27" s="65"/>
      <c r="AO27" s="718"/>
      <c r="AP27" s="719"/>
      <c r="AQ27" s="719"/>
      <c r="AR27" s="719"/>
      <c r="AS27" s="719"/>
      <c r="AT27" s="720"/>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ht="15" customHeight="1" x14ac:dyDescent="0.3">
      <c r="A28" s="65"/>
      <c r="B28" s="637"/>
      <c r="C28" s="637"/>
      <c r="D28" s="638"/>
      <c r="E28" s="678"/>
      <c r="F28" s="679"/>
      <c r="G28" s="679"/>
      <c r="H28" s="679"/>
      <c r="I28" s="680"/>
      <c r="J28" s="49" t="str">
        <f>IF(AND('Mapa final'!$AB$15="Media",'Mapa final'!$AD$15="Leve"),CONCATENATE("R3C",'Mapa final'!$R$15),"")</f>
        <v/>
      </c>
      <c r="K28" s="50" t="str">
        <f>IF(AND('Mapa final'!$AB$16="Media",'Mapa final'!$AD$16="Leve"),CONCATENATE("R3C",'Mapa final'!$R$16),"")</f>
        <v/>
      </c>
      <c r="L28" s="50" t="str">
        <f>IF(AND('Mapa final'!$AB$17="Media",'Mapa final'!$AD$17="Leve"),CONCATENATE("R3C",'Mapa final'!$R$17),"")</f>
        <v/>
      </c>
      <c r="M28" s="50" t="str">
        <f>IF(AND('Mapa final'!$AB$18="Media",'Mapa final'!$AD$18="Leve"),CONCATENATE("R3C",'Mapa final'!$R$18),"")</f>
        <v/>
      </c>
      <c r="N28" s="50" t="str">
        <f>IF(AND('Mapa final'!$AB$19="Media",'Mapa final'!$AD$19="Leve"),CONCATENATE("R3C",'Mapa final'!$R$19),"")</f>
        <v/>
      </c>
      <c r="O28" s="51" t="str">
        <f>IF(AND('Mapa final'!$AB$20="Media",'Mapa final'!$AD$20="Leve"),CONCATENATE("R3C",'Mapa final'!$R$20),"")</f>
        <v/>
      </c>
      <c r="P28" s="49" t="str">
        <f>IF(AND('Mapa final'!$AB$15="Media",'Mapa final'!$AD$15="Menor"),CONCATENATE("R3C",'Mapa final'!$R$15),"")</f>
        <v/>
      </c>
      <c r="Q28" s="50" t="str">
        <f>IF(AND('Mapa final'!$AB$16="Media",'Mapa final'!$AD$16="Menor"),CONCATENATE("R3C",'Mapa final'!$R$16),"")</f>
        <v/>
      </c>
      <c r="R28" s="50" t="str">
        <f>IF(AND('Mapa final'!$AB$17="Media",'Mapa final'!$AD$17="Menor"),CONCATENATE("R3C",'Mapa final'!$R$17),"")</f>
        <v/>
      </c>
      <c r="S28" s="50" t="str">
        <f>IF(AND('Mapa final'!$AB$18="Media",'Mapa final'!$AD$18="Menor"),CONCATENATE("R3C",'Mapa final'!$R$18),"")</f>
        <v/>
      </c>
      <c r="T28" s="50" t="str">
        <f>IF(AND('Mapa final'!$AB$19="Media",'Mapa final'!$AD$19="Menor"),CONCATENATE("R3C",'Mapa final'!$R$19),"")</f>
        <v/>
      </c>
      <c r="U28" s="51" t="str">
        <f>IF(AND('Mapa final'!$AB$20="Media",'Mapa final'!$AD$20="Menor"),CONCATENATE("R3C",'Mapa final'!$R$20),"")</f>
        <v/>
      </c>
      <c r="V28" s="49" t="str">
        <f>IF(AND('Mapa final'!$AB$15="Media",'Mapa final'!$AD$15="Moderado"),CONCATENATE("R3C",'Mapa final'!$R$15),"")</f>
        <v/>
      </c>
      <c r="W28" s="50" t="str">
        <f>IF(AND('Mapa final'!$AB$16="Media",'Mapa final'!$AD$16="Moderado"),CONCATENATE("R3C",'Mapa final'!$R$16),"")</f>
        <v/>
      </c>
      <c r="X28" s="50" t="str">
        <f>IF(AND('Mapa final'!$AB$17="Media",'Mapa final'!$AD$17="Moderado"),CONCATENATE("R3C",'Mapa final'!$R$17),"")</f>
        <v/>
      </c>
      <c r="Y28" s="50" t="str">
        <f>IF(AND('Mapa final'!$AB$18="Media",'Mapa final'!$AD$18="Moderado"),CONCATENATE("R3C",'Mapa final'!$R$18),"")</f>
        <v/>
      </c>
      <c r="Z28" s="50" t="str">
        <f>IF(AND('Mapa final'!$AB$19="Media",'Mapa final'!$AD$19="Moderado"),CONCATENATE("R3C",'Mapa final'!$R$19),"")</f>
        <v/>
      </c>
      <c r="AA28" s="51" t="str">
        <f>IF(AND('Mapa final'!$AB$20="Media",'Mapa final'!$AD$20="Moderado"),CONCATENATE("R3C",'Mapa final'!$R$20),"")</f>
        <v/>
      </c>
      <c r="AB28" s="34" t="str">
        <f>IF(AND('Mapa final'!$AB$15="Media",'Mapa final'!$AD$15="Mayor"),CONCATENATE("R3C",'Mapa final'!$R$15),"")</f>
        <v/>
      </c>
      <c r="AC28" s="35" t="str">
        <f>IF(AND('Mapa final'!$AB$16="Media",'Mapa final'!$AD$16="Mayor"),CONCATENATE("R3C",'Mapa final'!$R$16),"")</f>
        <v/>
      </c>
      <c r="AD28" s="35" t="str">
        <f>IF(AND('Mapa final'!$AB$17="Media",'Mapa final'!$AD$17="Mayor"),CONCATENATE("R3C",'Mapa final'!$R$17),"")</f>
        <v/>
      </c>
      <c r="AE28" s="35" t="str">
        <f>IF(AND('Mapa final'!$AB$18="Media",'Mapa final'!$AD$18="Mayor"),CONCATENATE("R3C",'Mapa final'!$R$18),"")</f>
        <v/>
      </c>
      <c r="AF28" s="35" t="str">
        <f>IF(AND('Mapa final'!$AB$19="Media",'Mapa final'!$AD$19="Mayor"),CONCATENATE("R3C",'Mapa final'!$R$19),"")</f>
        <v/>
      </c>
      <c r="AG28" s="36" t="str">
        <f>IF(AND('Mapa final'!$AB$20="Media",'Mapa final'!$AD$20="Mayor"),CONCATENATE("R3C",'Mapa final'!$R$20),"")</f>
        <v/>
      </c>
      <c r="AH28" s="37" t="str">
        <f>IF(AND('Mapa final'!$AB$15="Media",'Mapa final'!$AD$15="Catastrófico"),CONCATENATE("R3C",'Mapa final'!$R$15),"")</f>
        <v/>
      </c>
      <c r="AI28" s="38" t="str">
        <f>IF(AND('Mapa final'!$AB$16="Media",'Mapa final'!$AD$16="Catastrófico"),CONCATENATE("R3C",'Mapa final'!$R$16),"")</f>
        <v/>
      </c>
      <c r="AJ28" s="38" t="str">
        <f>IF(AND('Mapa final'!$AB$17="Media",'Mapa final'!$AD$17="Catastrófico"),CONCATENATE("R3C",'Mapa final'!$R$17),"")</f>
        <v/>
      </c>
      <c r="AK28" s="38" t="str">
        <f>IF(AND('Mapa final'!$AB$18="Media",'Mapa final'!$AD$18="Catastrófico"),CONCATENATE("R3C",'Mapa final'!$R$18),"")</f>
        <v/>
      </c>
      <c r="AL28" s="38" t="str">
        <f>IF(AND('Mapa final'!$AB$19="Media",'Mapa final'!$AD$19="Catastrófico"),CONCATENATE("R3C",'Mapa final'!$R$19),"")</f>
        <v/>
      </c>
      <c r="AM28" s="39" t="str">
        <f>IF(AND('Mapa final'!$AB$20="Media",'Mapa final'!$AD$20="Catastrófico"),CONCATENATE("R3C",'Mapa final'!$R$20),"")</f>
        <v/>
      </c>
      <c r="AN28" s="65"/>
      <c r="AO28" s="718"/>
      <c r="AP28" s="719"/>
      <c r="AQ28" s="719"/>
      <c r="AR28" s="719"/>
      <c r="AS28" s="719"/>
      <c r="AT28" s="720"/>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ht="15" customHeight="1" x14ac:dyDescent="0.3">
      <c r="A29" s="65"/>
      <c r="B29" s="637"/>
      <c r="C29" s="637"/>
      <c r="D29" s="638"/>
      <c r="E29" s="678"/>
      <c r="F29" s="679"/>
      <c r="G29" s="679"/>
      <c r="H29" s="679"/>
      <c r="I29" s="680"/>
      <c r="J29" s="49" t="str">
        <f>IF(AND('Mapa final'!$AB$21="Media",'Mapa final'!$AD$21="Leve"),CONCATENATE("R4C",'Mapa final'!$R$21),"")</f>
        <v/>
      </c>
      <c r="K29" s="50" t="str">
        <f>IF(AND('Mapa final'!$AB$22="Media",'Mapa final'!$AD$22="Leve"),CONCATENATE("R4C",'Mapa final'!$R$22),"")</f>
        <v/>
      </c>
      <c r="L29" s="50" t="str">
        <f>IF(AND('Mapa final'!$AB$23="Media",'Mapa final'!$AD$23="Leve"),CONCATENATE("R4C",'Mapa final'!$R$23),"")</f>
        <v/>
      </c>
      <c r="M29" s="50" t="str">
        <f>IF(AND('Mapa final'!$AB$24="Media",'Mapa final'!$AD$24="Leve"),CONCATENATE("R4C",'Mapa final'!$R$24),"")</f>
        <v/>
      </c>
      <c r="N29" s="50" t="str">
        <f>IF(AND('Mapa final'!$AB$25="Media",'Mapa final'!$AD$25="Leve"),CONCATENATE("R4C",'Mapa final'!$R$25),"")</f>
        <v/>
      </c>
      <c r="O29" s="51" t="str">
        <f>IF(AND('Mapa final'!$AB$26="Media",'Mapa final'!$AD$26="Leve"),CONCATENATE("R4C",'Mapa final'!$R$26),"")</f>
        <v/>
      </c>
      <c r="P29" s="49" t="str">
        <f>IF(AND('Mapa final'!$AB$21="Media",'Mapa final'!$AD$21="Menor"),CONCATENATE("R4C",'Mapa final'!$R$21),"")</f>
        <v/>
      </c>
      <c r="Q29" s="50" t="str">
        <f>IF(AND('Mapa final'!$AB$22="Media",'Mapa final'!$AD$22="Menor"),CONCATENATE("R4C",'Mapa final'!$R$22),"")</f>
        <v/>
      </c>
      <c r="R29" s="50" t="str">
        <f>IF(AND('Mapa final'!$AB$23="Media",'Mapa final'!$AD$23="Menor"),CONCATENATE("R4C",'Mapa final'!$R$23),"")</f>
        <v/>
      </c>
      <c r="S29" s="50" t="str">
        <f>IF(AND('Mapa final'!$AB$24="Media",'Mapa final'!$AD$24="Menor"),CONCATENATE("R4C",'Mapa final'!$R$24),"")</f>
        <v/>
      </c>
      <c r="T29" s="50" t="str">
        <f>IF(AND('Mapa final'!$AB$25="Media",'Mapa final'!$AD$25="Menor"),CONCATENATE("R4C",'Mapa final'!$R$25),"")</f>
        <v/>
      </c>
      <c r="U29" s="51" t="str">
        <f>IF(AND('Mapa final'!$AB$26="Media",'Mapa final'!$AD$26="Menor"),CONCATENATE("R4C",'Mapa final'!$R$26),"")</f>
        <v/>
      </c>
      <c r="V29" s="49" t="str">
        <f>IF(AND('Mapa final'!$AB$21="Media",'Mapa final'!$AD$21="Moderado"),CONCATENATE("R4C",'Mapa final'!$R$21),"")</f>
        <v/>
      </c>
      <c r="W29" s="50" t="str">
        <f>IF(AND('Mapa final'!$AB$22="Media",'Mapa final'!$AD$22="Moderado"),CONCATENATE("R4C",'Mapa final'!$R$22),"")</f>
        <v/>
      </c>
      <c r="X29" s="50" t="str">
        <f>IF(AND('Mapa final'!$AB$23="Media",'Mapa final'!$AD$23="Moderado"),CONCATENATE("R4C",'Mapa final'!$R$23),"")</f>
        <v/>
      </c>
      <c r="Y29" s="50" t="str">
        <f>IF(AND('Mapa final'!$AB$24="Media",'Mapa final'!$AD$24="Moderado"),CONCATENATE("R4C",'Mapa final'!$R$24),"")</f>
        <v/>
      </c>
      <c r="Z29" s="50" t="str">
        <f>IF(AND('Mapa final'!$AB$25="Media",'Mapa final'!$AD$25="Moderado"),CONCATENATE("R4C",'Mapa final'!$R$25),"")</f>
        <v/>
      </c>
      <c r="AA29" s="51" t="str">
        <f>IF(AND('Mapa final'!$AB$26="Media",'Mapa final'!$AD$26="Moderado"),CONCATENATE("R4C",'Mapa final'!$R$26),"")</f>
        <v/>
      </c>
      <c r="AB29" s="34" t="str">
        <f>IF(AND('Mapa final'!$AB$21="Media",'Mapa final'!$AD$21="Mayor"),CONCATENATE("R4C",'Mapa final'!$R$21),"")</f>
        <v/>
      </c>
      <c r="AC29" s="35" t="str">
        <f>IF(AND('Mapa final'!$AB$22="Media",'Mapa final'!$AD$22="Mayor"),CONCATENATE("R4C",'Mapa final'!$R$22),"")</f>
        <v/>
      </c>
      <c r="AD29" s="35" t="str">
        <f>IF(AND('Mapa final'!$AB$23="Media",'Mapa final'!$AD$23="Mayor"),CONCATENATE("R4C",'Mapa final'!$R$23),"")</f>
        <v/>
      </c>
      <c r="AE29" s="35" t="str">
        <f>IF(AND('Mapa final'!$AB$24="Media",'Mapa final'!$AD$24="Mayor"),CONCATENATE("R4C",'Mapa final'!$R$24),"")</f>
        <v/>
      </c>
      <c r="AF29" s="35" t="str">
        <f>IF(AND('Mapa final'!$AB$25="Media",'Mapa final'!$AD$25="Mayor"),CONCATENATE("R4C",'Mapa final'!$R$25),"")</f>
        <v/>
      </c>
      <c r="AG29" s="36" t="str">
        <f>IF(AND('Mapa final'!$AB$26="Media",'Mapa final'!$AD$26="Mayor"),CONCATENATE("R4C",'Mapa final'!$R$26),"")</f>
        <v/>
      </c>
      <c r="AH29" s="37" t="str">
        <f>IF(AND('Mapa final'!$AB$21="Media",'Mapa final'!$AD$21="Catastrófico"),CONCATENATE("R4C",'Mapa final'!$R$21),"")</f>
        <v/>
      </c>
      <c r="AI29" s="38" t="str">
        <f>IF(AND('Mapa final'!$AB$22="Media",'Mapa final'!$AD$22="Catastrófico"),CONCATENATE("R4C",'Mapa final'!$R$22),"")</f>
        <v/>
      </c>
      <c r="AJ29" s="38" t="str">
        <f>IF(AND('Mapa final'!$AB$23="Media",'Mapa final'!$AD$23="Catastrófico"),CONCATENATE("R4C",'Mapa final'!$R$23),"")</f>
        <v/>
      </c>
      <c r="AK29" s="38" t="str">
        <f>IF(AND('Mapa final'!$AB$24="Media",'Mapa final'!$AD$24="Catastrófico"),CONCATENATE("R4C",'Mapa final'!$R$24),"")</f>
        <v/>
      </c>
      <c r="AL29" s="38" t="str">
        <f>IF(AND('Mapa final'!$AB$25="Media",'Mapa final'!$AD$25="Catastrófico"),CONCATENATE("R4C",'Mapa final'!$R$25),"")</f>
        <v/>
      </c>
      <c r="AM29" s="39" t="str">
        <f>IF(AND('Mapa final'!$AB$26="Media",'Mapa final'!$AD$26="Catastrófico"),CONCATENATE("R4C",'Mapa final'!$R$26),"")</f>
        <v/>
      </c>
      <c r="AN29" s="65"/>
      <c r="AO29" s="718"/>
      <c r="AP29" s="719"/>
      <c r="AQ29" s="719"/>
      <c r="AR29" s="719"/>
      <c r="AS29" s="719"/>
      <c r="AT29" s="720"/>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ht="15" customHeight="1" x14ac:dyDescent="0.3">
      <c r="A30" s="65"/>
      <c r="B30" s="637"/>
      <c r="C30" s="637"/>
      <c r="D30" s="638"/>
      <c r="E30" s="678"/>
      <c r="F30" s="679"/>
      <c r="G30" s="679"/>
      <c r="H30" s="679"/>
      <c r="I30" s="680"/>
      <c r="J30" s="49" t="str">
        <f>IF(AND('Mapa final'!$AB$27="Media",'Mapa final'!$AD$27="Leve"),CONCATENATE("R5C",'Mapa final'!$R$27),"")</f>
        <v/>
      </c>
      <c r="K30" s="50" t="str">
        <f>IF(AND('Mapa final'!$AB$28="Media",'Mapa final'!$AD$28="Leve"),CONCATENATE("R5C",'Mapa final'!$R$28),"")</f>
        <v/>
      </c>
      <c r="L30" s="50" t="str">
        <f>IF(AND('Mapa final'!$AB$29="Media",'Mapa final'!$AD$29="Leve"),CONCATENATE("R5C",'Mapa final'!$R$29),"")</f>
        <v/>
      </c>
      <c r="M30" s="50" t="str">
        <f>IF(AND('Mapa final'!$AB$30="Media",'Mapa final'!$AD$30="Leve"),CONCATENATE("R5C",'Mapa final'!$R$30),"")</f>
        <v/>
      </c>
      <c r="N30" s="50" t="str">
        <f>IF(AND('Mapa final'!$AB$31="Media",'Mapa final'!$AD$31="Leve"),CONCATENATE("R5C",'Mapa final'!$R$31),"")</f>
        <v/>
      </c>
      <c r="O30" s="51" t="str">
        <f>IF(AND('Mapa final'!$AB$32="Media",'Mapa final'!$AD$32="Leve"),CONCATENATE("R5C",'Mapa final'!$R$32),"")</f>
        <v/>
      </c>
      <c r="P30" s="49" t="str">
        <f>IF(AND('Mapa final'!$AB$27="Media",'Mapa final'!$AD$27="Menor"),CONCATENATE("R5C",'Mapa final'!$R$27),"")</f>
        <v/>
      </c>
      <c r="Q30" s="50" t="str">
        <f>IF(AND('Mapa final'!$AB$28="Media",'Mapa final'!$AD$28="Menor"),CONCATENATE("R5C",'Mapa final'!$R$28),"")</f>
        <v/>
      </c>
      <c r="R30" s="50" t="str">
        <f>IF(AND('Mapa final'!$AB$29="Media",'Mapa final'!$AD$29="Menor"),CONCATENATE("R5C",'Mapa final'!$R$29),"")</f>
        <v/>
      </c>
      <c r="S30" s="50" t="str">
        <f>IF(AND('Mapa final'!$AB$30="Media",'Mapa final'!$AD$30="Menor"),CONCATENATE("R5C",'Mapa final'!$R$30),"")</f>
        <v/>
      </c>
      <c r="T30" s="50" t="str">
        <f>IF(AND('Mapa final'!$AB$31="Media",'Mapa final'!$AD$31="Menor"),CONCATENATE("R5C",'Mapa final'!$R$31),"")</f>
        <v/>
      </c>
      <c r="U30" s="51" t="str">
        <f>IF(AND('Mapa final'!$AB$32="Media",'Mapa final'!$AD$32="Menor"),CONCATENATE("R5C",'Mapa final'!$R$32),"")</f>
        <v/>
      </c>
      <c r="V30" s="49" t="str">
        <f>IF(AND('Mapa final'!$AB$27="Media",'Mapa final'!$AD$27="Moderado"),CONCATENATE("R5C",'Mapa final'!$R$27),"")</f>
        <v/>
      </c>
      <c r="W30" s="50" t="str">
        <f>IF(AND('Mapa final'!$AB$28="Media",'Mapa final'!$AD$28="Moderado"),CONCATENATE("R5C",'Mapa final'!$R$28),"")</f>
        <v/>
      </c>
      <c r="X30" s="50" t="str">
        <f>IF(AND('Mapa final'!$AB$29="Media",'Mapa final'!$AD$29="Moderado"),CONCATENATE("R5C",'Mapa final'!$R$29),"")</f>
        <v/>
      </c>
      <c r="Y30" s="50" t="str">
        <f>IF(AND('Mapa final'!$AB$30="Media",'Mapa final'!$AD$30="Moderado"),CONCATENATE("R5C",'Mapa final'!$R$30),"")</f>
        <v/>
      </c>
      <c r="Z30" s="50" t="str">
        <f>IF(AND('Mapa final'!$AB$31="Media",'Mapa final'!$AD$31="Moderado"),CONCATENATE("R5C",'Mapa final'!$R$31),"")</f>
        <v/>
      </c>
      <c r="AA30" s="51" t="str">
        <f>IF(AND('Mapa final'!$AB$32="Media",'Mapa final'!$AD$32="Moderado"),CONCATENATE("R5C",'Mapa final'!$R$32),"")</f>
        <v/>
      </c>
      <c r="AB30" s="34" t="str">
        <f>IF(AND('Mapa final'!$AB$27="Media",'Mapa final'!$AD$27="Mayor"),CONCATENATE("R5C",'Mapa final'!$R$27),"")</f>
        <v/>
      </c>
      <c r="AC30" s="35" t="str">
        <f>IF(AND('Mapa final'!$AB$28="Media",'Mapa final'!$AD$28="Mayor"),CONCATENATE("R5C",'Mapa final'!$R$28),"")</f>
        <v/>
      </c>
      <c r="AD30" s="35" t="str">
        <f>IF(AND('Mapa final'!$AB$29="Media",'Mapa final'!$AD$29="Mayor"),CONCATENATE("R5C",'Mapa final'!$R$29),"")</f>
        <v/>
      </c>
      <c r="AE30" s="35" t="str">
        <f>IF(AND('Mapa final'!$AB$30="Media",'Mapa final'!$AD$30="Mayor"),CONCATENATE("R5C",'Mapa final'!$R$30),"")</f>
        <v/>
      </c>
      <c r="AF30" s="35" t="str">
        <f>IF(AND('Mapa final'!$AB$31="Media",'Mapa final'!$AD$31="Mayor"),CONCATENATE("R5C",'Mapa final'!$R$31),"")</f>
        <v/>
      </c>
      <c r="AG30" s="36" t="str">
        <f>IF(AND('Mapa final'!$AB$32="Media",'Mapa final'!$AD$32="Mayor"),CONCATENATE("R5C",'Mapa final'!$R$32),"")</f>
        <v/>
      </c>
      <c r="AH30" s="37" t="str">
        <f>IF(AND('Mapa final'!$AB$27="Media",'Mapa final'!$AD$27="Catastrófico"),CONCATENATE("R5C",'Mapa final'!$R$27),"")</f>
        <v/>
      </c>
      <c r="AI30" s="38" t="str">
        <f>IF(AND('Mapa final'!$AB$28="Media",'Mapa final'!$AD$28="Catastrófico"),CONCATENATE("R5C",'Mapa final'!$R$28),"")</f>
        <v/>
      </c>
      <c r="AJ30" s="38" t="str">
        <f>IF(AND('Mapa final'!$AB$29="Media",'Mapa final'!$AD$29="Catastrófico"),CONCATENATE("R5C",'Mapa final'!$R$29),"")</f>
        <v/>
      </c>
      <c r="AK30" s="38" t="str">
        <f>IF(AND('Mapa final'!$AB$30="Media",'Mapa final'!$AD$30="Catastrófico"),CONCATENATE("R5C",'Mapa final'!$R$30),"")</f>
        <v/>
      </c>
      <c r="AL30" s="38" t="str">
        <f>IF(AND('Mapa final'!$AB$31="Media",'Mapa final'!$AD$31="Catastrófico"),CONCATENATE("R5C",'Mapa final'!$R$31),"")</f>
        <v/>
      </c>
      <c r="AM30" s="39" t="str">
        <f>IF(AND('Mapa final'!$AB$32="Media",'Mapa final'!$AD$32="Catastrófico"),CONCATENATE("R5C",'Mapa final'!$R$32),"")</f>
        <v/>
      </c>
      <c r="AN30" s="65"/>
      <c r="AO30" s="718"/>
      <c r="AP30" s="719"/>
      <c r="AQ30" s="719"/>
      <c r="AR30" s="719"/>
      <c r="AS30" s="719"/>
      <c r="AT30" s="720"/>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ht="15" customHeight="1" x14ac:dyDescent="0.3">
      <c r="A31" s="65"/>
      <c r="B31" s="637"/>
      <c r="C31" s="637"/>
      <c r="D31" s="638"/>
      <c r="E31" s="678"/>
      <c r="F31" s="679"/>
      <c r="G31" s="679"/>
      <c r="H31" s="679"/>
      <c r="I31" s="680"/>
      <c r="J31" s="49" t="str">
        <f>IF(AND('Mapa final'!$AB$33="Media",'Mapa final'!$AD$33="Leve"),CONCATENATE("R6C",'Mapa final'!$R$33),"")</f>
        <v/>
      </c>
      <c r="K31" s="50" t="str">
        <f>IF(AND('Mapa final'!$AB$34="Media",'Mapa final'!$AD$34="Leve"),CONCATENATE("R6C",'Mapa final'!$R$34),"")</f>
        <v/>
      </c>
      <c r="L31" s="50" t="str">
        <f>IF(AND('Mapa final'!$AB$35="Media",'Mapa final'!$AD$35="Leve"),CONCATENATE("R6C",'Mapa final'!$R$35),"")</f>
        <v/>
      </c>
      <c r="M31" s="50" t="str">
        <f>IF(AND('Mapa final'!$AB$36="Media",'Mapa final'!$AD$36="Leve"),CONCATENATE("R6C",'Mapa final'!$R$36),"")</f>
        <v/>
      </c>
      <c r="N31" s="50" t="str">
        <f>IF(AND('Mapa final'!$AB$37="Media",'Mapa final'!$AD$37="Leve"),CONCATENATE("R6C",'Mapa final'!$R$37),"")</f>
        <v/>
      </c>
      <c r="O31" s="51" t="str">
        <f>IF(AND('Mapa final'!$AB$38="Media",'Mapa final'!$AD$38="Leve"),CONCATENATE("R6C",'Mapa final'!$R$38),"")</f>
        <v/>
      </c>
      <c r="P31" s="49" t="str">
        <f>IF(AND('Mapa final'!$AB$33="Media",'Mapa final'!$AD$33="Menor"),CONCATENATE("R6C",'Mapa final'!$R$33),"")</f>
        <v/>
      </c>
      <c r="Q31" s="50" t="str">
        <f>IF(AND('Mapa final'!$AB$34="Media",'Mapa final'!$AD$34="Menor"),CONCATENATE("R6C",'Mapa final'!$R$34),"")</f>
        <v/>
      </c>
      <c r="R31" s="50" t="str">
        <f>IF(AND('Mapa final'!$AB$35="Media",'Mapa final'!$AD$35="Menor"),CONCATENATE("R6C",'Mapa final'!$R$35),"")</f>
        <v/>
      </c>
      <c r="S31" s="50" t="str">
        <f>IF(AND('Mapa final'!$AB$36="Media",'Mapa final'!$AD$36="Menor"),CONCATENATE("R6C",'Mapa final'!$R$36),"")</f>
        <v/>
      </c>
      <c r="T31" s="50" t="str">
        <f>IF(AND('Mapa final'!$AB$37="Media",'Mapa final'!$AD$37="Menor"),CONCATENATE("R6C",'Mapa final'!$R$37),"")</f>
        <v/>
      </c>
      <c r="U31" s="51" t="str">
        <f>IF(AND('Mapa final'!$AB$38="Media",'Mapa final'!$AD$38="Menor"),CONCATENATE("R6C",'Mapa final'!$R$38),"")</f>
        <v/>
      </c>
      <c r="V31" s="49" t="str">
        <f>IF(AND('Mapa final'!$AB$33="Media",'Mapa final'!$AD$33="Moderado"),CONCATENATE("R6C",'Mapa final'!$R$33),"")</f>
        <v/>
      </c>
      <c r="W31" s="50" t="str">
        <f>IF(AND('Mapa final'!$AB$34="Media",'Mapa final'!$AD$34="Moderado"),CONCATENATE("R6C",'Mapa final'!$R$34),"")</f>
        <v/>
      </c>
      <c r="X31" s="50" t="str">
        <f>IF(AND('Mapa final'!$AB$35="Media",'Mapa final'!$AD$35="Moderado"),CONCATENATE("R6C",'Mapa final'!$R$35),"")</f>
        <v/>
      </c>
      <c r="Y31" s="50" t="str">
        <f>IF(AND('Mapa final'!$AB$36="Media",'Mapa final'!$AD$36="Moderado"),CONCATENATE("R6C",'Mapa final'!$R$36),"")</f>
        <v/>
      </c>
      <c r="Z31" s="50" t="str">
        <f>IF(AND('Mapa final'!$AB$37="Media",'Mapa final'!$AD$37="Moderado"),CONCATENATE("R6C",'Mapa final'!$R$37),"")</f>
        <v/>
      </c>
      <c r="AA31" s="51" t="str">
        <f>IF(AND('Mapa final'!$AB$38="Media",'Mapa final'!$AD$38="Moderado"),CONCATENATE("R6C",'Mapa final'!$R$38),"")</f>
        <v/>
      </c>
      <c r="AB31" s="34" t="str">
        <f>IF(AND('Mapa final'!$AB$33="Media",'Mapa final'!$AD$33="Mayor"),CONCATENATE("R6C",'Mapa final'!$R$33),"")</f>
        <v/>
      </c>
      <c r="AC31" s="35" t="str">
        <f>IF(AND('Mapa final'!$AB$34="Media",'Mapa final'!$AD$34="Mayor"),CONCATENATE("R6C",'Mapa final'!$R$34),"")</f>
        <v/>
      </c>
      <c r="AD31" s="35" t="str">
        <f>IF(AND('Mapa final'!$AB$35="Media",'Mapa final'!$AD$35="Mayor"),CONCATENATE("R6C",'Mapa final'!$R$35),"")</f>
        <v/>
      </c>
      <c r="AE31" s="35" t="str">
        <f>IF(AND('Mapa final'!$AB$36="Media",'Mapa final'!$AD$36="Mayor"),CONCATENATE("R6C",'Mapa final'!$R$36),"")</f>
        <v/>
      </c>
      <c r="AF31" s="35" t="str">
        <f>IF(AND('Mapa final'!$AB$37="Media",'Mapa final'!$AD$37="Mayor"),CONCATENATE("R6C",'Mapa final'!$R$37),"")</f>
        <v/>
      </c>
      <c r="AG31" s="36" t="str">
        <f>IF(AND('Mapa final'!$AB$38="Media",'Mapa final'!$AD$38="Mayor"),CONCATENATE("R6C",'Mapa final'!$R$38),"")</f>
        <v/>
      </c>
      <c r="AH31" s="37" t="str">
        <f>IF(AND('Mapa final'!$AB$33="Media",'Mapa final'!$AD$33="Catastrófico"),CONCATENATE("R6C",'Mapa final'!$R$33),"")</f>
        <v/>
      </c>
      <c r="AI31" s="38" t="str">
        <f>IF(AND('Mapa final'!$AB$34="Media",'Mapa final'!$AD$34="Catastrófico"),CONCATENATE("R6C",'Mapa final'!$R$34),"")</f>
        <v/>
      </c>
      <c r="AJ31" s="38" t="str">
        <f>IF(AND('Mapa final'!$AB$35="Media",'Mapa final'!$AD$35="Catastrófico"),CONCATENATE("R6C",'Mapa final'!$R$35),"")</f>
        <v/>
      </c>
      <c r="AK31" s="38" t="str">
        <f>IF(AND('Mapa final'!$AB$36="Media",'Mapa final'!$AD$36="Catastrófico"),CONCATENATE("R6C",'Mapa final'!$R$36),"")</f>
        <v/>
      </c>
      <c r="AL31" s="38" t="str">
        <f>IF(AND('Mapa final'!$AB$37="Media",'Mapa final'!$AD$37="Catastrófico"),CONCATENATE("R6C",'Mapa final'!$R$37),"")</f>
        <v/>
      </c>
      <c r="AM31" s="39" t="str">
        <f>IF(AND('Mapa final'!$AB$38="Media",'Mapa final'!$AD$38="Catastrófico"),CONCATENATE("R6C",'Mapa final'!$R$38),"")</f>
        <v/>
      </c>
      <c r="AN31" s="65"/>
      <c r="AO31" s="718"/>
      <c r="AP31" s="719"/>
      <c r="AQ31" s="719"/>
      <c r="AR31" s="719"/>
      <c r="AS31" s="719"/>
      <c r="AT31" s="720"/>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ht="15" customHeight="1" x14ac:dyDescent="0.3">
      <c r="A32" s="65"/>
      <c r="B32" s="637"/>
      <c r="C32" s="637"/>
      <c r="D32" s="638"/>
      <c r="E32" s="678"/>
      <c r="F32" s="679"/>
      <c r="G32" s="679"/>
      <c r="H32" s="679"/>
      <c r="I32" s="680"/>
      <c r="J32" s="49" t="str">
        <f>IF(AND('Mapa final'!$AB$39="Media",'Mapa final'!$AD$39="Leve"),CONCATENATE("R7C",'Mapa final'!$R$39),"")</f>
        <v/>
      </c>
      <c r="K32" s="50" t="str">
        <f>IF(AND('Mapa final'!$AB$40="Media",'Mapa final'!$AD$40="Leve"),CONCATENATE("R7C",'Mapa final'!$R$40),"")</f>
        <v/>
      </c>
      <c r="L32" s="50" t="str">
        <f>IF(AND('Mapa final'!$AB$41="Media",'Mapa final'!$AD$41="Leve"),CONCATENATE("R7C",'Mapa final'!$R$41),"")</f>
        <v/>
      </c>
      <c r="M32" s="50" t="str">
        <f>IF(AND('Mapa final'!$AB$42="Media",'Mapa final'!$AD$42="Leve"),CONCATENATE("R7C",'Mapa final'!$R$42),"")</f>
        <v/>
      </c>
      <c r="N32" s="50" t="str">
        <f>IF(AND('Mapa final'!$AB$43="Media",'Mapa final'!$AD$43="Leve"),CONCATENATE("R7C",'Mapa final'!$R$43),"")</f>
        <v/>
      </c>
      <c r="O32" s="51" t="str">
        <f>IF(AND('Mapa final'!$AB$44="Media",'Mapa final'!$AD$44="Leve"),CONCATENATE("R7C",'Mapa final'!$R$44),"")</f>
        <v/>
      </c>
      <c r="P32" s="49" t="str">
        <f>IF(AND('Mapa final'!$AB$39="Media",'Mapa final'!$AD$39="Menor"),CONCATENATE("R7C",'Mapa final'!$R$39),"")</f>
        <v/>
      </c>
      <c r="Q32" s="50" t="str">
        <f>IF(AND('Mapa final'!$AB$40="Media",'Mapa final'!$AD$40="Menor"),CONCATENATE("R7C",'Mapa final'!$R$40),"")</f>
        <v/>
      </c>
      <c r="R32" s="50" t="str">
        <f>IF(AND('Mapa final'!$AB$41="Media",'Mapa final'!$AD$41="Menor"),CONCATENATE("R7C",'Mapa final'!$R$41),"")</f>
        <v/>
      </c>
      <c r="S32" s="50" t="str">
        <f>IF(AND('Mapa final'!$AB$42="Media",'Mapa final'!$AD$42="Menor"),CONCATENATE("R7C",'Mapa final'!$R$42),"")</f>
        <v/>
      </c>
      <c r="T32" s="50" t="str">
        <f>IF(AND('Mapa final'!$AB$43="Media",'Mapa final'!$AD$43="Menor"),CONCATENATE("R7C",'Mapa final'!$R$43),"")</f>
        <v/>
      </c>
      <c r="U32" s="51" t="str">
        <f>IF(AND('Mapa final'!$AB$44="Media",'Mapa final'!$AD$44="Menor"),CONCATENATE("R7C",'Mapa final'!$R$44),"")</f>
        <v/>
      </c>
      <c r="V32" s="49" t="str">
        <f>IF(AND('Mapa final'!$AB$39="Media",'Mapa final'!$AD$39="Moderado"),CONCATENATE("R7C",'Mapa final'!$R$39),"")</f>
        <v/>
      </c>
      <c r="W32" s="50" t="str">
        <f>IF(AND('Mapa final'!$AB$40="Media",'Mapa final'!$AD$40="Moderado"),CONCATENATE("R7C",'Mapa final'!$R$40),"")</f>
        <v/>
      </c>
      <c r="X32" s="50" t="str">
        <f>IF(AND('Mapa final'!$AB$41="Media",'Mapa final'!$AD$41="Moderado"),CONCATENATE("R7C",'Mapa final'!$R$41),"")</f>
        <v/>
      </c>
      <c r="Y32" s="50" t="str">
        <f>IF(AND('Mapa final'!$AB$42="Media",'Mapa final'!$AD$42="Moderado"),CONCATENATE("R7C",'Mapa final'!$R$42),"")</f>
        <v/>
      </c>
      <c r="Z32" s="50" t="str">
        <f>IF(AND('Mapa final'!$AB$43="Media",'Mapa final'!$AD$43="Moderado"),CONCATENATE("R7C",'Mapa final'!$R$43),"")</f>
        <v/>
      </c>
      <c r="AA32" s="51" t="str">
        <f>IF(AND('Mapa final'!$AB$44="Media",'Mapa final'!$AD$44="Moderado"),CONCATENATE("R7C",'Mapa final'!$R$44),"")</f>
        <v/>
      </c>
      <c r="AB32" s="34" t="str">
        <f>IF(AND('Mapa final'!$AB$39="Media",'Mapa final'!$AD$39="Mayor"),CONCATENATE("R7C",'Mapa final'!$R$39),"")</f>
        <v/>
      </c>
      <c r="AC32" s="35" t="str">
        <f>IF(AND('Mapa final'!$AB$40="Media",'Mapa final'!$AD$40="Mayor"),CONCATENATE("R7C",'Mapa final'!$R$40),"")</f>
        <v/>
      </c>
      <c r="AD32" s="35" t="str">
        <f>IF(AND('Mapa final'!$AB$41="Media",'Mapa final'!$AD$41="Mayor"),CONCATENATE("R7C",'Mapa final'!$R$41),"")</f>
        <v/>
      </c>
      <c r="AE32" s="35" t="str">
        <f>IF(AND('Mapa final'!$AB$42="Media",'Mapa final'!$AD$42="Mayor"),CONCATENATE("R7C",'Mapa final'!$R$42),"")</f>
        <v/>
      </c>
      <c r="AF32" s="35" t="str">
        <f>IF(AND('Mapa final'!$AB$43="Media",'Mapa final'!$AD$43="Mayor"),CONCATENATE("R7C",'Mapa final'!$R$43),"")</f>
        <v/>
      </c>
      <c r="AG32" s="36" t="str">
        <f>IF(AND('Mapa final'!$AB$44="Media",'Mapa final'!$AD$44="Mayor"),CONCATENATE("R7C",'Mapa final'!$R$44),"")</f>
        <v/>
      </c>
      <c r="AH32" s="37" t="str">
        <f>IF(AND('Mapa final'!$AB$39="Media",'Mapa final'!$AD$39="Catastrófico"),CONCATENATE("R7C",'Mapa final'!$R$39),"")</f>
        <v/>
      </c>
      <c r="AI32" s="38" t="str">
        <f>IF(AND('Mapa final'!$AB$40="Media",'Mapa final'!$AD$40="Catastrófico"),CONCATENATE("R7C",'Mapa final'!$R$40),"")</f>
        <v/>
      </c>
      <c r="AJ32" s="38" t="str">
        <f>IF(AND('Mapa final'!$AB$41="Media",'Mapa final'!$AD$41="Catastrófico"),CONCATENATE("R7C",'Mapa final'!$R$41),"")</f>
        <v/>
      </c>
      <c r="AK32" s="38" t="str">
        <f>IF(AND('Mapa final'!$AB$42="Media",'Mapa final'!$AD$42="Catastrófico"),CONCATENATE("R7C",'Mapa final'!$R$42),"")</f>
        <v/>
      </c>
      <c r="AL32" s="38" t="str">
        <f>IF(AND('Mapa final'!$AB$43="Media",'Mapa final'!$AD$43="Catastrófico"),CONCATENATE("R7C",'Mapa final'!$R$43),"")</f>
        <v/>
      </c>
      <c r="AM32" s="39" t="str">
        <f>IF(AND('Mapa final'!$AB$44="Media",'Mapa final'!$AD$44="Catastrófico"),CONCATENATE("R7C",'Mapa final'!$R$44),"")</f>
        <v/>
      </c>
      <c r="AN32" s="65"/>
      <c r="AO32" s="718"/>
      <c r="AP32" s="719"/>
      <c r="AQ32" s="719"/>
      <c r="AR32" s="719"/>
      <c r="AS32" s="719"/>
      <c r="AT32" s="720"/>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80" ht="15" customHeight="1" x14ac:dyDescent="0.3">
      <c r="A33" s="65"/>
      <c r="B33" s="637"/>
      <c r="C33" s="637"/>
      <c r="D33" s="638"/>
      <c r="E33" s="678"/>
      <c r="F33" s="679"/>
      <c r="G33" s="679"/>
      <c r="H33" s="679"/>
      <c r="I33" s="680"/>
      <c r="J33" s="49" t="str">
        <f>IF(AND('Mapa final'!$AB$45="Media",'Mapa final'!$AD$45="Leve"),CONCATENATE("R8C",'Mapa final'!$R$45),"")</f>
        <v/>
      </c>
      <c r="K33" s="50" t="str">
        <f>IF(AND('Mapa final'!$AB$46="Media",'Mapa final'!$AD$46="Leve"),CONCATENATE("R8C",'Mapa final'!$R$46),"")</f>
        <v/>
      </c>
      <c r="L33" s="50" t="str">
        <f>IF(AND('Mapa final'!$AB$47="Media",'Mapa final'!$AD$47="Leve"),CONCATENATE("R8C",'Mapa final'!$R$47),"")</f>
        <v/>
      </c>
      <c r="M33" s="50" t="str">
        <f>IF(AND('Mapa final'!$AB$48="Media",'Mapa final'!$AD$48="Leve"),CONCATENATE("R8C",'Mapa final'!$R$48),"")</f>
        <v/>
      </c>
      <c r="N33" s="50" t="str">
        <f>IF(AND('Mapa final'!$AB$49="Media",'Mapa final'!$AD$49="Leve"),CONCATENATE("R8C",'Mapa final'!$R$49),"")</f>
        <v/>
      </c>
      <c r="O33" s="51" t="str">
        <f>IF(AND('Mapa final'!$AB$50="Media",'Mapa final'!$AD$50="Leve"),CONCATENATE("R8C",'Mapa final'!$R$50),"")</f>
        <v/>
      </c>
      <c r="P33" s="49" t="str">
        <f>IF(AND('Mapa final'!$AB$45="Media",'Mapa final'!$AD$45="Menor"),CONCATENATE("R8C",'Mapa final'!$R$45),"")</f>
        <v/>
      </c>
      <c r="Q33" s="50" t="str">
        <f>IF(AND('Mapa final'!$AB$46="Media",'Mapa final'!$AD$46="Menor"),CONCATENATE("R8C",'Mapa final'!$R$46),"")</f>
        <v/>
      </c>
      <c r="R33" s="50" t="str">
        <f>IF(AND('Mapa final'!$AB$47="Media",'Mapa final'!$AD$47="Menor"),CONCATENATE("R8C",'Mapa final'!$R$47),"")</f>
        <v/>
      </c>
      <c r="S33" s="50" t="str">
        <f>IF(AND('Mapa final'!$AB$48="Media",'Mapa final'!$AD$48="Menor"),CONCATENATE("R8C",'Mapa final'!$R$48),"")</f>
        <v/>
      </c>
      <c r="T33" s="50" t="str">
        <f>IF(AND('Mapa final'!$AB$49="Media",'Mapa final'!$AD$49="Menor"),CONCATENATE("R8C",'Mapa final'!$R$49),"")</f>
        <v/>
      </c>
      <c r="U33" s="51" t="str">
        <f>IF(AND('Mapa final'!$AB$50="Media",'Mapa final'!$AD$50="Menor"),CONCATENATE("R8C",'Mapa final'!$R$50),"")</f>
        <v/>
      </c>
      <c r="V33" s="49" t="str">
        <f>IF(AND('Mapa final'!$AB$45="Media",'Mapa final'!$AD$45="Moderado"),CONCATENATE("R8C",'Mapa final'!$R$45),"")</f>
        <v/>
      </c>
      <c r="W33" s="50" t="str">
        <f>IF(AND('Mapa final'!$AB$46="Media",'Mapa final'!$AD$46="Moderado"),CONCATENATE("R8C",'Mapa final'!$R$46),"")</f>
        <v/>
      </c>
      <c r="X33" s="50" t="str">
        <f>IF(AND('Mapa final'!$AB$47="Media",'Mapa final'!$AD$47="Moderado"),CONCATENATE("R8C",'Mapa final'!$R$47),"")</f>
        <v/>
      </c>
      <c r="Y33" s="50" t="str">
        <f>IF(AND('Mapa final'!$AB$48="Media",'Mapa final'!$AD$48="Moderado"),CONCATENATE("R8C",'Mapa final'!$R$48),"")</f>
        <v/>
      </c>
      <c r="Z33" s="50" t="str">
        <f>IF(AND('Mapa final'!$AB$49="Media",'Mapa final'!$AD$49="Moderado"),CONCATENATE("R8C",'Mapa final'!$R$49),"")</f>
        <v/>
      </c>
      <c r="AA33" s="51" t="str">
        <f>IF(AND('Mapa final'!$AB$50="Media",'Mapa final'!$AD$50="Moderado"),CONCATENATE("R8C",'Mapa final'!$R$50),"")</f>
        <v/>
      </c>
      <c r="AB33" s="34" t="str">
        <f>IF(AND('Mapa final'!$AB$45="Media",'Mapa final'!$AD$45="Mayor"),CONCATENATE("R8C",'Mapa final'!$R$45),"")</f>
        <v/>
      </c>
      <c r="AC33" s="35" t="str">
        <f>IF(AND('Mapa final'!$AB$46="Media",'Mapa final'!$AD$46="Mayor"),CONCATENATE("R8C",'Mapa final'!$R$46),"")</f>
        <v/>
      </c>
      <c r="AD33" s="35" t="str">
        <f>IF(AND('Mapa final'!$AB$47="Media",'Mapa final'!$AD$47="Mayor"),CONCATENATE("R8C",'Mapa final'!$R$47),"")</f>
        <v/>
      </c>
      <c r="AE33" s="35" t="str">
        <f>IF(AND('Mapa final'!$AB$48="Media",'Mapa final'!$AD$48="Mayor"),CONCATENATE("R8C",'Mapa final'!$R$48),"")</f>
        <v/>
      </c>
      <c r="AF33" s="35" t="str">
        <f>IF(AND('Mapa final'!$AB$49="Media",'Mapa final'!$AD$49="Mayor"),CONCATENATE("R8C",'Mapa final'!$R$49),"")</f>
        <v/>
      </c>
      <c r="AG33" s="36" t="str">
        <f>IF(AND('Mapa final'!$AB$50="Media",'Mapa final'!$AD$50="Mayor"),CONCATENATE("R8C",'Mapa final'!$R$50),"")</f>
        <v/>
      </c>
      <c r="AH33" s="37" t="str">
        <f>IF(AND('Mapa final'!$AB$45="Media",'Mapa final'!$AD$45="Catastrófico"),CONCATENATE("R8C",'Mapa final'!$R$45),"")</f>
        <v/>
      </c>
      <c r="AI33" s="38" t="str">
        <f>IF(AND('Mapa final'!$AB$46="Media",'Mapa final'!$AD$46="Catastrófico"),CONCATENATE("R8C",'Mapa final'!$R$46),"")</f>
        <v/>
      </c>
      <c r="AJ33" s="38" t="str">
        <f>IF(AND('Mapa final'!$AB$47="Media",'Mapa final'!$AD$47="Catastrófico"),CONCATENATE("R8C",'Mapa final'!$R$47),"")</f>
        <v/>
      </c>
      <c r="AK33" s="38" t="str">
        <f>IF(AND('Mapa final'!$AB$48="Media",'Mapa final'!$AD$48="Catastrófico"),CONCATENATE("R8C",'Mapa final'!$R$48),"")</f>
        <v/>
      </c>
      <c r="AL33" s="38" t="str">
        <f>IF(AND('Mapa final'!$AB$49="Media",'Mapa final'!$AD$49="Catastrófico"),CONCATENATE("R8C",'Mapa final'!$R$49),"")</f>
        <v/>
      </c>
      <c r="AM33" s="39" t="str">
        <f>IF(AND('Mapa final'!$AB$50="Media",'Mapa final'!$AD$50="Catastrófico"),CONCATENATE("R8C",'Mapa final'!$R$50),"")</f>
        <v/>
      </c>
      <c r="AN33" s="65"/>
      <c r="AO33" s="718"/>
      <c r="AP33" s="719"/>
      <c r="AQ33" s="719"/>
      <c r="AR33" s="719"/>
      <c r="AS33" s="719"/>
      <c r="AT33" s="720"/>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80" ht="15" customHeight="1" x14ac:dyDescent="0.3">
      <c r="A34" s="65"/>
      <c r="B34" s="637"/>
      <c r="C34" s="637"/>
      <c r="D34" s="638"/>
      <c r="E34" s="678"/>
      <c r="F34" s="679"/>
      <c r="G34" s="679"/>
      <c r="H34" s="679"/>
      <c r="I34" s="680"/>
      <c r="J34" s="49" t="str">
        <f>IF(AND('Mapa final'!$AB$51="Media",'Mapa final'!$AD$51="Leve"),CONCATENATE("R9C",'Mapa final'!$R$51),"")</f>
        <v/>
      </c>
      <c r="K34" s="50" t="str">
        <f>IF(AND('Mapa final'!$AB$52="Media",'Mapa final'!$AD$52="Leve"),CONCATENATE("R9C",'Mapa final'!$R$52),"")</f>
        <v/>
      </c>
      <c r="L34" s="50" t="str">
        <f>IF(AND('Mapa final'!$AB$53="Media",'Mapa final'!$AD$53="Leve"),CONCATENATE("R9C",'Mapa final'!$R$53),"")</f>
        <v/>
      </c>
      <c r="M34" s="50" t="str">
        <f>IF(AND('Mapa final'!$AB$54="Media",'Mapa final'!$AD$54="Leve"),CONCATENATE("R9C",'Mapa final'!$R$54),"")</f>
        <v/>
      </c>
      <c r="N34" s="50" t="str">
        <f>IF(AND('Mapa final'!$AB$55="Media",'Mapa final'!$AD$55="Leve"),CONCATENATE("R9C",'Mapa final'!$R$55),"")</f>
        <v/>
      </c>
      <c r="O34" s="51" t="str">
        <f>IF(AND('Mapa final'!$AB$56="Media",'Mapa final'!$AD$56="Leve"),CONCATENATE("R9C",'Mapa final'!$R$56),"")</f>
        <v/>
      </c>
      <c r="P34" s="49" t="str">
        <f>IF(AND('Mapa final'!$AB$51="Media",'Mapa final'!$AD$51="Menor"),CONCATENATE("R9C",'Mapa final'!$R$51),"")</f>
        <v/>
      </c>
      <c r="Q34" s="50" t="str">
        <f>IF(AND('Mapa final'!$AB$52="Media",'Mapa final'!$AD$52="Menor"),CONCATENATE("R9C",'Mapa final'!$R$52),"")</f>
        <v/>
      </c>
      <c r="R34" s="50" t="str">
        <f>IF(AND('Mapa final'!$AB$53="Media",'Mapa final'!$AD$53="Menor"),CONCATENATE("R9C",'Mapa final'!$R$53),"")</f>
        <v/>
      </c>
      <c r="S34" s="50" t="str">
        <f>IF(AND('Mapa final'!$AB$54="Media",'Mapa final'!$AD$54="Menor"),CONCATENATE("R9C",'Mapa final'!$R$54),"")</f>
        <v/>
      </c>
      <c r="T34" s="50" t="str">
        <f>IF(AND('Mapa final'!$AB$55="Media",'Mapa final'!$AD$55="Menor"),CONCATENATE("R9C",'Mapa final'!$R$55),"")</f>
        <v/>
      </c>
      <c r="U34" s="51" t="str">
        <f>IF(AND('Mapa final'!$AB$56="Media",'Mapa final'!$AD$56="Menor"),CONCATENATE("R9C",'Mapa final'!$R$56),"")</f>
        <v/>
      </c>
      <c r="V34" s="49" t="str">
        <f>IF(AND('Mapa final'!$AB$51="Media",'Mapa final'!$AD$51="Moderado"),CONCATENATE("R9C",'Mapa final'!$R$51),"")</f>
        <v/>
      </c>
      <c r="W34" s="50" t="str">
        <f>IF(AND('Mapa final'!$AB$52="Media",'Mapa final'!$AD$52="Moderado"),CONCATENATE("R9C",'Mapa final'!$R$52),"")</f>
        <v/>
      </c>
      <c r="X34" s="50" t="str">
        <f>IF(AND('Mapa final'!$AB$53="Media",'Mapa final'!$AD$53="Moderado"),CONCATENATE("R9C",'Mapa final'!$R$53),"")</f>
        <v/>
      </c>
      <c r="Y34" s="50" t="str">
        <f>IF(AND('Mapa final'!$AB$54="Media",'Mapa final'!$AD$54="Moderado"),CONCATENATE("R9C",'Mapa final'!$R$54),"")</f>
        <v/>
      </c>
      <c r="Z34" s="50" t="str">
        <f>IF(AND('Mapa final'!$AB$55="Media",'Mapa final'!$AD$55="Moderado"),CONCATENATE("R9C",'Mapa final'!$R$55),"")</f>
        <v/>
      </c>
      <c r="AA34" s="51" t="str">
        <f>IF(AND('Mapa final'!$AB$56="Media",'Mapa final'!$AD$56="Moderado"),CONCATENATE("R9C",'Mapa final'!$R$56),"")</f>
        <v/>
      </c>
      <c r="AB34" s="34" t="str">
        <f>IF(AND('Mapa final'!$AB$51="Media",'Mapa final'!$AD$51="Mayor"),CONCATENATE("R9C",'Mapa final'!$R$51),"")</f>
        <v/>
      </c>
      <c r="AC34" s="35" t="str">
        <f>IF(AND('Mapa final'!$AB$52="Media",'Mapa final'!$AD$52="Mayor"),CONCATENATE("R9C",'Mapa final'!$R$52),"")</f>
        <v/>
      </c>
      <c r="AD34" s="35" t="str">
        <f>IF(AND('Mapa final'!$AB$53="Media",'Mapa final'!$AD$53="Mayor"),CONCATENATE("R9C",'Mapa final'!$R$53),"")</f>
        <v/>
      </c>
      <c r="AE34" s="35" t="str">
        <f>IF(AND('Mapa final'!$AB$54="Media",'Mapa final'!$AD$54="Mayor"),CONCATENATE("R9C",'Mapa final'!$R$54),"")</f>
        <v/>
      </c>
      <c r="AF34" s="35" t="str">
        <f>IF(AND('Mapa final'!$AB$55="Media",'Mapa final'!$AD$55="Mayor"),CONCATENATE("R9C",'Mapa final'!$R$55),"")</f>
        <v/>
      </c>
      <c r="AG34" s="36" t="str">
        <f>IF(AND('Mapa final'!$AB$56="Media",'Mapa final'!$AD$56="Mayor"),CONCATENATE("R9C",'Mapa final'!$R$56),"")</f>
        <v/>
      </c>
      <c r="AH34" s="37" t="str">
        <f>IF(AND('Mapa final'!$AB$51="Media",'Mapa final'!$AD$51="Catastrófico"),CONCATENATE("R9C",'Mapa final'!$R$51),"")</f>
        <v/>
      </c>
      <c r="AI34" s="38" t="str">
        <f>IF(AND('Mapa final'!$AB$52="Media",'Mapa final'!$AD$52="Catastrófico"),CONCATENATE("R9C",'Mapa final'!$R$52),"")</f>
        <v/>
      </c>
      <c r="AJ34" s="38" t="str">
        <f>IF(AND('Mapa final'!$AB$53="Media",'Mapa final'!$AD$53="Catastrófico"),CONCATENATE("R9C",'Mapa final'!$R$53),"")</f>
        <v/>
      </c>
      <c r="AK34" s="38" t="str">
        <f>IF(AND('Mapa final'!$AB$54="Media",'Mapa final'!$AD$54="Catastrófico"),CONCATENATE("R9C",'Mapa final'!$R$54),"")</f>
        <v/>
      </c>
      <c r="AL34" s="38" t="str">
        <f>IF(AND('Mapa final'!$AB$55="Media",'Mapa final'!$AD$55="Catastrófico"),CONCATENATE("R9C",'Mapa final'!$R$55),"")</f>
        <v/>
      </c>
      <c r="AM34" s="39" t="str">
        <f>IF(AND('Mapa final'!$AB$56="Media",'Mapa final'!$AD$56="Catastrófico"),CONCATENATE("R9C",'Mapa final'!$R$56),"")</f>
        <v/>
      </c>
      <c r="AN34" s="65"/>
      <c r="AO34" s="718"/>
      <c r="AP34" s="719"/>
      <c r="AQ34" s="719"/>
      <c r="AR34" s="719"/>
      <c r="AS34" s="719"/>
      <c r="AT34" s="720"/>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80" ht="15.75" customHeight="1" thickBot="1" x14ac:dyDescent="0.35">
      <c r="A35" s="65"/>
      <c r="B35" s="637"/>
      <c r="C35" s="637"/>
      <c r="D35" s="638"/>
      <c r="E35" s="681"/>
      <c r="F35" s="682"/>
      <c r="G35" s="682"/>
      <c r="H35" s="682"/>
      <c r="I35" s="683"/>
      <c r="J35" s="49" t="str">
        <f>IF(AND('Mapa final'!$AB$57="Media",'Mapa final'!$AD$57="Leve"),CONCATENATE("R10C",'Mapa final'!$R$57),"")</f>
        <v/>
      </c>
      <c r="K35" s="50" t="str">
        <f>IF(AND('Mapa final'!$AB$58="Media",'Mapa final'!$AD$58="Leve"),CONCATENATE("R10C",'Mapa final'!$R$58),"")</f>
        <v/>
      </c>
      <c r="L35" s="50" t="str">
        <f>IF(AND('Mapa final'!$AB$59="Media",'Mapa final'!$AD$59="Leve"),CONCATENATE("R10C",'Mapa final'!$R$59),"")</f>
        <v/>
      </c>
      <c r="M35" s="50" t="str">
        <f>IF(AND('Mapa final'!$AB$60="Media",'Mapa final'!$AD$60="Leve"),CONCATENATE("R10C",'Mapa final'!$R$60),"")</f>
        <v/>
      </c>
      <c r="N35" s="50" t="str">
        <f>IF(AND('Mapa final'!$AB$61="Media",'Mapa final'!$AD$61="Leve"),CONCATENATE("R10C",'Mapa final'!$R$61),"")</f>
        <v/>
      </c>
      <c r="O35" s="51" t="str">
        <f>IF(AND('Mapa final'!$AB$62="Media",'Mapa final'!$AD$62="Leve"),CONCATENATE("R10C",'Mapa final'!$R$62),"")</f>
        <v/>
      </c>
      <c r="P35" s="49" t="str">
        <f>IF(AND('Mapa final'!$AB$57="Media",'Mapa final'!$AD$57="Menor"),CONCATENATE("R10C",'Mapa final'!$R$57),"")</f>
        <v/>
      </c>
      <c r="Q35" s="50" t="str">
        <f>IF(AND('Mapa final'!$AB$58="Media",'Mapa final'!$AD$58="Menor"),CONCATENATE("R10C",'Mapa final'!$R$58),"")</f>
        <v/>
      </c>
      <c r="R35" s="50" t="str">
        <f>IF(AND('Mapa final'!$AB$59="Media",'Mapa final'!$AD$59="Menor"),CONCATENATE("R10C",'Mapa final'!$R$59),"")</f>
        <v/>
      </c>
      <c r="S35" s="50" t="str">
        <f>IF(AND('Mapa final'!$AB$60="Media",'Mapa final'!$AD$60="Menor"),CONCATENATE("R10C",'Mapa final'!$R$60),"")</f>
        <v/>
      </c>
      <c r="T35" s="50" t="str">
        <f>IF(AND('Mapa final'!$AB$61="Media",'Mapa final'!$AD$61="Menor"),CONCATENATE("R10C",'Mapa final'!$R$61),"")</f>
        <v/>
      </c>
      <c r="U35" s="51" t="str">
        <f>IF(AND('Mapa final'!$AB$62="Media",'Mapa final'!$AD$62="Menor"),CONCATENATE("R10C",'Mapa final'!$R$62),"")</f>
        <v/>
      </c>
      <c r="V35" s="49" t="str">
        <f>IF(AND('Mapa final'!$AB$57="Media",'Mapa final'!$AD$57="Moderado"),CONCATENATE("R10C",'Mapa final'!$R$57),"")</f>
        <v/>
      </c>
      <c r="W35" s="50" t="str">
        <f>IF(AND('Mapa final'!$AB$58="Media",'Mapa final'!$AD$58="Moderado"),CONCATENATE("R10C",'Mapa final'!$R$58),"")</f>
        <v/>
      </c>
      <c r="X35" s="50" t="str">
        <f>IF(AND('Mapa final'!$AB$59="Media",'Mapa final'!$AD$59="Moderado"),CONCATENATE("R10C",'Mapa final'!$R$59),"")</f>
        <v/>
      </c>
      <c r="Y35" s="50" t="str">
        <f>IF(AND('Mapa final'!$AB$60="Media",'Mapa final'!$AD$60="Moderado"),CONCATENATE("R10C",'Mapa final'!$R$60),"")</f>
        <v/>
      </c>
      <c r="Z35" s="50" t="str">
        <f>IF(AND('Mapa final'!$AB$61="Media",'Mapa final'!$AD$61="Moderado"),CONCATENATE("R10C",'Mapa final'!$R$61),"")</f>
        <v/>
      </c>
      <c r="AA35" s="51" t="str">
        <f>IF(AND('Mapa final'!$AB$62="Media",'Mapa final'!$AD$62="Moderado"),CONCATENATE("R10C",'Mapa final'!$R$62),"")</f>
        <v/>
      </c>
      <c r="AB35" s="40" t="str">
        <f>IF(AND('Mapa final'!$AB$57="Media",'Mapa final'!$AD$57="Mayor"),CONCATENATE("R10C",'Mapa final'!$R$57),"")</f>
        <v/>
      </c>
      <c r="AC35" s="41" t="str">
        <f>IF(AND('Mapa final'!$AB$58="Media",'Mapa final'!$AD$58="Mayor"),CONCATENATE("R10C",'Mapa final'!$R$58),"")</f>
        <v/>
      </c>
      <c r="AD35" s="41" t="str">
        <f>IF(AND('Mapa final'!$AB$59="Media",'Mapa final'!$AD$59="Mayor"),CONCATENATE("R10C",'Mapa final'!$R$59),"")</f>
        <v/>
      </c>
      <c r="AE35" s="41" t="str">
        <f>IF(AND('Mapa final'!$AB$60="Media",'Mapa final'!$AD$60="Mayor"),CONCATENATE("R10C",'Mapa final'!$R$60),"")</f>
        <v/>
      </c>
      <c r="AF35" s="41" t="str">
        <f>IF(AND('Mapa final'!$AB$61="Media",'Mapa final'!$AD$61="Mayor"),CONCATENATE("R10C",'Mapa final'!$R$61),"")</f>
        <v/>
      </c>
      <c r="AG35" s="42" t="str">
        <f>IF(AND('Mapa final'!$AB$62="Media",'Mapa final'!$AD$62="Mayor"),CONCATENATE("R10C",'Mapa final'!$R$62),"")</f>
        <v/>
      </c>
      <c r="AH35" s="43" t="str">
        <f>IF(AND('Mapa final'!$AB$57="Media",'Mapa final'!$AD$57="Catastrófico"),CONCATENATE("R10C",'Mapa final'!$R$57),"")</f>
        <v/>
      </c>
      <c r="AI35" s="44" t="str">
        <f>IF(AND('Mapa final'!$AB$58="Media",'Mapa final'!$AD$58="Catastrófico"),CONCATENATE("R10C",'Mapa final'!$R$58),"")</f>
        <v/>
      </c>
      <c r="AJ35" s="44" t="str">
        <f>IF(AND('Mapa final'!$AB$59="Media",'Mapa final'!$AD$59="Catastrófico"),CONCATENATE("R10C",'Mapa final'!$R$59),"")</f>
        <v/>
      </c>
      <c r="AK35" s="44" t="str">
        <f>IF(AND('Mapa final'!$AB$60="Media",'Mapa final'!$AD$60="Catastrófico"),CONCATENATE("R10C",'Mapa final'!$R$60),"")</f>
        <v/>
      </c>
      <c r="AL35" s="44" t="str">
        <f>IF(AND('Mapa final'!$AB$61="Media",'Mapa final'!$AD$61="Catastrófico"),CONCATENATE("R10C",'Mapa final'!$R$61),"")</f>
        <v/>
      </c>
      <c r="AM35" s="45" t="str">
        <f>IF(AND('Mapa final'!$AB$62="Media",'Mapa final'!$AD$62="Catastrófico"),CONCATENATE("R10C",'Mapa final'!$R$62),"")</f>
        <v/>
      </c>
      <c r="AN35" s="65"/>
      <c r="AO35" s="721"/>
      <c r="AP35" s="722"/>
      <c r="AQ35" s="722"/>
      <c r="AR35" s="722"/>
      <c r="AS35" s="722"/>
      <c r="AT35" s="723"/>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80" ht="15" customHeight="1" x14ac:dyDescent="0.3">
      <c r="A36" s="65"/>
      <c r="B36" s="637"/>
      <c r="C36" s="637"/>
      <c r="D36" s="638"/>
      <c r="E36" s="675" t="s">
        <v>109</v>
      </c>
      <c r="F36" s="676"/>
      <c r="G36" s="676"/>
      <c r="H36" s="676"/>
      <c r="I36" s="676"/>
      <c r="J36" s="55" t="str">
        <f>IF(AND('Mapa final'!$AB$10="Baja",'Mapa final'!$AD$10="Leve"),CONCATENATE("R1C",'Mapa final'!$R$10),"")</f>
        <v/>
      </c>
      <c r="K36" s="56" t="str">
        <f>IF(AND('Mapa final'!$AB$11="Baja",'Mapa final'!$AD$11="Leve"),CONCATENATE("R1C",'Mapa final'!$R$11),"")</f>
        <v/>
      </c>
      <c r="L36" s="56" t="str">
        <f>IF(AND('Mapa final'!$AB$12="Baja",'Mapa final'!$AD$12="Leve"),CONCATENATE("R1C",'Mapa final'!$R$12),"")</f>
        <v/>
      </c>
      <c r="M36" s="56" t="str">
        <f>IF(AND('Mapa final'!$AB$13="Baja",'Mapa final'!$AD$13="Leve"),CONCATENATE("R1C",'Mapa final'!$R$13),"")</f>
        <v/>
      </c>
      <c r="N36" s="56" t="e">
        <f>IF(AND('Mapa final'!#REF!="Baja",'Mapa final'!#REF!="Leve"),CONCATENATE("R1C",'Mapa final'!#REF!),"")</f>
        <v>#REF!</v>
      </c>
      <c r="O36" s="57" t="e">
        <f>IF(AND('Mapa final'!#REF!="Baja",'Mapa final'!#REF!="Leve"),CONCATENATE("R1C",'Mapa final'!#REF!),"")</f>
        <v>#REF!</v>
      </c>
      <c r="P36" s="46" t="str">
        <f>IF(AND('Mapa final'!$AB$10="Baja",'Mapa final'!$AD$10="Menor"),CONCATENATE("R1C",'Mapa final'!$R$10),"")</f>
        <v/>
      </c>
      <c r="Q36" s="47" t="str">
        <f>IF(AND('Mapa final'!$AB$11="Baja",'Mapa final'!$AD$11="Menor"),CONCATENATE("R1C",'Mapa final'!$R$11),"")</f>
        <v/>
      </c>
      <c r="R36" s="47" t="str">
        <f>IF(AND('Mapa final'!$AB$12="Baja",'Mapa final'!$AD$12="Menor"),CONCATENATE("R1C",'Mapa final'!$R$12),"")</f>
        <v/>
      </c>
      <c r="S36" s="47" t="str">
        <f>IF(AND('Mapa final'!$AB$13="Baja",'Mapa final'!$AD$13="Menor"),CONCATENATE("R1C",'Mapa final'!$R$13),"")</f>
        <v/>
      </c>
      <c r="T36" s="47" t="e">
        <f>IF(AND('Mapa final'!#REF!="Baja",'Mapa final'!#REF!="Menor"),CONCATENATE("R1C",'Mapa final'!#REF!),"")</f>
        <v>#REF!</v>
      </c>
      <c r="U36" s="48" t="e">
        <f>IF(AND('Mapa final'!#REF!="Baja",'Mapa final'!#REF!="Menor"),CONCATENATE("R1C",'Mapa final'!#REF!),"")</f>
        <v>#REF!</v>
      </c>
      <c r="V36" s="46" t="str">
        <f>IF(AND('Mapa final'!$AB$10="Baja",'Mapa final'!$AD$10="Moderado"),CONCATENATE("R1C",'Mapa final'!$R$10),"")</f>
        <v>R1C1</v>
      </c>
      <c r="W36" s="47" t="str">
        <f>IF(AND('Mapa final'!$AB$11="Baja",'Mapa final'!$AD$11="Moderado"),CONCATENATE("R1C",'Mapa final'!$R$11),"")</f>
        <v/>
      </c>
      <c r="X36" s="47" t="str">
        <f>IF(AND('Mapa final'!$AB$12="Baja",'Mapa final'!$AD$12="Moderado"),CONCATENATE("R1C",'Mapa final'!$R$12),"")</f>
        <v/>
      </c>
      <c r="Y36" s="47" t="str">
        <f>IF(AND('Mapa final'!$AB$13="Baja",'Mapa final'!$AD$13="Moderado"),CONCATENATE("R1C",'Mapa final'!$R$13),"")</f>
        <v/>
      </c>
      <c r="Z36" s="47" t="e">
        <f>IF(AND('Mapa final'!#REF!="Baja",'Mapa final'!#REF!="Moderado"),CONCATENATE("R1C",'Mapa final'!#REF!),"")</f>
        <v>#REF!</v>
      </c>
      <c r="AA36" s="48" t="e">
        <f>IF(AND('Mapa final'!#REF!="Baja",'Mapa final'!#REF!="Moderado"),CONCATENATE("R1C",'Mapa final'!#REF!),"")</f>
        <v>#REF!</v>
      </c>
      <c r="AB36" s="28" t="str">
        <f>IF(AND('Mapa final'!$AB$10="Baja",'Mapa final'!$AD$10="Mayor"),CONCATENATE("R1C",'Mapa final'!$R$10),"")</f>
        <v/>
      </c>
      <c r="AC36" s="29" t="str">
        <f>IF(AND('Mapa final'!$AB$11="Baja",'Mapa final'!$AD$11="Mayor"),CONCATENATE("R1C",'Mapa final'!$R$11),"")</f>
        <v/>
      </c>
      <c r="AD36" s="29" t="str">
        <f>IF(AND('Mapa final'!$AB$12="Baja",'Mapa final'!$AD$12="Mayor"),CONCATENATE("R1C",'Mapa final'!$R$12),"")</f>
        <v/>
      </c>
      <c r="AE36" s="29" t="str">
        <f>IF(AND('Mapa final'!$AB$13="Baja",'Mapa final'!$AD$13="Mayor"),CONCATENATE("R1C",'Mapa final'!$R$13),"")</f>
        <v/>
      </c>
      <c r="AF36" s="29" t="e">
        <f>IF(AND('Mapa final'!#REF!="Baja",'Mapa final'!#REF!="Mayor"),CONCATENATE("R1C",'Mapa final'!#REF!),"")</f>
        <v>#REF!</v>
      </c>
      <c r="AG36" s="30" t="e">
        <f>IF(AND('Mapa final'!#REF!="Baja",'Mapa final'!#REF!="Mayor"),CONCATENATE("R1C",'Mapa final'!#REF!),"")</f>
        <v>#REF!</v>
      </c>
      <c r="AH36" s="31" t="str">
        <f>IF(AND('Mapa final'!$AB$10="Baja",'Mapa final'!$AD$10="Catastrófico"),CONCATENATE("R1C",'Mapa final'!$R$10),"")</f>
        <v/>
      </c>
      <c r="AI36" s="32" t="str">
        <f>IF(AND('Mapa final'!$AB$11="Baja",'Mapa final'!$AD$11="Catastrófico"),CONCATENATE("R1C",'Mapa final'!$R$11),"")</f>
        <v/>
      </c>
      <c r="AJ36" s="32" t="str">
        <f>IF(AND('Mapa final'!$AB$12="Baja",'Mapa final'!$AD$12="Catastrófico"),CONCATENATE("R1C",'Mapa final'!$R$12),"")</f>
        <v/>
      </c>
      <c r="AK36" s="32" t="str">
        <f>IF(AND('Mapa final'!$AB$13="Baja",'Mapa final'!$AD$13="Catastrófico"),CONCATENATE("R1C",'Mapa final'!$R$13),"")</f>
        <v/>
      </c>
      <c r="AL36" s="32" t="e">
        <f>IF(AND('Mapa final'!#REF!="Baja",'Mapa final'!#REF!="Catastrófico"),CONCATENATE("R1C",'Mapa final'!#REF!),"")</f>
        <v>#REF!</v>
      </c>
      <c r="AM36" s="33" t="e">
        <f>IF(AND('Mapa final'!#REF!="Baja",'Mapa final'!#REF!="Catastrófico"),CONCATENATE("R1C",'Mapa final'!#REF!),"")</f>
        <v>#REF!</v>
      </c>
      <c r="AN36" s="65"/>
      <c r="AO36" s="706" t="s">
        <v>81</v>
      </c>
      <c r="AP36" s="707"/>
      <c r="AQ36" s="707"/>
      <c r="AR36" s="707"/>
      <c r="AS36" s="707"/>
      <c r="AT36" s="708"/>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80" ht="15" customHeight="1" x14ac:dyDescent="0.3">
      <c r="A37" s="65"/>
      <c r="B37" s="637"/>
      <c r="C37" s="637"/>
      <c r="D37" s="638"/>
      <c r="E37" s="694"/>
      <c r="F37" s="679"/>
      <c r="G37" s="679"/>
      <c r="H37" s="679"/>
      <c r="I37" s="679"/>
      <c r="J37" s="58" t="str">
        <f>IF(AND('Mapa final'!$AB$14="Baja",'Mapa final'!$AD$14="Leve"),CONCATENATE("R2C",'Mapa final'!$R$14),"")</f>
        <v/>
      </c>
      <c r="K37" s="59" t="e">
        <f>IF(AND('Mapa final'!#REF!="Baja",'Mapa final'!#REF!="Leve"),CONCATENATE("R2C",'Mapa final'!#REF!),"")</f>
        <v>#REF!</v>
      </c>
      <c r="L37" s="59" t="e">
        <f>IF(AND('Mapa final'!#REF!="Baja",'Mapa final'!#REF!="Leve"),CONCATENATE("R2C",'Mapa final'!#REF!),"")</f>
        <v>#REF!</v>
      </c>
      <c r="M37" s="59" t="e">
        <f>IF(AND('Mapa final'!#REF!="Baja",'Mapa final'!#REF!="Leve"),CONCATENATE("R2C",'Mapa final'!#REF!),"")</f>
        <v>#REF!</v>
      </c>
      <c r="N37" s="59" t="e">
        <f>IF(AND('Mapa final'!#REF!="Baja",'Mapa final'!#REF!="Leve"),CONCATENATE("R2C",'Mapa final'!#REF!),"")</f>
        <v>#REF!</v>
      </c>
      <c r="O37" s="60" t="e">
        <f>IF(AND('Mapa final'!#REF!="Baja",'Mapa final'!#REF!="Leve"),CONCATENATE("R2C",'Mapa final'!#REF!),"")</f>
        <v>#REF!</v>
      </c>
      <c r="P37" s="49" t="str">
        <f>IF(AND('Mapa final'!$AB$14="Baja",'Mapa final'!$AD$14="Menor"),CONCATENATE("R2C",'Mapa final'!$R$14),"")</f>
        <v/>
      </c>
      <c r="Q37" s="50" t="e">
        <f>IF(AND('Mapa final'!#REF!="Baja",'Mapa final'!#REF!="Menor"),CONCATENATE("R2C",'Mapa final'!#REF!),"")</f>
        <v>#REF!</v>
      </c>
      <c r="R37" s="50" t="e">
        <f>IF(AND('Mapa final'!#REF!="Baja",'Mapa final'!#REF!="Menor"),CONCATENATE("R2C",'Mapa final'!#REF!),"")</f>
        <v>#REF!</v>
      </c>
      <c r="S37" s="50" t="e">
        <f>IF(AND('Mapa final'!#REF!="Baja",'Mapa final'!#REF!="Menor"),CONCATENATE("R2C",'Mapa final'!#REF!),"")</f>
        <v>#REF!</v>
      </c>
      <c r="T37" s="50" t="e">
        <f>IF(AND('Mapa final'!#REF!="Baja",'Mapa final'!#REF!="Menor"),CONCATENATE("R2C",'Mapa final'!#REF!),"")</f>
        <v>#REF!</v>
      </c>
      <c r="U37" s="51" t="e">
        <f>IF(AND('Mapa final'!#REF!="Baja",'Mapa final'!#REF!="Menor"),CONCATENATE("R2C",'Mapa final'!#REF!),"")</f>
        <v>#REF!</v>
      </c>
      <c r="V37" s="49" t="str">
        <f>IF(AND('Mapa final'!$AB$14="Baja",'Mapa final'!$AD$14="Moderado"),CONCATENATE("R2C",'Mapa final'!$R$14),"")</f>
        <v>R2C1</v>
      </c>
      <c r="W37" s="50" t="e">
        <f>IF(AND('Mapa final'!#REF!="Baja",'Mapa final'!#REF!="Moderado"),CONCATENATE("R2C",'Mapa final'!#REF!),"")</f>
        <v>#REF!</v>
      </c>
      <c r="X37" s="50" t="e">
        <f>IF(AND('Mapa final'!#REF!="Baja",'Mapa final'!#REF!="Moderado"),CONCATENATE("R2C",'Mapa final'!#REF!),"")</f>
        <v>#REF!</v>
      </c>
      <c r="Y37" s="50" t="e">
        <f>IF(AND('Mapa final'!#REF!="Baja",'Mapa final'!#REF!="Moderado"),CONCATENATE("R2C",'Mapa final'!#REF!),"")</f>
        <v>#REF!</v>
      </c>
      <c r="Z37" s="50" t="e">
        <f>IF(AND('Mapa final'!#REF!="Baja",'Mapa final'!#REF!="Moderado"),CONCATENATE("R2C",'Mapa final'!#REF!),"")</f>
        <v>#REF!</v>
      </c>
      <c r="AA37" s="51" t="e">
        <f>IF(AND('Mapa final'!#REF!="Baja",'Mapa final'!#REF!="Moderado"),CONCATENATE("R2C",'Mapa final'!#REF!),"")</f>
        <v>#REF!</v>
      </c>
      <c r="AB37" s="34" t="str">
        <f>IF(AND('Mapa final'!$AB$14="Baja",'Mapa final'!$AD$14="Mayor"),CONCATENATE("R2C",'Mapa final'!$R$14),"")</f>
        <v/>
      </c>
      <c r="AC37" s="35" t="e">
        <f>IF(AND('Mapa final'!#REF!="Baja",'Mapa final'!#REF!="Mayor"),CONCATENATE("R2C",'Mapa final'!#REF!),"")</f>
        <v>#REF!</v>
      </c>
      <c r="AD37" s="35" t="e">
        <f>IF(AND('Mapa final'!#REF!="Baja",'Mapa final'!#REF!="Mayor"),CONCATENATE("R2C",'Mapa final'!#REF!),"")</f>
        <v>#REF!</v>
      </c>
      <c r="AE37" s="35" t="e">
        <f>IF(AND('Mapa final'!#REF!="Baja",'Mapa final'!#REF!="Mayor"),CONCATENATE("R2C",'Mapa final'!#REF!),"")</f>
        <v>#REF!</v>
      </c>
      <c r="AF37" s="35" t="e">
        <f>IF(AND('Mapa final'!#REF!="Baja",'Mapa final'!#REF!="Mayor"),CONCATENATE("R2C",'Mapa final'!#REF!),"")</f>
        <v>#REF!</v>
      </c>
      <c r="AG37" s="36" t="e">
        <f>IF(AND('Mapa final'!#REF!="Baja",'Mapa final'!#REF!="Mayor"),CONCATENATE("R2C",'Mapa final'!#REF!),"")</f>
        <v>#REF!</v>
      </c>
      <c r="AH37" s="37" t="str">
        <f>IF(AND('Mapa final'!$AB$14="Baja",'Mapa final'!$AD$14="Catastrófico"),CONCATENATE("R2C",'Mapa final'!$R$14),"")</f>
        <v/>
      </c>
      <c r="AI37" s="38" t="e">
        <f>IF(AND('Mapa final'!#REF!="Baja",'Mapa final'!#REF!="Catastrófico"),CONCATENATE("R2C",'Mapa final'!#REF!),"")</f>
        <v>#REF!</v>
      </c>
      <c r="AJ37" s="38" t="e">
        <f>IF(AND('Mapa final'!#REF!="Baja",'Mapa final'!#REF!="Catastrófico"),CONCATENATE("R2C",'Mapa final'!#REF!),"")</f>
        <v>#REF!</v>
      </c>
      <c r="AK37" s="38" t="e">
        <f>IF(AND('Mapa final'!#REF!="Baja",'Mapa final'!#REF!="Catastrófico"),CONCATENATE("R2C",'Mapa final'!#REF!),"")</f>
        <v>#REF!</v>
      </c>
      <c r="AL37" s="38" t="e">
        <f>IF(AND('Mapa final'!#REF!="Baja",'Mapa final'!#REF!="Catastrófico"),CONCATENATE("R2C",'Mapa final'!#REF!),"")</f>
        <v>#REF!</v>
      </c>
      <c r="AM37" s="39" t="e">
        <f>IF(AND('Mapa final'!#REF!="Baja",'Mapa final'!#REF!="Catastrófico"),CONCATENATE("R2C",'Mapa final'!#REF!),"")</f>
        <v>#REF!</v>
      </c>
      <c r="AN37" s="65"/>
      <c r="AO37" s="709"/>
      <c r="AP37" s="710"/>
      <c r="AQ37" s="710"/>
      <c r="AR37" s="710"/>
      <c r="AS37" s="710"/>
      <c r="AT37" s="711"/>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80" ht="15" customHeight="1" x14ac:dyDescent="0.3">
      <c r="A38" s="65"/>
      <c r="B38" s="637"/>
      <c r="C38" s="637"/>
      <c r="D38" s="638"/>
      <c r="E38" s="678"/>
      <c r="F38" s="679"/>
      <c r="G38" s="679"/>
      <c r="H38" s="679"/>
      <c r="I38" s="679"/>
      <c r="J38" s="58" t="str">
        <f>IF(AND('Mapa final'!$AB$15="Baja",'Mapa final'!$AD$15="Leve"),CONCATENATE("R3C",'Mapa final'!$R$15),"")</f>
        <v/>
      </c>
      <c r="K38" s="59" t="str">
        <f>IF(AND('Mapa final'!$AB$16="Baja",'Mapa final'!$AD$16="Leve"),CONCATENATE("R3C",'Mapa final'!$R$16),"")</f>
        <v/>
      </c>
      <c r="L38" s="59" t="str">
        <f>IF(AND('Mapa final'!$AB$17="Baja",'Mapa final'!$AD$17="Leve"),CONCATENATE("R3C",'Mapa final'!$R$17),"")</f>
        <v/>
      </c>
      <c r="M38" s="59" t="str">
        <f>IF(AND('Mapa final'!$AB$18="Baja",'Mapa final'!$AD$18="Leve"),CONCATENATE("R3C",'Mapa final'!$R$18),"")</f>
        <v/>
      </c>
      <c r="N38" s="59" t="str">
        <f>IF(AND('Mapa final'!$AB$19="Baja",'Mapa final'!$AD$19="Leve"),CONCATENATE("R3C",'Mapa final'!$R$19),"")</f>
        <v/>
      </c>
      <c r="O38" s="60" t="str">
        <f>IF(AND('Mapa final'!$AB$20="Baja",'Mapa final'!$AD$20="Leve"),CONCATENATE("R3C",'Mapa final'!$R$20),"")</f>
        <v/>
      </c>
      <c r="P38" s="49" t="str">
        <f>IF(AND('Mapa final'!$AB$15="Baja",'Mapa final'!$AD$15="Menor"),CONCATENATE("R3C",'Mapa final'!$R$15),"")</f>
        <v/>
      </c>
      <c r="Q38" s="50" t="str">
        <f>IF(AND('Mapa final'!$AB$16="Baja",'Mapa final'!$AD$16="Menor"),CONCATENATE("R3C",'Mapa final'!$R$16),"")</f>
        <v/>
      </c>
      <c r="R38" s="50" t="str">
        <f>IF(AND('Mapa final'!$AB$17="Baja",'Mapa final'!$AD$17="Menor"),CONCATENATE("R3C",'Mapa final'!$R$17),"")</f>
        <v/>
      </c>
      <c r="S38" s="50" t="str">
        <f>IF(AND('Mapa final'!$AB$18="Baja",'Mapa final'!$AD$18="Menor"),CONCATENATE("R3C",'Mapa final'!$R$18),"")</f>
        <v/>
      </c>
      <c r="T38" s="50" t="str">
        <f>IF(AND('Mapa final'!$AB$19="Baja",'Mapa final'!$AD$19="Menor"),CONCATENATE("R3C",'Mapa final'!$R$19),"")</f>
        <v/>
      </c>
      <c r="U38" s="51" t="str">
        <f>IF(AND('Mapa final'!$AB$20="Baja",'Mapa final'!$AD$20="Menor"),CONCATENATE("R3C",'Mapa final'!$R$20),"")</f>
        <v/>
      </c>
      <c r="V38" s="49" t="str">
        <f>IF(AND('Mapa final'!$AB$15="Baja",'Mapa final'!$AD$15="Moderado"),CONCATENATE("R3C",'Mapa final'!$R$15),"")</f>
        <v/>
      </c>
      <c r="W38" s="50" t="str">
        <f>IF(AND('Mapa final'!$AB$16="Baja",'Mapa final'!$AD$16="Moderado"),CONCATENATE("R3C",'Mapa final'!$R$16),"")</f>
        <v/>
      </c>
      <c r="X38" s="50" t="str">
        <f>IF(AND('Mapa final'!$AB$17="Baja",'Mapa final'!$AD$17="Moderado"),CONCATENATE("R3C",'Mapa final'!$R$17),"")</f>
        <v/>
      </c>
      <c r="Y38" s="50" t="str">
        <f>IF(AND('Mapa final'!$AB$18="Baja",'Mapa final'!$AD$18="Moderado"),CONCATENATE("R3C",'Mapa final'!$R$18),"")</f>
        <v/>
      </c>
      <c r="Z38" s="50" t="str">
        <f>IF(AND('Mapa final'!$AB$19="Baja",'Mapa final'!$AD$19="Moderado"),CONCATENATE("R3C",'Mapa final'!$R$19),"")</f>
        <v/>
      </c>
      <c r="AA38" s="51" t="str">
        <f>IF(AND('Mapa final'!$AB$20="Baja",'Mapa final'!$AD$20="Moderado"),CONCATENATE("R3C",'Mapa final'!$R$20),"")</f>
        <v/>
      </c>
      <c r="AB38" s="34" t="str">
        <f>IF(AND('Mapa final'!$AB$15="Baja",'Mapa final'!$AD$15="Mayor"),CONCATENATE("R3C",'Mapa final'!$R$15),"")</f>
        <v/>
      </c>
      <c r="AC38" s="35" t="str">
        <f>IF(AND('Mapa final'!$AB$16="Baja",'Mapa final'!$AD$16="Mayor"),CONCATENATE("R3C",'Mapa final'!$R$16),"")</f>
        <v/>
      </c>
      <c r="AD38" s="35" t="str">
        <f>IF(AND('Mapa final'!$AB$17="Baja",'Mapa final'!$AD$17="Mayor"),CONCATENATE("R3C",'Mapa final'!$R$17),"")</f>
        <v/>
      </c>
      <c r="AE38" s="35" t="str">
        <f>IF(AND('Mapa final'!$AB$18="Baja",'Mapa final'!$AD$18="Mayor"),CONCATENATE("R3C",'Mapa final'!$R$18),"")</f>
        <v/>
      </c>
      <c r="AF38" s="35" t="str">
        <f>IF(AND('Mapa final'!$AB$19="Baja",'Mapa final'!$AD$19="Mayor"),CONCATENATE("R3C",'Mapa final'!$R$19),"")</f>
        <v/>
      </c>
      <c r="AG38" s="36" t="str">
        <f>IF(AND('Mapa final'!$AB$20="Baja",'Mapa final'!$AD$20="Mayor"),CONCATENATE("R3C",'Mapa final'!$R$20),"")</f>
        <v/>
      </c>
      <c r="AH38" s="37" t="str">
        <f>IF(AND('Mapa final'!$AB$15="Baja",'Mapa final'!$AD$15="Catastrófico"),CONCATENATE("R3C",'Mapa final'!$R$15),"")</f>
        <v/>
      </c>
      <c r="AI38" s="38" t="str">
        <f>IF(AND('Mapa final'!$AB$16="Baja",'Mapa final'!$AD$16="Catastrófico"),CONCATENATE("R3C",'Mapa final'!$R$16),"")</f>
        <v/>
      </c>
      <c r="AJ38" s="38" t="str">
        <f>IF(AND('Mapa final'!$AB$17="Baja",'Mapa final'!$AD$17="Catastrófico"),CONCATENATE("R3C",'Mapa final'!$R$17),"")</f>
        <v/>
      </c>
      <c r="AK38" s="38" t="str">
        <f>IF(AND('Mapa final'!$AB$18="Baja",'Mapa final'!$AD$18="Catastrófico"),CONCATENATE("R3C",'Mapa final'!$R$18),"")</f>
        <v/>
      </c>
      <c r="AL38" s="38" t="str">
        <f>IF(AND('Mapa final'!$AB$19="Baja",'Mapa final'!$AD$19="Catastrófico"),CONCATENATE("R3C",'Mapa final'!$R$19),"")</f>
        <v/>
      </c>
      <c r="AM38" s="39" t="str">
        <f>IF(AND('Mapa final'!$AB$20="Baja",'Mapa final'!$AD$20="Catastrófico"),CONCATENATE("R3C",'Mapa final'!$R$20),"")</f>
        <v/>
      </c>
      <c r="AN38" s="65"/>
      <c r="AO38" s="709"/>
      <c r="AP38" s="710"/>
      <c r="AQ38" s="710"/>
      <c r="AR38" s="710"/>
      <c r="AS38" s="710"/>
      <c r="AT38" s="711"/>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80" ht="15" customHeight="1" x14ac:dyDescent="0.3">
      <c r="A39" s="65"/>
      <c r="B39" s="637"/>
      <c r="C39" s="637"/>
      <c r="D39" s="638"/>
      <c r="E39" s="678"/>
      <c r="F39" s="679"/>
      <c r="G39" s="679"/>
      <c r="H39" s="679"/>
      <c r="I39" s="679"/>
      <c r="J39" s="58" t="str">
        <f>IF(AND('Mapa final'!$AB$21="Baja",'Mapa final'!$AD$21="Leve"),CONCATENATE("R4C",'Mapa final'!$R$21),"")</f>
        <v/>
      </c>
      <c r="K39" s="59" t="str">
        <f>IF(AND('Mapa final'!$AB$22="Baja",'Mapa final'!$AD$22="Leve"),CONCATENATE("R4C",'Mapa final'!$R$22),"")</f>
        <v/>
      </c>
      <c r="L39" s="59" t="str">
        <f>IF(AND('Mapa final'!$AB$23="Baja",'Mapa final'!$AD$23="Leve"),CONCATENATE("R4C",'Mapa final'!$R$23),"")</f>
        <v/>
      </c>
      <c r="M39" s="59" t="str">
        <f>IF(AND('Mapa final'!$AB$24="Baja",'Mapa final'!$AD$24="Leve"),CONCATENATE("R4C",'Mapa final'!$R$24),"")</f>
        <v/>
      </c>
      <c r="N39" s="59" t="str">
        <f>IF(AND('Mapa final'!$AB$25="Baja",'Mapa final'!$AD$25="Leve"),CONCATENATE("R4C",'Mapa final'!$R$25),"")</f>
        <v/>
      </c>
      <c r="O39" s="60" t="str">
        <f>IF(AND('Mapa final'!$AB$26="Baja",'Mapa final'!$AD$26="Leve"),CONCATENATE("R4C",'Mapa final'!$R$26),"")</f>
        <v/>
      </c>
      <c r="P39" s="49" t="str">
        <f>IF(AND('Mapa final'!$AB$21="Baja",'Mapa final'!$AD$21="Menor"),CONCATENATE("R4C",'Mapa final'!$R$21),"")</f>
        <v/>
      </c>
      <c r="Q39" s="50" t="str">
        <f>IF(AND('Mapa final'!$AB$22="Baja",'Mapa final'!$AD$22="Menor"),CONCATENATE("R4C",'Mapa final'!$R$22),"")</f>
        <v/>
      </c>
      <c r="R39" s="50" t="str">
        <f>IF(AND('Mapa final'!$AB$23="Baja",'Mapa final'!$AD$23="Menor"),CONCATENATE("R4C",'Mapa final'!$R$23),"")</f>
        <v/>
      </c>
      <c r="S39" s="50" t="str">
        <f>IF(AND('Mapa final'!$AB$24="Baja",'Mapa final'!$AD$24="Menor"),CONCATENATE("R4C",'Mapa final'!$R$24),"")</f>
        <v/>
      </c>
      <c r="T39" s="50" t="str">
        <f>IF(AND('Mapa final'!$AB$25="Baja",'Mapa final'!$AD$25="Menor"),CONCATENATE("R4C",'Mapa final'!$R$25),"")</f>
        <v/>
      </c>
      <c r="U39" s="51" t="str">
        <f>IF(AND('Mapa final'!$AB$26="Baja",'Mapa final'!$AD$26="Menor"),CONCATENATE("R4C",'Mapa final'!$R$26),"")</f>
        <v/>
      </c>
      <c r="V39" s="49" t="str">
        <f>IF(AND('Mapa final'!$AB$21="Baja",'Mapa final'!$AD$21="Moderado"),CONCATENATE("R4C",'Mapa final'!$R$21),"")</f>
        <v/>
      </c>
      <c r="W39" s="50" t="str">
        <f>IF(AND('Mapa final'!$AB$22="Baja",'Mapa final'!$AD$22="Moderado"),CONCATENATE("R4C",'Mapa final'!$R$22),"")</f>
        <v/>
      </c>
      <c r="X39" s="50" t="str">
        <f>IF(AND('Mapa final'!$AB$23="Baja",'Mapa final'!$AD$23="Moderado"),CONCATENATE("R4C",'Mapa final'!$R$23),"")</f>
        <v/>
      </c>
      <c r="Y39" s="50" t="str">
        <f>IF(AND('Mapa final'!$AB$24="Baja",'Mapa final'!$AD$24="Moderado"),CONCATENATE("R4C",'Mapa final'!$R$24),"")</f>
        <v/>
      </c>
      <c r="Z39" s="50" t="str">
        <f>IF(AND('Mapa final'!$AB$25="Baja",'Mapa final'!$AD$25="Moderado"),CONCATENATE("R4C",'Mapa final'!$R$25),"")</f>
        <v/>
      </c>
      <c r="AA39" s="51" t="str">
        <f>IF(AND('Mapa final'!$AB$26="Baja",'Mapa final'!$AD$26="Moderado"),CONCATENATE("R4C",'Mapa final'!$R$26),"")</f>
        <v/>
      </c>
      <c r="AB39" s="34" t="str">
        <f>IF(AND('Mapa final'!$AB$21="Baja",'Mapa final'!$AD$21="Mayor"),CONCATENATE("R4C",'Mapa final'!$R$21),"")</f>
        <v/>
      </c>
      <c r="AC39" s="35" t="str">
        <f>IF(AND('Mapa final'!$AB$22="Baja",'Mapa final'!$AD$22="Mayor"),CONCATENATE("R4C",'Mapa final'!$R$22),"")</f>
        <v/>
      </c>
      <c r="AD39" s="35" t="str">
        <f>IF(AND('Mapa final'!$AB$23="Baja",'Mapa final'!$AD$23="Mayor"),CONCATENATE("R4C",'Mapa final'!$R$23),"")</f>
        <v/>
      </c>
      <c r="AE39" s="35" t="str">
        <f>IF(AND('Mapa final'!$AB$24="Baja",'Mapa final'!$AD$24="Mayor"),CONCATENATE("R4C",'Mapa final'!$R$24),"")</f>
        <v/>
      </c>
      <c r="AF39" s="35" t="str">
        <f>IF(AND('Mapa final'!$AB$25="Baja",'Mapa final'!$AD$25="Mayor"),CONCATENATE("R4C",'Mapa final'!$R$25),"")</f>
        <v/>
      </c>
      <c r="AG39" s="36" t="str">
        <f>IF(AND('Mapa final'!$AB$26="Baja",'Mapa final'!$AD$26="Mayor"),CONCATENATE("R4C",'Mapa final'!$R$26),"")</f>
        <v/>
      </c>
      <c r="AH39" s="37" t="str">
        <f>IF(AND('Mapa final'!$AB$21="Baja",'Mapa final'!$AD$21="Catastrófico"),CONCATENATE("R4C",'Mapa final'!$R$21),"")</f>
        <v/>
      </c>
      <c r="AI39" s="38" t="str">
        <f>IF(AND('Mapa final'!$AB$22="Baja",'Mapa final'!$AD$22="Catastrófico"),CONCATENATE("R4C",'Mapa final'!$R$22),"")</f>
        <v/>
      </c>
      <c r="AJ39" s="38" t="str">
        <f>IF(AND('Mapa final'!$AB$23="Baja",'Mapa final'!$AD$23="Catastrófico"),CONCATENATE("R4C",'Mapa final'!$R$23),"")</f>
        <v/>
      </c>
      <c r="AK39" s="38" t="str">
        <f>IF(AND('Mapa final'!$AB$24="Baja",'Mapa final'!$AD$24="Catastrófico"),CONCATENATE("R4C",'Mapa final'!$R$24),"")</f>
        <v/>
      </c>
      <c r="AL39" s="38" t="str">
        <f>IF(AND('Mapa final'!$AB$25="Baja",'Mapa final'!$AD$25="Catastrófico"),CONCATENATE("R4C",'Mapa final'!$R$25),"")</f>
        <v/>
      </c>
      <c r="AM39" s="39" t="str">
        <f>IF(AND('Mapa final'!$AB$26="Baja",'Mapa final'!$AD$26="Catastrófico"),CONCATENATE("R4C",'Mapa final'!$R$26),"")</f>
        <v/>
      </c>
      <c r="AN39" s="65"/>
      <c r="AO39" s="709"/>
      <c r="AP39" s="710"/>
      <c r="AQ39" s="710"/>
      <c r="AR39" s="710"/>
      <c r="AS39" s="710"/>
      <c r="AT39" s="711"/>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80" ht="15" customHeight="1" x14ac:dyDescent="0.3">
      <c r="A40" s="65"/>
      <c r="B40" s="637"/>
      <c r="C40" s="637"/>
      <c r="D40" s="638"/>
      <c r="E40" s="678"/>
      <c r="F40" s="679"/>
      <c r="G40" s="679"/>
      <c r="H40" s="679"/>
      <c r="I40" s="679"/>
      <c r="J40" s="58" t="str">
        <f>IF(AND('Mapa final'!$AB$27="Baja",'Mapa final'!$AD$27="Leve"),CONCATENATE("R5C",'Mapa final'!$R$27),"")</f>
        <v/>
      </c>
      <c r="K40" s="59" t="str">
        <f>IF(AND('Mapa final'!$AB$28="Baja",'Mapa final'!$AD$28="Leve"),CONCATENATE("R5C",'Mapa final'!$R$28),"")</f>
        <v/>
      </c>
      <c r="L40" s="59" t="str">
        <f>IF(AND('Mapa final'!$AB$29="Baja",'Mapa final'!$AD$29="Leve"),CONCATENATE("R5C",'Mapa final'!$R$29),"")</f>
        <v/>
      </c>
      <c r="M40" s="59" t="str">
        <f>IF(AND('Mapa final'!$AB$30="Baja",'Mapa final'!$AD$30="Leve"),CONCATENATE("R5C",'Mapa final'!$R$30),"")</f>
        <v/>
      </c>
      <c r="N40" s="59" t="str">
        <f>IF(AND('Mapa final'!$AB$31="Baja",'Mapa final'!$AD$31="Leve"),CONCATENATE("R5C",'Mapa final'!$R$31),"")</f>
        <v/>
      </c>
      <c r="O40" s="60" t="str">
        <f>IF(AND('Mapa final'!$AB$32="Baja",'Mapa final'!$AD$32="Leve"),CONCATENATE("R5C",'Mapa final'!$R$32),"")</f>
        <v/>
      </c>
      <c r="P40" s="49" t="str">
        <f>IF(AND('Mapa final'!$AB$27="Baja",'Mapa final'!$AD$27="Menor"),CONCATENATE("R5C",'Mapa final'!$R$27),"")</f>
        <v/>
      </c>
      <c r="Q40" s="50" t="str">
        <f>IF(AND('Mapa final'!$AB$28="Baja",'Mapa final'!$AD$28="Menor"),CONCATENATE("R5C",'Mapa final'!$R$28),"")</f>
        <v/>
      </c>
      <c r="R40" s="50" t="str">
        <f>IF(AND('Mapa final'!$AB$29="Baja",'Mapa final'!$AD$29="Menor"),CONCATENATE("R5C",'Mapa final'!$R$29),"")</f>
        <v/>
      </c>
      <c r="S40" s="50" t="str">
        <f>IF(AND('Mapa final'!$AB$30="Baja",'Mapa final'!$AD$30="Menor"),CONCATENATE("R5C",'Mapa final'!$R$30),"")</f>
        <v/>
      </c>
      <c r="T40" s="50" t="str">
        <f>IF(AND('Mapa final'!$AB$31="Baja",'Mapa final'!$AD$31="Menor"),CONCATENATE("R5C",'Mapa final'!$R$31),"")</f>
        <v/>
      </c>
      <c r="U40" s="51" t="str">
        <f>IF(AND('Mapa final'!$AB$32="Baja",'Mapa final'!$AD$32="Menor"),CONCATENATE("R5C",'Mapa final'!$R$32),"")</f>
        <v/>
      </c>
      <c r="V40" s="49" t="str">
        <f>IF(AND('Mapa final'!$AB$27="Baja",'Mapa final'!$AD$27="Moderado"),CONCATENATE("R5C",'Mapa final'!$R$27),"")</f>
        <v/>
      </c>
      <c r="W40" s="50" t="str">
        <f>IF(AND('Mapa final'!$AB$28="Baja",'Mapa final'!$AD$28="Moderado"),CONCATENATE("R5C",'Mapa final'!$R$28),"")</f>
        <v/>
      </c>
      <c r="X40" s="50" t="str">
        <f>IF(AND('Mapa final'!$AB$29="Baja",'Mapa final'!$AD$29="Moderado"),CONCATENATE("R5C",'Mapa final'!$R$29),"")</f>
        <v/>
      </c>
      <c r="Y40" s="50" t="str">
        <f>IF(AND('Mapa final'!$AB$30="Baja",'Mapa final'!$AD$30="Moderado"),CONCATENATE("R5C",'Mapa final'!$R$30),"")</f>
        <v/>
      </c>
      <c r="Z40" s="50" t="str">
        <f>IF(AND('Mapa final'!$AB$31="Baja",'Mapa final'!$AD$31="Moderado"),CONCATENATE("R5C",'Mapa final'!$R$31),"")</f>
        <v/>
      </c>
      <c r="AA40" s="51" t="str">
        <f>IF(AND('Mapa final'!$AB$32="Baja",'Mapa final'!$AD$32="Moderado"),CONCATENATE("R5C",'Mapa final'!$R$32),"")</f>
        <v/>
      </c>
      <c r="AB40" s="34" t="str">
        <f>IF(AND('Mapa final'!$AB$27="Baja",'Mapa final'!$AD$27="Mayor"),CONCATENATE("R5C",'Mapa final'!$R$27),"")</f>
        <v/>
      </c>
      <c r="AC40" s="35" t="str">
        <f>IF(AND('Mapa final'!$AB$28="Baja",'Mapa final'!$AD$28="Mayor"),CONCATENATE("R5C",'Mapa final'!$R$28),"")</f>
        <v/>
      </c>
      <c r="AD40" s="35" t="str">
        <f>IF(AND('Mapa final'!$AB$29="Baja",'Mapa final'!$AD$29="Mayor"),CONCATENATE("R5C",'Mapa final'!$R$29),"")</f>
        <v/>
      </c>
      <c r="AE40" s="35" t="str">
        <f>IF(AND('Mapa final'!$AB$30="Baja",'Mapa final'!$AD$30="Mayor"),CONCATENATE("R5C",'Mapa final'!$R$30),"")</f>
        <v/>
      </c>
      <c r="AF40" s="35" t="str">
        <f>IF(AND('Mapa final'!$AB$31="Baja",'Mapa final'!$AD$31="Mayor"),CONCATENATE("R5C",'Mapa final'!$R$31),"")</f>
        <v/>
      </c>
      <c r="AG40" s="36" t="str">
        <f>IF(AND('Mapa final'!$AB$32="Baja",'Mapa final'!$AD$32="Mayor"),CONCATENATE("R5C",'Mapa final'!$R$32),"")</f>
        <v/>
      </c>
      <c r="AH40" s="37" t="str">
        <f>IF(AND('Mapa final'!$AB$27="Baja",'Mapa final'!$AD$27="Catastrófico"),CONCATENATE("R5C",'Mapa final'!$R$27),"")</f>
        <v/>
      </c>
      <c r="AI40" s="38" t="str">
        <f>IF(AND('Mapa final'!$AB$28="Baja",'Mapa final'!$AD$28="Catastrófico"),CONCATENATE("R5C",'Mapa final'!$R$28),"")</f>
        <v/>
      </c>
      <c r="AJ40" s="38" t="str">
        <f>IF(AND('Mapa final'!$AB$29="Baja",'Mapa final'!$AD$29="Catastrófico"),CONCATENATE("R5C",'Mapa final'!$R$29),"")</f>
        <v/>
      </c>
      <c r="AK40" s="38" t="str">
        <f>IF(AND('Mapa final'!$AB$30="Baja",'Mapa final'!$AD$30="Catastrófico"),CONCATENATE("R5C",'Mapa final'!$R$30),"")</f>
        <v/>
      </c>
      <c r="AL40" s="38" t="str">
        <f>IF(AND('Mapa final'!$AB$31="Baja",'Mapa final'!$AD$31="Catastrófico"),CONCATENATE("R5C",'Mapa final'!$R$31),"")</f>
        <v/>
      </c>
      <c r="AM40" s="39" t="str">
        <f>IF(AND('Mapa final'!$AB$32="Baja",'Mapa final'!$AD$32="Catastrófico"),CONCATENATE("R5C",'Mapa final'!$R$32),"")</f>
        <v/>
      </c>
      <c r="AN40" s="65"/>
      <c r="AO40" s="709"/>
      <c r="AP40" s="710"/>
      <c r="AQ40" s="710"/>
      <c r="AR40" s="710"/>
      <c r="AS40" s="710"/>
      <c r="AT40" s="711"/>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80" ht="15" customHeight="1" x14ac:dyDescent="0.3">
      <c r="A41" s="65"/>
      <c r="B41" s="637"/>
      <c r="C41" s="637"/>
      <c r="D41" s="638"/>
      <c r="E41" s="678"/>
      <c r="F41" s="679"/>
      <c r="G41" s="679"/>
      <c r="H41" s="679"/>
      <c r="I41" s="679"/>
      <c r="J41" s="58" t="str">
        <f>IF(AND('Mapa final'!$AB$33="Baja",'Mapa final'!$AD$33="Leve"),CONCATENATE("R6C",'Mapa final'!$R$33),"")</f>
        <v/>
      </c>
      <c r="K41" s="59" t="str">
        <f>IF(AND('Mapa final'!$AB$34="Baja",'Mapa final'!$AD$34="Leve"),CONCATENATE("R6C",'Mapa final'!$R$34),"")</f>
        <v/>
      </c>
      <c r="L41" s="59" t="str">
        <f>IF(AND('Mapa final'!$AB$35="Baja",'Mapa final'!$AD$35="Leve"),CONCATENATE("R6C",'Mapa final'!$R$35),"")</f>
        <v/>
      </c>
      <c r="M41" s="59" t="str">
        <f>IF(AND('Mapa final'!$AB$36="Baja",'Mapa final'!$AD$36="Leve"),CONCATENATE("R6C",'Mapa final'!$R$36),"")</f>
        <v/>
      </c>
      <c r="N41" s="59" t="str">
        <f>IF(AND('Mapa final'!$AB$37="Baja",'Mapa final'!$AD$37="Leve"),CONCATENATE("R6C",'Mapa final'!$R$37),"")</f>
        <v/>
      </c>
      <c r="O41" s="60" t="str">
        <f>IF(AND('Mapa final'!$AB$38="Baja",'Mapa final'!$AD$38="Leve"),CONCATENATE("R6C",'Mapa final'!$R$38),"")</f>
        <v/>
      </c>
      <c r="P41" s="49" t="str">
        <f>IF(AND('Mapa final'!$AB$33="Baja",'Mapa final'!$AD$33="Menor"),CONCATENATE("R6C",'Mapa final'!$R$33),"")</f>
        <v/>
      </c>
      <c r="Q41" s="50" t="str">
        <f>IF(AND('Mapa final'!$AB$34="Baja",'Mapa final'!$AD$34="Menor"),CONCATENATE("R6C",'Mapa final'!$R$34),"")</f>
        <v/>
      </c>
      <c r="R41" s="50" t="str">
        <f>IF(AND('Mapa final'!$AB$35="Baja",'Mapa final'!$AD$35="Menor"),CONCATENATE("R6C",'Mapa final'!$R$35),"")</f>
        <v/>
      </c>
      <c r="S41" s="50" t="str">
        <f>IF(AND('Mapa final'!$AB$36="Baja",'Mapa final'!$AD$36="Menor"),CONCATENATE("R6C",'Mapa final'!$R$36),"")</f>
        <v/>
      </c>
      <c r="T41" s="50" t="str">
        <f>IF(AND('Mapa final'!$AB$37="Baja",'Mapa final'!$AD$37="Menor"),CONCATENATE("R6C",'Mapa final'!$R$37),"")</f>
        <v/>
      </c>
      <c r="U41" s="51" t="str">
        <f>IF(AND('Mapa final'!$AB$38="Baja",'Mapa final'!$AD$38="Menor"),CONCATENATE("R6C",'Mapa final'!$R$38),"")</f>
        <v/>
      </c>
      <c r="V41" s="49" t="str">
        <f>IF(AND('Mapa final'!$AB$33="Baja",'Mapa final'!$AD$33="Moderado"),CONCATENATE("R6C",'Mapa final'!$R$33),"")</f>
        <v/>
      </c>
      <c r="W41" s="50" t="str">
        <f>IF(AND('Mapa final'!$AB$34="Baja",'Mapa final'!$AD$34="Moderado"),CONCATENATE("R6C",'Mapa final'!$R$34),"")</f>
        <v/>
      </c>
      <c r="X41" s="50" t="str">
        <f>IF(AND('Mapa final'!$AB$35="Baja",'Mapa final'!$AD$35="Moderado"),CONCATENATE("R6C",'Mapa final'!$R$35),"")</f>
        <v/>
      </c>
      <c r="Y41" s="50" t="str">
        <f>IF(AND('Mapa final'!$AB$36="Baja",'Mapa final'!$AD$36="Moderado"),CONCATENATE("R6C",'Mapa final'!$R$36),"")</f>
        <v/>
      </c>
      <c r="Z41" s="50" t="str">
        <f>IF(AND('Mapa final'!$AB$37="Baja",'Mapa final'!$AD$37="Moderado"),CONCATENATE("R6C",'Mapa final'!$R$37),"")</f>
        <v/>
      </c>
      <c r="AA41" s="51" t="str">
        <f>IF(AND('Mapa final'!$AB$38="Baja",'Mapa final'!$AD$38="Moderado"),CONCATENATE("R6C",'Mapa final'!$R$38),"")</f>
        <v/>
      </c>
      <c r="AB41" s="34" t="str">
        <f>IF(AND('Mapa final'!$AB$33="Baja",'Mapa final'!$AD$33="Mayor"),CONCATENATE("R6C",'Mapa final'!$R$33),"")</f>
        <v/>
      </c>
      <c r="AC41" s="35" t="str">
        <f>IF(AND('Mapa final'!$AB$34="Baja",'Mapa final'!$AD$34="Mayor"),CONCATENATE("R6C",'Mapa final'!$R$34),"")</f>
        <v/>
      </c>
      <c r="AD41" s="35" t="str">
        <f>IF(AND('Mapa final'!$AB$35="Baja",'Mapa final'!$AD$35="Mayor"),CONCATENATE("R6C",'Mapa final'!$R$35),"")</f>
        <v/>
      </c>
      <c r="AE41" s="35" t="str">
        <f>IF(AND('Mapa final'!$AB$36="Baja",'Mapa final'!$AD$36="Mayor"),CONCATENATE("R6C",'Mapa final'!$R$36),"")</f>
        <v/>
      </c>
      <c r="AF41" s="35" t="str">
        <f>IF(AND('Mapa final'!$AB$37="Baja",'Mapa final'!$AD$37="Mayor"),CONCATENATE("R6C",'Mapa final'!$R$37),"")</f>
        <v/>
      </c>
      <c r="AG41" s="36" t="str">
        <f>IF(AND('Mapa final'!$AB$38="Baja",'Mapa final'!$AD$38="Mayor"),CONCATENATE("R6C",'Mapa final'!$R$38),"")</f>
        <v/>
      </c>
      <c r="AH41" s="37" t="str">
        <f>IF(AND('Mapa final'!$AB$33="Baja",'Mapa final'!$AD$33="Catastrófico"),CONCATENATE("R6C",'Mapa final'!$R$33),"")</f>
        <v/>
      </c>
      <c r="AI41" s="38" t="str">
        <f>IF(AND('Mapa final'!$AB$34="Baja",'Mapa final'!$AD$34="Catastrófico"),CONCATENATE("R6C",'Mapa final'!$R$34),"")</f>
        <v/>
      </c>
      <c r="AJ41" s="38" t="str">
        <f>IF(AND('Mapa final'!$AB$35="Baja",'Mapa final'!$AD$35="Catastrófico"),CONCATENATE("R6C",'Mapa final'!$R$35),"")</f>
        <v/>
      </c>
      <c r="AK41" s="38" t="str">
        <f>IF(AND('Mapa final'!$AB$36="Baja",'Mapa final'!$AD$36="Catastrófico"),CONCATENATE("R6C",'Mapa final'!$R$36),"")</f>
        <v/>
      </c>
      <c r="AL41" s="38" t="str">
        <f>IF(AND('Mapa final'!$AB$37="Baja",'Mapa final'!$AD$37="Catastrófico"),CONCATENATE("R6C",'Mapa final'!$R$37),"")</f>
        <v/>
      </c>
      <c r="AM41" s="39" t="str">
        <f>IF(AND('Mapa final'!$AB$38="Baja",'Mapa final'!$AD$38="Catastrófico"),CONCATENATE("R6C",'Mapa final'!$R$38),"")</f>
        <v/>
      </c>
      <c r="AN41" s="65"/>
      <c r="AO41" s="709"/>
      <c r="AP41" s="710"/>
      <c r="AQ41" s="710"/>
      <c r="AR41" s="710"/>
      <c r="AS41" s="710"/>
      <c r="AT41" s="711"/>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80" ht="15" customHeight="1" x14ac:dyDescent="0.3">
      <c r="A42" s="65"/>
      <c r="B42" s="637"/>
      <c r="C42" s="637"/>
      <c r="D42" s="638"/>
      <c r="E42" s="678"/>
      <c r="F42" s="679"/>
      <c r="G42" s="679"/>
      <c r="H42" s="679"/>
      <c r="I42" s="679"/>
      <c r="J42" s="58" t="str">
        <f>IF(AND('Mapa final'!$AB$39="Baja",'Mapa final'!$AD$39="Leve"),CONCATENATE("R7C",'Mapa final'!$R$39),"")</f>
        <v/>
      </c>
      <c r="K42" s="59" t="str">
        <f>IF(AND('Mapa final'!$AB$40="Baja",'Mapa final'!$AD$40="Leve"),CONCATENATE("R7C",'Mapa final'!$R$40),"")</f>
        <v/>
      </c>
      <c r="L42" s="59" t="str">
        <f>IF(AND('Mapa final'!$AB$41="Baja",'Mapa final'!$AD$41="Leve"),CONCATENATE("R7C",'Mapa final'!$R$41),"")</f>
        <v/>
      </c>
      <c r="M42" s="59" t="str">
        <f>IF(AND('Mapa final'!$AB$42="Baja",'Mapa final'!$AD$42="Leve"),CONCATENATE("R7C",'Mapa final'!$R$42),"")</f>
        <v/>
      </c>
      <c r="N42" s="59" t="str">
        <f>IF(AND('Mapa final'!$AB$43="Baja",'Mapa final'!$AD$43="Leve"),CONCATENATE("R7C",'Mapa final'!$R$43),"")</f>
        <v/>
      </c>
      <c r="O42" s="60" t="str">
        <f>IF(AND('Mapa final'!$AB$44="Baja",'Mapa final'!$AD$44="Leve"),CONCATENATE("R7C",'Mapa final'!$R$44),"")</f>
        <v/>
      </c>
      <c r="P42" s="49" t="str">
        <f>IF(AND('Mapa final'!$AB$39="Baja",'Mapa final'!$AD$39="Menor"),CONCATENATE("R7C",'Mapa final'!$R$39),"")</f>
        <v/>
      </c>
      <c r="Q42" s="50" t="str">
        <f>IF(AND('Mapa final'!$AB$40="Baja",'Mapa final'!$AD$40="Menor"),CONCATENATE("R7C",'Mapa final'!$R$40),"")</f>
        <v/>
      </c>
      <c r="R42" s="50" t="str">
        <f>IF(AND('Mapa final'!$AB$41="Baja",'Mapa final'!$AD$41="Menor"),CONCATENATE("R7C",'Mapa final'!$R$41),"")</f>
        <v/>
      </c>
      <c r="S42" s="50" t="str">
        <f>IF(AND('Mapa final'!$AB$42="Baja",'Mapa final'!$AD$42="Menor"),CONCATENATE("R7C",'Mapa final'!$R$42),"")</f>
        <v/>
      </c>
      <c r="T42" s="50" t="str">
        <f>IF(AND('Mapa final'!$AB$43="Baja",'Mapa final'!$AD$43="Menor"),CONCATENATE("R7C",'Mapa final'!$R$43),"")</f>
        <v/>
      </c>
      <c r="U42" s="51" t="str">
        <f>IF(AND('Mapa final'!$AB$44="Baja",'Mapa final'!$AD$44="Menor"),CONCATENATE("R7C",'Mapa final'!$R$44),"")</f>
        <v/>
      </c>
      <c r="V42" s="49" t="str">
        <f>IF(AND('Mapa final'!$AB$39="Baja",'Mapa final'!$AD$39="Moderado"),CONCATENATE("R7C",'Mapa final'!$R$39),"")</f>
        <v/>
      </c>
      <c r="W42" s="50" t="str">
        <f>IF(AND('Mapa final'!$AB$40="Baja",'Mapa final'!$AD$40="Moderado"),CONCATENATE("R7C",'Mapa final'!$R$40),"")</f>
        <v/>
      </c>
      <c r="X42" s="50" t="str">
        <f>IF(AND('Mapa final'!$AB$41="Baja",'Mapa final'!$AD$41="Moderado"),CONCATENATE("R7C",'Mapa final'!$R$41),"")</f>
        <v/>
      </c>
      <c r="Y42" s="50" t="str">
        <f>IF(AND('Mapa final'!$AB$42="Baja",'Mapa final'!$AD$42="Moderado"),CONCATENATE("R7C",'Mapa final'!$R$42),"")</f>
        <v/>
      </c>
      <c r="Z42" s="50" t="str">
        <f>IF(AND('Mapa final'!$AB$43="Baja",'Mapa final'!$AD$43="Moderado"),CONCATENATE("R7C",'Mapa final'!$R$43),"")</f>
        <v/>
      </c>
      <c r="AA42" s="51" t="str">
        <f>IF(AND('Mapa final'!$AB$44="Baja",'Mapa final'!$AD$44="Moderado"),CONCATENATE("R7C",'Mapa final'!$R$44),"")</f>
        <v/>
      </c>
      <c r="AB42" s="34" t="str">
        <f>IF(AND('Mapa final'!$AB$39="Baja",'Mapa final'!$AD$39="Mayor"),CONCATENATE("R7C",'Mapa final'!$R$39),"")</f>
        <v/>
      </c>
      <c r="AC42" s="35" t="str">
        <f>IF(AND('Mapa final'!$AB$40="Baja",'Mapa final'!$AD$40="Mayor"),CONCATENATE("R7C",'Mapa final'!$R$40),"")</f>
        <v/>
      </c>
      <c r="AD42" s="35" t="str">
        <f>IF(AND('Mapa final'!$AB$41="Baja",'Mapa final'!$AD$41="Mayor"),CONCATENATE("R7C",'Mapa final'!$R$41),"")</f>
        <v/>
      </c>
      <c r="AE42" s="35" t="str">
        <f>IF(AND('Mapa final'!$AB$42="Baja",'Mapa final'!$AD$42="Mayor"),CONCATENATE("R7C",'Mapa final'!$R$42),"")</f>
        <v/>
      </c>
      <c r="AF42" s="35" t="str">
        <f>IF(AND('Mapa final'!$AB$43="Baja",'Mapa final'!$AD$43="Mayor"),CONCATENATE("R7C",'Mapa final'!$R$43),"")</f>
        <v/>
      </c>
      <c r="AG42" s="36" t="str">
        <f>IF(AND('Mapa final'!$AB$44="Baja",'Mapa final'!$AD$44="Mayor"),CONCATENATE("R7C",'Mapa final'!$R$44),"")</f>
        <v/>
      </c>
      <c r="AH42" s="37" t="str">
        <f>IF(AND('Mapa final'!$AB$39="Baja",'Mapa final'!$AD$39="Catastrófico"),CONCATENATE("R7C",'Mapa final'!$R$39),"")</f>
        <v/>
      </c>
      <c r="AI42" s="38" t="str">
        <f>IF(AND('Mapa final'!$AB$40="Baja",'Mapa final'!$AD$40="Catastrófico"),CONCATENATE("R7C",'Mapa final'!$R$40),"")</f>
        <v/>
      </c>
      <c r="AJ42" s="38" t="str">
        <f>IF(AND('Mapa final'!$AB$41="Baja",'Mapa final'!$AD$41="Catastrófico"),CONCATENATE("R7C",'Mapa final'!$R$41),"")</f>
        <v/>
      </c>
      <c r="AK42" s="38" t="str">
        <f>IF(AND('Mapa final'!$AB$42="Baja",'Mapa final'!$AD$42="Catastrófico"),CONCATENATE("R7C",'Mapa final'!$R$42),"")</f>
        <v/>
      </c>
      <c r="AL42" s="38" t="str">
        <f>IF(AND('Mapa final'!$AB$43="Baja",'Mapa final'!$AD$43="Catastrófico"),CONCATENATE("R7C",'Mapa final'!$R$43),"")</f>
        <v/>
      </c>
      <c r="AM42" s="39" t="str">
        <f>IF(AND('Mapa final'!$AB$44="Baja",'Mapa final'!$AD$44="Catastrófico"),CONCATENATE("R7C",'Mapa final'!$R$44),"")</f>
        <v/>
      </c>
      <c r="AN42" s="65"/>
      <c r="AO42" s="709"/>
      <c r="AP42" s="710"/>
      <c r="AQ42" s="710"/>
      <c r="AR42" s="710"/>
      <c r="AS42" s="710"/>
      <c r="AT42" s="711"/>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80" ht="15" customHeight="1" x14ac:dyDescent="0.3">
      <c r="A43" s="65"/>
      <c r="B43" s="637"/>
      <c r="C43" s="637"/>
      <c r="D43" s="638"/>
      <c r="E43" s="678"/>
      <c r="F43" s="679"/>
      <c r="G43" s="679"/>
      <c r="H43" s="679"/>
      <c r="I43" s="679"/>
      <c r="J43" s="58" t="str">
        <f>IF(AND('Mapa final'!$AB$45="Baja",'Mapa final'!$AD$45="Leve"),CONCATENATE("R8C",'Mapa final'!$R$45),"")</f>
        <v/>
      </c>
      <c r="K43" s="59" t="str">
        <f>IF(AND('Mapa final'!$AB$46="Baja",'Mapa final'!$AD$46="Leve"),CONCATENATE("R8C",'Mapa final'!$R$46),"")</f>
        <v/>
      </c>
      <c r="L43" s="59" t="str">
        <f>IF(AND('Mapa final'!$AB$47="Baja",'Mapa final'!$AD$47="Leve"),CONCATENATE("R8C",'Mapa final'!$R$47),"")</f>
        <v/>
      </c>
      <c r="M43" s="59" t="str">
        <f>IF(AND('Mapa final'!$AB$48="Baja",'Mapa final'!$AD$48="Leve"),CONCATENATE("R8C",'Mapa final'!$R$48),"")</f>
        <v/>
      </c>
      <c r="N43" s="59" t="str">
        <f>IF(AND('Mapa final'!$AB$49="Baja",'Mapa final'!$AD$49="Leve"),CONCATENATE("R8C",'Mapa final'!$R$49),"")</f>
        <v/>
      </c>
      <c r="O43" s="60" t="str">
        <f>IF(AND('Mapa final'!$AB$50="Baja",'Mapa final'!$AD$50="Leve"),CONCATENATE("R8C",'Mapa final'!$R$50),"")</f>
        <v/>
      </c>
      <c r="P43" s="49" t="str">
        <f>IF(AND('Mapa final'!$AB$45="Baja",'Mapa final'!$AD$45="Menor"),CONCATENATE("R8C",'Mapa final'!$R$45),"")</f>
        <v/>
      </c>
      <c r="Q43" s="50" t="str">
        <f>IF(AND('Mapa final'!$AB$46="Baja",'Mapa final'!$AD$46="Menor"),CONCATENATE("R8C",'Mapa final'!$R$46),"")</f>
        <v/>
      </c>
      <c r="R43" s="50" t="str">
        <f>IF(AND('Mapa final'!$AB$47="Baja",'Mapa final'!$AD$47="Menor"),CONCATENATE("R8C",'Mapa final'!$R$47),"")</f>
        <v/>
      </c>
      <c r="S43" s="50" t="str">
        <f>IF(AND('Mapa final'!$AB$48="Baja",'Mapa final'!$AD$48="Menor"),CONCATENATE("R8C",'Mapa final'!$R$48),"")</f>
        <v/>
      </c>
      <c r="T43" s="50" t="str">
        <f>IF(AND('Mapa final'!$AB$49="Baja",'Mapa final'!$AD$49="Menor"),CONCATENATE("R8C",'Mapa final'!$R$49),"")</f>
        <v/>
      </c>
      <c r="U43" s="51" t="str">
        <f>IF(AND('Mapa final'!$AB$50="Baja",'Mapa final'!$AD$50="Menor"),CONCATENATE("R8C",'Mapa final'!$R$50),"")</f>
        <v/>
      </c>
      <c r="V43" s="49" t="str">
        <f>IF(AND('Mapa final'!$AB$45="Baja",'Mapa final'!$AD$45="Moderado"),CONCATENATE("R8C",'Mapa final'!$R$45),"")</f>
        <v/>
      </c>
      <c r="W43" s="50" t="str">
        <f>IF(AND('Mapa final'!$AB$46="Baja",'Mapa final'!$AD$46="Moderado"),CONCATENATE("R8C",'Mapa final'!$R$46),"")</f>
        <v/>
      </c>
      <c r="X43" s="50" t="str">
        <f>IF(AND('Mapa final'!$AB$47="Baja",'Mapa final'!$AD$47="Moderado"),CONCATENATE("R8C",'Mapa final'!$R$47),"")</f>
        <v/>
      </c>
      <c r="Y43" s="50" t="str">
        <f>IF(AND('Mapa final'!$AB$48="Baja",'Mapa final'!$AD$48="Moderado"),CONCATENATE("R8C",'Mapa final'!$R$48),"")</f>
        <v/>
      </c>
      <c r="Z43" s="50" t="str">
        <f>IF(AND('Mapa final'!$AB$49="Baja",'Mapa final'!$AD$49="Moderado"),CONCATENATE("R8C",'Mapa final'!$R$49),"")</f>
        <v/>
      </c>
      <c r="AA43" s="51" t="str">
        <f>IF(AND('Mapa final'!$AB$50="Baja",'Mapa final'!$AD$50="Moderado"),CONCATENATE("R8C",'Mapa final'!$R$50),"")</f>
        <v/>
      </c>
      <c r="AB43" s="34" t="str">
        <f>IF(AND('Mapa final'!$AB$45="Baja",'Mapa final'!$AD$45="Mayor"),CONCATENATE("R8C",'Mapa final'!$R$45),"")</f>
        <v/>
      </c>
      <c r="AC43" s="35" t="str">
        <f>IF(AND('Mapa final'!$AB$46="Baja",'Mapa final'!$AD$46="Mayor"),CONCATENATE("R8C",'Mapa final'!$R$46),"")</f>
        <v/>
      </c>
      <c r="AD43" s="35" t="str">
        <f>IF(AND('Mapa final'!$AB$47="Baja",'Mapa final'!$AD$47="Mayor"),CONCATENATE("R8C",'Mapa final'!$R$47),"")</f>
        <v/>
      </c>
      <c r="AE43" s="35" t="str">
        <f>IF(AND('Mapa final'!$AB$48="Baja",'Mapa final'!$AD$48="Mayor"),CONCATENATE("R8C",'Mapa final'!$R$48),"")</f>
        <v/>
      </c>
      <c r="AF43" s="35" t="str">
        <f>IF(AND('Mapa final'!$AB$49="Baja",'Mapa final'!$AD$49="Mayor"),CONCATENATE("R8C",'Mapa final'!$R$49),"")</f>
        <v/>
      </c>
      <c r="AG43" s="36" t="str">
        <f>IF(AND('Mapa final'!$AB$50="Baja",'Mapa final'!$AD$50="Mayor"),CONCATENATE("R8C",'Mapa final'!$R$50),"")</f>
        <v/>
      </c>
      <c r="AH43" s="37" t="str">
        <f>IF(AND('Mapa final'!$AB$45="Baja",'Mapa final'!$AD$45="Catastrófico"),CONCATENATE("R8C",'Mapa final'!$R$45),"")</f>
        <v/>
      </c>
      <c r="AI43" s="38" t="str">
        <f>IF(AND('Mapa final'!$AB$46="Baja",'Mapa final'!$AD$46="Catastrófico"),CONCATENATE("R8C",'Mapa final'!$R$46),"")</f>
        <v/>
      </c>
      <c r="AJ43" s="38" t="str">
        <f>IF(AND('Mapa final'!$AB$47="Baja",'Mapa final'!$AD$47="Catastrófico"),CONCATENATE("R8C",'Mapa final'!$R$47),"")</f>
        <v/>
      </c>
      <c r="AK43" s="38" t="str">
        <f>IF(AND('Mapa final'!$AB$48="Baja",'Mapa final'!$AD$48="Catastrófico"),CONCATENATE("R8C",'Mapa final'!$R$48),"")</f>
        <v/>
      </c>
      <c r="AL43" s="38" t="str">
        <f>IF(AND('Mapa final'!$AB$49="Baja",'Mapa final'!$AD$49="Catastrófico"),CONCATENATE("R8C",'Mapa final'!$R$49),"")</f>
        <v/>
      </c>
      <c r="AM43" s="39" t="str">
        <f>IF(AND('Mapa final'!$AB$50="Baja",'Mapa final'!$AD$50="Catastrófico"),CONCATENATE("R8C",'Mapa final'!$R$50),"")</f>
        <v/>
      </c>
      <c r="AN43" s="65"/>
      <c r="AO43" s="709"/>
      <c r="AP43" s="710"/>
      <c r="AQ43" s="710"/>
      <c r="AR43" s="710"/>
      <c r="AS43" s="710"/>
      <c r="AT43" s="711"/>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80" ht="15" customHeight="1" x14ac:dyDescent="0.3">
      <c r="A44" s="65"/>
      <c r="B44" s="637"/>
      <c r="C44" s="637"/>
      <c r="D44" s="638"/>
      <c r="E44" s="678"/>
      <c r="F44" s="679"/>
      <c r="G44" s="679"/>
      <c r="H44" s="679"/>
      <c r="I44" s="679"/>
      <c r="J44" s="58" t="str">
        <f>IF(AND('Mapa final'!$AB$51="Baja",'Mapa final'!$AD$51="Leve"),CONCATENATE("R9C",'Mapa final'!$R$51),"")</f>
        <v/>
      </c>
      <c r="K44" s="59" t="str">
        <f>IF(AND('Mapa final'!$AB$52="Baja",'Mapa final'!$AD$52="Leve"),CONCATENATE("R9C",'Mapa final'!$R$52),"")</f>
        <v/>
      </c>
      <c r="L44" s="59" t="str">
        <f>IF(AND('Mapa final'!$AB$53="Baja",'Mapa final'!$AD$53="Leve"),CONCATENATE("R9C",'Mapa final'!$R$53),"")</f>
        <v/>
      </c>
      <c r="M44" s="59" t="str">
        <f>IF(AND('Mapa final'!$AB$54="Baja",'Mapa final'!$AD$54="Leve"),CONCATENATE("R9C",'Mapa final'!$R$54),"")</f>
        <v/>
      </c>
      <c r="N44" s="59" t="str">
        <f>IF(AND('Mapa final'!$AB$55="Baja",'Mapa final'!$AD$55="Leve"),CONCATENATE("R9C",'Mapa final'!$R$55),"")</f>
        <v/>
      </c>
      <c r="O44" s="60" t="str">
        <f>IF(AND('Mapa final'!$AB$56="Baja",'Mapa final'!$AD$56="Leve"),CONCATENATE("R9C",'Mapa final'!$R$56),"")</f>
        <v/>
      </c>
      <c r="P44" s="49" t="str">
        <f>IF(AND('Mapa final'!$AB$51="Baja",'Mapa final'!$AD$51="Menor"),CONCATENATE("R9C",'Mapa final'!$R$51),"")</f>
        <v/>
      </c>
      <c r="Q44" s="50" t="str">
        <f>IF(AND('Mapa final'!$AB$52="Baja",'Mapa final'!$AD$52="Menor"),CONCATENATE("R9C",'Mapa final'!$R$52),"")</f>
        <v/>
      </c>
      <c r="R44" s="50" t="str">
        <f>IF(AND('Mapa final'!$AB$53="Baja",'Mapa final'!$AD$53="Menor"),CONCATENATE("R9C",'Mapa final'!$R$53),"")</f>
        <v/>
      </c>
      <c r="S44" s="50" t="str">
        <f>IF(AND('Mapa final'!$AB$54="Baja",'Mapa final'!$AD$54="Menor"),CONCATENATE("R9C",'Mapa final'!$R$54),"")</f>
        <v/>
      </c>
      <c r="T44" s="50" t="str">
        <f>IF(AND('Mapa final'!$AB$55="Baja",'Mapa final'!$AD$55="Menor"),CONCATENATE("R9C",'Mapa final'!$R$55),"")</f>
        <v/>
      </c>
      <c r="U44" s="51" t="str">
        <f>IF(AND('Mapa final'!$AB$56="Baja",'Mapa final'!$AD$56="Menor"),CONCATENATE("R9C",'Mapa final'!$R$56),"")</f>
        <v/>
      </c>
      <c r="V44" s="49" t="str">
        <f>IF(AND('Mapa final'!$AB$51="Baja",'Mapa final'!$AD$51="Moderado"),CONCATENATE("R9C",'Mapa final'!$R$51),"")</f>
        <v/>
      </c>
      <c r="W44" s="50" t="str">
        <f>IF(AND('Mapa final'!$AB$52="Baja",'Mapa final'!$AD$52="Moderado"),CONCATENATE("R9C",'Mapa final'!$R$52),"")</f>
        <v/>
      </c>
      <c r="X44" s="50" t="str">
        <f>IF(AND('Mapa final'!$AB$53="Baja",'Mapa final'!$AD$53="Moderado"),CONCATENATE("R9C",'Mapa final'!$R$53),"")</f>
        <v/>
      </c>
      <c r="Y44" s="50" t="str">
        <f>IF(AND('Mapa final'!$AB$54="Baja",'Mapa final'!$AD$54="Moderado"),CONCATENATE("R9C",'Mapa final'!$R$54),"")</f>
        <v/>
      </c>
      <c r="Z44" s="50" t="str">
        <f>IF(AND('Mapa final'!$AB$55="Baja",'Mapa final'!$AD$55="Moderado"),CONCATENATE("R9C",'Mapa final'!$R$55),"")</f>
        <v/>
      </c>
      <c r="AA44" s="51" t="str">
        <f>IF(AND('Mapa final'!$AB$56="Baja",'Mapa final'!$AD$56="Moderado"),CONCATENATE("R9C",'Mapa final'!$R$56),"")</f>
        <v/>
      </c>
      <c r="AB44" s="34" t="str">
        <f>IF(AND('Mapa final'!$AB$51="Baja",'Mapa final'!$AD$51="Mayor"),CONCATENATE("R9C",'Mapa final'!$R$51),"")</f>
        <v/>
      </c>
      <c r="AC44" s="35" t="str">
        <f>IF(AND('Mapa final'!$AB$52="Baja",'Mapa final'!$AD$52="Mayor"),CONCATENATE("R9C",'Mapa final'!$R$52),"")</f>
        <v/>
      </c>
      <c r="AD44" s="35" t="str">
        <f>IF(AND('Mapa final'!$AB$53="Baja",'Mapa final'!$AD$53="Mayor"),CONCATENATE("R9C",'Mapa final'!$R$53),"")</f>
        <v/>
      </c>
      <c r="AE44" s="35" t="str">
        <f>IF(AND('Mapa final'!$AB$54="Baja",'Mapa final'!$AD$54="Mayor"),CONCATENATE("R9C",'Mapa final'!$R$54),"")</f>
        <v/>
      </c>
      <c r="AF44" s="35" t="str">
        <f>IF(AND('Mapa final'!$AB$55="Baja",'Mapa final'!$AD$55="Mayor"),CONCATENATE("R9C",'Mapa final'!$R$55),"")</f>
        <v/>
      </c>
      <c r="AG44" s="36" t="str">
        <f>IF(AND('Mapa final'!$AB$56="Baja",'Mapa final'!$AD$56="Mayor"),CONCATENATE("R9C",'Mapa final'!$R$56),"")</f>
        <v/>
      </c>
      <c r="AH44" s="37" t="str">
        <f>IF(AND('Mapa final'!$AB$51="Baja",'Mapa final'!$AD$51="Catastrófico"),CONCATENATE("R9C",'Mapa final'!$R$51),"")</f>
        <v/>
      </c>
      <c r="AI44" s="38" t="str">
        <f>IF(AND('Mapa final'!$AB$52="Baja",'Mapa final'!$AD$52="Catastrófico"),CONCATENATE("R9C",'Mapa final'!$R$52),"")</f>
        <v/>
      </c>
      <c r="AJ44" s="38" t="str">
        <f>IF(AND('Mapa final'!$AB$53="Baja",'Mapa final'!$AD$53="Catastrófico"),CONCATENATE("R9C",'Mapa final'!$R$53),"")</f>
        <v/>
      </c>
      <c r="AK44" s="38" t="str">
        <f>IF(AND('Mapa final'!$AB$54="Baja",'Mapa final'!$AD$54="Catastrófico"),CONCATENATE("R9C",'Mapa final'!$R$54),"")</f>
        <v/>
      </c>
      <c r="AL44" s="38" t="str">
        <f>IF(AND('Mapa final'!$AB$55="Baja",'Mapa final'!$AD$55="Catastrófico"),CONCATENATE("R9C",'Mapa final'!$R$55),"")</f>
        <v/>
      </c>
      <c r="AM44" s="39" t="str">
        <f>IF(AND('Mapa final'!$AB$56="Baja",'Mapa final'!$AD$56="Catastrófico"),CONCATENATE("R9C",'Mapa final'!$R$56),"")</f>
        <v/>
      </c>
      <c r="AN44" s="65"/>
      <c r="AO44" s="709"/>
      <c r="AP44" s="710"/>
      <c r="AQ44" s="710"/>
      <c r="AR44" s="710"/>
      <c r="AS44" s="710"/>
      <c r="AT44" s="711"/>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80" ht="15.75" customHeight="1" thickBot="1" x14ac:dyDescent="0.35">
      <c r="A45" s="65"/>
      <c r="B45" s="637"/>
      <c r="C45" s="637"/>
      <c r="D45" s="638"/>
      <c r="E45" s="681"/>
      <c r="F45" s="682"/>
      <c r="G45" s="682"/>
      <c r="H45" s="682"/>
      <c r="I45" s="682"/>
      <c r="J45" s="61" t="str">
        <f>IF(AND('Mapa final'!$AB$57="Baja",'Mapa final'!$AD$57="Leve"),CONCATENATE("R10C",'Mapa final'!$R$57),"")</f>
        <v/>
      </c>
      <c r="K45" s="62" t="str">
        <f>IF(AND('Mapa final'!$AB$58="Baja",'Mapa final'!$AD$58="Leve"),CONCATENATE("R10C",'Mapa final'!$R$58),"")</f>
        <v/>
      </c>
      <c r="L45" s="62" t="str">
        <f>IF(AND('Mapa final'!$AB$59="Baja",'Mapa final'!$AD$59="Leve"),CONCATENATE("R10C",'Mapa final'!$R$59),"")</f>
        <v/>
      </c>
      <c r="M45" s="62" t="str">
        <f>IF(AND('Mapa final'!$AB$60="Baja",'Mapa final'!$AD$60="Leve"),CONCATENATE("R10C",'Mapa final'!$R$60),"")</f>
        <v/>
      </c>
      <c r="N45" s="62" t="str">
        <f>IF(AND('Mapa final'!$AB$61="Baja",'Mapa final'!$AD$61="Leve"),CONCATENATE("R10C",'Mapa final'!$R$61),"")</f>
        <v/>
      </c>
      <c r="O45" s="63" t="str">
        <f>IF(AND('Mapa final'!$AB$62="Baja",'Mapa final'!$AD$62="Leve"),CONCATENATE("R10C",'Mapa final'!$R$62),"")</f>
        <v/>
      </c>
      <c r="P45" s="49" t="str">
        <f>IF(AND('Mapa final'!$AB$57="Baja",'Mapa final'!$AD$57="Menor"),CONCATENATE("R10C",'Mapa final'!$R$57),"")</f>
        <v/>
      </c>
      <c r="Q45" s="50" t="str">
        <f>IF(AND('Mapa final'!$AB$58="Baja",'Mapa final'!$AD$58="Menor"),CONCATENATE("R10C",'Mapa final'!$R$58),"")</f>
        <v/>
      </c>
      <c r="R45" s="50" t="str">
        <f>IF(AND('Mapa final'!$AB$59="Baja",'Mapa final'!$AD$59="Menor"),CONCATENATE("R10C",'Mapa final'!$R$59),"")</f>
        <v/>
      </c>
      <c r="S45" s="50" t="str">
        <f>IF(AND('Mapa final'!$AB$60="Baja",'Mapa final'!$AD$60="Menor"),CONCATENATE("R10C",'Mapa final'!$R$60),"")</f>
        <v/>
      </c>
      <c r="T45" s="50" t="str">
        <f>IF(AND('Mapa final'!$AB$61="Baja",'Mapa final'!$AD$61="Menor"),CONCATENATE("R10C",'Mapa final'!$R$61),"")</f>
        <v/>
      </c>
      <c r="U45" s="51" t="str">
        <f>IF(AND('Mapa final'!$AB$62="Baja",'Mapa final'!$AD$62="Menor"),CONCATENATE("R10C",'Mapa final'!$R$62),"")</f>
        <v/>
      </c>
      <c r="V45" s="52" t="str">
        <f>IF(AND('Mapa final'!$AB$57="Baja",'Mapa final'!$AD$57="Moderado"),CONCATENATE("R10C",'Mapa final'!$R$57),"")</f>
        <v/>
      </c>
      <c r="W45" s="53" t="str">
        <f>IF(AND('Mapa final'!$AB$58="Baja",'Mapa final'!$AD$58="Moderado"),CONCATENATE("R10C",'Mapa final'!$R$58),"")</f>
        <v/>
      </c>
      <c r="X45" s="53" t="str">
        <f>IF(AND('Mapa final'!$AB$59="Baja",'Mapa final'!$AD$59="Moderado"),CONCATENATE("R10C",'Mapa final'!$R$59),"")</f>
        <v/>
      </c>
      <c r="Y45" s="53" t="str">
        <f>IF(AND('Mapa final'!$AB$60="Baja",'Mapa final'!$AD$60="Moderado"),CONCATENATE("R10C",'Mapa final'!$R$60),"")</f>
        <v/>
      </c>
      <c r="Z45" s="53" t="str">
        <f>IF(AND('Mapa final'!$AB$61="Baja",'Mapa final'!$AD$61="Moderado"),CONCATENATE("R10C",'Mapa final'!$R$61),"")</f>
        <v/>
      </c>
      <c r="AA45" s="54" t="str">
        <f>IF(AND('Mapa final'!$AB$62="Baja",'Mapa final'!$AD$62="Moderado"),CONCATENATE("R10C",'Mapa final'!$R$62),"")</f>
        <v/>
      </c>
      <c r="AB45" s="40" t="str">
        <f>IF(AND('Mapa final'!$AB$57="Baja",'Mapa final'!$AD$57="Mayor"),CONCATENATE("R10C",'Mapa final'!$R$57),"")</f>
        <v/>
      </c>
      <c r="AC45" s="41" t="str">
        <f>IF(AND('Mapa final'!$AB$58="Baja",'Mapa final'!$AD$58="Mayor"),CONCATENATE("R10C",'Mapa final'!$R$58),"")</f>
        <v/>
      </c>
      <c r="AD45" s="41" t="str">
        <f>IF(AND('Mapa final'!$AB$59="Baja",'Mapa final'!$AD$59="Mayor"),CONCATENATE("R10C",'Mapa final'!$R$59),"")</f>
        <v/>
      </c>
      <c r="AE45" s="41" t="str">
        <f>IF(AND('Mapa final'!$AB$60="Baja",'Mapa final'!$AD$60="Mayor"),CONCATENATE("R10C",'Mapa final'!$R$60),"")</f>
        <v/>
      </c>
      <c r="AF45" s="41" t="str">
        <f>IF(AND('Mapa final'!$AB$61="Baja",'Mapa final'!$AD$61="Mayor"),CONCATENATE("R10C",'Mapa final'!$R$61),"")</f>
        <v/>
      </c>
      <c r="AG45" s="42" t="str">
        <f>IF(AND('Mapa final'!$AB$62="Baja",'Mapa final'!$AD$62="Mayor"),CONCATENATE("R10C",'Mapa final'!$R$62),"")</f>
        <v/>
      </c>
      <c r="AH45" s="43" t="str">
        <f>IF(AND('Mapa final'!$AB$57="Baja",'Mapa final'!$AD$57="Catastrófico"),CONCATENATE("R10C",'Mapa final'!$R$57),"")</f>
        <v/>
      </c>
      <c r="AI45" s="44" t="str">
        <f>IF(AND('Mapa final'!$AB$58="Baja",'Mapa final'!$AD$58="Catastrófico"),CONCATENATE("R10C",'Mapa final'!$R$58),"")</f>
        <v/>
      </c>
      <c r="AJ45" s="44" t="str">
        <f>IF(AND('Mapa final'!$AB$59="Baja",'Mapa final'!$AD$59="Catastrófico"),CONCATENATE("R10C",'Mapa final'!$R$59),"")</f>
        <v/>
      </c>
      <c r="AK45" s="44" t="str">
        <f>IF(AND('Mapa final'!$AB$60="Baja",'Mapa final'!$AD$60="Catastrófico"),CONCATENATE("R10C",'Mapa final'!$R$60),"")</f>
        <v/>
      </c>
      <c r="AL45" s="44" t="str">
        <f>IF(AND('Mapa final'!$AB$61="Baja",'Mapa final'!$AD$61="Catastrófico"),CONCATENATE("R10C",'Mapa final'!$R$61),"")</f>
        <v/>
      </c>
      <c r="AM45" s="45" t="str">
        <f>IF(AND('Mapa final'!$AB$62="Baja",'Mapa final'!$AD$62="Catastrófico"),CONCATENATE("R10C",'Mapa final'!$R$62),"")</f>
        <v/>
      </c>
      <c r="AN45" s="65"/>
      <c r="AO45" s="712"/>
      <c r="AP45" s="713"/>
      <c r="AQ45" s="713"/>
      <c r="AR45" s="713"/>
      <c r="AS45" s="713"/>
      <c r="AT45" s="714"/>
    </row>
    <row r="46" spans="1:80" ht="46.5" customHeight="1" x14ac:dyDescent="0.45">
      <c r="A46" s="65"/>
      <c r="B46" s="637"/>
      <c r="C46" s="637"/>
      <c r="D46" s="638"/>
      <c r="E46" s="675" t="s">
        <v>108</v>
      </c>
      <c r="F46" s="676"/>
      <c r="G46" s="676"/>
      <c r="H46" s="676"/>
      <c r="I46" s="677"/>
      <c r="J46" s="55" t="str">
        <f>IF(AND('Mapa final'!$AB$10="Muy Baja",'Mapa final'!$AD$10="Leve"),CONCATENATE("R1C",'Mapa final'!$R$10),"")</f>
        <v/>
      </c>
      <c r="K46" s="56" t="str">
        <f>IF(AND('Mapa final'!$AB$11="Muy Baja",'Mapa final'!$AD$11="Leve"),CONCATENATE("R1C",'Mapa final'!$R$11),"")</f>
        <v/>
      </c>
      <c r="L46" s="56" t="str">
        <f>IF(AND('Mapa final'!$AB$12="Muy Baja",'Mapa final'!$AD$12="Leve"),CONCATENATE("R1C",'Mapa final'!$R$12),"")</f>
        <v/>
      </c>
      <c r="M46" s="56" t="str">
        <f>IF(AND('Mapa final'!$AB$13="Muy Baja",'Mapa final'!$AD$13="Leve"),CONCATENATE("R1C",'Mapa final'!$R$13),"")</f>
        <v/>
      </c>
      <c r="N46" s="56" t="e">
        <f>IF(AND('Mapa final'!#REF!="Muy Baja",'Mapa final'!#REF!="Leve"),CONCATENATE("R1C",'Mapa final'!#REF!),"")</f>
        <v>#REF!</v>
      </c>
      <c r="O46" s="57" t="e">
        <f>IF(AND('Mapa final'!#REF!="Muy Baja",'Mapa final'!#REF!="Leve"),CONCATENATE("R1C",'Mapa final'!#REF!),"")</f>
        <v>#REF!</v>
      </c>
      <c r="P46" s="55" t="str">
        <f>IF(AND('Mapa final'!$AB$10="Muy Baja",'Mapa final'!$AD$10="Menor"),CONCATENATE("R1C",'Mapa final'!$R$10),"")</f>
        <v/>
      </c>
      <c r="Q46" s="56" t="str">
        <f>IF(AND('Mapa final'!$AB$11="Muy Baja",'Mapa final'!$AD$11="Menor"),CONCATENATE("R1C",'Mapa final'!$R$11),"")</f>
        <v/>
      </c>
      <c r="R46" s="56" t="str">
        <f>IF(AND('Mapa final'!$AB$12="Muy Baja",'Mapa final'!$AD$12="Menor"),CONCATENATE("R1C",'Mapa final'!$R$12),"")</f>
        <v/>
      </c>
      <c r="S46" s="56" t="str">
        <f>IF(AND('Mapa final'!$AB$13="Muy Baja",'Mapa final'!$AD$13="Menor"),CONCATENATE("R1C",'Mapa final'!$R$13),"")</f>
        <v/>
      </c>
      <c r="T46" s="56" t="e">
        <f>IF(AND('Mapa final'!#REF!="Muy Baja",'Mapa final'!#REF!="Menor"),CONCATENATE("R1C",'Mapa final'!#REF!),"")</f>
        <v>#REF!</v>
      </c>
      <c r="U46" s="57" t="e">
        <f>IF(AND('Mapa final'!#REF!="Muy Baja",'Mapa final'!#REF!="Menor"),CONCATENATE("R1C",'Mapa final'!#REF!),"")</f>
        <v>#REF!</v>
      </c>
      <c r="V46" s="46" t="str">
        <f>IF(AND('Mapa final'!$AB$10="Muy Baja",'Mapa final'!$AD$10="Moderado"),CONCATENATE("R1C",'Mapa final'!$R$10),"")</f>
        <v/>
      </c>
      <c r="W46" s="64" t="str">
        <f>IF(AND('Mapa final'!$AB$11="Muy Baja",'Mapa final'!$AD$11="Moderado"),CONCATENATE("R1C",'Mapa final'!$R$11),"")</f>
        <v/>
      </c>
      <c r="X46" s="47" t="str">
        <f>IF(AND('Mapa final'!$AB$12="Muy Baja",'Mapa final'!$AD$12="Moderado"),CONCATENATE("R1C",'Mapa final'!$R$12),"")</f>
        <v/>
      </c>
      <c r="Y46" s="47" t="str">
        <f>IF(AND('Mapa final'!$AB$13="Muy Baja",'Mapa final'!$AD$13="Moderado"),CONCATENATE("R1C",'Mapa final'!$R$13),"")</f>
        <v/>
      </c>
      <c r="Z46" s="47" t="e">
        <f>IF(AND('Mapa final'!#REF!="Muy Baja",'Mapa final'!#REF!="Moderado"),CONCATENATE("R1C",'Mapa final'!#REF!),"")</f>
        <v>#REF!</v>
      </c>
      <c r="AA46" s="48" t="e">
        <f>IF(AND('Mapa final'!#REF!="Muy Baja",'Mapa final'!#REF!="Moderado"),CONCATENATE("R1C",'Mapa final'!#REF!),"")</f>
        <v>#REF!</v>
      </c>
      <c r="AB46" s="28" t="str">
        <f>IF(AND('Mapa final'!$AB$10="Muy Baja",'Mapa final'!$AD$10="Mayor"),CONCATENATE("R1C",'Mapa final'!$R$10),"")</f>
        <v/>
      </c>
      <c r="AC46" s="29" t="str">
        <f>IF(AND('Mapa final'!$AB$11="Muy Baja",'Mapa final'!$AD$11="Mayor"),CONCATENATE("R1C",'Mapa final'!$R$11),"")</f>
        <v/>
      </c>
      <c r="AD46" s="29" t="str">
        <f>IF(AND('Mapa final'!$AB$12="Muy Baja",'Mapa final'!$AD$12="Mayor"),CONCATENATE("R1C",'Mapa final'!$R$12),"")</f>
        <v/>
      </c>
      <c r="AE46" s="29" t="str">
        <f>IF(AND('Mapa final'!$AB$13="Muy Baja",'Mapa final'!$AD$13="Mayor"),CONCATENATE("R1C",'Mapa final'!$R$13),"")</f>
        <v/>
      </c>
      <c r="AF46" s="29" t="e">
        <f>IF(AND('Mapa final'!#REF!="Muy Baja",'Mapa final'!#REF!="Mayor"),CONCATENATE("R1C",'Mapa final'!#REF!),"")</f>
        <v>#REF!</v>
      </c>
      <c r="AG46" s="30" t="e">
        <f>IF(AND('Mapa final'!#REF!="Muy Baja",'Mapa final'!#REF!="Mayor"),CONCATENATE("R1C",'Mapa final'!#REF!),"")</f>
        <v>#REF!</v>
      </c>
      <c r="AH46" s="31" t="str">
        <f>IF(AND('Mapa final'!$AB$10="Muy Baja",'Mapa final'!$AD$10="Catastrófico"),CONCATENATE("R1C",'Mapa final'!$R$10),"")</f>
        <v/>
      </c>
      <c r="AI46" s="32" t="str">
        <f>IF(AND('Mapa final'!$AB$11="Muy Baja",'Mapa final'!$AD$11="Catastrófico"),CONCATENATE("R1C",'Mapa final'!$R$11),"")</f>
        <v/>
      </c>
      <c r="AJ46" s="32" t="str">
        <f>IF(AND('Mapa final'!$AB$12="Muy Baja",'Mapa final'!$AD$12="Catastrófico"),CONCATENATE("R1C",'Mapa final'!$R$12),"")</f>
        <v/>
      </c>
      <c r="AK46" s="32" t="str">
        <f>IF(AND('Mapa final'!$AB$13="Muy Baja",'Mapa final'!$AD$13="Catastrófico"),CONCATENATE("R1C",'Mapa final'!$R$13),"")</f>
        <v/>
      </c>
      <c r="AL46" s="32" t="e">
        <f>IF(AND('Mapa final'!#REF!="Muy Baja",'Mapa final'!#REF!="Catastrófico"),CONCATENATE("R1C",'Mapa final'!#REF!),"")</f>
        <v>#REF!</v>
      </c>
      <c r="AM46" s="33" t="e">
        <f>IF(AND('Mapa final'!#REF!="Muy Baja",'Mapa final'!#REF!="Catastrófico"),CONCATENATE("R1C",'Mapa final'!#REF!),"")</f>
        <v>#REF!</v>
      </c>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ht="46.5" customHeight="1" x14ac:dyDescent="0.3">
      <c r="A47" s="65"/>
      <c r="B47" s="637"/>
      <c r="C47" s="637"/>
      <c r="D47" s="638"/>
      <c r="E47" s="694"/>
      <c r="F47" s="679"/>
      <c r="G47" s="679"/>
      <c r="H47" s="679"/>
      <c r="I47" s="680"/>
      <c r="J47" s="58" t="str">
        <f>IF(AND('Mapa final'!$AB$14="Muy Baja",'Mapa final'!$AD$14="Leve"),CONCATENATE("R2C",'Mapa final'!$R$14),"")</f>
        <v/>
      </c>
      <c r="K47" s="59" t="e">
        <f>IF(AND('Mapa final'!#REF!="Muy Baja",'Mapa final'!#REF!="Leve"),CONCATENATE("R2C",'Mapa final'!#REF!),"")</f>
        <v>#REF!</v>
      </c>
      <c r="L47" s="59" t="e">
        <f>IF(AND('Mapa final'!#REF!="Muy Baja",'Mapa final'!#REF!="Leve"),CONCATENATE("R2C",'Mapa final'!#REF!),"")</f>
        <v>#REF!</v>
      </c>
      <c r="M47" s="59" t="e">
        <f>IF(AND('Mapa final'!#REF!="Muy Baja",'Mapa final'!#REF!="Leve"),CONCATENATE("R2C",'Mapa final'!#REF!),"")</f>
        <v>#REF!</v>
      </c>
      <c r="N47" s="59" t="e">
        <f>IF(AND('Mapa final'!#REF!="Muy Baja",'Mapa final'!#REF!="Leve"),CONCATENATE("R2C",'Mapa final'!#REF!),"")</f>
        <v>#REF!</v>
      </c>
      <c r="O47" s="60" t="e">
        <f>IF(AND('Mapa final'!#REF!="Muy Baja",'Mapa final'!#REF!="Leve"),CONCATENATE("R2C",'Mapa final'!#REF!),"")</f>
        <v>#REF!</v>
      </c>
      <c r="P47" s="58" t="str">
        <f>IF(AND('Mapa final'!$AB$14="Muy Baja",'Mapa final'!$AD$14="Menor"),CONCATENATE("R2C",'Mapa final'!$R$14),"")</f>
        <v/>
      </c>
      <c r="Q47" s="59" t="e">
        <f>IF(AND('Mapa final'!#REF!="Muy Baja",'Mapa final'!#REF!="Menor"),CONCATENATE("R2C",'Mapa final'!#REF!),"")</f>
        <v>#REF!</v>
      </c>
      <c r="R47" s="59" t="e">
        <f>IF(AND('Mapa final'!#REF!="Muy Baja",'Mapa final'!#REF!="Menor"),CONCATENATE("R2C",'Mapa final'!#REF!),"")</f>
        <v>#REF!</v>
      </c>
      <c r="S47" s="59" t="e">
        <f>IF(AND('Mapa final'!#REF!="Muy Baja",'Mapa final'!#REF!="Menor"),CONCATENATE("R2C",'Mapa final'!#REF!),"")</f>
        <v>#REF!</v>
      </c>
      <c r="T47" s="59" t="e">
        <f>IF(AND('Mapa final'!#REF!="Muy Baja",'Mapa final'!#REF!="Menor"),CONCATENATE("R2C",'Mapa final'!#REF!),"")</f>
        <v>#REF!</v>
      </c>
      <c r="U47" s="60" t="e">
        <f>IF(AND('Mapa final'!#REF!="Muy Baja",'Mapa final'!#REF!="Menor"),CONCATENATE("R2C",'Mapa final'!#REF!),"")</f>
        <v>#REF!</v>
      </c>
      <c r="V47" s="49" t="str">
        <f>IF(AND('Mapa final'!$AB$14="Muy Baja",'Mapa final'!$AD$14="Moderado"),CONCATENATE("R2C",'Mapa final'!$R$14),"")</f>
        <v/>
      </c>
      <c r="W47" s="50" t="e">
        <f>IF(AND('Mapa final'!#REF!="Muy Baja",'Mapa final'!#REF!="Moderado"),CONCATENATE("R2C",'Mapa final'!#REF!),"")</f>
        <v>#REF!</v>
      </c>
      <c r="X47" s="50" t="e">
        <f>IF(AND('Mapa final'!#REF!="Muy Baja",'Mapa final'!#REF!="Moderado"),CONCATENATE("R2C",'Mapa final'!#REF!),"")</f>
        <v>#REF!</v>
      </c>
      <c r="Y47" s="50" t="e">
        <f>IF(AND('Mapa final'!#REF!="Muy Baja",'Mapa final'!#REF!="Moderado"),CONCATENATE("R2C",'Mapa final'!#REF!),"")</f>
        <v>#REF!</v>
      </c>
      <c r="Z47" s="50" t="e">
        <f>IF(AND('Mapa final'!#REF!="Muy Baja",'Mapa final'!#REF!="Moderado"),CONCATENATE("R2C",'Mapa final'!#REF!),"")</f>
        <v>#REF!</v>
      </c>
      <c r="AA47" s="51" t="e">
        <f>IF(AND('Mapa final'!#REF!="Muy Baja",'Mapa final'!#REF!="Moderado"),CONCATENATE("R2C",'Mapa final'!#REF!),"")</f>
        <v>#REF!</v>
      </c>
      <c r="AB47" s="34" t="str">
        <f>IF(AND('Mapa final'!$AB$14="Muy Baja",'Mapa final'!$AD$14="Mayor"),CONCATENATE("R2C",'Mapa final'!$R$14),"")</f>
        <v/>
      </c>
      <c r="AC47" s="35" t="e">
        <f>IF(AND('Mapa final'!#REF!="Muy Baja",'Mapa final'!#REF!="Mayor"),CONCATENATE("R2C",'Mapa final'!#REF!),"")</f>
        <v>#REF!</v>
      </c>
      <c r="AD47" s="35" t="e">
        <f>IF(AND('Mapa final'!#REF!="Muy Baja",'Mapa final'!#REF!="Mayor"),CONCATENATE("R2C",'Mapa final'!#REF!),"")</f>
        <v>#REF!</v>
      </c>
      <c r="AE47" s="35" t="e">
        <f>IF(AND('Mapa final'!#REF!="Muy Baja",'Mapa final'!#REF!="Mayor"),CONCATENATE("R2C",'Mapa final'!#REF!),"")</f>
        <v>#REF!</v>
      </c>
      <c r="AF47" s="35" t="e">
        <f>IF(AND('Mapa final'!#REF!="Muy Baja",'Mapa final'!#REF!="Mayor"),CONCATENATE("R2C",'Mapa final'!#REF!),"")</f>
        <v>#REF!</v>
      </c>
      <c r="AG47" s="36" t="e">
        <f>IF(AND('Mapa final'!#REF!="Muy Baja",'Mapa final'!#REF!="Mayor"),CONCATENATE("R2C",'Mapa final'!#REF!),"")</f>
        <v>#REF!</v>
      </c>
      <c r="AH47" s="37" t="str">
        <f>IF(AND('Mapa final'!$AB$14="Muy Baja",'Mapa final'!$AD$14="Catastrófico"),CONCATENATE("R2C",'Mapa final'!$R$14),"")</f>
        <v/>
      </c>
      <c r="AI47" s="38" t="e">
        <f>IF(AND('Mapa final'!#REF!="Muy Baja",'Mapa final'!#REF!="Catastrófico"),CONCATENATE("R2C",'Mapa final'!#REF!),"")</f>
        <v>#REF!</v>
      </c>
      <c r="AJ47" s="38" t="e">
        <f>IF(AND('Mapa final'!#REF!="Muy Baja",'Mapa final'!#REF!="Catastrófico"),CONCATENATE("R2C",'Mapa final'!#REF!),"")</f>
        <v>#REF!</v>
      </c>
      <c r="AK47" s="38" t="e">
        <f>IF(AND('Mapa final'!#REF!="Muy Baja",'Mapa final'!#REF!="Catastrófico"),CONCATENATE("R2C",'Mapa final'!#REF!),"")</f>
        <v>#REF!</v>
      </c>
      <c r="AL47" s="38" t="e">
        <f>IF(AND('Mapa final'!#REF!="Muy Baja",'Mapa final'!#REF!="Catastrófico"),CONCATENATE("R2C",'Mapa final'!#REF!),"")</f>
        <v>#REF!</v>
      </c>
      <c r="AM47" s="39" t="e">
        <f>IF(AND('Mapa final'!#REF!="Muy Baja",'Mapa final'!#REF!="Catastrófico"),CONCATENATE("R2C",'Mapa final'!#REF!),"")</f>
        <v>#REF!</v>
      </c>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ht="15" customHeight="1" x14ac:dyDescent="0.3">
      <c r="A48" s="65"/>
      <c r="B48" s="637"/>
      <c r="C48" s="637"/>
      <c r="D48" s="638"/>
      <c r="E48" s="694"/>
      <c r="F48" s="679"/>
      <c r="G48" s="679"/>
      <c r="H48" s="679"/>
      <c r="I48" s="680"/>
      <c r="J48" s="58" t="str">
        <f>IF(AND('Mapa final'!$AB$15="Muy Baja",'Mapa final'!$AD$15="Leve"),CONCATENATE("R3C",'Mapa final'!$R$15),"")</f>
        <v/>
      </c>
      <c r="K48" s="59" t="str">
        <f>IF(AND('Mapa final'!$AB$16="Muy Baja",'Mapa final'!$AD$16="Leve"),CONCATENATE("R3C",'Mapa final'!$R$16),"")</f>
        <v/>
      </c>
      <c r="L48" s="59" t="str">
        <f>IF(AND('Mapa final'!$AB$17="Muy Baja",'Mapa final'!$AD$17="Leve"),CONCATENATE("R3C",'Mapa final'!$R$17),"")</f>
        <v/>
      </c>
      <c r="M48" s="59" t="str">
        <f>IF(AND('Mapa final'!$AB$18="Muy Baja",'Mapa final'!$AD$18="Leve"),CONCATENATE("R3C",'Mapa final'!$R$18),"")</f>
        <v/>
      </c>
      <c r="N48" s="59" t="str">
        <f>IF(AND('Mapa final'!$AB$19="Muy Baja",'Mapa final'!$AD$19="Leve"),CONCATENATE("R3C",'Mapa final'!$R$19),"")</f>
        <v/>
      </c>
      <c r="O48" s="60" t="str">
        <f>IF(AND('Mapa final'!$AB$20="Muy Baja",'Mapa final'!$AD$20="Leve"),CONCATENATE("R3C",'Mapa final'!$R$20),"")</f>
        <v/>
      </c>
      <c r="P48" s="58" t="str">
        <f>IF(AND('Mapa final'!$AB$15="Muy Baja",'Mapa final'!$AD$15="Menor"),CONCATENATE("R3C",'Mapa final'!$R$15),"")</f>
        <v/>
      </c>
      <c r="Q48" s="59" t="str">
        <f>IF(AND('Mapa final'!$AB$16="Muy Baja",'Mapa final'!$AD$16="Menor"),CONCATENATE("R3C",'Mapa final'!$R$16),"")</f>
        <v/>
      </c>
      <c r="R48" s="59" t="str">
        <f>IF(AND('Mapa final'!$AB$17="Muy Baja",'Mapa final'!$AD$17="Menor"),CONCATENATE("R3C",'Mapa final'!$R$17),"")</f>
        <v/>
      </c>
      <c r="S48" s="59" t="str">
        <f>IF(AND('Mapa final'!$AB$18="Muy Baja",'Mapa final'!$AD$18="Menor"),CONCATENATE("R3C",'Mapa final'!$R$18),"")</f>
        <v/>
      </c>
      <c r="T48" s="59" t="str">
        <f>IF(AND('Mapa final'!$AB$19="Muy Baja",'Mapa final'!$AD$19="Menor"),CONCATENATE("R3C",'Mapa final'!$R$19),"")</f>
        <v/>
      </c>
      <c r="U48" s="60" t="str">
        <f>IF(AND('Mapa final'!$AB$20="Muy Baja",'Mapa final'!$AD$20="Menor"),CONCATENATE("R3C",'Mapa final'!$R$20),"")</f>
        <v/>
      </c>
      <c r="V48" s="49" t="str">
        <f>IF(AND('Mapa final'!$AB$15="Muy Baja",'Mapa final'!$AD$15="Moderado"),CONCATENATE("R3C",'Mapa final'!$R$15),"")</f>
        <v/>
      </c>
      <c r="W48" s="50" t="str">
        <f>IF(AND('Mapa final'!$AB$16="Muy Baja",'Mapa final'!$AD$16="Moderado"),CONCATENATE("R3C",'Mapa final'!$R$16),"")</f>
        <v/>
      </c>
      <c r="X48" s="50" t="str">
        <f>IF(AND('Mapa final'!$AB$17="Muy Baja",'Mapa final'!$AD$17="Moderado"),CONCATENATE("R3C",'Mapa final'!$R$17),"")</f>
        <v/>
      </c>
      <c r="Y48" s="50" t="str">
        <f>IF(AND('Mapa final'!$AB$18="Muy Baja",'Mapa final'!$AD$18="Moderado"),CONCATENATE("R3C",'Mapa final'!$R$18),"")</f>
        <v/>
      </c>
      <c r="Z48" s="50" t="str">
        <f>IF(AND('Mapa final'!$AB$19="Muy Baja",'Mapa final'!$AD$19="Moderado"),CONCATENATE("R3C",'Mapa final'!$R$19),"")</f>
        <v/>
      </c>
      <c r="AA48" s="51" t="str">
        <f>IF(AND('Mapa final'!$AB$20="Muy Baja",'Mapa final'!$AD$20="Moderado"),CONCATENATE("R3C",'Mapa final'!$R$20),"")</f>
        <v/>
      </c>
      <c r="AB48" s="34" t="str">
        <f>IF(AND('Mapa final'!$AB$15="Muy Baja",'Mapa final'!$AD$15="Mayor"),CONCATENATE("R3C",'Mapa final'!$R$15),"")</f>
        <v/>
      </c>
      <c r="AC48" s="35" t="str">
        <f>IF(AND('Mapa final'!$AB$16="Muy Baja",'Mapa final'!$AD$16="Mayor"),CONCATENATE("R3C",'Mapa final'!$R$16),"")</f>
        <v/>
      </c>
      <c r="AD48" s="35" t="str">
        <f>IF(AND('Mapa final'!$AB$17="Muy Baja",'Mapa final'!$AD$17="Mayor"),CONCATENATE("R3C",'Mapa final'!$R$17),"")</f>
        <v/>
      </c>
      <c r="AE48" s="35" t="str">
        <f>IF(AND('Mapa final'!$AB$18="Muy Baja",'Mapa final'!$AD$18="Mayor"),CONCATENATE("R3C",'Mapa final'!$R$18),"")</f>
        <v/>
      </c>
      <c r="AF48" s="35" t="str">
        <f>IF(AND('Mapa final'!$AB$19="Muy Baja",'Mapa final'!$AD$19="Mayor"),CONCATENATE("R3C",'Mapa final'!$R$19),"")</f>
        <v/>
      </c>
      <c r="AG48" s="36" t="str">
        <f>IF(AND('Mapa final'!$AB$20="Muy Baja",'Mapa final'!$AD$20="Mayor"),CONCATENATE("R3C",'Mapa final'!$R$20),"")</f>
        <v/>
      </c>
      <c r="AH48" s="37" t="str">
        <f>IF(AND('Mapa final'!$AB$15="Muy Baja",'Mapa final'!$AD$15="Catastrófico"),CONCATENATE("R3C",'Mapa final'!$R$15),"")</f>
        <v/>
      </c>
      <c r="AI48" s="38" t="str">
        <f>IF(AND('Mapa final'!$AB$16="Muy Baja",'Mapa final'!$AD$16="Catastrófico"),CONCATENATE("R3C",'Mapa final'!$R$16),"")</f>
        <v/>
      </c>
      <c r="AJ48" s="38" t="str">
        <f>IF(AND('Mapa final'!$AB$17="Muy Baja",'Mapa final'!$AD$17="Catastrófico"),CONCATENATE("R3C",'Mapa final'!$R$17),"")</f>
        <v/>
      </c>
      <c r="AK48" s="38" t="str">
        <f>IF(AND('Mapa final'!$AB$18="Muy Baja",'Mapa final'!$AD$18="Catastrófico"),CONCATENATE("R3C",'Mapa final'!$R$18),"")</f>
        <v/>
      </c>
      <c r="AL48" s="38" t="str">
        <f>IF(AND('Mapa final'!$AB$19="Muy Baja",'Mapa final'!$AD$19="Catastrófico"),CONCATENATE("R3C",'Mapa final'!$R$19),"")</f>
        <v/>
      </c>
      <c r="AM48" s="39" t="str">
        <f>IF(AND('Mapa final'!$AB$20="Muy Baja",'Mapa final'!$AD$20="Catastrófico"),CONCATENATE("R3C",'Mapa final'!$R$20),"")</f>
        <v/>
      </c>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ht="15" customHeight="1" x14ac:dyDescent="0.3">
      <c r="A49" s="65"/>
      <c r="B49" s="637"/>
      <c r="C49" s="637"/>
      <c r="D49" s="638"/>
      <c r="E49" s="678"/>
      <c r="F49" s="679"/>
      <c r="G49" s="679"/>
      <c r="H49" s="679"/>
      <c r="I49" s="680"/>
      <c r="J49" s="58" t="str">
        <f>IF(AND('Mapa final'!$AB$21="Muy Baja",'Mapa final'!$AD$21="Leve"),CONCATENATE("R4C",'Mapa final'!$R$21),"")</f>
        <v/>
      </c>
      <c r="K49" s="59" t="str">
        <f>IF(AND('Mapa final'!$AB$22="Muy Baja",'Mapa final'!$AD$22="Leve"),CONCATENATE("R4C",'Mapa final'!$R$22),"")</f>
        <v/>
      </c>
      <c r="L49" s="59" t="str">
        <f>IF(AND('Mapa final'!$AB$23="Muy Baja",'Mapa final'!$AD$23="Leve"),CONCATENATE("R4C",'Mapa final'!$R$23),"")</f>
        <v/>
      </c>
      <c r="M49" s="59" t="str">
        <f>IF(AND('Mapa final'!$AB$24="Muy Baja",'Mapa final'!$AD$24="Leve"),CONCATENATE("R4C",'Mapa final'!$R$24),"")</f>
        <v/>
      </c>
      <c r="N49" s="59" t="str">
        <f>IF(AND('Mapa final'!$AB$25="Muy Baja",'Mapa final'!$AD$25="Leve"),CONCATENATE("R4C",'Mapa final'!$R$25),"")</f>
        <v/>
      </c>
      <c r="O49" s="60" t="str">
        <f>IF(AND('Mapa final'!$AB$26="Muy Baja",'Mapa final'!$AD$26="Leve"),CONCATENATE("R4C",'Mapa final'!$R$26),"")</f>
        <v/>
      </c>
      <c r="P49" s="58" t="str">
        <f>IF(AND('Mapa final'!$AB$21="Muy Baja",'Mapa final'!$AD$21="Menor"),CONCATENATE("R4C",'Mapa final'!$R$21),"")</f>
        <v/>
      </c>
      <c r="Q49" s="59" t="str">
        <f>IF(AND('Mapa final'!$AB$22="Muy Baja",'Mapa final'!$AD$22="Menor"),CONCATENATE("R4C",'Mapa final'!$R$22),"")</f>
        <v/>
      </c>
      <c r="R49" s="59" t="str">
        <f>IF(AND('Mapa final'!$AB$23="Muy Baja",'Mapa final'!$AD$23="Menor"),CONCATENATE("R4C",'Mapa final'!$R$23),"")</f>
        <v/>
      </c>
      <c r="S49" s="59" t="str">
        <f>IF(AND('Mapa final'!$AB$24="Muy Baja",'Mapa final'!$AD$24="Menor"),CONCATENATE("R4C",'Mapa final'!$R$24),"")</f>
        <v/>
      </c>
      <c r="T49" s="59" t="str">
        <f>IF(AND('Mapa final'!$AB$25="Muy Baja",'Mapa final'!$AD$25="Menor"),CONCATENATE("R4C",'Mapa final'!$R$25),"")</f>
        <v/>
      </c>
      <c r="U49" s="60" t="str">
        <f>IF(AND('Mapa final'!$AB$26="Muy Baja",'Mapa final'!$AD$26="Menor"),CONCATENATE("R4C",'Mapa final'!$R$26),"")</f>
        <v/>
      </c>
      <c r="V49" s="49" t="str">
        <f>IF(AND('Mapa final'!$AB$21="Muy Baja",'Mapa final'!$AD$21="Moderado"),CONCATENATE("R4C",'Mapa final'!$R$21),"")</f>
        <v/>
      </c>
      <c r="W49" s="50" t="str">
        <f>IF(AND('Mapa final'!$AB$22="Muy Baja",'Mapa final'!$AD$22="Moderado"),CONCATENATE("R4C",'Mapa final'!$R$22),"")</f>
        <v/>
      </c>
      <c r="X49" s="50" t="str">
        <f>IF(AND('Mapa final'!$AB$23="Muy Baja",'Mapa final'!$AD$23="Moderado"),CONCATENATE("R4C",'Mapa final'!$R$23),"")</f>
        <v/>
      </c>
      <c r="Y49" s="50" t="str">
        <f>IF(AND('Mapa final'!$AB$24="Muy Baja",'Mapa final'!$AD$24="Moderado"),CONCATENATE("R4C",'Mapa final'!$R$24),"")</f>
        <v/>
      </c>
      <c r="Z49" s="50" t="str">
        <f>IF(AND('Mapa final'!$AB$25="Muy Baja",'Mapa final'!$AD$25="Moderado"),CONCATENATE("R4C",'Mapa final'!$R$25),"")</f>
        <v/>
      </c>
      <c r="AA49" s="51" t="str">
        <f>IF(AND('Mapa final'!$AB$26="Muy Baja",'Mapa final'!$AD$26="Moderado"),CONCATENATE("R4C",'Mapa final'!$R$26),"")</f>
        <v/>
      </c>
      <c r="AB49" s="34" t="str">
        <f>IF(AND('Mapa final'!$AB$21="Muy Baja",'Mapa final'!$AD$21="Mayor"),CONCATENATE("R4C",'Mapa final'!$R$21),"")</f>
        <v/>
      </c>
      <c r="AC49" s="35" t="str">
        <f>IF(AND('Mapa final'!$AB$22="Muy Baja",'Mapa final'!$AD$22="Mayor"),CONCATENATE("R4C",'Mapa final'!$R$22),"")</f>
        <v/>
      </c>
      <c r="AD49" s="35" t="str">
        <f>IF(AND('Mapa final'!$AB$23="Muy Baja",'Mapa final'!$AD$23="Mayor"),CONCATENATE("R4C",'Mapa final'!$R$23),"")</f>
        <v/>
      </c>
      <c r="AE49" s="35" t="str">
        <f>IF(AND('Mapa final'!$AB$24="Muy Baja",'Mapa final'!$AD$24="Mayor"),CONCATENATE("R4C",'Mapa final'!$R$24),"")</f>
        <v/>
      </c>
      <c r="AF49" s="35" t="str">
        <f>IF(AND('Mapa final'!$AB$25="Muy Baja",'Mapa final'!$AD$25="Mayor"),CONCATENATE("R4C",'Mapa final'!$R$25),"")</f>
        <v/>
      </c>
      <c r="AG49" s="36" t="str">
        <f>IF(AND('Mapa final'!$AB$26="Muy Baja",'Mapa final'!$AD$26="Mayor"),CONCATENATE("R4C",'Mapa final'!$R$26),"")</f>
        <v/>
      </c>
      <c r="AH49" s="37" t="str">
        <f>IF(AND('Mapa final'!$AB$21="Muy Baja",'Mapa final'!$AD$21="Catastrófico"),CONCATENATE("R4C",'Mapa final'!$R$21),"")</f>
        <v/>
      </c>
      <c r="AI49" s="38" t="str">
        <f>IF(AND('Mapa final'!$AB$22="Muy Baja",'Mapa final'!$AD$22="Catastrófico"),CONCATENATE("R4C",'Mapa final'!$R$22),"")</f>
        <v/>
      </c>
      <c r="AJ49" s="38" t="str">
        <f>IF(AND('Mapa final'!$AB$23="Muy Baja",'Mapa final'!$AD$23="Catastrófico"),CONCATENATE("R4C",'Mapa final'!$R$23),"")</f>
        <v/>
      </c>
      <c r="AK49" s="38" t="str">
        <f>IF(AND('Mapa final'!$AB$24="Muy Baja",'Mapa final'!$AD$24="Catastrófico"),CONCATENATE("R4C",'Mapa final'!$R$24),"")</f>
        <v/>
      </c>
      <c r="AL49" s="38" t="str">
        <f>IF(AND('Mapa final'!$AB$25="Muy Baja",'Mapa final'!$AD$25="Catastrófico"),CONCATENATE("R4C",'Mapa final'!$R$25),"")</f>
        <v/>
      </c>
      <c r="AM49" s="39" t="str">
        <f>IF(AND('Mapa final'!$AB$26="Muy Baja",'Mapa final'!$AD$26="Catastrófico"),CONCATENATE("R4C",'Mapa final'!$R$26),"")</f>
        <v/>
      </c>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ht="15" customHeight="1" x14ac:dyDescent="0.3">
      <c r="A50" s="65"/>
      <c r="B50" s="637"/>
      <c r="C50" s="637"/>
      <c r="D50" s="638"/>
      <c r="E50" s="678"/>
      <c r="F50" s="679"/>
      <c r="G50" s="679"/>
      <c r="H50" s="679"/>
      <c r="I50" s="680"/>
      <c r="J50" s="58" t="str">
        <f>IF(AND('Mapa final'!$AB$27="Muy Baja",'Mapa final'!$AD$27="Leve"),CONCATENATE("R5C",'Mapa final'!$R$27),"")</f>
        <v/>
      </c>
      <c r="K50" s="59" t="str">
        <f>IF(AND('Mapa final'!$AB$28="Muy Baja",'Mapa final'!$AD$28="Leve"),CONCATENATE("R5C",'Mapa final'!$R$28),"")</f>
        <v/>
      </c>
      <c r="L50" s="59" t="str">
        <f>IF(AND('Mapa final'!$AB$29="Muy Baja",'Mapa final'!$AD$29="Leve"),CONCATENATE("R5C",'Mapa final'!$R$29),"")</f>
        <v/>
      </c>
      <c r="M50" s="59" t="str">
        <f>IF(AND('Mapa final'!$AB$30="Muy Baja",'Mapa final'!$AD$30="Leve"),CONCATENATE("R5C",'Mapa final'!$R$30),"")</f>
        <v/>
      </c>
      <c r="N50" s="59" t="str">
        <f>IF(AND('Mapa final'!$AB$31="Muy Baja",'Mapa final'!$AD$31="Leve"),CONCATENATE("R5C",'Mapa final'!$R$31),"")</f>
        <v/>
      </c>
      <c r="O50" s="60" t="str">
        <f>IF(AND('Mapa final'!$AB$32="Muy Baja",'Mapa final'!$AD$32="Leve"),CONCATENATE("R5C",'Mapa final'!$R$32),"")</f>
        <v/>
      </c>
      <c r="P50" s="58" t="str">
        <f>IF(AND('Mapa final'!$AB$27="Muy Baja",'Mapa final'!$AD$27="Menor"),CONCATENATE("R5C",'Mapa final'!$R$27),"")</f>
        <v/>
      </c>
      <c r="Q50" s="59" t="str">
        <f>IF(AND('Mapa final'!$AB$28="Muy Baja",'Mapa final'!$AD$28="Menor"),CONCATENATE("R5C",'Mapa final'!$R$28),"")</f>
        <v/>
      </c>
      <c r="R50" s="59" t="str">
        <f>IF(AND('Mapa final'!$AB$29="Muy Baja",'Mapa final'!$AD$29="Menor"),CONCATENATE("R5C",'Mapa final'!$R$29),"")</f>
        <v/>
      </c>
      <c r="S50" s="59" t="str">
        <f>IF(AND('Mapa final'!$AB$30="Muy Baja",'Mapa final'!$AD$30="Menor"),CONCATENATE("R5C",'Mapa final'!$R$30),"")</f>
        <v/>
      </c>
      <c r="T50" s="59" t="str">
        <f>IF(AND('Mapa final'!$AB$31="Muy Baja",'Mapa final'!$AD$31="Menor"),CONCATENATE("R5C",'Mapa final'!$R$31),"")</f>
        <v/>
      </c>
      <c r="U50" s="60" t="str">
        <f>IF(AND('Mapa final'!$AB$32="Muy Baja",'Mapa final'!$AD$32="Menor"),CONCATENATE("R5C",'Mapa final'!$R$32),"")</f>
        <v/>
      </c>
      <c r="V50" s="49" t="str">
        <f>IF(AND('Mapa final'!$AB$27="Muy Baja",'Mapa final'!$AD$27="Moderado"),CONCATENATE("R5C",'Mapa final'!$R$27),"")</f>
        <v/>
      </c>
      <c r="W50" s="50" t="str">
        <f>IF(AND('Mapa final'!$AB$28="Muy Baja",'Mapa final'!$AD$28="Moderado"),CONCATENATE("R5C",'Mapa final'!$R$28),"")</f>
        <v/>
      </c>
      <c r="X50" s="50" t="str">
        <f>IF(AND('Mapa final'!$AB$29="Muy Baja",'Mapa final'!$AD$29="Moderado"),CONCATENATE("R5C",'Mapa final'!$R$29),"")</f>
        <v/>
      </c>
      <c r="Y50" s="50" t="str">
        <f>IF(AND('Mapa final'!$AB$30="Muy Baja",'Mapa final'!$AD$30="Moderado"),CONCATENATE("R5C",'Mapa final'!$R$30),"")</f>
        <v/>
      </c>
      <c r="Z50" s="50" t="str">
        <f>IF(AND('Mapa final'!$AB$31="Muy Baja",'Mapa final'!$AD$31="Moderado"),CONCATENATE("R5C",'Mapa final'!$R$31),"")</f>
        <v/>
      </c>
      <c r="AA50" s="51" t="str">
        <f>IF(AND('Mapa final'!$AB$32="Muy Baja",'Mapa final'!$AD$32="Moderado"),CONCATENATE("R5C",'Mapa final'!$R$32),"")</f>
        <v/>
      </c>
      <c r="AB50" s="34" t="str">
        <f>IF(AND('Mapa final'!$AB$27="Muy Baja",'Mapa final'!$AD$27="Mayor"),CONCATENATE("R5C",'Mapa final'!$R$27),"")</f>
        <v/>
      </c>
      <c r="AC50" s="35" t="str">
        <f>IF(AND('Mapa final'!$AB$28="Muy Baja",'Mapa final'!$AD$28="Mayor"),CONCATENATE("R5C",'Mapa final'!$R$28),"")</f>
        <v/>
      </c>
      <c r="AD50" s="35" t="str">
        <f>IF(AND('Mapa final'!$AB$29="Muy Baja",'Mapa final'!$AD$29="Mayor"),CONCATENATE("R5C",'Mapa final'!$R$29),"")</f>
        <v/>
      </c>
      <c r="AE50" s="35" t="str">
        <f>IF(AND('Mapa final'!$AB$30="Muy Baja",'Mapa final'!$AD$30="Mayor"),CONCATENATE("R5C",'Mapa final'!$R$30),"")</f>
        <v/>
      </c>
      <c r="AF50" s="35" t="str">
        <f>IF(AND('Mapa final'!$AB$31="Muy Baja",'Mapa final'!$AD$31="Mayor"),CONCATENATE("R5C",'Mapa final'!$R$31),"")</f>
        <v/>
      </c>
      <c r="AG50" s="36" t="str">
        <f>IF(AND('Mapa final'!$AB$32="Muy Baja",'Mapa final'!$AD$32="Mayor"),CONCATENATE("R5C",'Mapa final'!$R$32),"")</f>
        <v/>
      </c>
      <c r="AH50" s="37" t="str">
        <f>IF(AND('Mapa final'!$AB$27="Muy Baja",'Mapa final'!$AD$27="Catastrófico"),CONCATENATE("R5C",'Mapa final'!$R$27),"")</f>
        <v/>
      </c>
      <c r="AI50" s="38" t="str">
        <f>IF(AND('Mapa final'!$AB$28="Muy Baja",'Mapa final'!$AD$28="Catastrófico"),CONCATENATE("R5C",'Mapa final'!$R$28),"")</f>
        <v/>
      </c>
      <c r="AJ50" s="38" t="str">
        <f>IF(AND('Mapa final'!$AB$29="Muy Baja",'Mapa final'!$AD$29="Catastrófico"),CONCATENATE("R5C",'Mapa final'!$R$29),"")</f>
        <v/>
      </c>
      <c r="AK50" s="38" t="str">
        <f>IF(AND('Mapa final'!$AB$30="Muy Baja",'Mapa final'!$AD$30="Catastrófico"),CONCATENATE("R5C",'Mapa final'!$R$30),"")</f>
        <v/>
      </c>
      <c r="AL50" s="38" t="str">
        <f>IF(AND('Mapa final'!$AB$31="Muy Baja",'Mapa final'!$AD$31="Catastrófico"),CONCATENATE("R5C",'Mapa final'!$R$31),"")</f>
        <v/>
      </c>
      <c r="AM50" s="39" t="str">
        <f>IF(AND('Mapa final'!$AB$32="Muy Baja",'Mapa final'!$AD$32="Catastrófico"),CONCATENATE("R5C",'Mapa final'!$R$32),"")</f>
        <v/>
      </c>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customHeight="1" x14ac:dyDescent="0.3">
      <c r="A51" s="65"/>
      <c r="B51" s="637"/>
      <c r="C51" s="637"/>
      <c r="D51" s="638"/>
      <c r="E51" s="678"/>
      <c r="F51" s="679"/>
      <c r="G51" s="679"/>
      <c r="H51" s="679"/>
      <c r="I51" s="680"/>
      <c r="J51" s="58" t="str">
        <f>IF(AND('Mapa final'!$AB$33="Muy Baja",'Mapa final'!$AD$33="Leve"),CONCATENATE("R6C",'Mapa final'!$R$33),"")</f>
        <v/>
      </c>
      <c r="K51" s="59" t="str">
        <f>IF(AND('Mapa final'!$AB$34="Muy Baja",'Mapa final'!$AD$34="Leve"),CONCATENATE("R6C",'Mapa final'!$R$34),"")</f>
        <v/>
      </c>
      <c r="L51" s="59" t="str">
        <f>IF(AND('Mapa final'!$AB$35="Muy Baja",'Mapa final'!$AD$35="Leve"),CONCATENATE("R6C",'Mapa final'!$R$35),"")</f>
        <v/>
      </c>
      <c r="M51" s="59" t="str">
        <f>IF(AND('Mapa final'!$AB$36="Muy Baja",'Mapa final'!$AD$36="Leve"),CONCATENATE("R6C",'Mapa final'!$R$36),"")</f>
        <v/>
      </c>
      <c r="N51" s="59" t="str">
        <f>IF(AND('Mapa final'!$AB$37="Muy Baja",'Mapa final'!$AD$37="Leve"),CONCATENATE("R6C",'Mapa final'!$R$37),"")</f>
        <v/>
      </c>
      <c r="O51" s="60" t="str">
        <f>IF(AND('Mapa final'!$AB$38="Muy Baja",'Mapa final'!$AD$38="Leve"),CONCATENATE("R6C",'Mapa final'!$R$38),"")</f>
        <v/>
      </c>
      <c r="P51" s="58" t="str">
        <f>IF(AND('Mapa final'!$AB$33="Muy Baja",'Mapa final'!$AD$33="Menor"),CONCATENATE("R6C",'Mapa final'!$R$33),"")</f>
        <v/>
      </c>
      <c r="Q51" s="59" t="str">
        <f>IF(AND('Mapa final'!$AB$34="Muy Baja",'Mapa final'!$AD$34="Menor"),CONCATENATE("R6C",'Mapa final'!$R$34),"")</f>
        <v/>
      </c>
      <c r="R51" s="59" t="str">
        <f>IF(AND('Mapa final'!$AB$35="Muy Baja",'Mapa final'!$AD$35="Menor"),CONCATENATE("R6C",'Mapa final'!$R$35),"")</f>
        <v/>
      </c>
      <c r="S51" s="59" t="str">
        <f>IF(AND('Mapa final'!$AB$36="Muy Baja",'Mapa final'!$AD$36="Menor"),CONCATENATE("R6C",'Mapa final'!$R$36),"")</f>
        <v/>
      </c>
      <c r="T51" s="59" t="str">
        <f>IF(AND('Mapa final'!$AB$37="Muy Baja",'Mapa final'!$AD$37="Menor"),CONCATENATE("R6C",'Mapa final'!$R$37),"")</f>
        <v/>
      </c>
      <c r="U51" s="60" t="str">
        <f>IF(AND('Mapa final'!$AB$38="Muy Baja",'Mapa final'!$AD$38="Menor"),CONCATENATE("R6C",'Mapa final'!$R$38),"")</f>
        <v/>
      </c>
      <c r="V51" s="49" t="str">
        <f>IF(AND('Mapa final'!$AB$33="Muy Baja",'Mapa final'!$AD$33="Moderado"),CONCATENATE("R6C",'Mapa final'!$R$33),"")</f>
        <v/>
      </c>
      <c r="W51" s="50" t="str">
        <f>IF(AND('Mapa final'!$AB$34="Muy Baja",'Mapa final'!$AD$34="Moderado"),CONCATENATE("R6C",'Mapa final'!$R$34),"")</f>
        <v/>
      </c>
      <c r="X51" s="50" t="str">
        <f>IF(AND('Mapa final'!$AB$35="Muy Baja",'Mapa final'!$AD$35="Moderado"),CONCATENATE("R6C",'Mapa final'!$R$35),"")</f>
        <v/>
      </c>
      <c r="Y51" s="50" t="str">
        <f>IF(AND('Mapa final'!$AB$36="Muy Baja",'Mapa final'!$AD$36="Moderado"),CONCATENATE("R6C",'Mapa final'!$R$36),"")</f>
        <v/>
      </c>
      <c r="Z51" s="50" t="str">
        <f>IF(AND('Mapa final'!$AB$37="Muy Baja",'Mapa final'!$AD$37="Moderado"),CONCATENATE("R6C",'Mapa final'!$R$37),"")</f>
        <v/>
      </c>
      <c r="AA51" s="51" t="str">
        <f>IF(AND('Mapa final'!$AB$38="Muy Baja",'Mapa final'!$AD$38="Moderado"),CONCATENATE("R6C",'Mapa final'!$R$38),"")</f>
        <v/>
      </c>
      <c r="AB51" s="34" t="str">
        <f>IF(AND('Mapa final'!$AB$33="Muy Baja",'Mapa final'!$AD$33="Mayor"),CONCATENATE("R6C",'Mapa final'!$R$33),"")</f>
        <v/>
      </c>
      <c r="AC51" s="35" t="str">
        <f>IF(AND('Mapa final'!$AB$34="Muy Baja",'Mapa final'!$AD$34="Mayor"),CONCATENATE("R6C",'Mapa final'!$R$34),"")</f>
        <v/>
      </c>
      <c r="AD51" s="35" t="str">
        <f>IF(AND('Mapa final'!$AB$35="Muy Baja",'Mapa final'!$AD$35="Mayor"),CONCATENATE("R6C",'Mapa final'!$R$35),"")</f>
        <v/>
      </c>
      <c r="AE51" s="35" t="str">
        <f>IF(AND('Mapa final'!$AB$36="Muy Baja",'Mapa final'!$AD$36="Mayor"),CONCATENATE("R6C",'Mapa final'!$R$36),"")</f>
        <v/>
      </c>
      <c r="AF51" s="35" t="str">
        <f>IF(AND('Mapa final'!$AB$37="Muy Baja",'Mapa final'!$AD$37="Mayor"),CONCATENATE("R6C",'Mapa final'!$R$37),"")</f>
        <v/>
      </c>
      <c r="AG51" s="36" t="str">
        <f>IF(AND('Mapa final'!$AB$38="Muy Baja",'Mapa final'!$AD$38="Mayor"),CONCATENATE("R6C",'Mapa final'!$R$38),"")</f>
        <v/>
      </c>
      <c r="AH51" s="37" t="str">
        <f>IF(AND('Mapa final'!$AB$33="Muy Baja",'Mapa final'!$AD$33="Catastrófico"),CONCATENATE("R6C",'Mapa final'!$R$33),"")</f>
        <v/>
      </c>
      <c r="AI51" s="38" t="str">
        <f>IF(AND('Mapa final'!$AB$34="Muy Baja",'Mapa final'!$AD$34="Catastrófico"),CONCATENATE("R6C",'Mapa final'!$R$34),"")</f>
        <v/>
      </c>
      <c r="AJ51" s="38" t="str">
        <f>IF(AND('Mapa final'!$AB$35="Muy Baja",'Mapa final'!$AD$35="Catastrófico"),CONCATENATE("R6C",'Mapa final'!$R$35),"")</f>
        <v/>
      </c>
      <c r="AK51" s="38" t="str">
        <f>IF(AND('Mapa final'!$AB$36="Muy Baja",'Mapa final'!$AD$36="Catastrófico"),CONCATENATE("R6C",'Mapa final'!$R$36),"")</f>
        <v/>
      </c>
      <c r="AL51" s="38" t="str">
        <f>IF(AND('Mapa final'!$AB$37="Muy Baja",'Mapa final'!$AD$37="Catastrófico"),CONCATENATE("R6C",'Mapa final'!$R$37),"")</f>
        <v/>
      </c>
      <c r="AM51" s="39" t="str">
        <f>IF(AND('Mapa final'!$AB$38="Muy Baja",'Mapa final'!$AD$38="Catastrófico"),CONCATENATE("R6C",'Mapa final'!$R$38),"")</f>
        <v/>
      </c>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ht="15" customHeight="1" x14ac:dyDescent="0.3">
      <c r="A52" s="65"/>
      <c r="B52" s="637"/>
      <c r="C52" s="637"/>
      <c r="D52" s="638"/>
      <c r="E52" s="678"/>
      <c r="F52" s="679"/>
      <c r="G52" s="679"/>
      <c r="H52" s="679"/>
      <c r="I52" s="680"/>
      <c r="J52" s="58" t="str">
        <f>IF(AND('Mapa final'!$AB$39="Muy Baja",'Mapa final'!$AD$39="Leve"),CONCATENATE("R7C",'Mapa final'!$R$39),"")</f>
        <v/>
      </c>
      <c r="K52" s="59" t="str">
        <f>IF(AND('Mapa final'!$AB$40="Muy Baja",'Mapa final'!$AD$40="Leve"),CONCATENATE("R7C",'Mapa final'!$R$40),"")</f>
        <v/>
      </c>
      <c r="L52" s="59" t="str">
        <f>IF(AND('Mapa final'!$AB$41="Muy Baja",'Mapa final'!$AD$41="Leve"),CONCATENATE("R7C",'Mapa final'!$R$41),"")</f>
        <v/>
      </c>
      <c r="M52" s="59" t="str">
        <f>IF(AND('Mapa final'!$AB$42="Muy Baja",'Mapa final'!$AD$42="Leve"),CONCATENATE("R7C",'Mapa final'!$R$42),"")</f>
        <v/>
      </c>
      <c r="N52" s="59" t="str">
        <f>IF(AND('Mapa final'!$AB$43="Muy Baja",'Mapa final'!$AD$43="Leve"),CONCATENATE("R7C",'Mapa final'!$R$43),"")</f>
        <v/>
      </c>
      <c r="O52" s="60" t="str">
        <f>IF(AND('Mapa final'!$AB$44="Muy Baja",'Mapa final'!$AD$44="Leve"),CONCATENATE("R7C",'Mapa final'!$R$44),"")</f>
        <v/>
      </c>
      <c r="P52" s="58" t="str">
        <f>IF(AND('Mapa final'!$AB$39="Muy Baja",'Mapa final'!$AD$39="Menor"),CONCATENATE("R7C",'Mapa final'!$R$39),"")</f>
        <v/>
      </c>
      <c r="Q52" s="59" t="str">
        <f>IF(AND('Mapa final'!$AB$40="Muy Baja",'Mapa final'!$AD$40="Menor"),CONCATENATE("R7C",'Mapa final'!$R$40),"")</f>
        <v/>
      </c>
      <c r="R52" s="59" t="str">
        <f>IF(AND('Mapa final'!$AB$41="Muy Baja",'Mapa final'!$AD$41="Menor"),CONCATENATE("R7C",'Mapa final'!$R$41),"")</f>
        <v/>
      </c>
      <c r="S52" s="59" t="str">
        <f>IF(AND('Mapa final'!$AB$42="Muy Baja",'Mapa final'!$AD$42="Menor"),CONCATENATE("R7C",'Mapa final'!$R$42),"")</f>
        <v/>
      </c>
      <c r="T52" s="59" t="str">
        <f>IF(AND('Mapa final'!$AB$43="Muy Baja",'Mapa final'!$AD$43="Menor"),CONCATENATE("R7C",'Mapa final'!$R$43),"")</f>
        <v/>
      </c>
      <c r="U52" s="60" t="str">
        <f>IF(AND('Mapa final'!$AB$44="Muy Baja",'Mapa final'!$AD$44="Menor"),CONCATENATE("R7C",'Mapa final'!$R$44),"")</f>
        <v/>
      </c>
      <c r="V52" s="49" t="str">
        <f>IF(AND('Mapa final'!$AB$39="Muy Baja",'Mapa final'!$AD$39="Moderado"),CONCATENATE("R7C",'Mapa final'!$R$39),"")</f>
        <v/>
      </c>
      <c r="W52" s="50" t="str">
        <f>IF(AND('Mapa final'!$AB$40="Muy Baja",'Mapa final'!$AD$40="Moderado"),CONCATENATE("R7C",'Mapa final'!$R$40),"")</f>
        <v/>
      </c>
      <c r="X52" s="50" t="str">
        <f>IF(AND('Mapa final'!$AB$41="Muy Baja",'Mapa final'!$AD$41="Moderado"),CONCATENATE("R7C",'Mapa final'!$R$41),"")</f>
        <v/>
      </c>
      <c r="Y52" s="50" t="str">
        <f>IF(AND('Mapa final'!$AB$42="Muy Baja",'Mapa final'!$AD$42="Moderado"),CONCATENATE("R7C",'Mapa final'!$R$42),"")</f>
        <v/>
      </c>
      <c r="Z52" s="50" t="str">
        <f>IF(AND('Mapa final'!$AB$43="Muy Baja",'Mapa final'!$AD$43="Moderado"),CONCATENATE("R7C",'Mapa final'!$R$43),"")</f>
        <v/>
      </c>
      <c r="AA52" s="51" t="str">
        <f>IF(AND('Mapa final'!$AB$44="Muy Baja",'Mapa final'!$AD$44="Moderado"),CONCATENATE("R7C",'Mapa final'!$R$44),"")</f>
        <v/>
      </c>
      <c r="AB52" s="34" t="str">
        <f>IF(AND('Mapa final'!$AB$39="Muy Baja",'Mapa final'!$AD$39="Mayor"),CONCATENATE("R7C",'Mapa final'!$R$39),"")</f>
        <v/>
      </c>
      <c r="AC52" s="35" t="str">
        <f>IF(AND('Mapa final'!$AB$40="Muy Baja",'Mapa final'!$AD$40="Mayor"),CONCATENATE("R7C",'Mapa final'!$R$40),"")</f>
        <v/>
      </c>
      <c r="AD52" s="35" t="str">
        <f>IF(AND('Mapa final'!$AB$41="Muy Baja",'Mapa final'!$AD$41="Mayor"),CONCATENATE("R7C",'Mapa final'!$R$41),"")</f>
        <v/>
      </c>
      <c r="AE52" s="35" t="str">
        <f>IF(AND('Mapa final'!$AB$42="Muy Baja",'Mapa final'!$AD$42="Mayor"),CONCATENATE("R7C",'Mapa final'!$R$42),"")</f>
        <v/>
      </c>
      <c r="AF52" s="35" t="str">
        <f>IF(AND('Mapa final'!$AB$43="Muy Baja",'Mapa final'!$AD$43="Mayor"),CONCATENATE("R7C",'Mapa final'!$R$43),"")</f>
        <v/>
      </c>
      <c r="AG52" s="36" t="str">
        <f>IF(AND('Mapa final'!$AB$44="Muy Baja",'Mapa final'!$AD$44="Mayor"),CONCATENATE("R7C",'Mapa final'!$R$44),"")</f>
        <v/>
      </c>
      <c r="AH52" s="37" t="str">
        <f>IF(AND('Mapa final'!$AB$39="Muy Baja",'Mapa final'!$AD$39="Catastrófico"),CONCATENATE("R7C",'Mapa final'!$R$39),"")</f>
        <v/>
      </c>
      <c r="AI52" s="38" t="str">
        <f>IF(AND('Mapa final'!$AB$40="Muy Baja",'Mapa final'!$AD$40="Catastrófico"),CONCATENATE("R7C",'Mapa final'!$R$40),"")</f>
        <v/>
      </c>
      <c r="AJ52" s="38" t="str">
        <f>IF(AND('Mapa final'!$AB$41="Muy Baja",'Mapa final'!$AD$41="Catastrófico"),CONCATENATE("R7C",'Mapa final'!$R$41),"")</f>
        <v/>
      </c>
      <c r="AK52" s="38" t="str">
        <f>IF(AND('Mapa final'!$AB$42="Muy Baja",'Mapa final'!$AD$42="Catastrófico"),CONCATENATE("R7C",'Mapa final'!$R$42),"")</f>
        <v/>
      </c>
      <c r="AL52" s="38" t="str">
        <f>IF(AND('Mapa final'!$AB$43="Muy Baja",'Mapa final'!$AD$43="Catastrófico"),CONCATENATE("R7C",'Mapa final'!$R$43),"")</f>
        <v/>
      </c>
      <c r="AM52" s="39" t="str">
        <f>IF(AND('Mapa final'!$AB$44="Muy Baja",'Mapa final'!$AD$44="Catastrófico"),CONCATENATE("R7C",'Mapa final'!$R$44),"")</f>
        <v/>
      </c>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37"/>
      <c r="C53" s="637"/>
      <c r="D53" s="638"/>
      <c r="E53" s="678"/>
      <c r="F53" s="679"/>
      <c r="G53" s="679"/>
      <c r="H53" s="679"/>
      <c r="I53" s="680"/>
      <c r="J53" s="58" t="str">
        <f>IF(AND('Mapa final'!$AB$45="Muy Baja",'Mapa final'!$AD$45="Leve"),CONCATENATE("R8C",'Mapa final'!$R$45),"")</f>
        <v/>
      </c>
      <c r="K53" s="59" t="str">
        <f>IF(AND('Mapa final'!$AB$46="Muy Baja",'Mapa final'!$AD$46="Leve"),CONCATENATE("R8C",'Mapa final'!$R$46),"")</f>
        <v/>
      </c>
      <c r="L53" s="59" t="str">
        <f>IF(AND('Mapa final'!$AB$47="Muy Baja",'Mapa final'!$AD$47="Leve"),CONCATENATE("R8C",'Mapa final'!$R$47),"")</f>
        <v/>
      </c>
      <c r="M53" s="59" t="str">
        <f>IF(AND('Mapa final'!$AB$48="Muy Baja",'Mapa final'!$AD$48="Leve"),CONCATENATE("R8C",'Mapa final'!$R$48),"")</f>
        <v/>
      </c>
      <c r="N53" s="59" t="str">
        <f>IF(AND('Mapa final'!$AB$49="Muy Baja",'Mapa final'!$AD$49="Leve"),CONCATENATE("R8C",'Mapa final'!$R$49),"")</f>
        <v/>
      </c>
      <c r="O53" s="60" t="str">
        <f>IF(AND('Mapa final'!$AB$50="Muy Baja",'Mapa final'!$AD$50="Leve"),CONCATENATE("R8C",'Mapa final'!$R$50),"")</f>
        <v/>
      </c>
      <c r="P53" s="58" t="str">
        <f>IF(AND('Mapa final'!$AB$45="Muy Baja",'Mapa final'!$AD$45="Menor"),CONCATENATE("R8C",'Mapa final'!$R$45),"")</f>
        <v/>
      </c>
      <c r="Q53" s="59" t="str">
        <f>IF(AND('Mapa final'!$AB$46="Muy Baja",'Mapa final'!$AD$46="Menor"),CONCATENATE("R8C",'Mapa final'!$R$46),"")</f>
        <v/>
      </c>
      <c r="R53" s="59" t="str">
        <f>IF(AND('Mapa final'!$AB$47="Muy Baja",'Mapa final'!$AD$47="Menor"),CONCATENATE("R8C",'Mapa final'!$R$47),"")</f>
        <v/>
      </c>
      <c r="S53" s="59" t="str">
        <f>IF(AND('Mapa final'!$AB$48="Muy Baja",'Mapa final'!$AD$48="Menor"),CONCATENATE("R8C",'Mapa final'!$R$48),"")</f>
        <v/>
      </c>
      <c r="T53" s="59" t="str">
        <f>IF(AND('Mapa final'!$AB$49="Muy Baja",'Mapa final'!$AD$49="Menor"),CONCATENATE("R8C",'Mapa final'!$R$49),"")</f>
        <v/>
      </c>
      <c r="U53" s="60" t="str">
        <f>IF(AND('Mapa final'!$AB$50="Muy Baja",'Mapa final'!$AD$50="Menor"),CONCATENATE("R8C",'Mapa final'!$R$50),"")</f>
        <v/>
      </c>
      <c r="V53" s="49" t="str">
        <f>IF(AND('Mapa final'!$AB$45="Muy Baja",'Mapa final'!$AD$45="Moderado"),CONCATENATE("R8C",'Mapa final'!$R$45),"")</f>
        <v/>
      </c>
      <c r="W53" s="50" t="str">
        <f>IF(AND('Mapa final'!$AB$46="Muy Baja",'Mapa final'!$AD$46="Moderado"),CONCATENATE("R8C",'Mapa final'!$R$46),"")</f>
        <v/>
      </c>
      <c r="X53" s="50" t="str">
        <f>IF(AND('Mapa final'!$AB$47="Muy Baja",'Mapa final'!$AD$47="Moderado"),CONCATENATE("R8C",'Mapa final'!$R$47),"")</f>
        <v/>
      </c>
      <c r="Y53" s="50" t="str">
        <f>IF(AND('Mapa final'!$AB$48="Muy Baja",'Mapa final'!$AD$48="Moderado"),CONCATENATE("R8C",'Mapa final'!$R$48),"")</f>
        <v/>
      </c>
      <c r="Z53" s="50" t="str">
        <f>IF(AND('Mapa final'!$AB$49="Muy Baja",'Mapa final'!$AD$49="Moderado"),CONCATENATE("R8C",'Mapa final'!$R$49),"")</f>
        <v/>
      </c>
      <c r="AA53" s="51" t="str">
        <f>IF(AND('Mapa final'!$AB$50="Muy Baja",'Mapa final'!$AD$50="Moderado"),CONCATENATE("R8C",'Mapa final'!$R$50),"")</f>
        <v/>
      </c>
      <c r="AB53" s="34" t="str">
        <f>IF(AND('Mapa final'!$AB$45="Muy Baja",'Mapa final'!$AD$45="Mayor"),CONCATENATE("R8C",'Mapa final'!$R$45),"")</f>
        <v/>
      </c>
      <c r="AC53" s="35" t="str">
        <f>IF(AND('Mapa final'!$AB$46="Muy Baja",'Mapa final'!$AD$46="Mayor"),CONCATENATE("R8C",'Mapa final'!$R$46),"")</f>
        <v/>
      </c>
      <c r="AD53" s="35" t="str">
        <f>IF(AND('Mapa final'!$AB$47="Muy Baja",'Mapa final'!$AD$47="Mayor"),CONCATENATE("R8C",'Mapa final'!$R$47),"")</f>
        <v/>
      </c>
      <c r="AE53" s="35" t="str">
        <f>IF(AND('Mapa final'!$AB$48="Muy Baja",'Mapa final'!$AD$48="Mayor"),CONCATENATE("R8C",'Mapa final'!$R$48),"")</f>
        <v/>
      </c>
      <c r="AF53" s="35" t="str">
        <f>IF(AND('Mapa final'!$AB$49="Muy Baja",'Mapa final'!$AD$49="Mayor"),CONCATENATE("R8C",'Mapa final'!$R$49),"")</f>
        <v/>
      </c>
      <c r="AG53" s="36" t="str">
        <f>IF(AND('Mapa final'!$AB$50="Muy Baja",'Mapa final'!$AD$50="Mayor"),CONCATENATE("R8C",'Mapa final'!$R$50),"")</f>
        <v/>
      </c>
      <c r="AH53" s="37" t="str">
        <f>IF(AND('Mapa final'!$AB$45="Muy Baja",'Mapa final'!$AD$45="Catastrófico"),CONCATENATE("R8C",'Mapa final'!$R$45),"")</f>
        <v/>
      </c>
      <c r="AI53" s="38" t="str">
        <f>IF(AND('Mapa final'!$AB$46="Muy Baja",'Mapa final'!$AD$46="Catastrófico"),CONCATENATE("R8C",'Mapa final'!$R$46),"")</f>
        <v/>
      </c>
      <c r="AJ53" s="38" t="str">
        <f>IF(AND('Mapa final'!$AB$47="Muy Baja",'Mapa final'!$AD$47="Catastrófico"),CONCATENATE("R8C",'Mapa final'!$R$47),"")</f>
        <v/>
      </c>
      <c r="AK53" s="38" t="str">
        <f>IF(AND('Mapa final'!$AB$48="Muy Baja",'Mapa final'!$AD$48="Catastrófico"),CONCATENATE("R8C",'Mapa final'!$R$48),"")</f>
        <v/>
      </c>
      <c r="AL53" s="38" t="str">
        <f>IF(AND('Mapa final'!$AB$49="Muy Baja",'Mapa final'!$AD$49="Catastrófico"),CONCATENATE("R8C",'Mapa final'!$R$49),"")</f>
        <v/>
      </c>
      <c r="AM53" s="39" t="str">
        <f>IF(AND('Mapa final'!$AB$50="Muy Baja",'Mapa final'!$AD$50="Catastrófico"),CONCATENATE("R8C",'Mapa final'!$R$50),"")</f>
        <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37"/>
      <c r="C54" s="637"/>
      <c r="D54" s="638"/>
      <c r="E54" s="678"/>
      <c r="F54" s="679"/>
      <c r="G54" s="679"/>
      <c r="H54" s="679"/>
      <c r="I54" s="680"/>
      <c r="J54" s="58" t="str">
        <f>IF(AND('Mapa final'!$AB$51="Muy Baja",'Mapa final'!$AD$51="Leve"),CONCATENATE("R9C",'Mapa final'!$R$51),"")</f>
        <v/>
      </c>
      <c r="K54" s="59" t="str">
        <f>IF(AND('Mapa final'!$AB$52="Muy Baja",'Mapa final'!$AD$52="Leve"),CONCATENATE("R9C",'Mapa final'!$R$52),"")</f>
        <v/>
      </c>
      <c r="L54" s="59" t="str">
        <f>IF(AND('Mapa final'!$AB$53="Muy Baja",'Mapa final'!$AD$53="Leve"),CONCATENATE("R9C",'Mapa final'!$R$53),"")</f>
        <v/>
      </c>
      <c r="M54" s="59" t="str">
        <f>IF(AND('Mapa final'!$AB$54="Muy Baja",'Mapa final'!$AD$54="Leve"),CONCATENATE("R9C",'Mapa final'!$R$54),"")</f>
        <v/>
      </c>
      <c r="N54" s="59" t="str">
        <f>IF(AND('Mapa final'!$AB$55="Muy Baja",'Mapa final'!$AD$55="Leve"),CONCATENATE("R9C",'Mapa final'!$R$55),"")</f>
        <v/>
      </c>
      <c r="O54" s="60" t="str">
        <f>IF(AND('Mapa final'!$AB$56="Muy Baja",'Mapa final'!$AD$56="Leve"),CONCATENATE("R9C",'Mapa final'!$R$56),"")</f>
        <v/>
      </c>
      <c r="P54" s="58" t="str">
        <f>IF(AND('Mapa final'!$AB$51="Muy Baja",'Mapa final'!$AD$51="Menor"),CONCATENATE("R9C",'Mapa final'!$R$51),"")</f>
        <v/>
      </c>
      <c r="Q54" s="59" t="str">
        <f>IF(AND('Mapa final'!$AB$52="Muy Baja",'Mapa final'!$AD$52="Menor"),CONCATENATE("R9C",'Mapa final'!$R$52),"")</f>
        <v/>
      </c>
      <c r="R54" s="59" t="str">
        <f>IF(AND('Mapa final'!$AB$53="Muy Baja",'Mapa final'!$AD$53="Menor"),CONCATENATE("R9C",'Mapa final'!$R$53),"")</f>
        <v/>
      </c>
      <c r="S54" s="59" t="str">
        <f>IF(AND('Mapa final'!$AB$54="Muy Baja",'Mapa final'!$AD$54="Menor"),CONCATENATE("R9C",'Mapa final'!$R$54),"")</f>
        <v/>
      </c>
      <c r="T54" s="59" t="str">
        <f>IF(AND('Mapa final'!$AB$55="Muy Baja",'Mapa final'!$AD$55="Menor"),CONCATENATE("R9C",'Mapa final'!$R$55),"")</f>
        <v/>
      </c>
      <c r="U54" s="60" t="str">
        <f>IF(AND('Mapa final'!$AB$56="Muy Baja",'Mapa final'!$AD$56="Menor"),CONCATENATE("R9C",'Mapa final'!$R$56),"")</f>
        <v/>
      </c>
      <c r="V54" s="49" t="str">
        <f>IF(AND('Mapa final'!$AB$51="Muy Baja",'Mapa final'!$AD$51="Moderado"),CONCATENATE("R9C",'Mapa final'!$R$51),"")</f>
        <v/>
      </c>
      <c r="W54" s="50" t="str">
        <f>IF(AND('Mapa final'!$AB$52="Muy Baja",'Mapa final'!$AD$52="Moderado"),CONCATENATE("R9C",'Mapa final'!$R$52),"")</f>
        <v/>
      </c>
      <c r="X54" s="50" t="str">
        <f>IF(AND('Mapa final'!$AB$53="Muy Baja",'Mapa final'!$AD$53="Moderado"),CONCATENATE("R9C",'Mapa final'!$R$53),"")</f>
        <v/>
      </c>
      <c r="Y54" s="50" t="str">
        <f>IF(AND('Mapa final'!$AB$54="Muy Baja",'Mapa final'!$AD$54="Moderado"),CONCATENATE("R9C",'Mapa final'!$R$54),"")</f>
        <v/>
      </c>
      <c r="Z54" s="50" t="str">
        <f>IF(AND('Mapa final'!$AB$55="Muy Baja",'Mapa final'!$AD$55="Moderado"),CONCATENATE("R9C",'Mapa final'!$R$55),"")</f>
        <v/>
      </c>
      <c r="AA54" s="51" t="str">
        <f>IF(AND('Mapa final'!$AB$56="Muy Baja",'Mapa final'!$AD$56="Moderado"),CONCATENATE("R9C",'Mapa final'!$R$56),"")</f>
        <v/>
      </c>
      <c r="AB54" s="34" t="str">
        <f>IF(AND('Mapa final'!$AB$51="Muy Baja",'Mapa final'!$AD$51="Mayor"),CONCATENATE("R9C",'Mapa final'!$R$51),"")</f>
        <v/>
      </c>
      <c r="AC54" s="35" t="str">
        <f>IF(AND('Mapa final'!$AB$52="Muy Baja",'Mapa final'!$AD$52="Mayor"),CONCATENATE("R9C",'Mapa final'!$R$52),"")</f>
        <v/>
      </c>
      <c r="AD54" s="35" t="str">
        <f>IF(AND('Mapa final'!$AB$53="Muy Baja",'Mapa final'!$AD$53="Mayor"),CONCATENATE("R9C",'Mapa final'!$R$53),"")</f>
        <v/>
      </c>
      <c r="AE54" s="35" t="str">
        <f>IF(AND('Mapa final'!$AB$54="Muy Baja",'Mapa final'!$AD$54="Mayor"),CONCATENATE("R9C",'Mapa final'!$R$54),"")</f>
        <v/>
      </c>
      <c r="AF54" s="35" t="str">
        <f>IF(AND('Mapa final'!$AB$55="Muy Baja",'Mapa final'!$AD$55="Mayor"),CONCATENATE("R9C",'Mapa final'!$R$55),"")</f>
        <v/>
      </c>
      <c r="AG54" s="36" t="str">
        <f>IF(AND('Mapa final'!$AB$56="Muy Baja",'Mapa final'!$AD$56="Mayor"),CONCATENATE("R9C",'Mapa final'!$R$56),"")</f>
        <v/>
      </c>
      <c r="AH54" s="37" t="str">
        <f>IF(AND('Mapa final'!$AB$51="Muy Baja",'Mapa final'!$AD$51="Catastrófico"),CONCATENATE("R9C",'Mapa final'!$R$51),"")</f>
        <v/>
      </c>
      <c r="AI54" s="38" t="str">
        <f>IF(AND('Mapa final'!$AB$52="Muy Baja",'Mapa final'!$AD$52="Catastrófico"),CONCATENATE("R9C",'Mapa final'!$R$52),"")</f>
        <v/>
      </c>
      <c r="AJ54" s="38" t="str">
        <f>IF(AND('Mapa final'!$AB$53="Muy Baja",'Mapa final'!$AD$53="Catastrófico"),CONCATENATE("R9C",'Mapa final'!$R$53),"")</f>
        <v/>
      </c>
      <c r="AK54" s="38" t="str">
        <f>IF(AND('Mapa final'!$AB$54="Muy Baja",'Mapa final'!$AD$54="Catastrófico"),CONCATENATE("R9C",'Mapa final'!$R$54),"")</f>
        <v/>
      </c>
      <c r="AL54" s="38" t="str">
        <f>IF(AND('Mapa final'!$AB$55="Muy Baja",'Mapa final'!$AD$55="Catastrófico"),CONCATENATE("R9C",'Mapa final'!$R$55),"")</f>
        <v/>
      </c>
      <c r="AM54" s="39" t="str">
        <f>IF(AND('Mapa final'!$AB$56="Muy Baja",'Mapa final'!$AD$56="Catastrófico"),CONCATENATE("R9C",'Mapa final'!$R$56),"")</f>
        <v/>
      </c>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ht="15.75" customHeight="1" thickBot="1" x14ac:dyDescent="0.35">
      <c r="A55" s="65"/>
      <c r="B55" s="637"/>
      <c r="C55" s="637"/>
      <c r="D55" s="638"/>
      <c r="E55" s="681"/>
      <c r="F55" s="682"/>
      <c r="G55" s="682"/>
      <c r="H55" s="682"/>
      <c r="I55" s="683"/>
      <c r="J55" s="61" t="str">
        <f>IF(AND('Mapa final'!$AB$57="Muy Baja",'Mapa final'!$AD$57="Leve"),CONCATENATE("R10C",'Mapa final'!$R$57),"")</f>
        <v/>
      </c>
      <c r="K55" s="62" t="str">
        <f>IF(AND('Mapa final'!$AB$58="Muy Baja",'Mapa final'!$AD$58="Leve"),CONCATENATE("R10C",'Mapa final'!$R$58),"")</f>
        <v/>
      </c>
      <c r="L55" s="62" t="str">
        <f>IF(AND('Mapa final'!$AB$59="Muy Baja",'Mapa final'!$AD$59="Leve"),CONCATENATE("R10C",'Mapa final'!$R$59),"")</f>
        <v/>
      </c>
      <c r="M55" s="62" t="str">
        <f>IF(AND('Mapa final'!$AB$60="Muy Baja",'Mapa final'!$AD$60="Leve"),CONCATENATE("R10C",'Mapa final'!$R$60),"")</f>
        <v/>
      </c>
      <c r="N55" s="62" t="str">
        <f>IF(AND('Mapa final'!$AB$61="Muy Baja",'Mapa final'!$AD$61="Leve"),CONCATENATE("R10C",'Mapa final'!$R$61),"")</f>
        <v/>
      </c>
      <c r="O55" s="63" t="str">
        <f>IF(AND('Mapa final'!$AB$62="Muy Baja",'Mapa final'!$AD$62="Leve"),CONCATENATE("R10C",'Mapa final'!$R$62),"")</f>
        <v/>
      </c>
      <c r="P55" s="61" t="str">
        <f>IF(AND('Mapa final'!$AB$57="Muy Baja",'Mapa final'!$AD$57="Menor"),CONCATENATE("R10C",'Mapa final'!$R$57),"")</f>
        <v/>
      </c>
      <c r="Q55" s="62" t="str">
        <f>IF(AND('Mapa final'!$AB$58="Muy Baja",'Mapa final'!$AD$58="Menor"),CONCATENATE("R10C",'Mapa final'!$R$58),"")</f>
        <v/>
      </c>
      <c r="R55" s="62" t="str">
        <f>IF(AND('Mapa final'!$AB$59="Muy Baja",'Mapa final'!$AD$59="Menor"),CONCATENATE("R10C",'Mapa final'!$R$59),"")</f>
        <v/>
      </c>
      <c r="S55" s="62" t="str">
        <f>IF(AND('Mapa final'!$AB$60="Muy Baja",'Mapa final'!$AD$60="Menor"),CONCATENATE("R10C",'Mapa final'!$R$60),"")</f>
        <v/>
      </c>
      <c r="T55" s="62" t="str">
        <f>IF(AND('Mapa final'!$AB$61="Muy Baja",'Mapa final'!$AD$61="Menor"),CONCATENATE("R10C",'Mapa final'!$R$61),"")</f>
        <v/>
      </c>
      <c r="U55" s="63" t="str">
        <f>IF(AND('Mapa final'!$AB$62="Muy Baja",'Mapa final'!$AD$62="Menor"),CONCATENATE("R10C",'Mapa final'!$R$62),"")</f>
        <v/>
      </c>
      <c r="V55" s="52" t="str">
        <f>IF(AND('Mapa final'!$AB$57="Muy Baja",'Mapa final'!$AD$57="Moderado"),CONCATENATE("R10C",'Mapa final'!$R$57),"")</f>
        <v/>
      </c>
      <c r="W55" s="53" t="str">
        <f>IF(AND('Mapa final'!$AB$58="Muy Baja",'Mapa final'!$AD$58="Moderado"),CONCATENATE("R10C",'Mapa final'!$R$58),"")</f>
        <v/>
      </c>
      <c r="X55" s="53" t="str">
        <f>IF(AND('Mapa final'!$AB$59="Muy Baja",'Mapa final'!$AD$59="Moderado"),CONCATENATE("R10C",'Mapa final'!$R$59),"")</f>
        <v/>
      </c>
      <c r="Y55" s="53" t="str">
        <f>IF(AND('Mapa final'!$AB$60="Muy Baja",'Mapa final'!$AD$60="Moderado"),CONCATENATE("R10C",'Mapa final'!$R$60),"")</f>
        <v/>
      </c>
      <c r="Z55" s="53" t="str">
        <f>IF(AND('Mapa final'!$AB$61="Muy Baja",'Mapa final'!$AD$61="Moderado"),CONCATENATE("R10C",'Mapa final'!$R$61),"")</f>
        <v/>
      </c>
      <c r="AA55" s="54" t="str">
        <f>IF(AND('Mapa final'!$AB$62="Muy Baja",'Mapa final'!$AD$62="Moderado"),CONCATENATE("R10C",'Mapa final'!$R$62),"")</f>
        <v/>
      </c>
      <c r="AB55" s="40" t="str">
        <f>IF(AND('Mapa final'!$AB$57="Muy Baja",'Mapa final'!$AD$57="Mayor"),CONCATENATE("R10C",'Mapa final'!$R$57),"")</f>
        <v/>
      </c>
      <c r="AC55" s="41" t="str">
        <f>IF(AND('Mapa final'!$AB$58="Muy Baja",'Mapa final'!$AD$58="Mayor"),CONCATENATE("R10C",'Mapa final'!$R$58),"")</f>
        <v/>
      </c>
      <c r="AD55" s="41" t="str">
        <f>IF(AND('Mapa final'!$AB$59="Muy Baja",'Mapa final'!$AD$59="Mayor"),CONCATENATE("R10C",'Mapa final'!$R$59),"")</f>
        <v/>
      </c>
      <c r="AE55" s="41" t="str">
        <f>IF(AND('Mapa final'!$AB$60="Muy Baja",'Mapa final'!$AD$60="Mayor"),CONCATENATE("R10C",'Mapa final'!$R$60),"")</f>
        <v/>
      </c>
      <c r="AF55" s="41" t="str">
        <f>IF(AND('Mapa final'!$AB$61="Muy Baja",'Mapa final'!$AD$61="Mayor"),CONCATENATE("R10C",'Mapa final'!$R$61),"")</f>
        <v/>
      </c>
      <c r="AG55" s="42" t="str">
        <f>IF(AND('Mapa final'!$AB$62="Muy Baja",'Mapa final'!$AD$62="Mayor"),CONCATENATE("R10C",'Mapa final'!$R$62),"")</f>
        <v/>
      </c>
      <c r="AH55" s="43" t="str">
        <f>IF(AND('Mapa final'!$AB$57="Muy Baja",'Mapa final'!$AD$57="Catastrófico"),CONCATENATE("R10C",'Mapa final'!$R$57),"")</f>
        <v/>
      </c>
      <c r="AI55" s="44" t="str">
        <f>IF(AND('Mapa final'!$AB$58="Muy Baja",'Mapa final'!$AD$58="Catastrófico"),CONCATENATE("R10C",'Mapa final'!$R$58),"")</f>
        <v/>
      </c>
      <c r="AJ55" s="44" t="str">
        <f>IF(AND('Mapa final'!$AB$59="Muy Baja",'Mapa final'!$AD$59="Catastrófico"),CONCATENATE("R10C",'Mapa final'!$R$59),"")</f>
        <v/>
      </c>
      <c r="AK55" s="44" t="str">
        <f>IF(AND('Mapa final'!$AB$60="Muy Baja",'Mapa final'!$AD$60="Catastrófico"),CONCATENATE("R10C",'Mapa final'!$R$60),"")</f>
        <v/>
      </c>
      <c r="AL55" s="44" t="str">
        <f>IF(AND('Mapa final'!$AB$61="Muy Baja",'Mapa final'!$AD$61="Catastrófico"),CONCATENATE("R10C",'Mapa final'!$R$61),"")</f>
        <v/>
      </c>
      <c r="AM55" s="45" t="str">
        <f>IF(AND('Mapa final'!$AB$62="Muy Baja",'Mapa final'!$AD$62="Catastrófico"),CONCATENATE("R10C",'Mapa final'!$R$62),"")</f>
        <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75" t="s">
        <v>107</v>
      </c>
      <c r="K56" s="676"/>
      <c r="L56" s="676"/>
      <c r="M56" s="676"/>
      <c r="N56" s="676"/>
      <c r="O56" s="677"/>
      <c r="P56" s="675" t="s">
        <v>106</v>
      </c>
      <c r="Q56" s="676"/>
      <c r="R56" s="676"/>
      <c r="S56" s="676"/>
      <c r="T56" s="676"/>
      <c r="U56" s="677"/>
      <c r="V56" s="675" t="s">
        <v>105</v>
      </c>
      <c r="W56" s="676"/>
      <c r="X56" s="676"/>
      <c r="Y56" s="676"/>
      <c r="Z56" s="676"/>
      <c r="AA56" s="677"/>
      <c r="AB56" s="675" t="s">
        <v>104</v>
      </c>
      <c r="AC56" s="684"/>
      <c r="AD56" s="676"/>
      <c r="AE56" s="676"/>
      <c r="AF56" s="676"/>
      <c r="AG56" s="677"/>
      <c r="AH56" s="675" t="s">
        <v>103</v>
      </c>
      <c r="AI56" s="676"/>
      <c r="AJ56" s="676"/>
      <c r="AK56" s="676"/>
      <c r="AL56" s="676"/>
      <c r="AM56" s="677"/>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78"/>
      <c r="K57" s="679"/>
      <c r="L57" s="679"/>
      <c r="M57" s="679"/>
      <c r="N57" s="679"/>
      <c r="O57" s="680"/>
      <c r="P57" s="678"/>
      <c r="Q57" s="679"/>
      <c r="R57" s="679"/>
      <c r="S57" s="679"/>
      <c r="T57" s="679"/>
      <c r="U57" s="680"/>
      <c r="V57" s="678"/>
      <c r="W57" s="679"/>
      <c r="X57" s="679"/>
      <c r="Y57" s="679"/>
      <c r="Z57" s="679"/>
      <c r="AA57" s="680"/>
      <c r="AB57" s="678"/>
      <c r="AC57" s="679"/>
      <c r="AD57" s="679"/>
      <c r="AE57" s="679"/>
      <c r="AF57" s="679"/>
      <c r="AG57" s="680"/>
      <c r="AH57" s="678"/>
      <c r="AI57" s="679"/>
      <c r="AJ57" s="679"/>
      <c r="AK57" s="679"/>
      <c r="AL57" s="679"/>
      <c r="AM57" s="680"/>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78"/>
      <c r="K58" s="679"/>
      <c r="L58" s="679"/>
      <c r="M58" s="679"/>
      <c r="N58" s="679"/>
      <c r="O58" s="680"/>
      <c r="P58" s="678"/>
      <c r="Q58" s="679"/>
      <c r="R58" s="679"/>
      <c r="S58" s="679"/>
      <c r="T58" s="679"/>
      <c r="U58" s="680"/>
      <c r="V58" s="678"/>
      <c r="W58" s="679"/>
      <c r="X58" s="679"/>
      <c r="Y58" s="679"/>
      <c r="Z58" s="679"/>
      <c r="AA58" s="680"/>
      <c r="AB58" s="678"/>
      <c r="AC58" s="679"/>
      <c r="AD58" s="679"/>
      <c r="AE58" s="679"/>
      <c r="AF58" s="679"/>
      <c r="AG58" s="680"/>
      <c r="AH58" s="678"/>
      <c r="AI58" s="679"/>
      <c r="AJ58" s="679"/>
      <c r="AK58" s="679"/>
      <c r="AL58" s="679"/>
      <c r="AM58" s="680"/>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78"/>
      <c r="K59" s="679"/>
      <c r="L59" s="679"/>
      <c r="M59" s="679"/>
      <c r="N59" s="679"/>
      <c r="O59" s="680"/>
      <c r="P59" s="678"/>
      <c r="Q59" s="679"/>
      <c r="R59" s="679"/>
      <c r="S59" s="679"/>
      <c r="T59" s="679"/>
      <c r="U59" s="680"/>
      <c r="V59" s="678"/>
      <c r="W59" s="679"/>
      <c r="X59" s="679"/>
      <c r="Y59" s="679"/>
      <c r="Z59" s="679"/>
      <c r="AA59" s="680"/>
      <c r="AB59" s="678"/>
      <c r="AC59" s="679"/>
      <c r="AD59" s="679"/>
      <c r="AE59" s="679"/>
      <c r="AF59" s="679"/>
      <c r="AG59" s="680"/>
      <c r="AH59" s="678"/>
      <c r="AI59" s="679"/>
      <c r="AJ59" s="679"/>
      <c r="AK59" s="679"/>
      <c r="AL59" s="679"/>
      <c r="AM59" s="680"/>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78"/>
      <c r="K60" s="679"/>
      <c r="L60" s="679"/>
      <c r="M60" s="679"/>
      <c r="N60" s="679"/>
      <c r="O60" s="680"/>
      <c r="P60" s="678"/>
      <c r="Q60" s="679"/>
      <c r="R60" s="679"/>
      <c r="S60" s="679"/>
      <c r="T60" s="679"/>
      <c r="U60" s="680"/>
      <c r="V60" s="678"/>
      <c r="W60" s="679"/>
      <c r="X60" s="679"/>
      <c r="Y60" s="679"/>
      <c r="Z60" s="679"/>
      <c r="AA60" s="680"/>
      <c r="AB60" s="678"/>
      <c r="AC60" s="679"/>
      <c r="AD60" s="679"/>
      <c r="AE60" s="679"/>
      <c r="AF60" s="679"/>
      <c r="AG60" s="680"/>
      <c r="AH60" s="678"/>
      <c r="AI60" s="679"/>
      <c r="AJ60" s="679"/>
      <c r="AK60" s="679"/>
      <c r="AL60" s="679"/>
      <c r="AM60" s="680"/>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ht="15" thickBot="1" x14ac:dyDescent="0.35">
      <c r="A61" s="65"/>
      <c r="B61" s="65"/>
      <c r="C61" s="65"/>
      <c r="D61" s="65"/>
      <c r="E61" s="65"/>
      <c r="F61" s="65"/>
      <c r="G61" s="65"/>
      <c r="H61" s="65"/>
      <c r="I61" s="65"/>
      <c r="J61" s="681"/>
      <c r="K61" s="682"/>
      <c r="L61" s="682"/>
      <c r="M61" s="682"/>
      <c r="N61" s="682"/>
      <c r="O61" s="683"/>
      <c r="P61" s="681"/>
      <c r="Q61" s="682"/>
      <c r="R61" s="682"/>
      <c r="S61" s="682"/>
      <c r="T61" s="682"/>
      <c r="U61" s="683"/>
      <c r="V61" s="681"/>
      <c r="W61" s="682"/>
      <c r="X61" s="682"/>
      <c r="Y61" s="682"/>
      <c r="Z61" s="682"/>
      <c r="AA61" s="683"/>
      <c r="AB61" s="681"/>
      <c r="AC61" s="682"/>
      <c r="AD61" s="682"/>
      <c r="AE61" s="682"/>
      <c r="AF61" s="682"/>
      <c r="AG61" s="683"/>
      <c r="AH61" s="681"/>
      <c r="AI61" s="682"/>
      <c r="AJ61" s="682"/>
      <c r="AK61" s="682"/>
      <c r="AL61" s="682"/>
      <c r="AM61" s="683"/>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row>
    <row r="63" spans="1:80" ht="15" customHeight="1" x14ac:dyDescent="0.3">
      <c r="A63" s="65"/>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5"/>
      <c r="AV63" s="65"/>
      <c r="AW63" s="65"/>
      <c r="AX63" s="65"/>
      <c r="AY63" s="65"/>
      <c r="AZ63" s="65"/>
      <c r="BA63" s="65"/>
      <c r="BB63" s="65"/>
      <c r="BC63" s="65"/>
      <c r="BD63" s="65"/>
      <c r="BE63" s="65"/>
      <c r="BF63" s="65"/>
      <c r="BG63" s="65"/>
      <c r="BH63" s="65"/>
    </row>
    <row r="64" spans="1:80" ht="15" customHeight="1" x14ac:dyDescent="0.3">
      <c r="A64" s="6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5"/>
      <c r="AV64" s="65"/>
      <c r="AW64" s="65"/>
      <c r="AX64" s="65"/>
      <c r="AY64" s="65"/>
      <c r="AZ64" s="65"/>
      <c r="BA64" s="65"/>
      <c r="BB64" s="65"/>
      <c r="BC64" s="65"/>
      <c r="BD64" s="65"/>
      <c r="BE64" s="65"/>
      <c r="BF64" s="65"/>
      <c r="BG64" s="65"/>
      <c r="BH64" s="65"/>
    </row>
    <row r="65" spans="1:6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6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6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6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6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6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6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6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6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6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6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6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6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6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row>
    <row r="107" spans="1:60"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row>
    <row r="108" spans="1:60"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row>
    <row r="109" spans="1:60"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row>
    <row r="110" spans="1:60"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row>
    <row r="111" spans="1:60"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row>
    <row r="112" spans="1:60"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row>
    <row r="113" spans="1:60"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row>
    <row r="114" spans="1:60"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row>
    <row r="115" spans="1:60"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row>
    <row r="116" spans="1:60"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row>
    <row r="117" spans="1:60"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row>
    <row r="118" spans="1:60"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row>
    <row r="119" spans="1:60"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row>
    <row r="120" spans="1:60"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row>
    <row r="121" spans="1:60"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row>
    <row r="122" spans="1:60"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row>
    <row r="123" spans="1:60"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row>
    <row r="124" spans="1:60"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row>
    <row r="125" spans="1:60"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row>
    <row r="126" spans="1:60"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row>
    <row r="127" spans="1:60"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row>
    <row r="128" spans="1:60"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row>
    <row r="129" spans="1:60"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row>
    <row r="130" spans="1:60"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row>
    <row r="131" spans="1:60"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row>
    <row r="132" spans="1:60"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row>
    <row r="133" spans="1:60"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row>
    <row r="134" spans="1:60"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row>
    <row r="135" spans="1:60"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row>
    <row r="136" spans="1:60"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row>
    <row r="137" spans="1:60"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row>
    <row r="138" spans="1:60"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row>
    <row r="139" spans="1:60"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row>
    <row r="140" spans="1:60"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row>
    <row r="141" spans="1:60"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row>
    <row r="142" spans="1:60"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row>
    <row r="143" spans="1:60"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row>
    <row r="144" spans="1:60"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row>
    <row r="145" spans="1:60"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x14ac:dyDescent="0.3">
      <c r="A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x14ac:dyDescent="0.3">
      <c r="A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x14ac:dyDescent="0.3">
      <c r="A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x14ac:dyDescent="0.3">
      <c r="A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x14ac:dyDescent="0.3">
      <c r="A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x14ac:dyDescent="0.3">
      <c r="A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x14ac:dyDescent="0.3">
      <c r="A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x14ac:dyDescent="0.3">
      <c r="A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x14ac:dyDescent="0.3">
      <c r="A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x14ac:dyDescent="0.3">
      <c r="A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x14ac:dyDescent="0.3">
      <c r="A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x14ac:dyDescent="0.3">
      <c r="A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x14ac:dyDescent="0.3">
      <c r="A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x14ac:dyDescent="0.3">
      <c r="A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x14ac:dyDescent="0.3">
      <c r="A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x14ac:dyDescent="0.3">
      <c r="A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x14ac:dyDescent="0.3">
      <c r="A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x14ac:dyDescent="0.3">
      <c r="A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x14ac:dyDescent="0.3">
      <c r="A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x14ac:dyDescent="0.3">
      <c r="A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x14ac:dyDescent="0.3">
      <c r="A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x14ac:dyDescent="0.3">
      <c r="A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x14ac:dyDescent="0.3">
      <c r="A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x14ac:dyDescent="0.3">
      <c r="A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x14ac:dyDescent="0.3">
      <c r="A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x14ac:dyDescent="0.3">
      <c r="A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x14ac:dyDescent="0.3">
      <c r="A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x14ac:dyDescent="0.3">
      <c r="A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x14ac:dyDescent="0.3">
      <c r="A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x14ac:dyDescent="0.3">
      <c r="A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x14ac:dyDescent="0.3">
      <c r="A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x14ac:dyDescent="0.3">
      <c r="A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x14ac:dyDescent="0.3">
      <c r="A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x14ac:dyDescent="0.3">
      <c r="A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x14ac:dyDescent="0.3">
      <c r="A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x14ac:dyDescent="0.3">
      <c r="A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x14ac:dyDescent="0.3">
      <c r="A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x14ac:dyDescent="0.3">
      <c r="A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x14ac:dyDescent="0.3">
      <c r="A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x14ac:dyDescent="0.3">
      <c r="A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x14ac:dyDescent="0.3">
      <c r="A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x14ac:dyDescent="0.3">
      <c r="A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x14ac:dyDescent="0.3">
      <c r="A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x14ac:dyDescent="0.3">
      <c r="A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x14ac:dyDescent="0.3">
      <c r="A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x14ac:dyDescent="0.3">
      <c r="A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x14ac:dyDescent="0.3">
      <c r="A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x14ac:dyDescent="0.3">
      <c r="A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x14ac:dyDescent="0.3">
      <c r="A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x14ac:dyDescent="0.3">
      <c r="A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x14ac:dyDescent="0.3">
      <c r="A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x14ac:dyDescent="0.3">
      <c r="A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x14ac:dyDescent="0.3">
      <c r="A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x14ac:dyDescent="0.3">
      <c r="A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x14ac:dyDescent="0.3">
      <c r="A245" s="65"/>
    </row>
    <row r="246" spans="1:60" x14ac:dyDescent="0.3">
      <c r="A246" s="65"/>
    </row>
    <row r="247" spans="1:60" x14ac:dyDescent="0.3">
      <c r="A247" s="65"/>
    </row>
    <row r="248" spans="1:60" x14ac:dyDescent="0.3">
      <c r="A248" s="65"/>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5"/>
      <c r="B1" s="724" t="s">
        <v>55</v>
      </c>
      <c r="C1" s="724"/>
      <c r="D1" s="724"/>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7" x14ac:dyDescent="0.3">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7" ht="25.2" x14ac:dyDescent="0.3">
      <c r="A3" s="65"/>
      <c r="B3" s="10"/>
      <c r="C3" s="11" t="s">
        <v>52</v>
      </c>
      <c r="D3" s="11" t="s">
        <v>4</v>
      </c>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7" ht="50.4" x14ac:dyDescent="0.3">
      <c r="A4" s="65"/>
      <c r="B4" s="12" t="s">
        <v>51</v>
      </c>
      <c r="C4" s="13" t="s">
        <v>97</v>
      </c>
      <c r="D4" s="14">
        <v>0.2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7" ht="50.4" x14ac:dyDescent="0.3">
      <c r="A5" s="65"/>
      <c r="B5" s="15" t="s">
        <v>53</v>
      </c>
      <c r="C5" s="16" t="s">
        <v>98</v>
      </c>
      <c r="D5" s="17">
        <v>0.4</v>
      </c>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7" ht="50.4" x14ac:dyDescent="0.3">
      <c r="A6" s="65"/>
      <c r="B6" s="18" t="s">
        <v>102</v>
      </c>
      <c r="C6" s="16" t="s">
        <v>99</v>
      </c>
      <c r="D6" s="17">
        <v>0.6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7" ht="75.599999999999994" x14ac:dyDescent="0.3">
      <c r="A7" s="65"/>
      <c r="B7" s="19" t="s">
        <v>6</v>
      </c>
      <c r="C7" s="16" t="s">
        <v>100</v>
      </c>
      <c r="D7" s="17">
        <v>0.8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7" ht="50.4" x14ac:dyDescent="0.3">
      <c r="A8" s="65"/>
      <c r="B8" s="20" t="s">
        <v>54</v>
      </c>
      <c r="C8" s="16" t="s">
        <v>101</v>
      </c>
      <c r="D8" s="17">
        <v>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7" x14ac:dyDescent="0.3">
      <c r="A9" s="65"/>
      <c r="B9" s="87"/>
      <c r="C9" s="87"/>
      <c r="D9" s="87"/>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x14ac:dyDescent="0.3">
      <c r="A10" s="65"/>
      <c r="B10" s="88"/>
      <c r="C10" s="87"/>
      <c r="D10" s="87"/>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1:37" x14ac:dyDescent="0.3">
      <c r="A11" s="65"/>
      <c r="B11" s="87"/>
      <c r="C11" s="87"/>
      <c r="D11" s="8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1:37" x14ac:dyDescent="0.3">
      <c r="A12" s="65"/>
      <c r="B12" s="87"/>
      <c r="C12" s="87"/>
      <c r="D12" s="8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1:37" x14ac:dyDescent="0.3">
      <c r="A13" s="65"/>
      <c r="B13" s="87"/>
      <c r="C13" s="87"/>
      <c r="D13" s="8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1:37" x14ac:dyDescent="0.3">
      <c r="A14" s="65"/>
      <c r="B14" s="87"/>
      <c r="C14" s="87"/>
      <c r="D14" s="8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1:37" x14ac:dyDescent="0.3">
      <c r="A15" s="65"/>
      <c r="B15" s="87"/>
      <c r="C15" s="87"/>
      <c r="D15" s="8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1:37" x14ac:dyDescent="0.3">
      <c r="A16" s="65"/>
      <c r="B16" s="87"/>
      <c r="C16" s="87"/>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x14ac:dyDescent="0.3">
      <c r="A17" s="65"/>
      <c r="B17" s="87"/>
      <c r="C17" s="87"/>
      <c r="D17" s="8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1:37" x14ac:dyDescent="0.3">
      <c r="A18" s="65"/>
      <c r="B18" s="87"/>
      <c r="C18" s="87"/>
      <c r="D18" s="8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row>
    <row r="19" spans="1:37"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row>
    <row r="20" spans="1:37"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7"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1:37"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37"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1:37"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37"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37"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row>
    <row r="30" spans="1:37"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37"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37"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31" x14ac:dyDescent="0.3">
      <c r="A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x14ac:dyDescent="0.3">
      <c r="A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x14ac:dyDescent="0.3">
      <c r="A35" s="65"/>
    </row>
    <row r="36" spans="1:31" x14ac:dyDescent="0.3">
      <c r="A36" s="65"/>
    </row>
    <row r="37" spans="1:31" x14ac:dyDescent="0.3">
      <c r="A37" s="65"/>
    </row>
    <row r="38" spans="1:31" x14ac:dyDescent="0.3">
      <c r="A38" s="65"/>
    </row>
    <row r="39" spans="1:31" x14ac:dyDescent="0.3">
      <c r="A39" s="65"/>
    </row>
    <row r="40" spans="1:31" x14ac:dyDescent="0.3">
      <c r="A40" s="65"/>
    </row>
    <row r="41" spans="1:31" x14ac:dyDescent="0.3">
      <c r="A41" s="65"/>
    </row>
    <row r="42" spans="1:31" x14ac:dyDescent="0.3">
      <c r="A42" s="65"/>
    </row>
    <row r="43" spans="1:31" x14ac:dyDescent="0.3">
      <c r="A43" s="65"/>
    </row>
    <row r="44" spans="1:31" x14ac:dyDescent="0.3">
      <c r="A44" s="65"/>
    </row>
    <row r="45" spans="1:31" x14ac:dyDescent="0.3">
      <c r="A45" s="65"/>
    </row>
    <row r="46" spans="1:31" x14ac:dyDescent="0.3">
      <c r="A46" s="65"/>
    </row>
    <row r="47" spans="1:31" x14ac:dyDescent="0.3">
      <c r="A47" s="65"/>
    </row>
    <row r="48" spans="1:31" x14ac:dyDescent="0.3">
      <c r="A48" s="65"/>
    </row>
    <row r="49" spans="1:1" x14ac:dyDescent="0.3">
      <c r="A49" s="65"/>
    </row>
    <row r="50" spans="1:1" x14ac:dyDescent="0.3">
      <c r="A50" s="65"/>
    </row>
    <row r="51" spans="1:1" x14ac:dyDescent="0.3">
      <c r="A51" s="65"/>
    </row>
    <row r="52" spans="1:1" x14ac:dyDescent="0.3">
      <c r="A52" s="65"/>
    </row>
    <row r="53" spans="1:1" x14ac:dyDescent="0.3">
      <c r="A53" s="65"/>
    </row>
    <row r="54" spans="1:1" x14ac:dyDescent="0.3">
      <c r="A54" s="65"/>
    </row>
    <row r="55" spans="1:1" x14ac:dyDescent="0.3">
      <c r="A55" s="6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1"/>
    <col min="2" max="2" width="40.44140625" style="21" customWidth="1"/>
    <col min="3" max="3" width="74.88671875" style="21" customWidth="1"/>
    <col min="4" max="4" width="135" style="21" bestFit="1" customWidth="1"/>
    <col min="5" max="5" width="137.88671875" style="21" customWidth="1"/>
    <col min="6" max="16384" width="11.44140625" style="21"/>
  </cols>
  <sheetData>
    <row r="1" spans="1:21" ht="32.4" x14ac:dyDescent="0.3">
      <c r="A1" s="87"/>
      <c r="B1" s="725" t="s">
        <v>62</v>
      </c>
      <c r="C1" s="725"/>
      <c r="D1" s="725"/>
      <c r="E1" s="87"/>
      <c r="F1" s="87"/>
      <c r="G1" s="87"/>
      <c r="H1" s="87"/>
      <c r="I1" s="87"/>
      <c r="J1" s="87"/>
      <c r="K1" s="87"/>
      <c r="L1" s="87"/>
      <c r="M1" s="87"/>
      <c r="N1" s="87"/>
      <c r="O1" s="87"/>
      <c r="P1" s="87"/>
      <c r="Q1" s="87"/>
      <c r="R1" s="87"/>
      <c r="S1" s="87"/>
      <c r="T1" s="87"/>
      <c r="U1" s="87"/>
    </row>
    <row r="2" spans="1:21" x14ac:dyDescent="0.3">
      <c r="A2" s="87"/>
      <c r="B2" s="87"/>
      <c r="C2" s="87"/>
      <c r="D2" s="87"/>
      <c r="E2" s="87"/>
      <c r="F2" s="87"/>
      <c r="G2" s="87"/>
      <c r="H2" s="87"/>
      <c r="I2" s="87"/>
      <c r="J2" s="87"/>
      <c r="K2" s="87"/>
      <c r="L2" s="87"/>
      <c r="M2" s="87"/>
      <c r="N2" s="87"/>
      <c r="O2" s="87"/>
      <c r="P2" s="87"/>
      <c r="Q2" s="87"/>
      <c r="R2" s="87"/>
      <c r="S2" s="87"/>
      <c r="T2" s="87"/>
      <c r="U2" s="87"/>
    </row>
    <row r="3" spans="1:21" ht="30" x14ac:dyDescent="0.3">
      <c r="A3" s="87"/>
      <c r="B3" s="86"/>
      <c r="C3" s="123" t="s">
        <v>56</v>
      </c>
      <c r="D3" s="123" t="s">
        <v>57</v>
      </c>
      <c r="E3" s="87"/>
      <c r="F3" s="87"/>
      <c r="G3" s="87"/>
      <c r="H3" s="87"/>
      <c r="I3" s="87"/>
      <c r="J3" s="87"/>
      <c r="K3" s="87"/>
      <c r="L3" s="87"/>
      <c r="M3" s="87"/>
      <c r="N3" s="87"/>
      <c r="O3" s="87"/>
      <c r="P3" s="87"/>
      <c r="Q3" s="87"/>
      <c r="R3" s="87"/>
      <c r="S3" s="87"/>
      <c r="T3" s="87"/>
      <c r="U3" s="87"/>
    </row>
    <row r="4" spans="1:21" ht="32.4" x14ac:dyDescent="0.3">
      <c r="A4" s="87" t="s">
        <v>82</v>
      </c>
      <c r="B4" s="124" t="s">
        <v>96</v>
      </c>
      <c r="C4" s="125" t="s">
        <v>204</v>
      </c>
      <c r="D4" s="126" t="s">
        <v>92</v>
      </c>
      <c r="E4" s="87"/>
      <c r="F4" s="87"/>
      <c r="G4" s="87"/>
      <c r="H4" s="87"/>
      <c r="I4" s="87"/>
      <c r="J4" s="87"/>
      <c r="K4" s="87"/>
      <c r="L4" s="87"/>
      <c r="M4" s="87"/>
      <c r="N4" s="87"/>
      <c r="O4" s="87"/>
      <c r="P4" s="87"/>
      <c r="Q4" s="87"/>
      <c r="R4" s="87"/>
      <c r="S4" s="87"/>
      <c r="T4" s="87"/>
      <c r="U4" s="87"/>
    </row>
    <row r="5" spans="1:21" ht="64.8" x14ac:dyDescent="0.3">
      <c r="A5" s="87" t="s">
        <v>83</v>
      </c>
      <c r="B5" s="127" t="s">
        <v>58</v>
      </c>
      <c r="C5" s="128" t="s">
        <v>205</v>
      </c>
      <c r="D5" s="129" t="s">
        <v>93</v>
      </c>
      <c r="E5" s="87"/>
      <c r="F5" s="87"/>
      <c r="G5" s="87"/>
      <c r="H5" s="87"/>
      <c r="I5" s="87"/>
      <c r="J5" s="87"/>
      <c r="K5" s="87"/>
      <c r="L5" s="87"/>
      <c r="M5" s="87"/>
      <c r="N5" s="87"/>
      <c r="O5" s="87"/>
      <c r="P5" s="87"/>
      <c r="Q5" s="87"/>
      <c r="R5" s="87"/>
      <c r="S5" s="87"/>
      <c r="T5" s="87"/>
      <c r="U5" s="87"/>
    </row>
    <row r="6" spans="1:21" ht="64.8" x14ac:dyDescent="0.3">
      <c r="A6" s="87" t="s">
        <v>80</v>
      </c>
      <c r="B6" s="130" t="s">
        <v>59</v>
      </c>
      <c r="C6" s="128" t="s">
        <v>209</v>
      </c>
      <c r="D6" s="129" t="s">
        <v>95</v>
      </c>
      <c r="E6" s="87"/>
      <c r="F6" s="87"/>
      <c r="G6" s="87"/>
      <c r="H6" s="87"/>
      <c r="I6" s="87"/>
      <c r="J6" s="87"/>
      <c r="K6" s="87"/>
      <c r="L6" s="87"/>
      <c r="M6" s="87"/>
      <c r="N6" s="87"/>
      <c r="O6" s="87"/>
      <c r="P6" s="87"/>
      <c r="Q6" s="87"/>
      <c r="R6" s="87"/>
      <c r="S6" s="87"/>
      <c r="T6" s="87"/>
      <c r="U6" s="87"/>
    </row>
    <row r="7" spans="1:21" ht="97.2" x14ac:dyDescent="0.3">
      <c r="A7" s="87" t="s">
        <v>7</v>
      </c>
      <c r="B7" s="131" t="s">
        <v>60</v>
      </c>
      <c r="C7" s="128" t="s">
        <v>210</v>
      </c>
      <c r="D7" s="129" t="s">
        <v>94</v>
      </c>
      <c r="E7" s="87"/>
      <c r="F7" s="87"/>
      <c r="G7" s="87"/>
      <c r="H7" s="87"/>
      <c r="I7" s="87"/>
      <c r="J7" s="87"/>
      <c r="K7" s="87"/>
      <c r="L7" s="87"/>
      <c r="M7" s="87"/>
      <c r="N7" s="87"/>
      <c r="O7" s="87"/>
      <c r="P7" s="87"/>
      <c r="Q7" s="87"/>
      <c r="R7" s="87"/>
      <c r="S7" s="87"/>
      <c r="T7" s="87"/>
      <c r="U7" s="87"/>
    </row>
    <row r="8" spans="1:21" ht="64.8" x14ac:dyDescent="0.3">
      <c r="A8" s="87" t="s">
        <v>84</v>
      </c>
      <c r="B8" s="132" t="s">
        <v>61</v>
      </c>
      <c r="C8" s="128" t="s">
        <v>206</v>
      </c>
      <c r="D8" s="129" t="s">
        <v>113</v>
      </c>
      <c r="E8" s="87"/>
      <c r="F8" s="87"/>
      <c r="G8" s="87"/>
      <c r="H8" s="87"/>
      <c r="I8" s="87"/>
      <c r="J8" s="87"/>
      <c r="K8" s="87"/>
      <c r="L8" s="87"/>
      <c r="M8" s="87"/>
      <c r="N8" s="87"/>
      <c r="O8" s="87"/>
      <c r="P8" s="87"/>
      <c r="Q8" s="87"/>
      <c r="R8" s="87"/>
      <c r="S8" s="87"/>
      <c r="T8" s="87"/>
      <c r="U8" s="87"/>
    </row>
    <row r="9" spans="1:21" s="22" customFormat="1" ht="20.399999999999999" x14ac:dyDescent="0.3">
      <c r="A9" s="85"/>
      <c r="B9" s="85"/>
      <c r="C9" s="136"/>
      <c r="D9" s="136"/>
      <c r="E9" s="85"/>
      <c r="F9" s="85"/>
      <c r="G9" s="85"/>
      <c r="H9" s="85"/>
      <c r="I9" s="85"/>
      <c r="J9" s="85"/>
      <c r="K9" s="85"/>
      <c r="L9" s="85"/>
      <c r="M9" s="85"/>
      <c r="N9" s="85"/>
      <c r="O9" s="85"/>
      <c r="P9" s="85"/>
      <c r="Q9" s="85"/>
      <c r="R9" s="85"/>
      <c r="S9" s="85"/>
      <c r="T9" s="85"/>
      <c r="U9" s="85"/>
    </row>
    <row r="10" spans="1:21" s="22" customFormat="1" x14ac:dyDescent="0.3">
      <c r="A10" s="85"/>
      <c r="B10" s="137"/>
      <c r="C10" s="137"/>
      <c r="D10" s="137"/>
      <c r="E10" s="85"/>
      <c r="F10" s="85"/>
      <c r="G10" s="85"/>
      <c r="H10" s="85"/>
      <c r="I10" s="85"/>
      <c r="J10" s="85"/>
      <c r="K10" s="85"/>
      <c r="L10" s="85"/>
      <c r="M10" s="85"/>
      <c r="N10" s="85"/>
      <c r="O10" s="85"/>
      <c r="P10" s="85"/>
      <c r="Q10" s="85"/>
      <c r="R10" s="85"/>
      <c r="S10" s="85"/>
      <c r="T10" s="85"/>
      <c r="U10" s="85"/>
    </row>
    <row r="11" spans="1:21" s="22" customFormat="1" x14ac:dyDescent="0.3">
      <c r="A11" s="85"/>
      <c r="B11" s="85" t="s">
        <v>90</v>
      </c>
      <c r="C11" s="85" t="s">
        <v>208</v>
      </c>
      <c r="D11" s="85" t="s">
        <v>142</v>
      </c>
      <c r="E11" s="85"/>
      <c r="F11" s="85"/>
      <c r="G11" s="85"/>
      <c r="H11" s="85"/>
      <c r="I11" s="85"/>
      <c r="J11" s="85"/>
      <c r="K11" s="85"/>
      <c r="L11" s="85"/>
      <c r="M11" s="85"/>
      <c r="N11" s="85"/>
      <c r="O11" s="85"/>
      <c r="P11" s="85"/>
      <c r="Q11" s="85"/>
      <c r="R11" s="85"/>
      <c r="S11" s="85"/>
      <c r="T11" s="85"/>
      <c r="U11" s="85"/>
    </row>
    <row r="12" spans="1:21" s="22" customFormat="1" x14ac:dyDescent="0.3">
      <c r="A12" s="85"/>
      <c r="B12" s="85" t="s">
        <v>88</v>
      </c>
      <c r="C12" s="85" t="s">
        <v>207</v>
      </c>
      <c r="D12" s="85" t="s">
        <v>143</v>
      </c>
      <c r="E12" s="85"/>
      <c r="F12" s="85"/>
      <c r="G12" s="85"/>
      <c r="H12" s="85"/>
      <c r="I12" s="85"/>
      <c r="J12" s="85"/>
      <c r="K12" s="85"/>
      <c r="L12" s="85"/>
      <c r="M12" s="85"/>
      <c r="N12" s="85"/>
      <c r="O12" s="85"/>
      <c r="P12" s="85"/>
      <c r="Q12" s="85"/>
      <c r="R12" s="85"/>
      <c r="S12" s="85"/>
      <c r="T12" s="85"/>
      <c r="U12" s="85"/>
    </row>
    <row r="13" spans="1:21" s="22" customFormat="1" x14ac:dyDescent="0.3">
      <c r="A13" s="85"/>
      <c r="B13" s="85"/>
      <c r="C13" s="85" t="s">
        <v>211</v>
      </c>
      <c r="D13" s="85" t="s">
        <v>144</v>
      </c>
      <c r="E13" s="85"/>
      <c r="F13" s="85"/>
      <c r="G13" s="85"/>
      <c r="H13" s="85"/>
      <c r="I13" s="85"/>
      <c r="J13" s="85"/>
      <c r="K13" s="85"/>
      <c r="L13" s="85"/>
      <c r="M13" s="85"/>
      <c r="N13" s="85"/>
      <c r="O13" s="85"/>
      <c r="P13" s="85"/>
      <c r="Q13" s="85"/>
      <c r="R13" s="85"/>
      <c r="S13" s="85"/>
      <c r="T13" s="85"/>
      <c r="U13" s="85"/>
    </row>
    <row r="14" spans="1:21" s="22" customFormat="1" x14ac:dyDescent="0.3">
      <c r="A14" s="85"/>
      <c r="B14" s="85"/>
      <c r="C14" s="85" t="s">
        <v>213</v>
      </c>
      <c r="D14" s="85" t="s">
        <v>145</v>
      </c>
      <c r="E14" s="85"/>
      <c r="F14" s="85"/>
      <c r="G14" s="85"/>
      <c r="H14" s="85"/>
      <c r="I14" s="85"/>
      <c r="J14" s="85"/>
      <c r="K14" s="85"/>
      <c r="L14" s="85"/>
      <c r="M14" s="85"/>
      <c r="N14" s="85"/>
      <c r="O14" s="85"/>
      <c r="P14" s="85"/>
      <c r="Q14" s="85"/>
      <c r="R14" s="85"/>
      <c r="S14" s="85"/>
      <c r="T14" s="85"/>
      <c r="U14" s="85"/>
    </row>
    <row r="15" spans="1:21" s="22" customFormat="1" x14ac:dyDescent="0.3">
      <c r="A15" s="85"/>
      <c r="B15" s="85"/>
      <c r="C15" s="85" t="s">
        <v>212</v>
      </c>
      <c r="D15" s="85" t="s">
        <v>146</v>
      </c>
      <c r="E15" s="85"/>
      <c r="F15" s="85"/>
      <c r="G15" s="85"/>
      <c r="H15" s="85"/>
      <c r="I15" s="85"/>
      <c r="J15" s="85"/>
      <c r="K15" s="85"/>
      <c r="L15" s="85"/>
      <c r="M15" s="85"/>
      <c r="N15" s="85"/>
      <c r="O15" s="85"/>
      <c r="P15" s="85"/>
      <c r="Q15" s="85"/>
      <c r="R15" s="85"/>
      <c r="S15" s="85"/>
      <c r="T15" s="85"/>
      <c r="U15" s="85"/>
    </row>
    <row r="16" spans="1:21" s="22" customFormat="1" x14ac:dyDescent="0.3">
      <c r="A16" s="85"/>
      <c r="B16" s="85"/>
      <c r="C16" s="85"/>
      <c r="D16" s="85"/>
      <c r="E16" s="85"/>
      <c r="F16" s="85"/>
      <c r="G16" s="85"/>
      <c r="H16" s="85"/>
      <c r="I16" s="85"/>
      <c r="J16" s="85"/>
      <c r="K16" s="85"/>
      <c r="L16" s="85"/>
      <c r="M16" s="85"/>
      <c r="N16" s="85"/>
      <c r="O16" s="85"/>
    </row>
    <row r="17" spans="1:15" s="22" customFormat="1" x14ac:dyDescent="0.3">
      <c r="A17" s="85"/>
      <c r="B17" s="85"/>
      <c r="C17" s="85"/>
      <c r="D17" s="85"/>
      <c r="E17" s="85"/>
      <c r="F17" s="85"/>
      <c r="G17" s="85"/>
      <c r="H17" s="85"/>
      <c r="I17" s="85"/>
      <c r="J17" s="85"/>
      <c r="K17" s="85"/>
      <c r="L17" s="85"/>
      <c r="M17" s="85"/>
      <c r="N17" s="85"/>
      <c r="O17" s="85"/>
    </row>
    <row r="18" spans="1:15" s="22" customFormat="1" x14ac:dyDescent="0.3">
      <c r="A18" s="85"/>
      <c r="B18" s="85"/>
      <c r="C18" s="85"/>
      <c r="D18" s="85"/>
      <c r="E18" s="85"/>
      <c r="F18" s="85"/>
      <c r="G18" s="85"/>
      <c r="H18" s="85"/>
      <c r="I18" s="85"/>
      <c r="J18" s="85"/>
      <c r="K18" s="85"/>
      <c r="L18" s="85"/>
      <c r="M18" s="85"/>
      <c r="N18" s="85"/>
      <c r="O18" s="85"/>
    </row>
    <row r="19" spans="1:15" s="22" customFormat="1" x14ac:dyDescent="0.3">
      <c r="A19" s="85"/>
      <c r="B19" s="85"/>
      <c r="C19" s="85"/>
      <c r="D19" s="85"/>
      <c r="E19" s="85"/>
      <c r="F19" s="85"/>
      <c r="G19" s="85"/>
      <c r="H19" s="85"/>
      <c r="I19" s="85"/>
      <c r="J19" s="85"/>
      <c r="K19" s="85"/>
      <c r="L19" s="85"/>
      <c r="M19" s="85"/>
      <c r="N19" s="85"/>
      <c r="O19" s="85"/>
    </row>
    <row r="20" spans="1:15" s="22" customFormat="1" x14ac:dyDescent="0.3">
      <c r="A20" s="85"/>
      <c r="B20" s="85"/>
      <c r="C20" s="85"/>
      <c r="D20" s="85"/>
      <c r="E20" s="85"/>
      <c r="F20" s="85"/>
      <c r="G20" s="85"/>
      <c r="H20" s="85"/>
      <c r="I20" s="85"/>
      <c r="J20" s="85"/>
      <c r="K20" s="85"/>
      <c r="L20" s="85"/>
      <c r="M20" s="85"/>
      <c r="N20" s="85"/>
      <c r="O20" s="85"/>
    </row>
    <row r="21" spans="1:15" s="22" customFormat="1" x14ac:dyDescent="0.3">
      <c r="A21" s="85"/>
      <c r="B21" s="85"/>
      <c r="C21" s="85"/>
      <c r="D21" s="85"/>
      <c r="E21" s="85"/>
      <c r="F21" s="85"/>
      <c r="G21" s="85"/>
      <c r="H21" s="85"/>
      <c r="I21" s="85"/>
      <c r="J21" s="85"/>
      <c r="K21" s="85"/>
      <c r="L21" s="85"/>
      <c r="M21" s="85"/>
      <c r="N21" s="85"/>
      <c r="O21" s="85"/>
    </row>
    <row r="22" spans="1:15" s="22" customFormat="1" ht="20.399999999999999" x14ac:dyDescent="0.3">
      <c r="A22" s="85"/>
      <c r="B22" s="85"/>
      <c r="C22" s="136"/>
      <c r="D22" s="136"/>
      <c r="E22" s="85"/>
      <c r="F22" s="85"/>
      <c r="G22" s="85"/>
      <c r="H22" s="85"/>
      <c r="I22" s="85"/>
      <c r="J22" s="85"/>
      <c r="K22" s="85"/>
      <c r="L22" s="85"/>
      <c r="M22" s="85"/>
      <c r="N22" s="85"/>
      <c r="O22" s="85"/>
    </row>
    <row r="23" spans="1:15" s="22" customFormat="1" ht="20.399999999999999" x14ac:dyDescent="0.3">
      <c r="A23" s="85"/>
      <c r="B23" s="85"/>
      <c r="C23" s="136"/>
      <c r="D23" s="136"/>
      <c r="E23" s="85"/>
      <c r="F23" s="85"/>
      <c r="G23" s="85"/>
      <c r="H23" s="85"/>
      <c r="I23" s="85"/>
      <c r="J23" s="85"/>
      <c r="K23" s="85"/>
      <c r="L23" s="85"/>
      <c r="M23" s="85"/>
      <c r="N23" s="85"/>
      <c r="O23" s="85"/>
    </row>
    <row r="24" spans="1:15" s="22" customFormat="1" ht="20.399999999999999" x14ac:dyDescent="0.3">
      <c r="A24" s="85"/>
      <c r="B24" s="85"/>
      <c r="C24" s="136"/>
      <c r="D24" s="136"/>
      <c r="E24" s="85"/>
      <c r="F24" s="85"/>
      <c r="G24" s="85"/>
      <c r="H24" s="85"/>
      <c r="I24" s="85"/>
      <c r="J24" s="85"/>
      <c r="K24" s="85"/>
      <c r="L24" s="85"/>
      <c r="M24" s="85"/>
      <c r="N24" s="85"/>
      <c r="O24" s="85"/>
    </row>
    <row r="25" spans="1:15" s="22" customFormat="1" ht="20.399999999999999" x14ac:dyDescent="0.3">
      <c r="A25" s="85"/>
      <c r="B25" s="85"/>
      <c r="C25" s="136"/>
      <c r="D25" s="136"/>
      <c r="E25" s="85"/>
      <c r="F25" s="85"/>
      <c r="G25" s="85"/>
      <c r="H25" s="85"/>
      <c r="I25" s="85"/>
      <c r="J25" s="85"/>
      <c r="K25" s="85"/>
      <c r="L25" s="85"/>
      <c r="M25" s="85"/>
      <c r="N25" s="85"/>
      <c r="O25" s="85"/>
    </row>
    <row r="26" spans="1:15" s="22" customFormat="1" ht="20.399999999999999" x14ac:dyDescent="0.3">
      <c r="A26" s="85"/>
      <c r="B26" s="85"/>
      <c r="C26" s="136"/>
      <c r="D26" s="136"/>
      <c r="E26" s="85"/>
      <c r="F26" s="85"/>
      <c r="G26" s="85"/>
      <c r="H26" s="85"/>
      <c r="I26" s="85"/>
      <c r="J26" s="85"/>
      <c r="K26" s="85"/>
      <c r="L26" s="85"/>
      <c r="M26" s="85"/>
      <c r="N26" s="85"/>
      <c r="O26" s="85"/>
    </row>
    <row r="27" spans="1:15" s="22" customFormat="1" ht="20.399999999999999" x14ac:dyDescent="0.3">
      <c r="A27" s="85"/>
      <c r="B27" s="85"/>
      <c r="C27" s="136"/>
      <c r="D27" s="136"/>
      <c r="E27" s="85"/>
      <c r="F27" s="85"/>
      <c r="G27" s="85"/>
      <c r="H27" s="85"/>
      <c r="I27" s="85"/>
      <c r="J27" s="85"/>
      <c r="K27" s="85"/>
      <c r="L27" s="85"/>
      <c r="M27" s="85"/>
      <c r="N27" s="85"/>
      <c r="O27" s="85"/>
    </row>
    <row r="28" spans="1:15" s="22" customFormat="1" ht="20.399999999999999" x14ac:dyDescent="0.3">
      <c r="A28" s="85"/>
      <c r="B28" s="85"/>
      <c r="C28" s="136"/>
      <c r="D28" s="136"/>
      <c r="E28" s="85"/>
      <c r="F28" s="85"/>
      <c r="G28" s="85"/>
      <c r="H28" s="85"/>
      <c r="I28" s="85"/>
      <c r="J28" s="85"/>
      <c r="K28" s="85"/>
      <c r="L28" s="85"/>
      <c r="M28" s="85"/>
      <c r="N28" s="85"/>
      <c r="O28" s="85"/>
    </row>
    <row r="29" spans="1:15" s="22" customFormat="1" ht="20.399999999999999" x14ac:dyDescent="0.3">
      <c r="A29" s="85"/>
      <c r="B29" s="85"/>
      <c r="C29" s="136"/>
      <c r="D29" s="136"/>
      <c r="E29" s="85"/>
      <c r="F29" s="85"/>
      <c r="G29" s="85"/>
      <c r="H29" s="85"/>
      <c r="I29" s="85"/>
      <c r="J29" s="85"/>
      <c r="K29" s="85"/>
      <c r="L29" s="85"/>
      <c r="M29" s="85"/>
      <c r="N29" s="85"/>
      <c r="O29" s="85"/>
    </row>
    <row r="30" spans="1:15" s="22" customFormat="1" ht="20.399999999999999" x14ac:dyDescent="0.3">
      <c r="A30" s="85"/>
      <c r="B30" s="85"/>
      <c r="C30" s="136"/>
      <c r="D30" s="136"/>
      <c r="E30" s="85"/>
      <c r="F30" s="85"/>
      <c r="G30" s="85"/>
      <c r="H30" s="85"/>
      <c r="I30" s="85"/>
      <c r="J30" s="85"/>
      <c r="K30" s="85"/>
      <c r="L30" s="85"/>
      <c r="M30" s="85"/>
      <c r="N30" s="85"/>
      <c r="O30" s="85"/>
    </row>
    <row r="31" spans="1:15" s="22" customFormat="1" ht="20.399999999999999" x14ac:dyDescent="0.3">
      <c r="A31" s="85"/>
      <c r="B31" s="85"/>
      <c r="C31" s="136"/>
      <c r="D31" s="136"/>
      <c r="E31" s="85"/>
      <c r="F31" s="85"/>
      <c r="G31" s="85"/>
      <c r="H31" s="85"/>
      <c r="I31" s="85"/>
      <c r="J31" s="85"/>
      <c r="K31" s="85"/>
      <c r="L31" s="85"/>
      <c r="M31" s="85"/>
      <c r="N31" s="85"/>
      <c r="O31" s="85"/>
    </row>
    <row r="32" spans="1:15" s="22" customFormat="1" ht="20.399999999999999" x14ac:dyDescent="0.3">
      <c r="A32" s="85"/>
      <c r="B32" s="85"/>
      <c r="C32" s="136"/>
      <c r="D32" s="136"/>
      <c r="E32" s="85"/>
      <c r="F32" s="85"/>
      <c r="G32" s="85"/>
      <c r="H32" s="85"/>
      <c r="I32" s="85"/>
      <c r="J32" s="85"/>
      <c r="K32" s="85"/>
      <c r="L32" s="85"/>
      <c r="M32" s="85"/>
      <c r="N32" s="85"/>
      <c r="O32" s="85"/>
    </row>
    <row r="33" spans="1:15" s="22" customFormat="1" ht="20.399999999999999" x14ac:dyDescent="0.3">
      <c r="A33" s="85"/>
      <c r="B33" s="85"/>
      <c r="C33" s="136"/>
      <c r="D33" s="136"/>
      <c r="E33" s="85"/>
      <c r="F33" s="85"/>
      <c r="G33" s="85"/>
      <c r="H33" s="85"/>
      <c r="I33" s="85"/>
      <c r="J33" s="85"/>
      <c r="K33" s="85"/>
      <c r="L33" s="85"/>
      <c r="M33" s="85"/>
      <c r="N33" s="85"/>
      <c r="O33" s="85"/>
    </row>
    <row r="34" spans="1:15" s="22" customFormat="1" ht="20.399999999999999" x14ac:dyDescent="0.3">
      <c r="A34" s="85"/>
      <c r="B34" s="85"/>
      <c r="C34" s="136"/>
      <c r="D34" s="136"/>
      <c r="E34" s="85"/>
      <c r="F34" s="85"/>
      <c r="G34" s="85"/>
      <c r="H34" s="85"/>
      <c r="I34" s="85"/>
      <c r="J34" s="85"/>
      <c r="K34" s="85"/>
      <c r="L34" s="85"/>
      <c r="M34" s="85"/>
      <c r="N34" s="85"/>
      <c r="O34" s="85"/>
    </row>
    <row r="35" spans="1:15" s="22" customFormat="1" ht="20.399999999999999" x14ac:dyDescent="0.3">
      <c r="A35" s="85"/>
      <c r="B35" s="85"/>
      <c r="C35" s="136"/>
      <c r="D35" s="136"/>
      <c r="E35" s="85"/>
      <c r="F35" s="85"/>
      <c r="G35" s="85"/>
      <c r="H35" s="85"/>
      <c r="I35" s="85"/>
      <c r="J35" s="85"/>
      <c r="K35" s="85"/>
      <c r="L35" s="85"/>
      <c r="M35" s="85"/>
      <c r="N35" s="85"/>
      <c r="O35" s="85"/>
    </row>
    <row r="36" spans="1:15" s="22" customFormat="1" ht="20.399999999999999" x14ac:dyDescent="0.3">
      <c r="A36" s="85"/>
      <c r="B36" s="85"/>
      <c r="C36" s="136"/>
      <c r="D36" s="136"/>
      <c r="E36" s="85"/>
      <c r="F36" s="85"/>
      <c r="G36" s="85"/>
      <c r="H36" s="85"/>
      <c r="I36" s="85"/>
      <c r="J36" s="85"/>
      <c r="K36" s="85"/>
      <c r="L36" s="85"/>
      <c r="M36" s="85"/>
      <c r="N36" s="85"/>
      <c r="O36" s="85"/>
    </row>
    <row r="37" spans="1:15" s="22" customFormat="1" ht="20.399999999999999" x14ac:dyDescent="0.3">
      <c r="A37" s="85"/>
      <c r="B37" s="85"/>
      <c r="C37" s="136"/>
      <c r="D37" s="136"/>
      <c r="E37" s="85"/>
      <c r="F37" s="85"/>
      <c r="G37" s="85"/>
      <c r="H37" s="85"/>
      <c r="I37" s="85"/>
      <c r="J37" s="85"/>
      <c r="K37" s="85"/>
      <c r="L37" s="85"/>
      <c r="M37" s="85"/>
      <c r="N37" s="85"/>
      <c r="O37" s="85"/>
    </row>
    <row r="38" spans="1:15" s="22" customFormat="1" ht="20.399999999999999" x14ac:dyDescent="0.3">
      <c r="A38" s="85"/>
      <c r="B38" s="85"/>
      <c r="C38" s="136"/>
      <c r="D38" s="136"/>
      <c r="E38" s="85"/>
      <c r="F38" s="85"/>
      <c r="G38" s="85"/>
      <c r="H38" s="85"/>
      <c r="I38" s="85"/>
      <c r="J38" s="85"/>
      <c r="K38" s="85"/>
      <c r="L38" s="85"/>
      <c r="M38" s="85"/>
      <c r="N38" s="85"/>
      <c r="O38" s="85"/>
    </row>
    <row r="39" spans="1:15" s="22" customFormat="1" ht="20.399999999999999" x14ac:dyDescent="0.3">
      <c r="A39" s="85"/>
      <c r="B39" s="85"/>
      <c r="C39" s="136"/>
      <c r="D39" s="136"/>
      <c r="E39" s="85"/>
      <c r="F39" s="85"/>
      <c r="G39" s="85"/>
      <c r="H39" s="85"/>
      <c r="I39" s="85"/>
      <c r="J39" s="85"/>
      <c r="K39" s="85"/>
      <c r="L39" s="85"/>
      <c r="M39" s="85"/>
      <c r="N39" s="85"/>
      <c r="O39" s="85"/>
    </row>
    <row r="40" spans="1:15" s="22" customFormat="1" ht="20.399999999999999" x14ac:dyDescent="0.3">
      <c r="A40" s="85"/>
      <c r="B40" s="85"/>
      <c r="C40" s="136"/>
      <c r="D40" s="136"/>
      <c r="E40" s="85"/>
      <c r="F40" s="85"/>
      <c r="G40" s="85"/>
      <c r="H40" s="85"/>
      <c r="I40" s="85"/>
      <c r="J40" s="85"/>
      <c r="K40" s="85"/>
      <c r="L40" s="85"/>
      <c r="M40" s="85"/>
      <c r="N40" s="85"/>
      <c r="O40" s="85"/>
    </row>
    <row r="41" spans="1:15" s="22" customFormat="1" ht="20.399999999999999" x14ac:dyDescent="0.3">
      <c r="A41" s="85"/>
      <c r="B41" s="85"/>
      <c r="C41" s="136"/>
      <c r="D41" s="136"/>
      <c r="E41" s="85"/>
      <c r="F41" s="85"/>
      <c r="G41" s="85"/>
      <c r="H41" s="85"/>
      <c r="I41" s="85"/>
      <c r="J41" s="85"/>
      <c r="K41" s="85"/>
      <c r="L41" s="85"/>
      <c r="M41" s="85"/>
      <c r="N41" s="85"/>
      <c r="O41" s="85"/>
    </row>
    <row r="42" spans="1:15" s="22" customFormat="1" ht="20.399999999999999" x14ac:dyDescent="0.3">
      <c r="A42" s="85"/>
      <c r="B42" s="85"/>
      <c r="C42" s="136"/>
      <c r="D42" s="136"/>
      <c r="E42" s="85"/>
      <c r="F42" s="85"/>
      <c r="G42" s="85"/>
      <c r="H42" s="85"/>
      <c r="I42" s="85"/>
      <c r="J42" s="85"/>
      <c r="K42" s="85"/>
      <c r="L42" s="85"/>
      <c r="M42" s="85"/>
      <c r="N42" s="85"/>
      <c r="O42" s="85"/>
    </row>
    <row r="43" spans="1:15" s="22" customFormat="1" ht="20.399999999999999" x14ac:dyDescent="0.3">
      <c r="A43" s="85"/>
      <c r="B43" s="85"/>
      <c r="C43" s="136"/>
      <c r="D43" s="136"/>
      <c r="E43" s="85"/>
      <c r="F43" s="85"/>
      <c r="G43" s="85"/>
      <c r="H43" s="85"/>
      <c r="I43" s="85"/>
      <c r="J43" s="85"/>
      <c r="K43" s="85"/>
      <c r="L43" s="85"/>
      <c r="M43" s="85"/>
      <c r="N43" s="85"/>
      <c r="O43" s="85"/>
    </row>
    <row r="44" spans="1:15" s="22" customFormat="1" ht="20.399999999999999" x14ac:dyDescent="0.3">
      <c r="A44" s="85"/>
      <c r="B44" s="85"/>
      <c r="C44" s="136"/>
      <c r="D44" s="136"/>
      <c r="E44" s="85"/>
      <c r="F44" s="85"/>
      <c r="G44" s="85"/>
      <c r="H44" s="85"/>
      <c r="I44" s="85"/>
      <c r="J44" s="85"/>
      <c r="K44" s="85"/>
      <c r="L44" s="85"/>
      <c r="M44" s="85"/>
      <c r="N44" s="85"/>
      <c r="O44" s="85"/>
    </row>
    <row r="45" spans="1:15" s="22" customFormat="1" ht="20.399999999999999" x14ac:dyDescent="0.3">
      <c r="A45" s="85"/>
      <c r="B45" s="85"/>
      <c r="C45" s="136"/>
      <c r="D45" s="136"/>
      <c r="E45" s="85"/>
      <c r="F45" s="85"/>
      <c r="G45" s="85"/>
      <c r="H45" s="85"/>
      <c r="I45" s="85"/>
      <c r="J45" s="85"/>
      <c r="K45" s="85"/>
      <c r="L45" s="85"/>
      <c r="M45" s="85"/>
      <c r="N45" s="85"/>
      <c r="O45" s="85"/>
    </row>
    <row r="46" spans="1:15" s="22" customFormat="1" ht="20.399999999999999" x14ac:dyDescent="0.3">
      <c r="A46" s="85"/>
      <c r="B46" s="85"/>
      <c r="C46" s="136"/>
      <c r="D46" s="136"/>
      <c r="E46" s="85"/>
      <c r="F46" s="85"/>
      <c r="G46" s="85"/>
      <c r="H46" s="85"/>
      <c r="I46" s="85"/>
      <c r="J46" s="85"/>
      <c r="K46" s="85"/>
      <c r="L46" s="85"/>
      <c r="M46" s="85"/>
      <c r="N46" s="85"/>
      <c r="O46" s="85"/>
    </row>
    <row r="47" spans="1:15" s="22" customFormat="1" ht="20.399999999999999" x14ac:dyDescent="0.3">
      <c r="A47" s="85"/>
      <c r="B47" s="85"/>
      <c r="C47" s="136"/>
      <c r="D47" s="136"/>
      <c r="E47" s="85"/>
      <c r="F47" s="85"/>
      <c r="G47" s="85"/>
      <c r="H47" s="85"/>
      <c r="I47" s="85"/>
      <c r="J47" s="85"/>
      <c r="K47" s="85"/>
      <c r="L47" s="85"/>
      <c r="M47" s="85"/>
      <c r="N47" s="85"/>
      <c r="O47" s="85"/>
    </row>
    <row r="48" spans="1:15" s="22" customFormat="1" ht="20.399999999999999" x14ac:dyDescent="0.3">
      <c r="A48" s="85"/>
      <c r="B48" s="85"/>
      <c r="C48" s="136"/>
      <c r="D48" s="136"/>
      <c r="E48" s="85"/>
      <c r="F48" s="85"/>
      <c r="G48" s="85"/>
      <c r="H48" s="85"/>
      <c r="I48" s="85"/>
      <c r="J48" s="85"/>
      <c r="K48" s="85"/>
      <c r="L48" s="85"/>
      <c r="M48" s="85"/>
      <c r="N48" s="85"/>
      <c r="O48" s="85"/>
    </row>
    <row r="49" spans="1:15" s="22" customFormat="1" ht="20.399999999999999" x14ac:dyDescent="0.3">
      <c r="A49" s="85"/>
      <c r="B49" s="85"/>
      <c r="C49" s="136"/>
      <c r="D49" s="136"/>
      <c r="E49" s="85"/>
      <c r="F49" s="85"/>
      <c r="G49" s="85"/>
      <c r="H49" s="85"/>
      <c r="I49" s="85"/>
      <c r="J49" s="85"/>
      <c r="K49" s="85"/>
      <c r="L49" s="85"/>
      <c r="M49" s="85"/>
      <c r="N49" s="85"/>
      <c r="O49" s="85"/>
    </row>
    <row r="50" spans="1:15" s="22" customFormat="1" ht="20.399999999999999" x14ac:dyDescent="0.3">
      <c r="A50" s="85"/>
      <c r="B50" s="85"/>
      <c r="C50" s="136"/>
      <c r="D50" s="136"/>
      <c r="E50" s="85"/>
      <c r="F50" s="85"/>
      <c r="G50" s="85"/>
      <c r="H50" s="85"/>
      <c r="I50" s="85"/>
      <c r="J50" s="85"/>
      <c r="K50" s="85"/>
      <c r="L50" s="85"/>
      <c r="M50" s="85"/>
      <c r="N50" s="85"/>
      <c r="O50" s="85"/>
    </row>
    <row r="51" spans="1:15" s="22" customFormat="1" ht="20.399999999999999" x14ac:dyDescent="0.3">
      <c r="A51" s="85"/>
      <c r="B51" s="85"/>
      <c r="C51" s="136"/>
      <c r="D51" s="136"/>
      <c r="E51" s="85"/>
      <c r="F51" s="85"/>
      <c r="G51" s="85"/>
      <c r="H51" s="85"/>
      <c r="I51" s="85"/>
      <c r="J51" s="85"/>
      <c r="K51" s="85"/>
      <c r="L51" s="85"/>
      <c r="M51" s="85"/>
      <c r="N51" s="85"/>
      <c r="O51" s="85"/>
    </row>
    <row r="52" spans="1:15" s="22" customFormat="1" ht="20.399999999999999" x14ac:dyDescent="0.3">
      <c r="A52" s="85"/>
      <c r="C52" s="138"/>
      <c r="D52" s="138"/>
    </row>
    <row r="53" spans="1:15" s="22" customFormat="1" ht="20.399999999999999" x14ac:dyDescent="0.3">
      <c r="A53" s="85"/>
      <c r="C53" s="138"/>
      <c r="D53" s="138"/>
    </row>
    <row r="54" spans="1:15" s="22" customFormat="1" ht="20.399999999999999" x14ac:dyDescent="0.3">
      <c r="A54" s="85"/>
      <c r="C54" s="138"/>
      <c r="D54" s="138"/>
    </row>
    <row r="55" spans="1:15" s="22" customFormat="1" ht="20.399999999999999" x14ac:dyDescent="0.3">
      <c r="A55" s="85"/>
      <c r="C55" s="138"/>
      <c r="D55" s="138"/>
    </row>
    <row r="56" spans="1:15" s="22" customFormat="1" ht="20.399999999999999" x14ac:dyDescent="0.3">
      <c r="A56" s="85"/>
      <c r="C56" s="138"/>
      <c r="D56" s="138"/>
    </row>
    <row r="57" spans="1:15" s="22" customFormat="1" ht="20.399999999999999" x14ac:dyDescent="0.3">
      <c r="A57" s="85"/>
      <c r="C57" s="138"/>
      <c r="D57" s="138"/>
    </row>
    <row r="58" spans="1:15" s="22" customFormat="1" ht="20.399999999999999" x14ac:dyDescent="0.3">
      <c r="A58" s="85"/>
      <c r="C58" s="138"/>
      <c r="D58" s="138"/>
    </row>
    <row r="59" spans="1:15" s="22" customFormat="1" ht="20.399999999999999" x14ac:dyDescent="0.3">
      <c r="A59" s="85"/>
      <c r="C59" s="138"/>
      <c r="D59" s="138"/>
    </row>
    <row r="60" spans="1:15" s="22" customFormat="1" ht="20.399999999999999" x14ac:dyDescent="0.3">
      <c r="A60" s="85"/>
      <c r="C60" s="138"/>
      <c r="D60" s="138"/>
    </row>
    <row r="61" spans="1:15" s="22" customFormat="1" ht="20.399999999999999" x14ac:dyDescent="0.3">
      <c r="A61" s="85"/>
      <c r="C61" s="138"/>
      <c r="D61" s="138"/>
    </row>
    <row r="62" spans="1:15" s="22" customFormat="1" ht="20.399999999999999" x14ac:dyDescent="0.3">
      <c r="A62" s="85"/>
      <c r="C62" s="138"/>
      <c r="D62" s="138"/>
    </row>
    <row r="63" spans="1:15" s="22" customFormat="1" ht="20.399999999999999" x14ac:dyDescent="0.3">
      <c r="A63" s="85"/>
      <c r="C63" s="138"/>
      <c r="D63" s="138"/>
    </row>
    <row r="64" spans="1:15" s="22" customFormat="1" ht="20.399999999999999" x14ac:dyDescent="0.3">
      <c r="A64" s="85"/>
      <c r="C64" s="138"/>
      <c r="D64" s="138"/>
    </row>
    <row r="65" spans="1:4" s="22" customFormat="1" ht="20.399999999999999" x14ac:dyDescent="0.3">
      <c r="A65" s="85"/>
      <c r="C65" s="138"/>
      <c r="D65" s="138"/>
    </row>
    <row r="66" spans="1:4" s="22" customFormat="1" ht="20.399999999999999" x14ac:dyDescent="0.3">
      <c r="A66" s="85"/>
      <c r="C66" s="138"/>
      <c r="D66" s="138"/>
    </row>
    <row r="67" spans="1:4" s="22" customFormat="1" ht="20.399999999999999" x14ac:dyDescent="0.3">
      <c r="A67" s="85"/>
      <c r="C67" s="138"/>
      <c r="D67" s="138"/>
    </row>
    <row r="68" spans="1:4" s="22" customFormat="1" ht="20.399999999999999" x14ac:dyDescent="0.3">
      <c r="A68" s="85"/>
      <c r="C68" s="138"/>
      <c r="D68" s="138"/>
    </row>
    <row r="69" spans="1:4" s="22" customFormat="1" ht="20.399999999999999" x14ac:dyDescent="0.3">
      <c r="A69" s="85"/>
      <c r="C69" s="138"/>
      <c r="D69" s="138"/>
    </row>
    <row r="70" spans="1:4" s="22" customFormat="1" ht="20.399999999999999" x14ac:dyDescent="0.3">
      <c r="A70" s="85"/>
      <c r="C70" s="138"/>
      <c r="D70" s="138"/>
    </row>
    <row r="71" spans="1:4" s="22" customFormat="1" ht="20.399999999999999" x14ac:dyDescent="0.3">
      <c r="A71" s="85"/>
      <c r="C71" s="138"/>
      <c r="D71" s="138"/>
    </row>
    <row r="72" spans="1:4" s="22" customFormat="1" ht="20.399999999999999" x14ac:dyDescent="0.3">
      <c r="A72" s="85"/>
      <c r="C72" s="138"/>
      <c r="D72" s="138"/>
    </row>
    <row r="73" spans="1:4" s="22" customFormat="1" ht="20.399999999999999" x14ac:dyDescent="0.3">
      <c r="A73" s="85"/>
      <c r="C73" s="138"/>
      <c r="D73" s="138"/>
    </row>
    <row r="74" spans="1:4" s="22" customFormat="1" ht="20.399999999999999" x14ac:dyDescent="0.3">
      <c r="A74" s="85"/>
      <c r="C74" s="138"/>
      <c r="D74" s="138"/>
    </row>
    <row r="75" spans="1:4" s="22" customFormat="1" ht="20.399999999999999" x14ac:dyDescent="0.3">
      <c r="A75" s="85"/>
      <c r="C75" s="138"/>
      <c r="D75" s="138"/>
    </row>
    <row r="76" spans="1:4" s="22" customFormat="1" ht="20.399999999999999" x14ac:dyDescent="0.3">
      <c r="A76" s="85"/>
      <c r="C76" s="138"/>
      <c r="D76" s="138"/>
    </row>
    <row r="77" spans="1:4" s="22" customFormat="1" ht="20.399999999999999" x14ac:dyDescent="0.3">
      <c r="A77" s="85"/>
      <c r="C77" s="138"/>
      <c r="D77" s="138"/>
    </row>
    <row r="78" spans="1:4" s="22" customFormat="1" ht="20.399999999999999" x14ac:dyDescent="0.3">
      <c r="A78" s="85"/>
      <c r="C78" s="138"/>
      <c r="D78" s="138"/>
    </row>
    <row r="79" spans="1:4" s="22" customFormat="1" ht="20.399999999999999" x14ac:dyDescent="0.3">
      <c r="A79" s="85"/>
      <c r="C79" s="138"/>
      <c r="D79" s="138"/>
    </row>
    <row r="80" spans="1:4" s="22" customFormat="1" ht="20.399999999999999" x14ac:dyDescent="0.3">
      <c r="A80" s="85"/>
      <c r="C80" s="138"/>
      <c r="D80" s="138"/>
    </row>
    <row r="81" spans="1:4" s="22" customFormat="1" ht="20.399999999999999" x14ac:dyDescent="0.3">
      <c r="A81" s="85"/>
      <c r="C81" s="138"/>
      <c r="D81" s="138"/>
    </row>
    <row r="82" spans="1:4" s="22" customFormat="1" ht="20.399999999999999" x14ac:dyDescent="0.3">
      <c r="A82" s="85"/>
      <c r="C82" s="138"/>
      <c r="D82" s="138"/>
    </row>
    <row r="83" spans="1:4" s="22" customFormat="1" ht="20.399999999999999" x14ac:dyDescent="0.3">
      <c r="A83" s="85"/>
      <c r="C83" s="138"/>
      <c r="D83" s="138"/>
    </row>
    <row r="84" spans="1:4" s="22" customFormat="1" ht="20.399999999999999" x14ac:dyDescent="0.3">
      <c r="A84" s="85"/>
      <c r="C84" s="138"/>
      <c r="D84" s="138"/>
    </row>
    <row r="85" spans="1:4" s="22" customFormat="1" ht="20.399999999999999" x14ac:dyDescent="0.3">
      <c r="A85" s="85"/>
      <c r="C85" s="138"/>
      <c r="D85" s="138"/>
    </row>
    <row r="86" spans="1:4" s="22" customFormat="1" ht="20.399999999999999" x14ac:dyDescent="0.3">
      <c r="A86" s="85"/>
      <c r="C86" s="138"/>
      <c r="D86" s="138"/>
    </row>
    <row r="87" spans="1:4" s="22" customFormat="1" ht="20.399999999999999" x14ac:dyDescent="0.3">
      <c r="A87" s="85"/>
      <c r="C87" s="138"/>
      <c r="D87" s="138"/>
    </row>
    <row r="88" spans="1:4" s="22" customFormat="1" ht="20.399999999999999" x14ac:dyDescent="0.3">
      <c r="A88" s="85"/>
      <c r="C88" s="138"/>
      <c r="D88" s="138"/>
    </row>
    <row r="89" spans="1:4" s="22" customFormat="1" ht="20.399999999999999" x14ac:dyDescent="0.3">
      <c r="A89" s="85"/>
      <c r="C89" s="138"/>
      <c r="D89" s="138"/>
    </row>
    <row r="90" spans="1:4" s="22" customFormat="1" ht="20.399999999999999" x14ac:dyDescent="0.3">
      <c r="A90" s="85"/>
      <c r="C90" s="138"/>
      <c r="D90" s="138"/>
    </row>
    <row r="91" spans="1:4" s="22" customFormat="1" ht="20.399999999999999" x14ac:dyDescent="0.3">
      <c r="A91" s="85"/>
      <c r="C91" s="138"/>
      <c r="D91" s="138"/>
    </row>
    <row r="92" spans="1:4" s="22" customFormat="1" ht="20.399999999999999" x14ac:dyDescent="0.3">
      <c r="A92" s="85"/>
      <c r="C92" s="138"/>
      <c r="D92" s="138"/>
    </row>
    <row r="93" spans="1:4" s="22" customFormat="1" ht="20.399999999999999" x14ac:dyDescent="0.3">
      <c r="A93" s="85"/>
      <c r="C93" s="138"/>
      <c r="D93" s="138"/>
    </row>
    <row r="94" spans="1:4" s="22" customFormat="1" ht="20.399999999999999" x14ac:dyDescent="0.3">
      <c r="A94" s="85"/>
      <c r="C94" s="138"/>
      <c r="D94" s="138"/>
    </row>
    <row r="95" spans="1:4" s="22" customFormat="1" ht="20.399999999999999" x14ac:dyDescent="0.3">
      <c r="A95" s="85"/>
      <c r="C95" s="138"/>
      <c r="D95" s="138"/>
    </row>
    <row r="96" spans="1:4" s="22" customFormat="1" ht="20.399999999999999" x14ac:dyDescent="0.3">
      <c r="A96" s="85"/>
      <c r="C96" s="138"/>
      <c r="D96" s="138"/>
    </row>
    <row r="97" spans="1:4" s="22" customFormat="1" ht="20.399999999999999" x14ac:dyDescent="0.3">
      <c r="A97" s="85"/>
      <c r="C97" s="138"/>
      <c r="D97" s="138"/>
    </row>
    <row r="98" spans="1:4" s="22" customFormat="1" ht="20.399999999999999" x14ac:dyDescent="0.3">
      <c r="A98" s="85"/>
      <c r="C98" s="138"/>
      <c r="D98" s="138"/>
    </row>
    <row r="99" spans="1:4" s="22" customFormat="1" ht="20.399999999999999" x14ac:dyDescent="0.3">
      <c r="A99" s="85"/>
      <c r="C99" s="138"/>
      <c r="D99" s="138"/>
    </row>
    <row r="100" spans="1:4" s="22" customFormat="1" ht="20.399999999999999" x14ac:dyDescent="0.3">
      <c r="A100" s="85"/>
      <c r="C100" s="138"/>
      <c r="D100" s="138"/>
    </row>
    <row r="101" spans="1:4" s="22" customFormat="1" ht="20.399999999999999" x14ac:dyDescent="0.3">
      <c r="A101" s="85"/>
      <c r="C101" s="138"/>
      <c r="D101" s="138"/>
    </row>
    <row r="102" spans="1:4" s="22" customFormat="1" ht="20.399999999999999" x14ac:dyDescent="0.3">
      <c r="A102" s="85"/>
      <c r="C102" s="138"/>
      <c r="D102" s="138"/>
    </row>
    <row r="103" spans="1:4" s="22" customFormat="1" ht="20.399999999999999" x14ac:dyDescent="0.3">
      <c r="A103" s="85"/>
      <c r="C103" s="138"/>
      <c r="D103" s="138"/>
    </row>
    <row r="104" spans="1:4" s="22" customFormat="1" ht="20.399999999999999" x14ac:dyDescent="0.3">
      <c r="A104" s="85"/>
      <c r="C104" s="138"/>
      <c r="D104" s="138"/>
    </row>
    <row r="105" spans="1:4" s="22" customFormat="1" ht="20.399999999999999" x14ac:dyDescent="0.3">
      <c r="A105" s="85"/>
      <c r="C105" s="138"/>
      <c r="D105" s="138"/>
    </row>
    <row r="106" spans="1:4" s="22" customFormat="1" ht="20.399999999999999" x14ac:dyDescent="0.3">
      <c r="A106" s="85"/>
      <c r="C106" s="138"/>
      <c r="D106" s="138"/>
    </row>
    <row r="107" spans="1:4" s="22" customFormat="1" ht="20.399999999999999" x14ac:dyDescent="0.3">
      <c r="A107" s="85"/>
      <c r="C107" s="138"/>
      <c r="D107" s="138"/>
    </row>
    <row r="108" spans="1:4" s="22" customFormat="1" ht="20.399999999999999" x14ac:dyDescent="0.3">
      <c r="A108" s="85"/>
      <c r="C108" s="138"/>
      <c r="D108" s="138"/>
    </row>
    <row r="109" spans="1:4" s="22" customFormat="1" ht="20.399999999999999" x14ac:dyDescent="0.3">
      <c r="A109" s="85"/>
      <c r="C109" s="138"/>
      <c r="D109" s="138"/>
    </row>
    <row r="110" spans="1:4" s="22" customFormat="1" ht="20.399999999999999" x14ac:dyDescent="0.3">
      <c r="A110" s="85"/>
      <c r="C110" s="138"/>
      <c r="D110" s="138"/>
    </row>
    <row r="111" spans="1:4" s="22" customFormat="1" ht="20.399999999999999" x14ac:dyDescent="0.3">
      <c r="A111" s="85"/>
      <c r="C111" s="138"/>
      <c r="D111" s="138"/>
    </row>
    <row r="112" spans="1:4" s="22" customFormat="1" ht="20.399999999999999" x14ac:dyDescent="0.3">
      <c r="A112" s="85"/>
      <c r="C112" s="138"/>
      <c r="D112" s="138"/>
    </row>
    <row r="113" spans="1:4" s="22" customFormat="1" ht="20.399999999999999" x14ac:dyDescent="0.3">
      <c r="A113" s="85"/>
      <c r="C113" s="138"/>
      <c r="D113" s="138"/>
    </row>
    <row r="114" spans="1:4" s="22" customFormat="1" ht="20.399999999999999" x14ac:dyDescent="0.3">
      <c r="A114" s="85"/>
      <c r="C114" s="138"/>
      <c r="D114" s="138"/>
    </row>
    <row r="115" spans="1:4" s="22" customFormat="1" ht="20.399999999999999" x14ac:dyDescent="0.3">
      <c r="A115" s="85"/>
      <c r="C115" s="138"/>
      <c r="D115" s="138"/>
    </row>
    <row r="116" spans="1:4" s="22" customFormat="1" ht="20.399999999999999" x14ac:dyDescent="0.3">
      <c r="A116" s="85"/>
      <c r="C116" s="138"/>
      <c r="D116" s="138"/>
    </row>
    <row r="117" spans="1:4" s="22" customFormat="1" ht="20.399999999999999" x14ac:dyDescent="0.3">
      <c r="A117" s="85"/>
      <c r="C117" s="138"/>
      <c r="D117" s="138"/>
    </row>
    <row r="118" spans="1:4" s="22" customFormat="1" ht="20.399999999999999" x14ac:dyDescent="0.3">
      <c r="A118" s="85"/>
      <c r="C118" s="138"/>
      <c r="D118" s="138"/>
    </row>
    <row r="119" spans="1:4" s="22" customFormat="1" ht="20.399999999999999" x14ac:dyDescent="0.3">
      <c r="A119" s="85"/>
      <c r="C119" s="138"/>
      <c r="D119" s="138"/>
    </row>
    <row r="120" spans="1:4" s="22" customFormat="1" ht="20.399999999999999" x14ac:dyDescent="0.3">
      <c r="A120" s="85"/>
      <c r="C120" s="138"/>
      <c r="D120" s="138"/>
    </row>
    <row r="121" spans="1:4" s="22" customFormat="1" ht="20.399999999999999" x14ac:dyDescent="0.3">
      <c r="A121" s="85"/>
      <c r="C121" s="138"/>
      <c r="D121" s="138"/>
    </row>
    <row r="122" spans="1:4" s="22" customFormat="1" ht="20.399999999999999" x14ac:dyDescent="0.3">
      <c r="A122" s="85"/>
      <c r="C122" s="138"/>
      <c r="D122" s="138"/>
    </row>
    <row r="123" spans="1:4" s="22" customFormat="1" ht="20.399999999999999" x14ac:dyDescent="0.3">
      <c r="A123" s="85"/>
      <c r="C123" s="138"/>
      <c r="D123" s="138"/>
    </row>
    <row r="124" spans="1:4" s="22" customFormat="1" ht="20.399999999999999" x14ac:dyDescent="0.3">
      <c r="A124" s="85"/>
      <c r="C124" s="138"/>
      <c r="D124" s="138"/>
    </row>
    <row r="125" spans="1:4" s="22" customFormat="1" ht="20.399999999999999" x14ac:dyDescent="0.3">
      <c r="A125" s="85"/>
      <c r="C125" s="138"/>
      <c r="D125" s="138"/>
    </row>
    <row r="126" spans="1:4" s="22" customFormat="1" ht="20.399999999999999" x14ac:dyDescent="0.3">
      <c r="A126" s="85"/>
      <c r="C126" s="138"/>
      <c r="D126" s="138"/>
    </row>
    <row r="127" spans="1:4" s="22" customFormat="1" ht="20.399999999999999" x14ac:dyDescent="0.3">
      <c r="A127" s="85"/>
      <c r="C127" s="138"/>
      <c r="D127" s="138"/>
    </row>
    <row r="128" spans="1:4" s="22" customFormat="1" ht="20.399999999999999" x14ac:dyDescent="0.3">
      <c r="A128" s="85"/>
      <c r="C128" s="138"/>
      <c r="D128" s="138"/>
    </row>
    <row r="129" spans="1:4" s="22" customFormat="1" ht="20.399999999999999" x14ac:dyDescent="0.3">
      <c r="A129" s="85"/>
      <c r="C129" s="138"/>
      <c r="D129" s="138"/>
    </row>
    <row r="130" spans="1:4" s="22" customFormat="1" ht="20.399999999999999" x14ac:dyDescent="0.3">
      <c r="A130" s="85"/>
      <c r="C130" s="138"/>
      <c r="D130" s="138"/>
    </row>
    <row r="131" spans="1:4" s="22" customFormat="1" ht="20.399999999999999" x14ac:dyDescent="0.3">
      <c r="A131" s="85"/>
      <c r="C131" s="138"/>
      <c r="D131" s="138"/>
    </row>
    <row r="132" spans="1:4" s="22" customFormat="1" ht="20.399999999999999" x14ac:dyDescent="0.3">
      <c r="A132" s="85"/>
      <c r="C132" s="138"/>
      <c r="D132" s="138"/>
    </row>
    <row r="133" spans="1:4" s="22" customFormat="1" ht="20.399999999999999" x14ac:dyDescent="0.3">
      <c r="A133" s="85"/>
      <c r="C133" s="138"/>
      <c r="D133" s="138"/>
    </row>
    <row r="134" spans="1:4" s="22" customFormat="1" ht="20.399999999999999" x14ac:dyDescent="0.3">
      <c r="A134" s="85"/>
      <c r="C134" s="138"/>
      <c r="D134" s="138"/>
    </row>
    <row r="135" spans="1:4" s="22" customFormat="1" ht="20.399999999999999" x14ac:dyDescent="0.3">
      <c r="A135" s="85"/>
      <c r="C135" s="138"/>
      <c r="D135" s="138"/>
    </row>
    <row r="136" spans="1:4" s="22" customFormat="1" ht="20.399999999999999" x14ac:dyDescent="0.3">
      <c r="A136" s="85"/>
      <c r="C136" s="138"/>
      <c r="D136" s="138"/>
    </row>
    <row r="137" spans="1:4" s="22" customFormat="1" ht="20.399999999999999" x14ac:dyDescent="0.3">
      <c r="A137" s="85"/>
      <c r="C137" s="138"/>
      <c r="D137" s="138"/>
    </row>
    <row r="138" spans="1:4" s="22" customFormat="1" ht="20.399999999999999" x14ac:dyDescent="0.3">
      <c r="A138" s="85"/>
      <c r="C138" s="138"/>
      <c r="D138" s="138"/>
    </row>
    <row r="139" spans="1:4" s="22" customFormat="1" ht="20.399999999999999" x14ac:dyDescent="0.3">
      <c r="A139" s="85"/>
      <c r="C139" s="138"/>
      <c r="D139" s="138"/>
    </row>
    <row r="140" spans="1:4" s="22" customFormat="1" ht="20.399999999999999" x14ac:dyDescent="0.3">
      <c r="A140" s="85"/>
      <c r="C140" s="138"/>
      <c r="D140" s="138"/>
    </row>
    <row r="141" spans="1:4" s="22" customFormat="1" ht="20.399999999999999" x14ac:dyDescent="0.3">
      <c r="A141" s="85"/>
      <c r="C141" s="138"/>
      <c r="D141" s="138"/>
    </row>
    <row r="142" spans="1:4" s="22" customFormat="1" ht="20.399999999999999" x14ac:dyDescent="0.3">
      <c r="A142" s="85"/>
      <c r="C142" s="138"/>
      <c r="D142" s="138"/>
    </row>
    <row r="143" spans="1:4" s="22" customFormat="1" ht="20.399999999999999" x14ac:dyDescent="0.3">
      <c r="A143" s="85"/>
      <c r="C143" s="138"/>
      <c r="D143" s="138"/>
    </row>
    <row r="144" spans="1:4" s="22" customFormat="1" ht="20.399999999999999" x14ac:dyDescent="0.3">
      <c r="A144" s="85"/>
      <c r="C144" s="138"/>
      <c r="D144" s="138"/>
    </row>
    <row r="145" spans="1:4" s="22" customFormat="1" ht="20.399999999999999" x14ac:dyDescent="0.3">
      <c r="A145" s="85"/>
      <c r="C145" s="138"/>
      <c r="D145" s="138"/>
    </row>
    <row r="146" spans="1:4" s="22" customFormat="1" ht="20.399999999999999" x14ac:dyDescent="0.3">
      <c r="A146" s="85"/>
      <c r="C146" s="138"/>
      <c r="D146" s="138"/>
    </row>
    <row r="147" spans="1:4" s="22" customFormat="1" ht="20.399999999999999" x14ac:dyDescent="0.3">
      <c r="A147" s="85"/>
      <c r="C147" s="138"/>
      <c r="D147" s="138"/>
    </row>
    <row r="148" spans="1:4" s="22" customFormat="1" ht="20.399999999999999" x14ac:dyDescent="0.3">
      <c r="A148" s="85"/>
      <c r="C148" s="138"/>
      <c r="D148" s="138"/>
    </row>
    <row r="149" spans="1:4" s="22" customFormat="1" ht="20.399999999999999" x14ac:dyDescent="0.3">
      <c r="A149" s="85"/>
      <c r="C149" s="138"/>
      <c r="D149" s="138"/>
    </row>
    <row r="150" spans="1:4" s="22" customFormat="1" ht="20.399999999999999" x14ac:dyDescent="0.3">
      <c r="A150" s="85"/>
      <c r="C150" s="138"/>
      <c r="D150" s="138"/>
    </row>
    <row r="151" spans="1:4" s="22" customFormat="1" ht="20.399999999999999" x14ac:dyDescent="0.3">
      <c r="A151" s="85"/>
      <c r="C151" s="138"/>
      <c r="D151" s="138"/>
    </row>
    <row r="152" spans="1:4" s="22" customFormat="1" ht="20.399999999999999" x14ac:dyDescent="0.3">
      <c r="A152" s="85"/>
      <c r="C152" s="138"/>
      <c r="D152" s="138"/>
    </row>
    <row r="153" spans="1:4" s="22" customFormat="1" ht="20.399999999999999" x14ac:dyDescent="0.3">
      <c r="A153" s="85"/>
      <c r="C153" s="138"/>
      <c r="D153" s="138"/>
    </row>
    <row r="154" spans="1:4" s="22" customFormat="1" ht="20.399999999999999" x14ac:dyDescent="0.3">
      <c r="A154" s="85"/>
      <c r="C154" s="138"/>
      <c r="D154" s="138"/>
    </row>
    <row r="155" spans="1:4" s="22" customFormat="1" ht="20.399999999999999" x14ac:dyDescent="0.3">
      <c r="A155" s="85"/>
      <c r="C155" s="138"/>
      <c r="D155" s="138"/>
    </row>
    <row r="156" spans="1:4" s="22" customFormat="1" ht="20.399999999999999" x14ac:dyDescent="0.3">
      <c r="A156" s="85"/>
      <c r="C156" s="138"/>
      <c r="D156" s="138"/>
    </row>
    <row r="157" spans="1:4" s="22" customFormat="1" ht="20.399999999999999" x14ac:dyDescent="0.3">
      <c r="A157" s="85"/>
      <c r="C157" s="138"/>
      <c r="D157" s="138"/>
    </row>
    <row r="158" spans="1:4" s="22" customFormat="1" ht="20.399999999999999" x14ac:dyDescent="0.3">
      <c r="A158" s="85"/>
      <c r="C158" s="138"/>
      <c r="D158" s="138"/>
    </row>
    <row r="159" spans="1:4" s="22" customFormat="1" ht="20.399999999999999" x14ac:dyDescent="0.3">
      <c r="A159" s="85"/>
      <c r="C159" s="138"/>
      <c r="D159" s="138"/>
    </row>
    <row r="160" spans="1:4" s="22" customFormat="1" ht="20.399999999999999" x14ac:dyDescent="0.3">
      <c r="A160" s="85"/>
      <c r="C160" s="138"/>
      <c r="D160" s="138"/>
    </row>
    <row r="161" spans="1:4" s="22" customFormat="1" ht="20.399999999999999" x14ac:dyDescent="0.3">
      <c r="A161" s="85"/>
      <c r="C161" s="138"/>
      <c r="D161" s="138"/>
    </row>
    <row r="162" spans="1:4" s="22" customFormat="1" ht="20.399999999999999" x14ac:dyDescent="0.3">
      <c r="A162" s="85"/>
      <c r="C162" s="138"/>
      <c r="D162" s="138"/>
    </row>
    <row r="163" spans="1:4" s="22" customFormat="1" ht="20.399999999999999" x14ac:dyDescent="0.3">
      <c r="A163" s="85"/>
      <c r="C163" s="138"/>
      <c r="D163" s="138"/>
    </row>
    <row r="164" spans="1:4" s="22" customFormat="1" ht="20.399999999999999" x14ac:dyDescent="0.3">
      <c r="A164" s="85"/>
      <c r="C164" s="138"/>
      <c r="D164" s="138"/>
    </row>
    <row r="165" spans="1:4" s="22" customFormat="1" ht="20.399999999999999" x14ac:dyDescent="0.3">
      <c r="A165" s="85"/>
      <c r="C165" s="138"/>
      <c r="D165" s="138"/>
    </row>
    <row r="166" spans="1:4" s="22" customFormat="1" ht="20.399999999999999" x14ac:dyDescent="0.3">
      <c r="A166" s="85"/>
      <c r="C166" s="138"/>
      <c r="D166" s="138"/>
    </row>
    <row r="167" spans="1:4" s="22" customFormat="1" ht="20.399999999999999" x14ac:dyDescent="0.3">
      <c r="A167" s="85"/>
      <c r="C167" s="138"/>
      <c r="D167" s="138"/>
    </row>
    <row r="168" spans="1:4" s="22" customFormat="1" ht="20.399999999999999" x14ac:dyDescent="0.3">
      <c r="A168" s="85"/>
      <c r="C168" s="138"/>
      <c r="D168" s="138"/>
    </row>
    <row r="169" spans="1:4" s="22" customFormat="1" ht="20.399999999999999" x14ac:dyDescent="0.3">
      <c r="A169" s="85"/>
      <c r="C169" s="138"/>
      <c r="D169" s="138"/>
    </row>
    <row r="170" spans="1:4" s="22" customFormat="1" ht="20.399999999999999" x14ac:dyDescent="0.3">
      <c r="A170" s="85"/>
      <c r="C170" s="138"/>
      <c r="D170" s="138"/>
    </row>
    <row r="171" spans="1:4" s="22" customFormat="1" ht="20.399999999999999" x14ac:dyDescent="0.3">
      <c r="A171" s="85"/>
      <c r="C171" s="138"/>
      <c r="D171" s="138"/>
    </row>
    <row r="172" spans="1:4" s="22" customFormat="1" ht="20.399999999999999" x14ac:dyDescent="0.3">
      <c r="A172" s="85"/>
      <c r="C172" s="138"/>
      <c r="D172" s="138"/>
    </row>
    <row r="173" spans="1:4" s="22" customFormat="1" ht="20.399999999999999" x14ac:dyDescent="0.3">
      <c r="A173" s="85"/>
      <c r="C173" s="138"/>
      <c r="D173" s="138"/>
    </row>
    <row r="174" spans="1:4" s="22" customFormat="1" ht="20.399999999999999" x14ac:dyDescent="0.3">
      <c r="A174" s="85"/>
      <c r="C174" s="138"/>
      <c r="D174" s="138"/>
    </row>
    <row r="175" spans="1:4" s="22" customFormat="1" ht="20.399999999999999" x14ac:dyDescent="0.3">
      <c r="A175" s="85"/>
      <c r="C175" s="138"/>
      <c r="D175" s="138"/>
    </row>
    <row r="176" spans="1:4" s="22" customFormat="1" ht="20.399999999999999" x14ac:dyDescent="0.3">
      <c r="A176" s="85"/>
      <c r="C176" s="138"/>
      <c r="D176" s="138"/>
    </row>
    <row r="177" spans="1:4" s="22" customFormat="1" ht="20.399999999999999" x14ac:dyDescent="0.3">
      <c r="A177" s="85"/>
      <c r="C177" s="138"/>
      <c r="D177" s="138"/>
    </row>
    <row r="178" spans="1:4" s="22" customFormat="1" ht="20.399999999999999" x14ac:dyDescent="0.3">
      <c r="A178" s="85"/>
      <c r="C178" s="138"/>
      <c r="D178" s="138"/>
    </row>
    <row r="179" spans="1:4" s="22" customFormat="1" ht="20.399999999999999" x14ac:dyDescent="0.3">
      <c r="A179" s="85"/>
      <c r="C179" s="138"/>
      <c r="D179" s="138"/>
    </row>
    <row r="180" spans="1:4" s="22" customFormat="1" ht="20.399999999999999" x14ac:dyDescent="0.3">
      <c r="A180" s="85"/>
      <c r="C180" s="138"/>
      <c r="D180" s="138"/>
    </row>
    <row r="181" spans="1:4" s="22" customFormat="1" ht="20.399999999999999" x14ac:dyDescent="0.3">
      <c r="A181" s="85"/>
      <c r="C181" s="138"/>
      <c r="D181" s="138"/>
    </row>
    <row r="182" spans="1:4" s="22" customFormat="1" ht="20.399999999999999" x14ac:dyDescent="0.3">
      <c r="A182" s="85"/>
      <c r="C182" s="138"/>
      <c r="D182" s="138"/>
    </row>
    <row r="183" spans="1:4" s="22" customFormat="1" ht="20.399999999999999" x14ac:dyDescent="0.3">
      <c r="A183" s="85"/>
      <c r="C183" s="138"/>
      <c r="D183" s="138"/>
    </row>
    <row r="184" spans="1:4" s="22" customFormat="1" ht="20.399999999999999" x14ac:dyDescent="0.3">
      <c r="A184" s="85"/>
      <c r="C184" s="138"/>
      <c r="D184" s="138"/>
    </row>
    <row r="185" spans="1:4" s="22" customFormat="1" ht="20.399999999999999" x14ac:dyDescent="0.3">
      <c r="A185" s="85"/>
      <c r="C185" s="138"/>
      <c r="D185" s="138"/>
    </row>
    <row r="186" spans="1:4" s="22" customFormat="1" ht="20.399999999999999" x14ac:dyDescent="0.3">
      <c r="A186" s="85"/>
      <c r="C186" s="138"/>
      <c r="D186" s="138"/>
    </row>
    <row r="187" spans="1:4" s="22" customFormat="1" ht="20.399999999999999" x14ac:dyDescent="0.3">
      <c r="A187" s="85"/>
      <c r="C187" s="138"/>
      <c r="D187" s="138"/>
    </row>
    <row r="188" spans="1:4" s="22" customFormat="1" ht="20.399999999999999" x14ac:dyDescent="0.3">
      <c r="A188" s="85"/>
      <c r="C188" s="138"/>
      <c r="D188" s="138"/>
    </row>
    <row r="189" spans="1:4" s="22" customFormat="1" ht="20.399999999999999" x14ac:dyDescent="0.3">
      <c r="A189" s="85"/>
      <c r="C189" s="138"/>
      <c r="D189" s="138"/>
    </row>
    <row r="190" spans="1:4" s="22" customFormat="1" ht="20.399999999999999" x14ac:dyDescent="0.3">
      <c r="A190" s="85"/>
      <c r="C190" s="138"/>
      <c r="D190" s="138"/>
    </row>
    <row r="191" spans="1:4" s="22" customFormat="1" ht="20.399999999999999" x14ac:dyDescent="0.3">
      <c r="A191" s="85"/>
      <c r="C191" s="138"/>
      <c r="D191" s="138"/>
    </row>
    <row r="192" spans="1:4" s="22" customFormat="1" ht="20.399999999999999" x14ac:dyDescent="0.3">
      <c r="A192" s="85"/>
      <c r="C192" s="138"/>
      <c r="D192" s="138"/>
    </row>
    <row r="193" spans="1:4" s="22" customFormat="1" ht="20.399999999999999" x14ac:dyDescent="0.3">
      <c r="A193" s="85"/>
      <c r="C193" s="138"/>
      <c r="D193" s="138"/>
    </row>
    <row r="194" spans="1:4" s="22" customFormat="1" ht="20.399999999999999" x14ac:dyDescent="0.3">
      <c r="A194" s="85"/>
      <c r="C194" s="138"/>
      <c r="D194" s="138"/>
    </row>
    <row r="195" spans="1:4" s="22" customFormat="1" ht="20.399999999999999" x14ac:dyDescent="0.3">
      <c r="A195" s="85"/>
      <c r="C195" s="138"/>
      <c r="D195" s="138"/>
    </row>
    <row r="196" spans="1:4" s="22" customFormat="1" ht="20.399999999999999" x14ac:dyDescent="0.3">
      <c r="A196" s="85"/>
      <c r="C196" s="138"/>
      <c r="D196" s="138"/>
    </row>
    <row r="197" spans="1:4" s="22" customFormat="1" ht="20.399999999999999" x14ac:dyDescent="0.3">
      <c r="A197" s="85"/>
      <c r="C197" s="138"/>
      <c r="D197" s="138"/>
    </row>
    <row r="198" spans="1:4" s="22" customFormat="1" ht="20.399999999999999" x14ac:dyDescent="0.3">
      <c r="A198" s="85"/>
      <c r="C198" s="138"/>
      <c r="D198" s="138"/>
    </row>
    <row r="199" spans="1:4" s="22" customFormat="1" ht="20.399999999999999" x14ac:dyDescent="0.3">
      <c r="A199" s="85"/>
      <c r="C199" s="138"/>
      <c r="D199" s="138"/>
    </row>
    <row r="200" spans="1:4" s="22" customFormat="1" ht="20.399999999999999" x14ac:dyDescent="0.3">
      <c r="A200" s="85"/>
      <c r="C200" s="138"/>
      <c r="D200" s="138"/>
    </row>
    <row r="201" spans="1:4" s="22" customFormat="1" ht="20.399999999999999" x14ac:dyDescent="0.3">
      <c r="A201" s="85"/>
      <c r="C201" s="138"/>
      <c r="D201" s="138"/>
    </row>
    <row r="202" spans="1:4" s="22" customFormat="1" ht="20.399999999999999" x14ac:dyDescent="0.3">
      <c r="A202" s="85"/>
      <c r="C202" s="138"/>
      <c r="D202" s="138"/>
    </row>
    <row r="203" spans="1:4" s="22" customFormat="1" ht="20.399999999999999" x14ac:dyDescent="0.3">
      <c r="A203" s="85"/>
      <c r="C203" s="138"/>
      <c r="D203" s="138"/>
    </row>
    <row r="204" spans="1:4" s="22" customFormat="1" ht="20.399999999999999" x14ac:dyDescent="0.3">
      <c r="A204" s="85"/>
      <c r="C204" s="138"/>
      <c r="D204" s="138"/>
    </row>
    <row r="205" spans="1:4" s="22" customFormat="1" ht="20.399999999999999" x14ac:dyDescent="0.3">
      <c r="A205" s="85"/>
      <c r="C205" s="138"/>
      <c r="D205" s="138"/>
    </row>
    <row r="206" spans="1:4" s="22" customFormat="1" ht="20.399999999999999" x14ac:dyDescent="0.3">
      <c r="A206" s="85"/>
      <c r="C206" s="138"/>
      <c r="D206" s="138"/>
    </row>
    <row r="207" spans="1:4" s="22" customFormat="1" ht="20.399999999999999" x14ac:dyDescent="0.3">
      <c r="A207" s="85"/>
      <c r="C207" s="138"/>
      <c r="D207" s="138"/>
    </row>
    <row r="208" spans="1:4" s="22" customFormat="1" x14ac:dyDescent="0.3">
      <c r="A208" s="85"/>
    </row>
    <row r="209" spans="1:8" s="22" customFormat="1" ht="20.399999999999999" x14ac:dyDescent="0.3">
      <c r="A209" s="85"/>
      <c r="B209" s="139" t="s">
        <v>87</v>
      </c>
      <c r="C209" s="139" t="s">
        <v>139</v>
      </c>
      <c r="D209" s="140" t="s">
        <v>87</v>
      </c>
      <c r="E209" s="140" t="s">
        <v>139</v>
      </c>
    </row>
    <row r="210" spans="1:8" s="22" customFormat="1" ht="42" x14ac:dyDescent="0.4">
      <c r="A210" s="85"/>
      <c r="B210" s="141" t="s">
        <v>89</v>
      </c>
      <c r="C210" s="141" t="s">
        <v>204</v>
      </c>
      <c r="D210" s="22" t="s">
        <v>89</v>
      </c>
      <c r="F210" s="22" t="str">
        <f>IF(NOT(ISBLANK(D210)),D210,IF(NOT(ISBLANK(E210)),"     "&amp;E210,FALSE))</f>
        <v>Afectación Económica o presupuestal</v>
      </c>
      <c r="G210" s="22" t="s">
        <v>89</v>
      </c>
      <c r="H210" s="22" t="str">
        <f>IF(NOT(ISERROR(MATCH(G210,_xlfn.ANCHORARRAY(B221),0))),F223&amp;"Por favor no seleccionar los criterios de impacto",G210)</f>
        <v>❌Por favor no seleccionar los criterios de impacto</v>
      </c>
    </row>
    <row r="211" spans="1:8" s="22" customFormat="1" ht="42" x14ac:dyDescent="0.4">
      <c r="A211" s="85"/>
      <c r="B211" s="141" t="s">
        <v>89</v>
      </c>
      <c r="C211" s="141" t="s">
        <v>205</v>
      </c>
      <c r="E211" s="22" t="s">
        <v>204</v>
      </c>
      <c r="F211" s="22" t="str">
        <f t="shared" ref="F211:F221" si="0">IF(NOT(ISBLANK(D211)),D211,IF(NOT(ISBLANK(E211)),"     "&amp;E211,FALSE))</f>
        <v xml:space="preserve">     Afectación menor a 200 SMLMV</v>
      </c>
    </row>
    <row r="212" spans="1:8" s="22" customFormat="1" ht="42" x14ac:dyDescent="0.4">
      <c r="A212" s="85"/>
      <c r="B212" s="141" t="s">
        <v>89</v>
      </c>
      <c r="C212" s="141" t="s">
        <v>209</v>
      </c>
      <c r="E212" s="22" t="s">
        <v>205</v>
      </c>
      <c r="F212" s="22" t="str">
        <f t="shared" si="0"/>
        <v xml:space="preserve">     Entre 200 y 1000 SMLMV</v>
      </c>
    </row>
    <row r="213" spans="1:8" s="22" customFormat="1" ht="42" x14ac:dyDescent="0.4">
      <c r="A213" s="85"/>
      <c r="B213" s="141" t="s">
        <v>89</v>
      </c>
      <c r="C213" s="141" t="s">
        <v>210</v>
      </c>
      <c r="E213" s="22" t="s">
        <v>209</v>
      </c>
      <c r="F213" s="22" t="str">
        <f t="shared" si="0"/>
        <v xml:space="preserve">     Entre 1000 y 5000 SMLMV </v>
      </c>
    </row>
    <row r="214" spans="1:8" s="22" customFormat="1" ht="42" x14ac:dyDescent="0.4">
      <c r="A214" s="85"/>
      <c r="B214" s="141" t="s">
        <v>89</v>
      </c>
      <c r="C214" s="141" t="s">
        <v>206</v>
      </c>
      <c r="E214" s="22" t="s">
        <v>210</v>
      </c>
      <c r="F214" s="22" t="str">
        <f t="shared" si="0"/>
        <v xml:space="preserve">     Entre 5000 y 10000 SMLMV</v>
      </c>
    </row>
    <row r="215" spans="1:8" s="22" customFormat="1" ht="21" x14ac:dyDescent="0.4">
      <c r="A215" s="85"/>
      <c r="B215" s="141" t="s">
        <v>57</v>
      </c>
      <c r="C215" s="141" t="s">
        <v>92</v>
      </c>
      <c r="E215" s="22" t="s">
        <v>206</v>
      </c>
      <c r="F215" s="22" t="str">
        <f t="shared" si="0"/>
        <v xml:space="preserve">     Mayor a 10000 SMLMV</v>
      </c>
    </row>
    <row r="216" spans="1:8" s="22" customFormat="1" ht="63" x14ac:dyDescent="0.4">
      <c r="A216" s="85"/>
      <c r="B216" s="141" t="s">
        <v>57</v>
      </c>
      <c r="C216" s="141" t="s">
        <v>93</v>
      </c>
      <c r="D216" s="22" t="s">
        <v>57</v>
      </c>
      <c r="F216" s="22" t="str">
        <f t="shared" si="0"/>
        <v>Pérdida Reputacional</v>
      </c>
    </row>
    <row r="217" spans="1:8" s="22" customFormat="1" ht="42" x14ac:dyDescent="0.4">
      <c r="A217" s="85"/>
      <c r="B217" s="141" t="s">
        <v>57</v>
      </c>
      <c r="C217" s="141" t="s">
        <v>95</v>
      </c>
      <c r="E217" s="22" t="s">
        <v>92</v>
      </c>
      <c r="F217" s="22" t="str">
        <f>IF(NOT(ISBLANK(D217)),D217,IF(NOT(ISBLANK(E217)),"     "&amp;E217,FALSE))</f>
        <v xml:space="preserve">     El riesgo afecta la imagen de alguna área de la organización</v>
      </c>
    </row>
    <row r="218" spans="1:8" s="22" customFormat="1" ht="63" x14ac:dyDescent="0.4">
      <c r="A218" s="85"/>
      <c r="B218" s="141" t="s">
        <v>57</v>
      </c>
      <c r="C218" s="141"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4">
      <c r="A219" s="85"/>
      <c r="B219" s="141" t="s">
        <v>57</v>
      </c>
      <c r="C219" s="141" t="s">
        <v>113</v>
      </c>
      <c r="E219" s="22" t="s">
        <v>95</v>
      </c>
      <c r="F219" s="22" t="str">
        <f t="shared" si="0"/>
        <v xml:space="preserve">     El riesgo afecta la imagen de la entidad con algunos usuarios de relevancia frente al logro de los objetivos</v>
      </c>
    </row>
    <row r="220" spans="1:8" s="22" customFormat="1" x14ac:dyDescent="0.3">
      <c r="A220" s="85"/>
      <c r="E220" s="22" t="s">
        <v>94</v>
      </c>
      <c r="F220" s="22" t="str">
        <f t="shared" si="0"/>
        <v xml:space="preserve">     El riesgo afecta la imagen de de la entidad con efecto publicitario sostenido a nivel de sector administrativo, nivel departamental o municipal</v>
      </c>
    </row>
    <row r="221" spans="1:8" s="22" customFormat="1" x14ac:dyDescent="0.3">
      <c r="A221" s="85"/>
      <c r="B221" s="22" t="str" cm="1">
        <f t="array" ref="B221:B223">_xlfn.UNIQUE(Tabla1[[#All],[Criterios]])</f>
        <v>Criterios</v>
      </c>
      <c r="E221" s="22" t="s">
        <v>113</v>
      </c>
      <c r="F221" s="22" t="str">
        <f t="shared" si="0"/>
        <v xml:space="preserve">     El riesgo afecta la imagen de la entidad a nivel nacional, con efecto publicitarios sostenible a nivel país</v>
      </c>
    </row>
    <row r="222" spans="1:8" s="22" customFormat="1" x14ac:dyDescent="0.3">
      <c r="A222" s="85"/>
      <c r="B222" s="22" t="str">
        <v>Afectación Económica o presupuestal</v>
      </c>
    </row>
    <row r="223" spans="1:8" s="22" customFormat="1" x14ac:dyDescent="0.3">
      <c r="B223" s="22" t="str">
        <v>Pérdida Reputacional</v>
      </c>
      <c r="F223" s="142" t="s">
        <v>140</v>
      </c>
    </row>
    <row r="224" spans="1:8" s="22" customFormat="1" x14ac:dyDescent="0.3">
      <c r="F224" s="142"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Priorizacion de Causa</vt:lpstr>
      <vt:lpstr>DOFA</vt:lpstr>
      <vt:lpstr>Mapa final</vt:lpstr>
      <vt:lpstr>Matriz Calor Inherente</vt:lpstr>
      <vt:lpstr>Matriz Calor Residual</vt:lpstr>
      <vt:lpstr>Tabla probabilidad</vt:lpstr>
      <vt:lpstr>Tabla Impacto</vt:lpstr>
      <vt:lpstr>Tabla Valoración controles</vt:lpstr>
      <vt:lpstr>Hoja2</vt:lpstr>
      <vt:lpstr>Hoja3</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2025-05-09T03:58:04Z</dcterms:modified>
</cp:coreProperties>
</file>